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NWS\Banks loan fund planning Valuations etc\"/>
    </mc:Choice>
  </mc:AlternateContent>
  <xr:revisionPtr revIDLastSave="0" documentId="8_{64C5495A-B9CC-4C33-9B3A-8839C71320AB}" xr6:coauthVersionLast="47" xr6:coauthVersionMax="47" xr10:uidLastSave="{00000000-0000-0000-0000-000000000000}"/>
  <bookViews>
    <workbookView xWindow="-120" yWindow="-120" windowWidth="20730" windowHeight="11160" xr2:uid="{DDD70B06-30B5-4698-8DD5-FC5D5AADA580}"/>
  </bookViews>
  <sheets>
    <sheet name="PL" sheetId="1" r:id="rId1"/>
    <sheet name="B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" i="2" l="1"/>
  <c r="B6" i="2"/>
  <c r="B12" i="2"/>
  <c r="E23" i="1"/>
  <c r="B22" i="1"/>
  <c r="D22" i="1" s="1"/>
  <c r="E22" i="1" s="1"/>
  <c r="E21" i="1"/>
  <c r="D21" i="1"/>
  <c r="C17" i="1"/>
  <c r="D17" i="1" s="1"/>
  <c r="E17" i="1" s="1"/>
  <c r="C16" i="1"/>
  <c r="D16" i="1" s="1"/>
  <c r="E16" i="1" s="1"/>
  <c r="C9" i="1"/>
  <c r="D9" i="1" s="1"/>
  <c r="E9" i="1" s="1"/>
  <c r="C7" i="1"/>
  <c r="D7" i="1"/>
  <c r="E7" i="1" s="1"/>
  <c r="B20" i="1"/>
  <c r="D20" i="1" s="1"/>
  <c r="E20" i="1" s="1"/>
  <c r="E15" i="1"/>
  <c r="E14" i="1"/>
  <c r="E13" i="1"/>
  <c r="E8" i="1"/>
  <c r="D15" i="1"/>
  <c r="D14" i="1"/>
  <c r="D13" i="1"/>
  <c r="D12" i="1"/>
  <c r="E12" i="1" s="1"/>
  <c r="D11" i="1"/>
  <c r="E11" i="1" s="1"/>
  <c r="D10" i="1"/>
  <c r="E10" i="1" s="1"/>
  <c r="D8" i="1"/>
  <c r="E6" i="1"/>
  <c r="D6" i="1"/>
  <c r="E4" i="1"/>
  <c r="C6" i="1"/>
  <c r="D4" i="1"/>
  <c r="C18" i="1" l="1"/>
  <c r="C19" i="1" s="1"/>
  <c r="C21" i="1" s="1"/>
  <c r="C23" i="1" s="1"/>
  <c r="B17" i="1" l="1"/>
  <c r="B11" i="1"/>
  <c r="B18" i="2"/>
  <c r="B26" i="2" l="1"/>
  <c r="B25" i="2"/>
  <c r="B24" i="2"/>
  <c r="B23" i="2"/>
  <c r="B22" i="2"/>
  <c r="B19" i="2"/>
  <c r="B16" i="2"/>
  <c r="B13" i="2"/>
  <c r="B11" i="2"/>
  <c r="B9" i="2"/>
  <c r="B8" i="2"/>
  <c r="B15" i="1"/>
  <c r="B16" i="1"/>
  <c r="B14" i="1"/>
  <c r="B13" i="1"/>
  <c r="B12" i="1"/>
  <c r="B7" i="1"/>
  <c r="B18" i="1" s="1"/>
  <c r="D18" i="1" s="1"/>
  <c r="B10" i="1"/>
  <c r="B9" i="1"/>
  <c r="B8" i="1"/>
  <c r="B5" i="1"/>
  <c r="B4" i="1"/>
  <c r="E18" i="1" l="1"/>
  <c r="D19" i="1"/>
  <c r="B6" i="1"/>
  <c r="E19" i="1" l="1"/>
  <c r="B19" i="1"/>
  <c r="B21" i="1" s="1"/>
  <c r="B23" i="1" s="1"/>
  <c r="D23" i="1" l="1"/>
</calcChain>
</file>

<file path=xl/sharedStrings.xml><?xml version="1.0" encoding="utf-8"?>
<sst xmlns="http://schemas.openxmlformats.org/spreadsheetml/2006/main" count="56" uniqueCount="55">
  <si>
    <t>Particulars</t>
  </si>
  <si>
    <t>Rs. In Crs</t>
  </si>
  <si>
    <t>Actual</t>
  </si>
  <si>
    <t>Diff.</t>
  </si>
  <si>
    <t>%</t>
  </si>
  <si>
    <t>Remarks</t>
  </si>
  <si>
    <t>Revenue from operations</t>
  </si>
  <si>
    <t>Total Income</t>
  </si>
  <si>
    <t>Consumption of Chemicals</t>
  </si>
  <si>
    <t>Repair &amp; Maintenance</t>
  </si>
  <si>
    <t>Hire Charges</t>
  </si>
  <si>
    <t>Employee Benefits Expense</t>
  </si>
  <si>
    <t>Contractual Staff Expenses</t>
  </si>
  <si>
    <t>Project Supervision &amp; Service Fees</t>
  </si>
  <si>
    <t>Security Charges</t>
  </si>
  <si>
    <t>Rent-Office</t>
  </si>
  <si>
    <t>Vehicle Hire &amp; Running Charges</t>
  </si>
  <si>
    <t>Legal &amp; Professional</t>
  </si>
  <si>
    <t>Other expenses</t>
  </si>
  <si>
    <t>Total Expenses</t>
  </si>
  <si>
    <t>EBIDTA</t>
  </si>
  <si>
    <t>Finance Cost</t>
  </si>
  <si>
    <t>Cash Profit/ ( Loss )</t>
  </si>
  <si>
    <t>PBT / ( Loss )</t>
  </si>
  <si>
    <t> Particulars</t>
  </si>
  <si>
    <t>Equity and Liabilities</t>
  </si>
  <si>
    <t>Shareholders’ Funds</t>
  </si>
  <si>
    <t>Share Capital &amp; Warrants</t>
  </si>
  <si>
    <t>Reserves and Surplus</t>
  </si>
  <si>
    <t>Non-Current Liabilities</t>
  </si>
  <si>
    <t>Long Term Borrowings (LTB)</t>
  </si>
  <si>
    <t>Other Long-Term Liabilities &amp; provisions</t>
  </si>
  <si>
    <t>Current Liabilities</t>
  </si>
  <si>
    <t xml:space="preserve">Short-Term Borrowings </t>
  </si>
  <si>
    <t>Payables &amp; provisions</t>
  </si>
  <si>
    <t xml:space="preserve">Grand Total                          </t>
  </si>
  <si>
    <t>Assets</t>
  </si>
  <si>
    <t>Non-Current Assets</t>
  </si>
  <si>
    <t>Fixed Assets</t>
  </si>
  <si>
    <t>Intangible Assets (Concession Rights)</t>
  </si>
  <si>
    <t>Other non current assets (Loans &amp; Advance)</t>
  </si>
  <si>
    <t>TDS</t>
  </si>
  <si>
    <t>Other Non-Current Assets (BG Margin)</t>
  </si>
  <si>
    <t>Current Assets</t>
  </si>
  <si>
    <t>Inventories</t>
  </si>
  <si>
    <t>Trade Receivables</t>
  </si>
  <si>
    <t>Cash and Cash Equivalents</t>
  </si>
  <si>
    <t xml:space="preserve">Other Current Assets </t>
  </si>
  <si>
    <t>Grand Total</t>
  </si>
  <si>
    <t>Balance Sheet as at 30th Nov.23</t>
  </si>
  <si>
    <t>Unaudited PL account for the period 30th Nov.23</t>
  </si>
  <si>
    <t>YTD Nov'23</t>
  </si>
  <si>
    <t>Other Income</t>
  </si>
  <si>
    <t>Ytd Nov’22</t>
  </si>
  <si>
    <t>Depreciation/Amortzn.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</si>
</sst>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name val="Arial"/>
      <family val="2"/>
    </font>
    <font>
      <b/>
      <sz val="9"/>
      <color rgb="FFFFFFFF"/>
      <name val="Calibri"/>
      <family val="2"/>
    </font>
    <font>
      <sz val="9"/>
      <color rgb="FFFFFFFF"/>
      <name val="Calibri"/>
      <family val="2"/>
    </font>
    <font>
      <sz val="9"/>
      <color rgb="FF000000"/>
      <name val="Calibri"/>
      <family val="2"/>
    </font>
    <font>
      <b/>
      <sz val="9"/>
      <color rgb="FF000000"/>
      <name val="Calibri"/>
      <family val="2"/>
    </font>
    <font>
      <b/>
      <sz val="11"/>
      <color rgb="FFFFFFFF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E20A16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ED1B23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8CCCD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3" fontId="10" fillId="0" borderId="0" applyFont="0" applyFill="0" applyBorder="0" applyAlignment="0" applyProtection="0"/>
    <xf numFmtId="164" fontId="11" fillId="0" borderId="0" applyFont="0" applyFill="0" applyBorder="0" applyAlignment="0" applyProtection="0"/>
  </cellStyleXfs>
  <cellXfs count="57">
    <xf numFmtId="0" fontId="0" fillId="0" borderId="0" xfId="0"/>
    <xf numFmtId="0" fontId="4" fillId="2" borderId="4" xfId="0" applyFont="1" applyFill="1" applyBorder="1" applyAlignment="1">
      <alignment horizontal="center" vertical="center" wrapText="1" readingOrder="1"/>
    </xf>
    <xf numFmtId="0" fontId="2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 readingOrder="1"/>
    </xf>
    <xf numFmtId="0" fontId="4" fillId="2" borderId="5" xfId="0" applyFont="1" applyFill="1" applyBorder="1" applyAlignment="1">
      <alignment horizontal="center" vertical="center" wrapText="1" readingOrder="1"/>
    </xf>
    <xf numFmtId="0" fontId="5" fillId="0" borderId="1" xfId="0" applyFont="1" applyBorder="1" applyAlignment="1">
      <alignment horizontal="left" vertical="center" wrapText="1" readingOrder="1"/>
    </xf>
    <xf numFmtId="0" fontId="5" fillId="3" borderId="1" xfId="0" applyFont="1" applyFill="1" applyBorder="1" applyAlignment="1">
      <alignment horizontal="center" vertical="center" wrapText="1" readingOrder="1"/>
    </xf>
    <xf numFmtId="9" fontId="5" fillId="3" borderId="1" xfId="0" applyNumberFormat="1" applyFont="1" applyFill="1" applyBorder="1" applyAlignment="1">
      <alignment horizontal="center" vertical="center" wrapText="1" readingOrder="1"/>
    </xf>
    <xf numFmtId="0" fontId="2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 readingOrder="1"/>
    </xf>
    <xf numFmtId="0" fontId="6" fillId="4" borderId="1" xfId="0" applyFont="1" applyFill="1" applyBorder="1" applyAlignment="1">
      <alignment horizontal="center" vertical="center" wrapText="1" readingOrder="1"/>
    </xf>
    <xf numFmtId="9" fontId="6" fillId="4" borderId="1" xfId="0" applyNumberFormat="1" applyFont="1" applyFill="1" applyBorder="1" applyAlignment="1">
      <alignment horizontal="center" vertical="center" wrapText="1" readingOrder="1"/>
    </xf>
    <xf numFmtId="0" fontId="5" fillId="4" borderId="1" xfId="0" applyFont="1" applyFill="1" applyBorder="1" applyAlignment="1">
      <alignment horizontal="left" vertical="center" wrapText="1" readingOrder="1"/>
    </xf>
    <xf numFmtId="0" fontId="5" fillId="3" borderId="1" xfId="0" applyFont="1" applyFill="1" applyBorder="1" applyAlignment="1">
      <alignment horizontal="justify" vertical="center" wrapText="1" readingOrder="1"/>
    </xf>
    <xf numFmtId="0" fontId="5" fillId="3" borderId="1" xfId="0" applyFont="1" applyFill="1" applyBorder="1" applyAlignment="1">
      <alignment horizontal="left" wrapText="1" readingOrder="1"/>
    </xf>
    <xf numFmtId="0" fontId="5" fillId="3" borderId="1" xfId="0" applyFont="1" applyFill="1" applyBorder="1" applyAlignment="1">
      <alignment horizontal="left" vertical="center" wrapText="1" readingOrder="1"/>
    </xf>
    <xf numFmtId="0" fontId="6" fillId="0" borderId="1" xfId="0" applyFont="1" applyBorder="1" applyAlignment="1">
      <alignment horizontal="left" vertical="center" wrapText="1" readingOrder="1"/>
    </xf>
    <xf numFmtId="9" fontId="6" fillId="3" borderId="1" xfId="0" applyNumberFormat="1" applyFont="1" applyFill="1" applyBorder="1" applyAlignment="1">
      <alignment horizontal="center" vertical="center" wrapText="1" readingOrder="1"/>
    </xf>
    <xf numFmtId="0" fontId="2" fillId="4" borderId="1" xfId="0" applyFont="1" applyFill="1" applyBorder="1" applyAlignment="1">
      <alignment horizontal="center" vertical="center" wrapText="1"/>
    </xf>
    <xf numFmtId="0" fontId="1" fillId="0" borderId="0" xfId="0" applyFont="1"/>
    <xf numFmtId="0" fontId="7" fillId="5" borderId="1" xfId="0" applyFont="1" applyFill="1" applyBorder="1" applyAlignment="1">
      <alignment horizontal="left" vertical="center" wrapText="1" readingOrder="1"/>
    </xf>
    <xf numFmtId="15" fontId="7" fillId="5" borderId="1" xfId="0" applyNumberFormat="1" applyFont="1" applyFill="1" applyBorder="1" applyAlignment="1">
      <alignment horizontal="center" vertical="center" wrapText="1" readingOrder="1"/>
    </xf>
    <xf numFmtId="0" fontId="9" fillId="0" borderId="1" xfId="0" applyFont="1" applyBorder="1" applyAlignment="1">
      <alignment horizontal="left" vertical="center" wrapText="1" indent="2" readingOrder="1"/>
    </xf>
    <xf numFmtId="0" fontId="8" fillId="0" borderId="1" xfId="0" applyFont="1" applyBorder="1" applyAlignment="1">
      <alignment horizontal="left" vertical="center" wrapText="1" indent="1" readingOrder="1"/>
    </xf>
    <xf numFmtId="0" fontId="8" fillId="7" borderId="1" xfId="0" applyFont="1" applyFill="1" applyBorder="1" applyAlignment="1">
      <alignment horizontal="right" vertical="center" wrapText="1" indent="5" readingOrder="1"/>
    </xf>
    <xf numFmtId="0" fontId="8" fillId="6" borderId="1" xfId="0" applyFont="1" applyFill="1" applyBorder="1" applyAlignment="1">
      <alignment horizontal="left" vertical="center" wrapText="1" indent="1" readingOrder="1"/>
    </xf>
    <xf numFmtId="0" fontId="8" fillId="7" borderId="1" xfId="0" applyFont="1" applyFill="1" applyBorder="1" applyAlignment="1">
      <alignment horizontal="right" vertical="center" wrapText="1" indent="1" readingOrder="1"/>
    </xf>
    <xf numFmtId="0" fontId="9" fillId="0" borderId="1" xfId="0" applyFont="1" applyBorder="1" applyAlignment="1">
      <alignment horizontal="right" vertical="center" wrapText="1" readingOrder="1"/>
    </xf>
    <xf numFmtId="0" fontId="8" fillId="0" borderId="1" xfId="0" applyFont="1" applyBorder="1" applyAlignment="1">
      <alignment horizontal="right" vertical="center" wrapText="1" readingOrder="1"/>
    </xf>
    <xf numFmtId="43" fontId="5" fillId="3" borderId="1" xfId="1" applyFont="1" applyFill="1" applyBorder="1" applyAlignment="1">
      <alignment horizontal="center" vertical="center" wrapText="1" readingOrder="1"/>
    </xf>
    <xf numFmtId="43" fontId="6" fillId="4" borderId="1" xfId="1" applyFont="1" applyFill="1" applyBorder="1" applyAlignment="1">
      <alignment horizontal="center" vertical="center" wrapText="1" readingOrder="1"/>
    </xf>
    <xf numFmtId="43" fontId="6" fillId="3" borderId="1" xfId="1" applyFont="1" applyFill="1" applyBorder="1" applyAlignment="1">
      <alignment horizontal="center" vertical="center" wrapText="1" readingOrder="1"/>
    </xf>
    <xf numFmtId="43" fontId="0" fillId="0" borderId="0" xfId="1" applyFont="1"/>
    <xf numFmtId="2" fontId="0" fillId="0" borderId="0" xfId="0" applyNumberFormat="1"/>
    <xf numFmtId="15" fontId="7" fillId="5" borderId="1" xfId="0" applyNumberFormat="1" applyFont="1" applyFill="1" applyBorder="1" applyAlignment="1">
      <alignment horizontal="left" vertical="center" wrapText="1" readingOrder="1"/>
    </xf>
    <xf numFmtId="2" fontId="9" fillId="0" borderId="1" xfId="0" applyNumberFormat="1" applyFont="1" applyBorder="1" applyAlignment="1">
      <alignment horizontal="right" vertical="center" wrapText="1" readingOrder="1"/>
    </xf>
    <xf numFmtId="2" fontId="8" fillId="7" borderId="1" xfId="0" applyNumberFormat="1" applyFont="1" applyFill="1" applyBorder="1" applyAlignment="1">
      <alignment horizontal="right" vertical="center" wrapText="1" readingOrder="1"/>
    </xf>
    <xf numFmtId="0" fontId="8" fillId="7" borderId="1" xfId="0" applyFont="1" applyFill="1" applyBorder="1" applyAlignment="1">
      <alignment horizontal="right" vertical="center" wrapText="1" readingOrder="1"/>
    </xf>
    <xf numFmtId="0" fontId="8" fillId="6" borderId="1" xfId="0" applyFont="1" applyFill="1" applyBorder="1" applyAlignment="1">
      <alignment horizontal="right" vertical="center" wrapText="1" indent="1" readingOrder="1"/>
    </xf>
    <xf numFmtId="0" fontId="9" fillId="6" borderId="1" xfId="0" applyFont="1" applyFill="1" applyBorder="1" applyAlignment="1">
      <alignment horizontal="right" vertical="center" wrapText="1" readingOrder="1"/>
    </xf>
    <xf numFmtId="0" fontId="8" fillId="0" borderId="1" xfId="0" applyFont="1" applyBorder="1" applyAlignment="1">
      <alignment horizontal="right" vertical="center" wrapText="1" indent="1" readingOrder="1"/>
    </xf>
    <xf numFmtId="164" fontId="12" fillId="0" borderId="0" xfId="2" applyFont="1" applyFill="1" applyAlignment="1">
      <alignment horizontal="right"/>
    </xf>
    <xf numFmtId="43" fontId="9" fillId="0" borderId="1" xfId="1" applyFont="1" applyBorder="1" applyAlignment="1">
      <alignment horizontal="right" vertical="center" wrapText="1" readingOrder="1"/>
    </xf>
    <xf numFmtId="43" fontId="0" fillId="0" borderId="0" xfId="0" applyNumberFormat="1"/>
    <xf numFmtId="43" fontId="5" fillId="3" borderId="1" xfId="0" applyNumberFormat="1" applyFont="1" applyFill="1" applyBorder="1" applyAlignment="1">
      <alignment horizontal="center" vertical="center" wrapText="1" readingOrder="1"/>
    </xf>
    <xf numFmtId="43" fontId="6" fillId="4" borderId="1" xfId="0" applyNumberFormat="1" applyFont="1" applyFill="1" applyBorder="1" applyAlignment="1">
      <alignment horizontal="center" vertical="center" wrapText="1" readingOrder="1"/>
    </xf>
    <xf numFmtId="43" fontId="6" fillId="3" borderId="1" xfId="0" applyNumberFormat="1" applyFont="1" applyFill="1" applyBorder="1" applyAlignment="1">
      <alignment horizontal="center" vertical="center" wrapText="1" readingOrder="1"/>
    </xf>
    <xf numFmtId="2" fontId="5" fillId="3" borderId="1" xfId="0" applyNumberFormat="1" applyFont="1" applyFill="1" applyBorder="1" applyAlignment="1">
      <alignment horizontal="center" vertical="center" wrapText="1" readingOrder="1"/>
    </xf>
    <xf numFmtId="43" fontId="5" fillId="8" borderId="1" xfId="1" applyFont="1" applyFill="1" applyBorder="1" applyAlignment="1">
      <alignment horizontal="center" vertical="center" wrapText="1" readingOrder="1"/>
    </xf>
    <xf numFmtId="0" fontId="3" fillId="2" borderId="2" xfId="0" applyFont="1" applyFill="1" applyBorder="1" applyAlignment="1">
      <alignment horizontal="left" vertical="center" wrapText="1" readingOrder="1"/>
    </xf>
    <xf numFmtId="0" fontId="3" fillId="2" borderId="3" xfId="0" applyFont="1" applyFill="1" applyBorder="1" applyAlignment="1">
      <alignment horizontal="left" vertical="center" wrapText="1" readingOrder="1"/>
    </xf>
    <xf numFmtId="0" fontId="8" fillId="6" borderId="6" xfId="0" applyFont="1" applyFill="1" applyBorder="1" applyAlignment="1">
      <alignment horizontal="left" vertical="center" wrapText="1" indent="1" readingOrder="1"/>
    </xf>
    <xf numFmtId="0" fontId="8" fillId="6" borderId="7" xfId="0" applyFont="1" applyFill="1" applyBorder="1" applyAlignment="1">
      <alignment horizontal="left" vertical="center" wrapText="1" indent="1" readingOrder="1"/>
    </xf>
    <xf numFmtId="0" fontId="8" fillId="6" borderId="8" xfId="0" applyFont="1" applyFill="1" applyBorder="1" applyAlignment="1">
      <alignment horizontal="left" vertical="center" wrapText="1" indent="1" readingOrder="1"/>
    </xf>
    <xf numFmtId="0" fontId="8" fillId="0" borderId="6" xfId="0" applyFont="1" applyBorder="1" applyAlignment="1">
      <alignment horizontal="left" vertical="center" wrapText="1" indent="1" readingOrder="1"/>
    </xf>
    <xf numFmtId="0" fontId="8" fillId="0" borderId="7" xfId="0" applyFont="1" applyBorder="1" applyAlignment="1">
      <alignment horizontal="left" vertical="center" wrapText="1" indent="1" readingOrder="1"/>
    </xf>
    <xf numFmtId="0" fontId="8" fillId="0" borderId="8" xfId="0" applyFont="1" applyBorder="1" applyAlignment="1">
      <alignment horizontal="left" vertical="center" wrapText="1" indent="1" readingOrder="1"/>
    </xf>
  </cellXfs>
  <cellStyles count="3">
    <cellStyle name="Comma" xfId="1" builtinId="3"/>
    <cellStyle name="Comma 76 2 4" xfId="2" xr:uid="{29992D55-2CD0-41FB-8021-15205AAEAB76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BF10C3-5169-4A60-8131-28E60FEE7B84}">
  <dimension ref="A1:I24"/>
  <sheetViews>
    <sheetView tabSelected="1" workbookViewId="0">
      <selection activeCell="C4" sqref="C4"/>
    </sheetView>
  </sheetViews>
  <sheetFormatPr defaultRowHeight="15" x14ac:dyDescent="0.25"/>
  <cols>
    <col min="1" max="1" width="19.85546875" customWidth="1"/>
    <col min="2" max="2" width="9.28515625" style="32" bestFit="1" customWidth="1"/>
    <col min="6" max="6" width="27.28515625" customWidth="1"/>
  </cols>
  <sheetData>
    <row r="1" spans="1:9" x14ac:dyDescent="0.25">
      <c r="A1" s="19" t="s">
        <v>50</v>
      </c>
      <c r="B1" s="19"/>
    </row>
    <row r="2" spans="1:9" ht="24" thickBot="1" x14ac:dyDescent="0.3">
      <c r="A2" s="49" t="s">
        <v>0</v>
      </c>
      <c r="B2" s="1" t="s">
        <v>51</v>
      </c>
      <c r="C2" s="1" t="s">
        <v>53</v>
      </c>
      <c r="D2" s="2"/>
      <c r="E2" s="2"/>
      <c r="F2" s="1" t="s">
        <v>1</v>
      </c>
    </row>
    <row r="3" spans="1:9" x14ac:dyDescent="0.25">
      <c r="A3" s="50"/>
      <c r="B3" s="3" t="s">
        <v>2</v>
      </c>
      <c r="C3" s="3" t="s">
        <v>2</v>
      </c>
      <c r="D3" s="4" t="s">
        <v>3</v>
      </c>
      <c r="E3" s="4" t="s">
        <v>4</v>
      </c>
      <c r="F3" s="4" t="s">
        <v>5</v>
      </c>
    </row>
    <row r="4" spans="1:9" ht="24" x14ac:dyDescent="0.25">
      <c r="A4" s="5" t="s">
        <v>6</v>
      </c>
      <c r="B4" s="29">
        <f>5126.93746/100</f>
        <v>51.269374599999999</v>
      </c>
      <c r="C4" s="6">
        <v>46.81</v>
      </c>
      <c r="D4" s="44">
        <f>B4-C4</f>
        <v>4.4593745999999967</v>
      </c>
      <c r="E4" s="7">
        <f>D4/C4</f>
        <v>9.5265426190984756E-2</v>
      </c>
      <c r="F4" s="8"/>
    </row>
    <row r="5" spans="1:9" ht="23.25" x14ac:dyDescent="0.25">
      <c r="A5" s="5" t="s">
        <v>52</v>
      </c>
      <c r="B5" s="29">
        <f>3.71/100</f>
        <v>3.7100000000000001E-2</v>
      </c>
      <c r="C5" s="6"/>
      <c r="D5" s="6"/>
      <c r="E5" s="7"/>
      <c r="F5" s="8"/>
    </row>
    <row r="6" spans="1:9" x14ac:dyDescent="0.25">
      <c r="A6" s="9" t="s">
        <v>7</v>
      </c>
      <c r="B6" s="30">
        <f>SUM(B4:B5)</f>
        <v>51.306474600000001</v>
      </c>
      <c r="C6" s="10">
        <f>C4</f>
        <v>46.81</v>
      </c>
      <c r="D6" s="45">
        <f>B6-C6</f>
        <v>4.4964745999999991</v>
      </c>
      <c r="E6" s="11">
        <f>D6/C6</f>
        <v>9.6057991882076449E-2</v>
      </c>
      <c r="F6" s="12"/>
      <c r="H6" s="43"/>
      <c r="I6" s="33"/>
    </row>
    <row r="7" spans="1:9" ht="24" x14ac:dyDescent="0.25">
      <c r="A7" s="5" t="s">
        <v>11</v>
      </c>
      <c r="B7" s="29">
        <f>778.24223/100</f>
        <v>7.7824222999999995</v>
      </c>
      <c r="C7" s="47">
        <f>6.35+1.15</f>
        <v>7.5</v>
      </c>
      <c r="D7" s="44">
        <f t="shared" ref="D7:D17" si="0">B7-C7</f>
        <v>0.28242229999999946</v>
      </c>
      <c r="E7" s="7">
        <f>D7/C7</f>
        <v>3.7656306666666597E-2</v>
      </c>
      <c r="F7" s="8"/>
    </row>
    <row r="8" spans="1:9" ht="24" x14ac:dyDescent="0.25">
      <c r="A8" s="5" t="s">
        <v>8</v>
      </c>
      <c r="B8" s="29">
        <f>127.3933684/100</f>
        <v>1.273933684</v>
      </c>
      <c r="C8" s="47">
        <v>1.5</v>
      </c>
      <c r="D8" s="44">
        <f t="shared" si="0"/>
        <v>-0.22606631600000004</v>
      </c>
      <c r="E8" s="7">
        <f t="shared" ref="E8:E17" si="1">D8/C8</f>
        <v>-0.15071087733333335</v>
      </c>
      <c r="F8" s="13"/>
      <c r="H8" s="33"/>
    </row>
    <row r="9" spans="1:9" x14ac:dyDescent="0.25">
      <c r="A9" s="5" t="s">
        <v>9</v>
      </c>
      <c r="B9" s="48">
        <f>214.68289/100</f>
        <v>2.1468289</v>
      </c>
      <c r="C9" s="6">
        <f>1.32+0.75</f>
        <v>2.0700000000000003</v>
      </c>
      <c r="D9" s="44">
        <f t="shared" si="0"/>
        <v>7.6828899999999756E-2</v>
      </c>
      <c r="E9" s="7">
        <f t="shared" si="1"/>
        <v>3.7115410628019201E-2</v>
      </c>
      <c r="F9" s="15"/>
      <c r="H9" s="33"/>
    </row>
    <row r="10" spans="1:9" ht="24" x14ac:dyDescent="0.25">
      <c r="A10" s="5" t="s">
        <v>12</v>
      </c>
      <c r="B10" s="48">
        <f>878.76975/100</f>
        <v>8.7876975000000002</v>
      </c>
      <c r="C10" s="6">
        <v>8.02</v>
      </c>
      <c r="D10" s="44">
        <f t="shared" si="0"/>
        <v>0.76769750000000059</v>
      </c>
      <c r="E10" s="7">
        <f t="shared" si="1"/>
        <v>9.5722880299251953E-2</v>
      </c>
      <c r="F10" s="15"/>
      <c r="H10" s="33"/>
    </row>
    <row r="11" spans="1:9" x14ac:dyDescent="0.25">
      <c r="A11" s="5" t="s">
        <v>10</v>
      </c>
      <c r="B11" s="29">
        <f>590.22687/100</f>
        <v>5.9022686999999996</v>
      </c>
      <c r="C11" s="47">
        <v>4.5999999999999996</v>
      </c>
      <c r="D11" s="44">
        <f t="shared" si="0"/>
        <v>1.3022686999999999</v>
      </c>
      <c r="E11" s="7">
        <f t="shared" si="1"/>
        <v>0.28310189130434782</v>
      </c>
      <c r="F11" s="15"/>
      <c r="H11" s="33"/>
    </row>
    <row r="12" spans="1:9" ht="23.25" x14ac:dyDescent="0.25">
      <c r="A12" s="5" t="s">
        <v>17</v>
      </c>
      <c r="B12" s="29">
        <f>12.10584/100</f>
        <v>0.12105840000000001</v>
      </c>
      <c r="C12" s="6">
        <v>0.16</v>
      </c>
      <c r="D12" s="44">
        <f t="shared" si="0"/>
        <v>-3.8941599999999993E-2</v>
      </c>
      <c r="E12" s="7">
        <f t="shared" si="1"/>
        <v>-0.24338499999999996</v>
      </c>
      <c r="F12" s="8"/>
      <c r="H12" s="33"/>
    </row>
    <row r="13" spans="1:9" ht="23.25" x14ac:dyDescent="0.25">
      <c r="A13" s="5" t="s">
        <v>15</v>
      </c>
      <c r="B13" s="29">
        <f>31.36635/100</f>
        <v>0.31366349999999998</v>
      </c>
      <c r="C13" s="47">
        <v>0.3</v>
      </c>
      <c r="D13" s="44">
        <f t="shared" si="0"/>
        <v>1.3663499999999995E-2</v>
      </c>
      <c r="E13" s="7">
        <f t="shared" si="1"/>
        <v>4.5544999999999988E-2</v>
      </c>
      <c r="F13" s="8"/>
      <c r="H13" s="33"/>
    </row>
    <row r="14" spans="1:9" x14ac:dyDescent="0.25">
      <c r="A14" s="5" t="s">
        <v>14</v>
      </c>
      <c r="B14" s="29">
        <f>127.72074/100</f>
        <v>1.2772074</v>
      </c>
      <c r="C14" s="6">
        <v>1.05</v>
      </c>
      <c r="D14" s="44">
        <f t="shared" si="0"/>
        <v>0.22720739999999995</v>
      </c>
      <c r="E14" s="7">
        <f t="shared" si="1"/>
        <v>0.21638799999999994</v>
      </c>
      <c r="F14" s="14"/>
      <c r="H14" s="33"/>
    </row>
    <row r="15" spans="1:9" ht="24" x14ac:dyDescent="0.25">
      <c r="A15" s="5" t="s">
        <v>13</v>
      </c>
      <c r="B15" s="29">
        <f>207.12614/100</f>
        <v>2.0712614</v>
      </c>
      <c r="C15" s="6">
        <v>2.0099999999999998</v>
      </c>
      <c r="D15" s="44">
        <f t="shared" si="0"/>
        <v>6.1261400000000243E-2</v>
      </c>
      <c r="E15" s="7">
        <f t="shared" si="1"/>
        <v>3.0478308457711566E-2</v>
      </c>
      <c r="F15" s="8"/>
      <c r="H15" s="33"/>
    </row>
    <row r="16" spans="1:9" ht="24" x14ac:dyDescent="0.25">
      <c r="A16" s="5" t="s">
        <v>16</v>
      </c>
      <c r="B16" s="29">
        <f>65.97519/100</f>
        <v>0.65975189999999995</v>
      </c>
      <c r="C16" s="6">
        <f>0.42+0.3</f>
        <v>0.72</v>
      </c>
      <c r="D16" s="44">
        <f t="shared" si="0"/>
        <v>-6.0248100000000027E-2</v>
      </c>
      <c r="E16" s="7">
        <f t="shared" si="1"/>
        <v>-8.3677916666666713E-2</v>
      </c>
      <c r="F16" s="8"/>
      <c r="H16" s="33"/>
    </row>
    <row r="17" spans="1:8" ht="23.25" x14ac:dyDescent="0.25">
      <c r="A17" s="5" t="s">
        <v>18</v>
      </c>
      <c r="B17" s="29">
        <f>103.61/100</f>
        <v>1.0361</v>
      </c>
      <c r="C17" s="6">
        <f>4.61-1.15-0.75-0.3</f>
        <v>2.4100000000000006</v>
      </c>
      <c r="D17" s="44">
        <f t="shared" si="0"/>
        <v>-1.3739000000000006</v>
      </c>
      <c r="E17" s="7">
        <f t="shared" si="1"/>
        <v>-0.57008298755186737</v>
      </c>
      <c r="F17" s="8"/>
      <c r="H17" s="33"/>
    </row>
    <row r="18" spans="1:8" ht="23.25" x14ac:dyDescent="0.25">
      <c r="A18" s="16" t="s">
        <v>19</v>
      </c>
      <c r="B18" s="31">
        <f>SUM(B7:B17)</f>
        <v>31.372193683999999</v>
      </c>
      <c r="C18" s="31">
        <f>SUM(C7:C17)</f>
        <v>30.34</v>
      </c>
      <c r="D18" s="46">
        <f>B18-C18</f>
        <v>1.0321936839999992</v>
      </c>
      <c r="E18" s="17">
        <f>D18/C18</f>
        <v>3.4020886090968989E-2</v>
      </c>
      <c r="F18" s="8"/>
      <c r="H18" s="33"/>
    </row>
    <row r="19" spans="1:8" ht="23.25" x14ac:dyDescent="0.25">
      <c r="A19" s="9" t="s">
        <v>20</v>
      </c>
      <c r="B19" s="30">
        <f>B6-B18</f>
        <v>19.934280916000002</v>
      </c>
      <c r="C19" s="30">
        <f>C6-C18</f>
        <v>16.470000000000002</v>
      </c>
      <c r="D19" s="30">
        <f>D6-D18</f>
        <v>3.4642809159999999</v>
      </c>
      <c r="E19" s="11">
        <f>D19/C19</f>
        <v>0.21033885343047962</v>
      </c>
      <c r="F19" s="18"/>
    </row>
    <row r="20" spans="1:8" x14ac:dyDescent="0.25">
      <c r="A20" s="5" t="s">
        <v>21</v>
      </c>
      <c r="B20" s="29">
        <f>3639.34288856667/100-10.26-5.71</f>
        <v>20.423428885666702</v>
      </c>
      <c r="C20" s="6">
        <v>18.57</v>
      </c>
      <c r="D20" s="44">
        <f t="shared" ref="D20" si="2">B20-C20</f>
        <v>1.8534288856667018</v>
      </c>
      <c r="E20" s="7">
        <f t="shared" ref="E20" si="3">D20/C20</f>
        <v>9.9807694435471286E-2</v>
      </c>
      <c r="F20" s="14"/>
    </row>
    <row r="21" spans="1:8" ht="23.25" x14ac:dyDescent="0.25">
      <c r="A21" s="9" t="s">
        <v>22</v>
      </c>
      <c r="B21" s="30">
        <f>B19-B20</f>
        <v>-0.48914796966669982</v>
      </c>
      <c r="C21" s="30">
        <f t="shared" ref="C21" si="4">C19-C20</f>
        <v>-2.0999999999999979</v>
      </c>
      <c r="D21" s="30">
        <f>B21-C21</f>
        <v>1.610852030333298</v>
      </c>
      <c r="E21" s="11">
        <f>-D21/(C21)</f>
        <v>0.76707239539680938</v>
      </c>
      <c r="F21" s="18"/>
    </row>
    <row r="22" spans="1:8" x14ac:dyDescent="0.25">
      <c r="A22" s="5" t="s">
        <v>54</v>
      </c>
      <c r="B22" s="29">
        <f>2423.75401740569/100-24</f>
        <v>0.23754017405689964</v>
      </c>
      <c r="C22" s="47">
        <v>0.3</v>
      </c>
      <c r="D22" s="44">
        <f t="shared" ref="D22" si="5">B22-C22</f>
        <v>-6.2459825943100344E-2</v>
      </c>
      <c r="E22" s="7">
        <f t="shared" ref="E22" si="6">D22/C22</f>
        <v>-0.20819941981033449</v>
      </c>
      <c r="F22" s="14"/>
    </row>
    <row r="23" spans="1:8" ht="23.25" x14ac:dyDescent="0.25">
      <c r="A23" s="9" t="s">
        <v>23</v>
      </c>
      <c r="B23" s="30">
        <f>B21-B22</f>
        <v>-0.72668814372359947</v>
      </c>
      <c r="C23" s="30">
        <f>C21-C22</f>
        <v>-2.3999999999999977</v>
      </c>
      <c r="D23" s="30">
        <f>D21-D22</f>
        <v>1.6733118562763984</v>
      </c>
      <c r="E23" s="11">
        <f>-D23/C23</f>
        <v>0.69721327344850004</v>
      </c>
      <c r="F23" s="18"/>
    </row>
    <row r="24" spans="1:8" x14ac:dyDescent="0.25">
      <c r="D24" s="43"/>
    </row>
  </sheetData>
  <mergeCells count="1">
    <mergeCell ref="A2:A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DABADF-10DA-4DFF-B44E-601C3FADF3CA}">
  <dimension ref="A1:D27"/>
  <sheetViews>
    <sheetView workbookViewId="0">
      <selection activeCell="B1" sqref="B1"/>
    </sheetView>
  </sheetViews>
  <sheetFormatPr defaultRowHeight="15" x14ac:dyDescent="0.25"/>
  <cols>
    <col min="1" max="1" width="45.85546875" customWidth="1"/>
    <col min="2" max="2" width="13.140625" customWidth="1"/>
    <col min="3" max="3" width="9.42578125" hidden="1" customWidth="1"/>
    <col min="4" max="4" width="10" bestFit="1" customWidth="1"/>
  </cols>
  <sheetData>
    <row r="1" spans="1:4" x14ac:dyDescent="0.25">
      <c r="A1" t="s">
        <v>49</v>
      </c>
    </row>
    <row r="2" spans="1:4" x14ac:dyDescent="0.25">
      <c r="A2" s="20" t="s">
        <v>24</v>
      </c>
      <c r="B2" s="34">
        <v>45260</v>
      </c>
      <c r="C2" s="21">
        <v>45107</v>
      </c>
      <c r="D2" s="21">
        <v>45016</v>
      </c>
    </row>
    <row r="3" spans="1:4" ht="15" customHeight="1" x14ac:dyDescent="0.25">
      <c r="A3" s="51" t="s">
        <v>25</v>
      </c>
      <c r="B3" s="52"/>
      <c r="C3" s="52"/>
      <c r="D3" s="53"/>
    </row>
    <row r="4" spans="1:4" ht="15" customHeight="1" x14ac:dyDescent="0.25">
      <c r="A4" s="54" t="s">
        <v>26</v>
      </c>
      <c r="B4" s="55"/>
      <c r="C4" s="55"/>
      <c r="D4" s="56"/>
    </row>
    <row r="5" spans="1:4" x14ac:dyDescent="0.25">
      <c r="A5" s="22" t="s">
        <v>27</v>
      </c>
      <c r="B5" s="27">
        <v>1.01</v>
      </c>
      <c r="C5" s="27">
        <v>1.01</v>
      </c>
      <c r="D5" s="27">
        <v>1.01</v>
      </c>
    </row>
    <row r="6" spans="1:4" x14ac:dyDescent="0.25">
      <c r="A6" s="22" t="s">
        <v>28</v>
      </c>
      <c r="B6" s="35">
        <f>-23658.840375509/100-1+10.26+5.71+24</f>
        <v>-197.61840375509001</v>
      </c>
      <c r="C6" s="27">
        <v>-209.5</v>
      </c>
      <c r="D6" s="27">
        <v>-192.6</v>
      </c>
    </row>
    <row r="7" spans="1:4" x14ac:dyDescent="0.25">
      <c r="A7" s="23" t="s">
        <v>29</v>
      </c>
      <c r="B7" s="28"/>
      <c r="C7" s="27"/>
      <c r="D7" s="27"/>
    </row>
    <row r="8" spans="1:4" x14ac:dyDescent="0.25">
      <c r="A8" s="22" t="s">
        <v>30</v>
      </c>
      <c r="B8" s="35">
        <f>37853.4692494/100</f>
        <v>378.53469249399996</v>
      </c>
      <c r="C8" s="27">
        <v>377.94</v>
      </c>
      <c r="D8" s="27">
        <v>379.27</v>
      </c>
    </row>
    <row r="9" spans="1:4" x14ac:dyDescent="0.25">
      <c r="A9" s="22" t="s">
        <v>31</v>
      </c>
      <c r="B9" s="35">
        <f>253.3/100</f>
        <v>2.5329999999999999</v>
      </c>
      <c r="C9" s="27">
        <v>3.22</v>
      </c>
      <c r="D9" s="27">
        <v>3.22</v>
      </c>
    </row>
    <row r="10" spans="1:4" x14ac:dyDescent="0.25">
      <c r="A10" s="23" t="s">
        <v>32</v>
      </c>
      <c r="B10" s="28"/>
      <c r="C10" s="27"/>
      <c r="D10" s="27"/>
    </row>
    <row r="11" spans="1:4" x14ac:dyDescent="0.25">
      <c r="A11" s="22" t="s">
        <v>33</v>
      </c>
      <c r="B11" s="35">
        <f>1096.2497283/100</f>
        <v>10.962497282999999</v>
      </c>
      <c r="C11" s="27">
        <v>10.65</v>
      </c>
      <c r="D11" s="27">
        <v>6.5</v>
      </c>
    </row>
    <row r="12" spans="1:4" x14ac:dyDescent="0.25">
      <c r="A12" s="22" t="s">
        <v>34</v>
      </c>
      <c r="B12" s="35">
        <f>10015.22/100+0.01-10.26-5.71</f>
        <v>84.1922</v>
      </c>
      <c r="C12" s="27">
        <v>80.23</v>
      </c>
      <c r="D12" s="27">
        <v>69.260000000000005</v>
      </c>
    </row>
    <row r="13" spans="1:4" x14ac:dyDescent="0.25">
      <c r="A13" s="24" t="s">
        <v>35</v>
      </c>
      <c r="B13" s="36">
        <f>B12+B11+B9+B8+B6+B5</f>
        <v>279.61398602190997</v>
      </c>
      <c r="C13" s="37">
        <v>263.55</v>
      </c>
      <c r="D13" s="37">
        <v>266.66000000000003</v>
      </c>
    </row>
    <row r="14" spans="1:4" x14ac:dyDescent="0.25">
      <c r="A14" s="25" t="s">
        <v>36</v>
      </c>
      <c r="B14" s="38"/>
      <c r="C14" s="39"/>
      <c r="D14" s="39"/>
    </row>
    <row r="15" spans="1:4" x14ac:dyDescent="0.25">
      <c r="A15" s="23" t="s">
        <v>37</v>
      </c>
      <c r="B15" s="40"/>
      <c r="C15" s="27"/>
      <c r="D15" s="27"/>
    </row>
    <row r="16" spans="1:4" x14ac:dyDescent="0.25">
      <c r="A16" s="22" t="s">
        <v>38</v>
      </c>
      <c r="B16" s="35">
        <f>75.7000778968792/100</f>
        <v>0.75700077896879192</v>
      </c>
      <c r="C16" s="27">
        <v>0.84</v>
      </c>
      <c r="D16" s="27">
        <v>0.99</v>
      </c>
    </row>
    <row r="17" spans="1:4" x14ac:dyDescent="0.25">
      <c r="A17" s="22" t="s">
        <v>39</v>
      </c>
      <c r="B17" s="35">
        <f>(17381.8699828396+35.39)/100+24</f>
        <v>198.17259982839599</v>
      </c>
      <c r="C17" s="27">
        <v>182.94</v>
      </c>
      <c r="D17" s="27">
        <v>190.33</v>
      </c>
    </row>
    <row r="18" spans="1:4" x14ac:dyDescent="0.25">
      <c r="A18" s="22" t="s">
        <v>40</v>
      </c>
      <c r="B18" s="41">
        <f>21.761349/100+241.9/100</f>
        <v>2.6366134900000002</v>
      </c>
      <c r="C18" s="27">
        <v>2.63</v>
      </c>
      <c r="D18" s="27">
        <v>2.35</v>
      </c>
    </row>
    <row r="19" spans="1:4" x14ac:dyDescent="0.25">
      <c r="A19" s="22" t="s">
        <v>41</v>
      </c>
      <c r="B19" s="35">
        <f>491.1018458/100</f>
        <v>4.911018458</v>
      </c>
      <c r="C19" s="27">
        <v>6.09</v>
      </c>
      <c r="D19" s="27">
        <v>6.9</v>
      </c>
    </row>
    <row r="20" spans="1:4" x14ac:dyDescent="0.25">
      <c r="A20" s="22" t="s">
        <v>42</v>
      </c>
      <c r="B20" s="42">
        <v>0</v>
      </c>
      <c r="C20" s="27">
        <v>3.3</v>
      </c>
      <c r="D20" s="27">
        <v>3.3</v>
      </c>
    </row>
    <row r="21" spans="1:4" ht="30.75" customHeight="1" x14ac:dyDescent="0.25">
      <c r="A21" s="23" t="s">
        <v>43</v>
      </c>
      <c r="B21" s="28"/>
      <c r="C21" s="27"/>
      <c r="D21" s="27"/>
    </row>
    <row r="22" spans="1:4" x14ac:dyDescent="0.25">
      <c r="A22" s="22" t="s">
        <v>44</v>
      </c>
      <c r="B22" s="35">
        <f>26.59374/100</f>
        <v>0.26593739999999999</v>
      </c>
      <c r="C22" s="27">
        <v>0.25</v>
      </c>
      <c r="D22" s="27">
        <v>0.18</v>
      </c>
    </row>
    <row r="23" spans="1:4" x14ac:dyDescent="0.25">
      <c r="A23" s="22" t="s">
        <v>45</v>
      </c>
      <c r="B23" s="35">
        <f>4086.789633/100</f>
        <v>40.867896330000001</v>
      </c>
      <c r="C23" s="27">
        <v>31.53</v>
      </c>
      <c r="D23" s="27">
        <v>30.43</v>
      </c>
    </row>
    <row r="24" spans="1:4" x14ac:dyDescent="0.25">
      <c r="A24" s="22" t="s">
        <v>46</v>
      </c>
      <c r="B24" s="35">
        <f>1503.3/100</f>
        <v>15.032999999999999</v>
      </c>
      <c r="C24" s="27">
        <v>19.93</v>
      </c>
      <c r="D24" s="27">
        <v>17.03</v>
      </c>
    </row>
    <row r="25" spans="1:4" x14ac:dyDescent="0.25">
      <c r="A25" s="22" t="s">
        <v>47</v>
      </c>
      <c r="B25" s="35">
        <f>1696.4/100</f>
        <v>16.964000000000002</v>
      </c>
      <c r="C25" s="27">
        <v>16.04</v>
      </c>
      <c r="D25" s="27">
        <v>15.15</v>
      </c>
    </row>
    <row r="26" spans="1:4" x14ac:dyDescent="0.25">
      <c r="A26" s="26" t="s">
        <v>48</v>
      </c>
      <c r="B26" s="36">
        <f>SUM(B16:B25)</f>
        <v>279.60806628536483</v>
      </c>
      <c r="C26" s="37">
        <v>263.55</v>
      </c>
      <c r="D26" s="37">
        <v>266.66000000000003</v>
      </c>
    </row>
    <row r="27" spans="1:4" x14ac:dyDescent="0.25">
      <c r="B27" s="33"/>
    </row>
  </sheetData>
  <mergeCells count="2">
    <mergeCell ref="A3:D3"/>
    <mergeCell ref="A4:D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PL</vt:lpstr>
      <vt:lpstr>BS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Shantanu Mitra</dc:creator>
  <cp:lastModifiedBy>Shantanu Mitra</cp:lastModifiedBy>
  <cp:lastPrinted>2023-11-06T09:37:41Z</cp:lastPrinted>
  <dcterms:created xsi:type="dcterms:W3CDTF">2023-10-09T07:01:54Z</dcterms:created>
  <dcterms:modified xsi:type="dcterms:W3CDTF">2023-12-29T12:17:14Z</dcterms:modified>
</cp:coreProperties>
</file>