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Vikash(user2)\Nangloi\Info from Company\"/>
    </mc:Choice>
  </mc:AlternateContent>
  <xr:revisionPtr revIDLastSave="0" documentId="13_ncr:1_{BB53032E-F06B-4957-89BE-76A359F5E1C7}" xr6:coauthVersionLast="47" xr6:coauthVersionMax="47" xr10:uidLastSave="{00000000-0000-0000-0000-000000000000}"/>
  <bookViews>
    <workbookView xWindow="-120" yWindow="-120" windowWidth="20760" windowHeight="11160" firstSheet="1" activeTab="2" xr2:uid="{00000000-000D-0000-FFFF-FFFF00000000}"/>
  </bookViews>
  <sheets>
    <sheet name="Assumption" sheetId="1" state="hidden" r:id="rId1"/>
    <sheet name="Summary " sheetId="10" r:id="rId2"/>
    <sheet name="DSCR" sheetId="33" r:id="rId3"/>
    <sheet name="BS" sheetId="2" r:id="rId4"/>
    <sheet name="Monthly BS" sheetId="4" r:id="rId5"/>
    <sheet name="Monthly PL" sheetId="5" r:id="rId6"/>
    <sheet name="PL" sheetId="3" r:id="rId7"/>
    <sheet name="CF Capex" sheetId="8" r:id="rId8"/>
    <sheet name="CF" sheetId="7" r:id="rId9"/>
    <sheet name="Monthly CF" sheetId="6" r:id="rId10"/>
    <sheet name="IRR" sheetId="9" r:id="rId11"/>
    <sheet name="Debt" sheetId="11" r:id="rId12"/>
    <sheet name="Water Revenue" sheetId="12" r:id="rId13"/>
    <sheet name="Sheet1" sheetId="27" state="hidden" r:id="rId14"/>
    <sheet name="NOR Revenue" sheetId="13" r:id="rId15"/>
    <sheet name="Revenue Increase" sheetId="14" state="hidden" r:id="rId16"/>
    <sheet name="O&amp;M" sheetId="25" r:id="rId17"/>
    <sheet name="Expenses" sheetId="22" r:id="rId18"/>
    <sheet name="IT" sheetId="23" r:id="rId19"/>
    <sheet name="F&amp;A" sheetId="24" r:id="rId20"/>
    <sheet name="G&amp;A" sheetId="26" r:id="rId21"/>
    <sheet name="Employee Nos" sheetId="15" state="hidden" r:id="rId22"/>
    <sheet name="Employee Cost" sheetId="16" state="hidden" r:id="rId23"/>
    <sheet name="List" sheetId="17" r:id="rId24"/>
    <sheet name="Work Schedule" sheetId="18" r:id="rId25"/>
    <sheet name="Work CF" sheetId="19" r:id="rId26"/>
    <sheet name="CF Working" sheetId="20" r:id="rId27"/>
    <sheet name="Works Working" sheetId="21" r:id="rId28"/>
    <sheet name="Automation" sheetId="34" r:id="rId29"/>
    <sheet name="Existing UGRs" sheetId="35" r:id="rId30"/>
    <sheet name="New UGRs" sheetId="36" r:id="rId31"/>
    <sheet name="WTP" sheetId="37" r:id="rId32"/>
    <sheet name="Supply Revenue" sheetId="38" r:id="rId33"/>
    <sheet name="Supply Cost" sheetId="40" r:id="rId34"/>
    <sheet name="Execulation Revenue" sheetId="39" r:id="rId35"/>
    <sheet name="Execution Cost" sheetId="41" r:id="rId36"/>
    <sheet name="R&amp;P" sheetId="42" r:id="rId37"/>
    <sheet name="Work" sheetId="43" r:id="rId38"/>
  </sheets>
  <externalReferences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</externalReferences>
  <definedNames>
    <definedName name="_" localSheetId="8" hidden="1">[1]DESBASTE!#REF!</definedName>
    <definedName name="_" localSheetId="2" hidden="1">[1]DESBASTE!#REF!</definedName>
    <definedName name="_" localSheetId="22" hidden="1">[1]DESBASTE!#REF!</definedName>
    <definedName name="_" localSheetId="29" hidden="1">[1]DESBASTE!#REF!</definedName>
    <definedName name="_" localSheetId="19" hidden="1">[1]DESBASTE!#REF!</definedName>
    <definedName name="_" localSheetId="20" hidden="1">[1]DESBASTE!#REF!</definedName>
    <definedName name="_" localSheetId="18" hidden="1">[1]DESBASTE!#REF!</definedName>
    <definedName name="_" localSheetId="4" hidden="1">[1]DESBASTE!#REF!</definedName>
    <definedName name="_" localSheetId="9" hidden="1">[1]DESBASTE!#REF!</definedName>
    <definedName name="_" localSheetId="5" hidden="1">[1]DESBASTE!#REF!</definedName>
    <definedName name="_" localSheetId="30" hidden="1">[1]DESBASTE!#REF!</definedName>
    <definedName name="_" localSheetId="14" hidden="1">[1]DESBASTE!#REF!</definedName>
    <definedName name="_" localSheetId="16" hidden="1">[1]DESBASTE!#REF!</definedName>
    <definedName name="_" localSheetId="6" hidden="1">[1]DESBASTE!#REF!</definedName>
    <definedName name="_" localSheetId="15" hidden="1">[1]DESBASTE!#REF!</definedName>
    <definedName name="_" localSheetId="1" hidden="1">[1]DESBASTE!#REF!</definedName>
    <definedName name="_" localSheetId="12" hidden="1">[1]DESBASTE!#REF!</definedName>
    <definedName name="_" localSheetId="25" hidden="1">[1]DESBASTE!#REF!</definedName>
    <definedName name="_" localSheetId="31" hidden="1">[1]DESBASTE!#REF!</definedName>
    <definedName name="_" hidden="1">[1]DESBASTE!#REF!</definedName>
    <definedName name="__" localSheetId="8" hidden="1">[1]DESBASTE!#REF!</definedName>
    <definedName name="__" localSheetId="22" hidden="1">[1]DESBASTE!#REF!</definedName>
    <definedName name="__" localSheetId="29" hidden="1">[1]DESBASTE!#REF!</definedName>
    <definedName name="__" localSheetId="19" hidden="1">[1]DESBASTE!#REF!</definedName>
    <definedName name="__" localSheetId="20" hidden="1">[1]DESBASTE!#REF!</definedName>
    <definedName name="__" localSheetId="18" hidden="1">[1]DESBASTE!#REF!</definedName>
    <definedName name="__" localSheetId="4" hidden="1">[1]DESBASTE!#REF!</definedName>
    <definedName name="__" localSheetId="9" hidden="1">[1]DESBASTE!#REF!</definedName>
    <definedName name="__" localSheetId="5" hidden="1">[1]DESBASTE!#REF!</definedName>
    <definedName name="__" localSheetId="30" hidden="1">[1]DESBASTE!#REF!</definedName>
    <definedName name="__" localSheetId="14" hidden="1">[1]DESBASTE!#REF!</definedName>
    <definedName name="__" localSheetId="16" hidden="1">[1]DESBASTE!#REF!</definedName>
    <definedName name="__" localSheetId="6" hidden="1">[1]DESBASTE!#REF!</definedName>
    <definedName name="__" localSheetId="15" hidden="1">[1]DESBASTE!#REF!</definedName>
    <definedName name="__" localSheetId="1" hidden="1">[1]DESBASTE!#REF!</definedName>
    <definedName name="__" localSheetId="12" hidden="1">[1]DESBASTE!#REF!</definedName>
    <definedName name="__" localSheetId="25" hidden="1">[1]DESBASTE!#REF!</definedName>
    <definedName name="__" localSheetId="31" hidden="1">[1]DESBASTE!#REF!</definedName>
    <definedName name="__" hidden="1">[1]DESBASTE!#REF!</definedName>
    <definedName name="_________________________DAT1">[2]ND!#REF!</definedName>
    <definedName name="_________________________DAT2">[2]ND!#REF!</definedName>
    <definedName name="_________________________DAT3">[2]ND!#REF!</definedName>
    <definedName name="_________________________DAT99">[2]ND!#REF!</definedName>
    <definedName name="_________axe1" localSheetId="34">#REF!</definedName>
    <definedName name="_________axe1" localSheetId="35">#REF!</definedName>
    <definedName name="_________axe1">#REF!</definedName>
    <definedName name="_________axe2" localSheetId="34">#REF!</definedName>
    <definedName name="_________axe2" localSheetId="35">#REF!</definedName>
    <definedName name="_________axe2">#REF!</definedName>
    <definedName name="_________axe3" localSheetId="34">#REF!</definedName>
    <definedName name="_________axe3" localSheetId="35">#REF!</definedName>
    <definedName name="_________axe3">#REF!</definedName>
    <definedName name="_________CED12" localSheetId="34">#REF!</definedName>
    <definedName name="_________CED12" localSheetId="35">#REF!</definedName>
    <definedName name="_________CED12">#REF!</definedName>
    <definedName name="_________PAO05" localSheetId="34">#REF!</definedName>
    <definedName name="_________PAO05" localSheetId="35">#REF!</definedName>
    <definedName name="_________PAO05">#REF!</definedName>
    <definedName name="_________PAO06" localSheetId="34">#REF!</definedName>
    <definedName name="_________PAO06" localSheetId="35">#REF!</definedName>
    <definedName name="_________PAO06">#REF!</definedName>
    <definedName name="_________RRD12" localSheetId="34">#REF!</definedName>
    <definedName name="_________RRD12" localSheetId="35">#REF!</definedName>
    <definedName name="_________RRD12">#REF!</definedName>
    <definedName name="_______DAT14" localSheetId="34">#REF!</definedName>
    <definedName name="_______DAT14" localSheetId="35">#REF!</definedName>
    <definedName name="_______DAT14">#REF!</definedName>
    <definedName name="_______dec07">[3]param!$AH$6:$AH$17</definedName>
    <definedName name="______DAT14" localSheetId="34">#REF!</definedName>
    <definedName name="______DAT14" localSheetId="35">#REF!</definedName>
    <definedName name="______DAT14">#REF!</definedName>
    <definedName name="______dec07">[3]param!$AH$6:$AH$17</definedName>
    <definedName name="______VE1" localSheetId="34">#REF!</definedName>
    <definedName name="______VE1" localSheetId="35">#REF!</definedName>
    <definedName name="______VE1">#REF!</definedName>
    <definedName name="______VE2" localSheetId="34">#REF!</definedName>
    <definedName name="______VE2" localSheetId="35">#REF!</definedName>
    <definedName name="______VE2">#REF!</definedName>
    <definedName name="______VR1" localSheetId="34">#REF!</definedName>
    <definedName name="______VR1" localSheetId="35">#REF!</definedName>
    <definedName name="______VR1">#REF!</definedName>
    <definedName name="______VR2" localSheetId="34">#REF!</definedName>
    <definedName name="______VR2" localSheetId="35">#REF!</definedName>
    <definedName name="______VR2">#REF!</definedName>
    <definedName name="______VR3" localSheetId="34">#REF!</definedName>
    <definedName name="______VR3" localSheetId="35">#REF!</definedName>
    <definedName name="______VR3">#REF!</definedName>
    <definedName name="______VR4" localSheetId="34">#REF!</definedName>
    <definedName name="______VR4" localSheetId="35">#REF!</definedName>
    <definedName name="______VR4">#REF!</definedName>
    <definedName name="______VR5" localSheetId="34">#REF!</definedName>
    <definedName name="______VR5" localSheetId="35">#REF!</definedName>
    <definedName name="______VR5">#REF!</definedName>
    <definedName name="______VS1" localSheetId="34">#REF!</definedName>
    <definedName name="______VS1" localSheetId="35">#REF!</definedName>
    <definedName name="______VS1">#REF!</definedName>
    <definedName name="______VS2" localSheetId="34">#REF!</definedName>
    <definedName name="______VS2" localSheetId="35">#REF!</definedName>
    <definedName name="______VS2">#REF!</definedName>
    <definedName name="______VS3" localSheetId="34">#REF!</definedName>
    <definedName name="______VS3" localSheetId="35">#REF!</definedName>
    <definedName name="______VS3">#REF!</definedName>
    <definedName name="______VS4" localSheetId="34">#REF!</definedName>
    <definedName name="______VS4" localSheetId="35">#REF!</definedName>
    <definedName name="______VS4">#REF!</definedName>
    <definedName name="_____DAT14" localSheetId="34">#REF!</definedName>
    <definedName name="_____DAT14" localSheetId="35">#REF!</definedName>
    <definedName name="_____DAT14">#REF!</definedName>
    <definedName name="_____DAT18" localSheetId="34">#REF!</definedName>
    <definedName name="_____DAT18" localSheetId="35">#REF!</definedName>
    <definedName name="_____DAT18">#REF!</definedName>
    <definedName name="_____dec07">[3]param!$AH$6:$AH$17</definedName>
    <definedName name="____DAT1" localSheetId="34">#REF!</definedName>
    <definedName name="____DAT1" localSheetId="35">#REF!</definedName>
    <definedName name="____DAT1">#REF!</definedName>
    <definedName name="____DAT10" localSheetId="34">#REF!</definedName>
    <definedName name="____DAT10" localSheetId="35">#REF!</definedName>
    <definedName name="____DAT10">#REF!</definedName>
    <definedName name="____DAT11" localSheetId="34">#REF!</definedName>
    <definedName name="____DAT11" localSheetId="35">#REF!</definedName>
    <definedName name="____DAT11">#REF!</definedName>
    <definedName name="____DAT12" localSheetId="34">#REF!</definedName>
    <definedName name="____DAT12" localSheetId="35">#REF!</definedName>
    <definedName name="____DAT12">#REF!</definedName>
    <definedName name="____DAT13" localSheetId="34">#REF!</definedName>
    <definedName name="____DAT13" localSheetId="35">#REF!</definedName>
    <definedName name="____DAT13">#REF!</definedName>
    <definedName name="____DAT14" localSheetId="34">#REF!</definedName>
    <definedName name="____DAT14" localSheetId="35">#REF!</definedName>
    <definedName name="____DAT14">#REF!</definedName>
    <definedName name="____DAT15" localSheetId="34">#REF!</definedName>
    <definedName name="____DAT15" localSheetId="35">#REF!</definedName>
    <definedName name="____DAT15">#REF!</definedName>
    <definedName name="____DAT16" localSheetId="34">#REF!</definedName>
    <definedName name="____DAT16" localSheetId="35">#REF!</definedName>
    <definedName name="____DAT16">#REF!</definedName>
    <definedName name="____DAT18" localSheetId="34">#REF!</definedName>
    <definedName name="____DAT18" localSheetId="35">#REF!</definedName>
    <definedName name="____DAT18">#REF!</definedName>
    <definedName name="____DAT2" localSheetId="34">#REF!</definedName>
    <definedName name="____DAT2" localSheetId="35">#REF!</definedName>
    <definedName name="____DAT2">#REF!</definedName>
    <definedName name="____DAT3" localSheetId="34">#REF!</definedName>
    <definedName name="____DAT3" localSheetId="35">#REF!</definedName>
    <definedName name="____DAT3">#REF!</definedName>
    <definedName name="____DAT4" localSheetId="34">#REF!</definedName>
    <definedName name="____DAT4" localSheetId="35">#REF!</definedName>
    <definedName name="____DAT4">#REF!</definedName>
    <definedName name="____DAT5" localSheetId="34">#REF!</definedName>
    <definedName name="____DAT5" localSheetId="35">#REF!</definedName>
    <definedName name="____DAT5">#REF!</definedName>
    <definedName name="____DAT6" localSheetId="34">#REF!</definedName>
    <definedName name="____DAT6" localSheetId="35">#REF!</definedName>
    <definedName name="____DAT6">#REF!</definedName>
    <definedName name="____DAT7" localSheetId="34">#REF!</definedName>
    <definedName name="____DAT7" localSheetId="35">#REF!</definedName>
    <definedName name="____DAT7">#REF!</definedName>
    <definedName name="____DAT8" localSheetId="34">#REF!</definedName>
    <definedName name="____DAT8" localSheetId="35">#REF!</definedName>
    <definedName name="____DAT8">#REF!</definedName>
    <definedName name="____DAT9" localSheetId="34">#REF!</definedName>
    <definedName name="____DAT9" localSheetId="35">#REF!</definedName>
    <definedName name="____DAT9">#REF!</definedName>
    <definedName name="____dec07">[3]param!$AH$6:$AH$17</definedName>
    <definedName name="___DAT1" localSheetId="34">#REF!</definedName>
    <definedName name="___DAT1" localSheetId="35">#REF!</definedName>
    <definedName name="___DAT1">#REF!</definedName>
    <definedName name="___DAT10" localSheetId="34">#REF!</definedName>
    <definedName name="___DAT10" localSheetId="35">#REF!</definedName>
    <definedName name="___DAT10">#REF!</definedName>
    <definedName name="___DAT11" localSheetId="34">#REF!</definedName>
    <definedName name="___DAT11" localSheetId="35">#REF!</definedName>
    <definedName name="___DAT11">#REF!</definedName>
    <definedName name="___DAT12" localSheetId="34">#REF!</definedName>
    <definedName name="___DAT12" localSheetId="35">#REF!</definedName>
    <definedName name="___DAT12">#REF!</definedName>
    <definedName name="___DAT13" localSheetId="34">#REF!</definedName>
    <definedName name="___DAT13" localSheetId="35">#REF!</definedName>
    <definedName name="___DAT13">#REF!</definedName>
    <definedName name="___DAT14" localSheetId="34">#REF!</definedName>
    <definedName name="___DAT14" localSheetId="35">#REF!</definedName>
    <definedName name="___DAT14">#REF!</definedName>
    <definedName name="___DAT15" localSheetId="34">#REF!</definedName>
    <definedName name="___DAT15" localSheetId="35">#REF!</definedName>
    <definedName name="___DAT15">#REF!</definedName>
    <definedName name="___DAT16" localSheetId="34">#REF!</definedName>
    <definedName name="___DAT16" localSheetId="35">#REF!</definedName>
    <definedName name="___DAT16">#REF!</definedName>
    <definedName name="___DAT18" localSheetId="34">#REF!</definedName>
    <definedName name="___DAT18" localSheetId="35">#REF!</definedName>
    <definedName name="___DAT18">#REF!</definedName>
    <definedName name="___DAT2" localSheetId="34">#REF!</definedName>
    <definedName name="___DAT2" localSheetId="35">#REF!</definedName>
    <definedName name="___DAT2">#REF!</definedName>
    <definedName name="___DAT3" localSheetId="34">#REF!</definedName>
    <definedName name="___DAT3" localSheetId="35">#REF!</definedName>
    <definedName name="___DAT3">#REF!</definedName>
    <definedName name="___DAT4" localSheetId="34">#REF!</definedName>
    <definedName name="___DAT4" localSheetId="35">#REF!</definedName>
    <definedName name="___DAT4">#REF!</definedName>
    <definedName name="___DAT5" localSheetId="34">#REF!</definedName>
    <definedName name="___DAT5" localSheetId="35">#REF!</definedName>
    <definedName name="___DAT5">#REF!</definedName>
    <definedName name="___DAT6" localSheetId="34">#REF!</definedName>
    <definedName name="___DAT6" localSheetId="35">#REF!</definedName>
    <definedName name="___DAT6">#REF!</definedName>
    <definedName name="___DAT7" localSheetId="34">#REF!</definedName>
    <definedName name="___DAT7" localSheetId="35">#REF!</definedName>
    <definedName name="___DAT7">#REF!</definedName>
    <definedName name="___DAT8" localSheetId="34">#REF!</definedName>
    <definedName name="___DAT8" localSheetId="35">#REF!</definedName>
    <definedName name="___DAT8">#REF!</definedName>
    <definedName name="___DAT9" localSheetId="34">#REF!</definedName>
    <definedName name="___DAT9" localSheetId="35">#REF!</definedName>
    <definedName name="___DAT9">#REF!</definedName>
    <definedName name="___dec07">[3]param!$AH$6:$AH$17</definedName>
    <definedName name="___INDEX_SHEET___ASAP_Utilities" localSheetId="34">#REF!</definedName>
    <definedName name="___INDEX_SHEET___ASAP_Utilities" localSheetId="35">#REF!</definedName>
    <definedName name="___INDEX_SHEET___ASAP_Utilities">#REF!</definedName>
    <definedName name="___VE1" localSheetId="34">#REF!</definedName>
    <definedName name="___VE1" localSheetId="35">#REF!</definedName>
    <definedName name="___VE1">#REF!</definedName>
    <definedName name="___VE2" localSheetId="34">#REF!</definedName>
    <definedName name="___VE2" localSheetId="35">#REF!</definedName>
    <definedName name="___VE2">#REF!</definedName>
    <definedName name="___VR1" localSheetId="34">#REF!</definedName>
    <definedName name="___VR1" localSheetId="35">#REF!</definedName>
    <definedName name="___VR1">#REF!</definedName>
    <definedName name="___VR2" localSheetId="34">#REF!</definedName>
    <definedName name="___VR2" localSheetId="35">#REF!</definedName>
    <definedName name="___VR2">#REF!</definedName>
    <definedName name="___VR3" localSheetId="34">#REF!</definedName>
    <definedName name="___VR3" localSheetId="35">#REF!</definedName>
    <definedName name="___VR3">#REF!</definedName>
    <definedName name="___VR4" localSheetId="34">#REF!</definedName>
    <definedName name="___VR4" localSheetId="35">#REF!</definedName>
    <definedName name="___VR4">#REF!</definedName>
    <definedName name="___VR5" localSheetId="34">#REF!</definedName>
    <definedName name="___VR5" localSheetId="35">#REF!</definedName>
    <definedName name="___VR5">#REF!</definedName>
    <definedName name="___VS1" localSheetId="34">#REF!</definedName>
    <definedName name="___VS1" localSheetId="35">#REF!</definedName>
    <definedName name="___VS1">#REF!</definedName>
    <definedName name="___VS2" localSheetId="34">#REF!</definedName>
    <definedName name="___VS2" localSheetId="35">#REF!</definedName>
    <definedName name="___VS2">#REF!</definedName>
    <definedName name="___VS3" localSheetId="34">#REF!</definedName>
    <definedName name="___VS3" localSheetId="35">#REF!</definedName>
    <definedName name="___VS3">#REF!</definedName>
    <definedName name="___VS4" localSheetId="34">#REF!</definedName>
    <definedName name="___VS4" localSheetId="35">#REF!</definedName>
    <definedName name="___VS4">#REF!</definedName>
    <definedName name="__123Graph_A" localSheetId="0" hidden="1">'[4]BS, PL, Sch 5 to 9'!#REF!</definedName>
    <definedName name="__123Graph_A" localSheetId="8" hidden="1">'[5]BS, PL, Sch 5 to 9'!#REF!</definedName>
    <definedName name="__123Graph_A" localSheetId="2" hidden="1">'[4]BS, PL, Sch 5 to 9'!#REF!</definedName>
    <definedName name="__123Graph_A" localSheetId="22" hidden="1">'[5]BS, PL, Sch 5 to 9'!#REF!</definedName>
    <definedName name="__123Graph_A" localSheetId="29" hidden="1">'[5]BS, PL, Sch 5 to 9'!#REF!</definedName>
    <definedName name="__123Graph_A" localSheetId="19" hidden="1">'[5]BS, PL, Sch 5 to 9'!#REF!</definedName>
    <definedName name="__123Graph_A" localSheetId="18" hidden="1">'[5]BS, PL, Sch 5 to 9'!#REF!</definedName>
    <definedName name="__123Graph_A" localSheetId="4" hidden="1">'[5]BS, PL, Sch 5 to 9'!#REF!</definedName>
    <definedName name="__123Graph_A" localSheetId="9" hidden="1">'[5]BS, PL, Sch 5 to 9'!#REF!</definedName>
    <definedName name="__123Graph_A" localSheetId="5" hidden="1">'[5]BS, PL, Sch 5 to 9'!#REF!</definedName>
    <definedName name="__123Graph_A" localSheetId="30" hidden="1">'[5]BS, PL, Sch 5 to 9'!#REF!</definedName>
    <definedName name="__123Graph_A" localSheetId="14" hidden="1">'[5]BS, PL, Sch 5 to 9'!#REF!</definedName>
    <definedName name="__123Graph_A" localSheetId="6" hidden="1">'[5]BS, PL, Sch 5 to 9'!#REF!</definedName>
    <definedName name="__123Graph_A" localSheetId="15" hidden="1">'[4]BS, PL, Sch 5 to 9'!#REF!</definedName>
    <definedName name="__123Graph_A" localSheetId="1" hidden="1">'[5]BS, PL, Sch 5 to 9'!#REF!</definedName>
    <definedName name="__123Graph_A" localSheetId="12" hidden="1">'[5]BS, PL, Sch 5 to 9'!#REF!</definedName>
    <definedName name="__123Graph_A" localSheetId="25" hidden="1">'[5]BS, PL, Sch 5 to 9'!#REF!</definedName>
    <definedName name="__123Graph_A" localSheetId="31" hidden="1">'[5]BS, PL, Sch 5 to 9'!#REF!</definedName>
    <definedName name="__123Graph_A" hidden="1">'[5]BS, PL, Sch 5 to 9'!#REF!</definedName>
    <definedName name="__123Graph_B" localSheetId="0" hidden="1">'[4]BS, PL, Sch 5 to 9'!#REF!</definedName>
    <definedName name="__123Graph_B" localSheetId="8" hidden="1">'[5]BS, PL, Sch 5 to 9'!#REF!</definedName>
    <definedName name="__123Graph_B" localSheetId="2" hidden="1">'[4]BS, PL, Sch 5 to 9'!#REF!</definedName>
    <definedName name="__123Graph_B" localSheetId="22" hidden="1">'[5]BS, PL, Sch 5 to 9'!#REF!</definedName>
    <definedName name="__123Graph_B" localSheetId="29" hidden="1">'[5]BS, PL, Sch 5 to 9'!#REF!</definedName>
    <definedName name="__123Graph_B" localSheetId="19" hidden="1">'[5]BS, PL, Sch 5 to 9'!#REF!</definedName>
    <definedName name="__123Graph_B" localSheetId="18" hidden="1">'[5]BS, PL, Sch 5 to 9'!#REF!</definedName>
    <definedName name="__123Graph_B" localSheetId="4" hidden="1">'[5]BS, PL, Sch 5 to 9'!#REF!</definedName>
    <definedName name="__123Graph_B" localSheetId="9" hidden="1">'[5]BS, PL, Sch 5 to 9'!#REF!</definedName>
    <definedName name="__123Graph_B" localSheetId="5" hidden="1">'[5]BS, PL, Sch 5 to 9'!#REF!</definedName>
    <definedName name="__123Graph_B" localSheetId="30" hidden="1">'[5]BS, PL, Sch 5 to 9'!#REF!</definedName>
    <definedName name="__123Graph_B" localSheetId="14" hidden="1">'[5]BS, PL, Sch 5 to 9'!#REF!</definedName>
    <definedName name="__123Graph_B" localSheetId="6" hidden="1">'[5]BS, PL, Sch 5 to 9'!#REF!</definedName>
    <definedName name="__123Graph_B" localSheetId="15" hidden="1">'[4]BS, PL, Sch 5 to 9'!#REF!</definedName>
    <definedName name="__123Graph_B" localSheetId="1" hidden="1">'[5]BS, PL, Sch 5 to 9'!#REF!</definedName>
    <definedName name="__123Graph_B" localSheetId="12" hidden="1">'[5]BS, PL, Sch 5 to 9'!#REF!</definedName>
    <definedName name="__123Graph_B" localSheetId="25" hidden="1">'[5]BS, PL, Sch 5 to 9'!#REF!</definedName>
    <definedName name="__123Graph_B" localSheetId="31" hidden="1">'[5]BS, PL, Sch 5 to 9'!#REF!</definedName>
    <definedName name="__123Graph_B" hidden="1">'[5]BS, PL, Sch 5 to 9'!#REF!</definedName>
    <definedName name="__DAT1" localSheetId="34">#REF!</definedName>
    <definedName name="__DAT1" localSheetId="35">#REF!</definedName>
    <definedName name="__DAT1">#REF!</definedName>
    <definedName name="__DAT10" localSheetId="34">#REF!</definedName>
    <definedName name="__DAT10" localSheetId="35">#REF!</definedName>
    <definedName name="__DAT10">#REF!</definedName>
    <definedName name="__DAT11" localSheetId="34">#REF!</definedName>
    <definedName name="__DAT11" localSheetId="35">#REF!</definedName>
    <definedName name="__DAT11">#REF!</definedName>
    <definedName name="__DAT12" localSheetId="34">#REF!</definedName>
    <definedName name="__DAT12" localSheetId="35">#REF!</definedName>
    <definedName name="__DAT12">#REF!</definedName>
    <definedName name="__DAT13" localSheetId="34">#REF!</definedName>
    <definedName name="__DAT13" localSheetId="35">#REF!</definedName>
    <definedName name="__DAT13">#REF!</definedName>
    <definedName name="__DAT14" localSheetId="34">#REF!</definedName>
    <definedName name="__DAT14" localSheetId="35">#REF!</definedName>
    <definedName name="__DAT14">#REF!</definedName>
    <definedName name="__DAT15" localSheetId="34">#REF!</definedName>
    <definedName name="__DAT15" localSheetId="35">#REF!</definedName>
    <definedName name="__DAT15">#REF!</definedName>
    <definedName name="__DAT16" localSheetId="34">#REF!</definedName>
    <definedName name="__DAT16" localSheetId="35">#REF!</definedName>
    <definedName name="__DAT16">#REF!</definedName>
    <definedName name="__DAT18" localSheetId="34">#REF!</definedName>
    <definedName name="__DAT18" localSheetId="35">#REF!</definedName>
    <definedName name="__DAT18">#REF!</definedName>
    <definedName name="__DAT2" localSheetId="34">#REF!</definedName>
    <definedName name="__DAT2" localSheetId="35">#REF!</definedName>
    <definedName name="__DAT2">#REF!</definedName>
    <definedName name="__DAT3" localSheetId="34">#REF!</definedName>
    <definedName name="__DAT3" localSheetId="35">#REF!</definedName>
    <definedName name="__DAT3">#REF!</definedName>
    <definedName name="__DAT4" localSheetId="34">#REF!</definedName>
    <definedName name="__DAT4" localSheetId="35">#REF!</definedName>
    <definedName name="__DAT4">#REF!</definedName>
    <definedName name="__DAT5" localSheetId="34">#REF!</definedName>
    <definedName name="__DAT5" localSheetId="35">#REF!</definedName>
    <definedName name="__DAT5">#REF!</definedName>
    <definedName name="__DAT6" localSheetId="34">#REF!</definedName>
    <definedName name="__DAT6" localSheetId="35">#REF!</definedName>
    <definedName name="__DAT6">#REF!</definedName>
    <definedName name="__DAT7" localSheetId="34">#REF!</definedName>
    <definedName name="__DAT7" localSheetId="35">#REF!</definedName>
    <definedName name="__DAT7">#REF!</definedName>
    <definedName name="__DAT8" localSheetId="34">#REF!</definedName>
    <definedName name="__DAT8" localSheetId="35">#REF!</definedName>
    <definedName name="__DAT8">#REF!</definedName>
    <definedName name="__DAT9" localSheetId="34">#REF!</definedName>
    <definedName name="__DAT9" localSheetId="35">#REF!</definedName>
    <definedName name="__DAT9">#REF!</definedName>
    <definedName name="__SZW2">IF('[6]STROM-DATA-Neu'!$AA1="G",'[6]STROM-DATA-Neu'!$S1,MAX(0,OFFSET('[6]INDEX-TOTAL'!$E$4,'[6]STROM-DATA-Neu'!$R1-1,'[6]STROM-DATA-Neu'!A$3-'[6]STROM-DATA-Neu'!$R$7)/OFFSET('[6]INDEX-TOTAL'!$E$4,'[6]STROM-DATA-Neu'!$R1-1,'[6]STROM-DATA-Neu'!$T1-'[6]STROM-DATA-Neu'!$R$7)*'[6]STROM-DATA-Neu'!$S1*('[6]STROM-DATA-Neu'!$AA1-('[6]STROM-DATA-Neu'!A$3-'[6]STROM-DATA-Neu'!$T1+1))/'[6]STROM-DATA-Neu'!$AA1))</definedName>
    <definedName name="__SZW3">IF('[6]GAS-DATA-Neu'!$AA1="G",'[6]GAS-DATA-Neu'!$S1,MAX(0,OFFSET('[6]INDEX-TOTAL'!$E$4,'[6]GAS-DATA-Neu'!$R1-1,'[6]GAS-DATA-Neu'!A$3-'[6]GAS-DATA-Neu'!$R$8)/OFFSET('[6]INDEX-TOTAL'!$E$4,'[6]GAS-DATA-Neu'!$R1-1,'[6]GAS-DATA-Neu'!$T1-'[6]GAS-DATA-Neu'!$R$8)*'[6]GAS-DATA-Neu'!$S1*('[6]GAS-DATA-Neu'!$AA1-('[6]GAS-DATA-Neu'!A$3-'[6]GAS-DATA-Neu'!$T1+1))/'[6]GAS-DATA-Neu'!$AA1))</definedName>
    <definedName name="__SZW4">IF('[6]HEAT-DATA-Neu'!$AA1="G",'[6]HEAT-DATA-Neu'!$S1,MAX(0,OFFSET('[6]INDEX-TOTAL'!$E$4,'[6]HEAT-DATA-Neu'!$R1-1,'[6]HEAT-DATA-Neu'!A$3-'[6]HEAT-DATA-Neu'!$R$8)/OFFSET('[6]INDEX-TOTAL'!$E$4,'[6]HEAT-DATA-Neu'!$R1-1,'[6]HEAT-DATA-Neu'!$T1-'[6]HEAT-DATA-Neu'!$R$8)*'[6]HEAT-DATA-Neu'!$S1*('[6]HEAT-DATA-Neu'!$AA1-('[6]HEAT-DATA-Neu'!A$3-'[6]HEAT-DATA-Neu'!$T1+1))/'[6]HEAT-DATA-Neu'!$AA1))</definedName>
    <definedName name="__SZW5">IF('[6]WATER-DATA-Neu'!$AA1="G",'[6]WATER-DATA-Neu'!$S1,MAX(0,OFFSET('[6]INDEX-TOTAL'!$E$4,'[6]WATER-DATA-Neu'!$R1-1,'[6]WATER-DATA-Neu'!A$3-'[6]WATER-DATA-Neu'!$R$8)/OFFSET('[6]INDEX-TOTAL'!$E$4,'[6]WATER-DATA-Neu'!$R1-1,'[6]WATER-DATA-Neu'!$T1-'[6]WATER-DATA-Neu'!$R$8)*'[6]WATER-DATA-Neu'!$S1*('[6]WATER-DATA-Neu'!$AA1-('[6]WATER-DATA-Neu'!A$3-'[6]WATER-DATA-Neu'!$T1+1))/'[6]WATER-DATA-Neu'!$AA1))</definedName>
    <definedName name="_2006_Plan_aktuell" localSheetId="34">#REF!</definedName>
    <definedName name="_2006_Plan_aktuell" localSheetId="35">#REF!</definedName>
    <definedName name="_2006_Plan_aktuell">#REF!</definedName>
    <definedName name="_axe1" localSheetId="34">#REF!</definedName>
    <definedName name="_axe1" localSheetId="35">#REF!</definedName>
    <definedName name="_axe1">#REF!</definedName>
    <definedName name="_axe2" localSheetId="34">#REF!</definedName>
    <definedName name="_axe2" localSheetId="35">#REF!</definedName>
    <definedName name="_axe2">#REF!</definedName>
    <definedName name="_axe3" localSheetId="34">#REF!</definedName>
    <definedName name="_axe3" localSheetId="35">#REF!</definedName>
    <definedName name="_axe3">#REF!</definedName>
    <definedName name="_CED12" localSheetId="34">#REF!</definedName>
    <definedName name="_CED12" localSheetId="35">#REF!</definedName>
    <definedName name="_CED12">#REF!</definedName>
    <definedName name="_DAT1" localSheetId="34">#REF!</definedName>
    <definedName name="_DAT1" localSheetId="35">#REF!</definedName>
    <definedName name="_DAT1">#REF!</definedName>
    <definedName name="_DAT10" localSheetId="34">#REF!</definedName>
    <definedName name="_DAT10" localSheetId="35">#REF!</definedName>
    <definedName name="_DAT10">#REF!</definedName>
    <definedName name="_DAT11" localSheetId="34">#REF!</definedName>
    <definedName name="_DAT11" localSheetId="35">#REF!</definedName>
    <definedName name="_DAT11">#REF!</definedName>
    <definedName name="_DAT12" localSheetId="34">#REF!</definedName>
    <definedName name="_DAT12" localSheetId="35">#REF!</definedName>
    <definedName name="_DAT12">#REF!</definedName>
    <definedName name="_DAT13" localSheetId="34">#REF!</definedName>
    <definedName name="_DAT13" localSheetId="35">#REF!</definedName>
    <definedName name="_DAT13">#REF!</definedName>
    <definedName name="_DAT14" localSheetId="34">#REF!</definedName>
    <definedName name="_DAT14" localSheetId="35">#REF!</definedName>
    <definedName name="_DAT14">#REF!</definedName>
    <definedName name="_DAT15" localSheetId="34">#REF!</definedName>
    <definedName name="_DAT15" localSheetId="35">#REF!</definedName>
    <definedName name="_DAT15">#REF!</definedName>
    <definedName name="_DAT16" localSheetId="34">#REF!</definedName>
    <definedName name="_DAT16" localSheetId="35">#REF!</definedName>
    <definedName name="_DAT16">#REF!</definedName>
    <definedName name="_DAT18" localSheetId="34">#REF!</definedName>
    <definedName name="_DAT18" localSheetId="35">#REF!</definedName>
    <definedName name="_DAT18">#REF!</definedName>
    <definedName name="_DAT2" localSheetId="34">#REF!</definedName>
    <definedName name="_DAT2" localSheetId="35">#REF!</definedName>
    <definedName name="_DAT2">#REF!</definedName>
    <definedName name="_DAT3" localSheetId="34">#REF!</definedName>
    <definedName name="_DAT3" localSheetId="35">#REF!</definedName>
    <definedName name="_DAT3">#REF!</definedName>
    <definedName name="_DAT4" localSheetId="34">#REF!</definedName>
    <definedName name="_DAT4" localSheetId="35">#REF!</definedName>
    <definedName name="_DAT4">#REF!</definedName>
    <definedName name="_DAT5" localSheetId="34">#REF!</definedName>
    <definedName name="_DAT5" localSheetId="35">#REF!</definedName>
    <definedName name="_DAT5">#REF!</definedName>
    <definedName name="_DAT6" localSheetId="34">#REF!</definedName>
    <definedName name="_DAT6" localSheetId="35">#REF!</definedName>
    <definedName name="_DAT6">#REF!</definedName>
    <definedName name="_DAT7" localSheetId="34">#REF!</definedName>
    <definedName name="_DAT7" localSheetId="35">#REF!</definedName>
    <definedName name="_DAT7">#REF!</definedName>
    <definedName name="_DAT8" localSheetId="34">#REF!</definedName>
    <definedName name="_DAT8" localSheetId="35">#REF!</definedName>
    <definedName name="_DAT8">#REF!</definedName>
    <definedName name="_DAT9" localSheetId="34">#REF!</definedName>
    <definedName name="_DAT9" localSheetId="35">#REF!</definedName>
    <definedName name="_DAT9">#REF!</definedName>
    <definedName name="_DAT99" localSheetId="34">[2]ND!#REF!</definedName>
    <definedName name="_DAT99" localSheetId="35">[2]ND!#REF!</definedName>
    <definedName name="_DAT99">[2]ND!#REF!</definedName>
    <definedName name="_dec07">[3]param!$AH$6:$AH$17</definedName>
    <definedName name="_xlnm._FilterDatabase" localSheetId="28" hidden="1">Automation!$A$1:$M$6</definedName>
    <definedName name="_xlnm._FilterDatabase" localSheetId="3" hidden="1">BS!$A$2:$Q$26</definedName>
    <definedName name="_xlnm._FilterDatabase" localSheetId="8" hidden="1">CF!$A$2:$J$37</definedName>
    <definedName name="_xlnm._FilterDatabase" localSheetId="26" hidden="1">'CF Working'!$A$2:$M$88</definedName>
    <definedName name="_xlnm._FilterDatabase" localSheetId="2" hidden="1">DSCR!$A$2:$Q$16</definedName>
    <definedName name="_xlnm._FilterDatabase" localSheetId="34" hidden="1">'Execulation Revenue'!$A$1:$AJ$19</definedName>
    <definedName name="_xlnm._FilterDatabase" localSheetId="35" hidden="1">'Execution Cost'!$A$1:$AJ$18</definedName>
    <definedName name="_xlnm._FilterDatabase" localSheetId="29" hidden="1">'Existing UGRs'!$A$1:$M$14</definedName>
    <definedName name="_xlnm._FilterDatabase" localSheetId="17" hidden="1">Expenses!$A$2:$CY$7</definedName>
    <definedName name="_xlnm._FilterDatabase" localSheetId="19" hidden="1">'F&amp;A'!$A$2:$CY$62</definedName>
    <definedName name="_xlnm._FilterDatabase" localSheetId="20" hidden="1">'G&amp;A'!$A$1:$CY$42</definedName>
    <definedName name="_xlnm._FilterDatabase" localSheetId="18" hidden="1">IT!$A$2:$DB$37</definedName>
    <definedName name="_xlnm._FilterDatabase" localSheetId="23" hidden="1">List!$A$2:$CY$87</definedName>
    <definedName name="_xlnm._FilterDatabase" localSheetId="4" hidden="1">'Monthly BS'!$A$3:$CV$30</definedName>
    <definedName name="_xlnm._FilterDatabase" localSheetId="9" hidden="1">'Monthly CF'!$A$2:$CV$38</definedName>
    <definedName name="_xlnm._FilterDatabase" localSheetId="5" hidden="1">'Monthly PL'!$A$2:$CW$32</definedName>
    <definedName name="_xlnm._FilterDatabase" localSheetId="30" hidden="1">'New UGRs'!$A$1:$N$13</definedName>
    <definedName name="_xlnm._FilterDatabase" localSheetId="14" hidden="1">'NOR Revenue'!$A$2:$DF$22</definedName>
    <definedName name="_xlnm._FilterDatabase" localSheetId="16" hidden="1">'O&amp;M'!$A$1:$CY$17</definedName>
    <definedName name="_xlnm._FilterDatabase" localSheetId="6" hidden="1">PL!$A$2:$V$50</definedName>
    <definedName name="_xlnm._FilterDatabase" localSheetId="1" hidden="1">'Summary '!$A$1:$A$16</definedName>
    <definedName name="_xlnm._FilterDatabase" localSheetId="33" hidden="1">'Supply Cost'!$G$1:$AH$9</definedName>
    <definedName name="_xlnm._FilterDatabase" localSheetId="32" hidden="1">'Supply Revenue'!$G$1:$AH$9</definedName>
    <definedName name="_xlnm._FilterDatabase" localSheetId="12" hidden="1">'Water Revenue'!$A$1:$DF$29</definedName>
    <definedName name="_xlnm._FilterDatabase" localSheetId="25" hidden="1">'Work CF'!$A$1:$K$38</definedName>
    <definedName name="_xlnm._FilterDatabase" localSheetId="24" hidden="1">'Work Schedule'!$A$1:$K$38</definedName>
    <definedName name="_xlnm._FilterDatabase" localSheetId="27" hidden="1">'Works Working'!$A$2:$L$82</definedName>
    <definedName name="_xlnm._FilterDatabase" localSheetId="31" hidden="1">WTP!$A$1:$M$8</definedName>
    <definedName name="_Order1" hidden="1">255</definedName>
    <definedName name="_Order2" hidden="1">255</definedName>
    <definedName name="_PAO05">#REF!</definedName>
    <definedName name="_PAO06" localSheetId="34">#REF!</definedName>
    <definedName name="_PAO06" localSheetId="35">#REF!</definedName>
    <definedName name="_PAO06">#REF!</definedName>
    <definedName name="_RRD12" localSheetId="34">#REF!</definedName>
    <definedName name="_RRD12" localSheetId="35">#REF!</definedName>
    <definedName name="_RRD12">#REF!</definedName>
    <definedName name="_S" localSheetId="8" hidden="1">[7]DESBAST!#REF!</definedName>
    <definedName name="_S" localSheetId="2" hidden="1">[7]DESBAST!#REF!</definedName>
    <definedName name="_S" localSheetId="22" hidden="1">[7]DESBAST!#REF!</definedName>
    <definedName name="_S" localSheetId="29" hidden="1">[8]DESBAST!#REF!</definedName>
    <definedName name="_S" localSheetId="19" hidden="1">[7]DESBAST!#REF!</definedName>
    <definedName name="_S" localSheetId="20" hidden="1">[7]DESBAST!#REF!</definedName>
    <definedName name="_S" localSheetId="18" hidden="1">[7]DESBAST!#REF!</definedName>
    <definedName name="_S" localSheetId="4" hidden="1">[7]DESBAST!#REF!</definedName>
    <definedName name="_S" localSheetId="9" hidden="1">[7]DESBAST!#REF!</definedName>
    <definedName name="_S" localSheetId="5" hidden="1">[7]DESBAST!#REF!</definedName>
    <definedName name="_S" localSheetId="30" hidden="1">[8]DESBAST!#REF!</definedName>
    <definedName name="_S" localSheetId="14" hidden="1">[7]DESBAST!#REF!</definedName>
    <definedName name="_S" localSheetId="16" hidden="1">[7]DESBAST!#REF!</definedName>
    <definedName name="_S" localSheetId="6" hidden="1">[7]DESBAST!#REF!</definedName>
    <definedName name="_S" localSheetId="15" hidden="1">[7]DESBAST!#REF!</definedName>
    <definedName name="_S" localSheetId="1" hidden="1">[7]DESBAST!#REF!</definedName>
    <definedName name="_S" localSheetId="12" hidden="1">[7]DESBAST!#REF!</definedName>
    <definedName name="_S" localSheetId="25" hidden="1">[7]DESBAST!#REF!</definedName>
    <definedName name="_S" localSheetId="31" hidden="1">[8]DESBAST!#REF!</definedName>
    <definedName name="_S" hidden="1">[7]DESBAST!#REF!</definedName>
    <definedName name="_Sort" localSheetId="8" hidden="1">[9]LLEGADA!#REF!</definedName>
    <definedName name="_Sort" localSheetId="2" hidden="1">[9]LLEGADA!#REF!</definedName>
    <definedName name="_Sort" localSheetId="22" hidden="1">[9]LLEGADA!#REF!</definedName>
    <definedName name="_Sort" localSheetId="29" hidden="1">[9]LLEGADA!#REF!</definedName>
    <definedName name="_Sort" localSheetId="19" hidden="1">[9]LLEGADA!#REF!</definedName>
    <definedName name="_Sort" localSheetId="20" hidden="1">[9]LLEGADA!#REF!</definedName>
    <definedName name="_Sort" localSheetId="18" hidden="1">[9]LLEGADA!#REF!</definedName>
    <definedName name="_Sort" localSheetId="4" hidden="1">[9]LLEGADA!#REF!</definedName>
    <definedName name="_Sort" localSheetId="9" hidden="1">[9]LLEGADA!#REF!</definedName>
    <definedName name="_Sort" localSheetId="5" hidden="1">[9]LLEGADA!#REF!</definedName>
    <definedName name="_Sort" localSheetId="30" hidden="1">[9]LLEGADA!#REF!</definedName>
    <definedName name="_Sort" localSheetId="14" hidden="1">[9]LLEGADA!#REF!</definedName>
    <definedName name="_Sort" localSheetId="16" hidden="1">[9]LLEGADA!#REF!</definedName>
    <definedName name="_Sort" localSheetId="6" hidden="1">[9]LLEGADA!#REF!</definedName>
    <definedName name="_Sort" localSheetId="15" hidden="1">[9]LLEGADA!#REF!</definedName>
    <definedName name="_Sort" localSheetId="1" hidden="1">[9]LLEGADA!#REF!</definedName>
    <definedName name="_Sort" localSheetId="12" hidden="1">[9]LLEGADA!#REF!</definedName>
    <definedName name="_Sort" localSheetId="25" hidden="1">[9]LLEGADA!#REF!</definedName>
    <definedName name="_Sort" localSheetId="31" hidden="1">[9]LLEGADA!#REF!</definedName>
    <definedName name="_Sort" hidden="1">[9]LLEGADA!#REF!</definedName>
    <definedName name="_SS" localSheetId="8" hidden="1">[7]DESBAST!#REF!</definedName>
    <definedName name="_SS" localSheetId="22" hidden="1">[7]DESBAST!#REF!</definedName>
    <definedName name="_SS" localSheetId="29" hidden="1">[8]DESBAST!#REF!</definedName>
    <definedName name="_SS" localSheetId="19" hidden="1">[7]DESBAST!#REF!</definedName>
    <definedName name="_SS" localSheetId="20" hidden="1">[7]DESBAST!#REF!</definedName>
    <definedName name="_SS" localSheetId="4" hidden="1">[7]DESBAST!#REF!</definedName>
    <definedName name="_SS" localSheetId="9" hidden="1">[7]DESBAST!#REF!</definedName>
    <definedName name="_SS" localSheetId="5" hidden="1">[7]DESBAST!#REF!</definedName>
    <definedName name="_SS" localSheetId="30" hidden="1">[8]DESBAST!#REF!</definedName>
    <definedName name="_SS" localSheetId="14" hidden="1">[7]DESBAST!#REF!</definedName>
    <definedName name="_SS" localSheetId="16" hidden="1">[7]DESBAST!#REF!</definedName>
    <definedName name="_SS" localSheetId="6" hidden="1">[7]DESBAST!#REF!</definedName>
    <definedName name="_SS" localSheetId="15" hidden="1">[7]DESBAST!#REF!</definedName>
    <definedName name="_SS" localSheetId="1" hidden="1">[7]DESBAST!#REF!</definedName>
    <definedName name="_SS" localSheetId="12" hidden="1">[7]DESBAST!#REF!</definedName>
    <definedName name="_SS" localSheetId="25" hidden="1">[7]DESBAST!#REF!</definedName>
    <definedName name="_SS" localSheetId="31" hidden="1">[8]DESBAST!#REF!</definedName>
    <definedName name="_SS" hidden="1">[7]DESBAST!#REF!</definedName>
    <definedName name="_SZW2">IF('[6]STROM-DATA-Neu'!$AA1="G",'[6]STROM-DATA-Neu'!$S1,MAX(0,OFFSET('[6]INDEX-TOTAL'!$E$4,'[6]STROM-DATA-Neu'!$R1-1,'[6]STROM-DATA-Neu'!A$3-'[6]STROM-DATA-Neu'!$R$7)/OFFSET('[6]INDEX-TOTAL'!$E$4,'[6]STROM-DATA-Neu'!$R1-1,'[6]STROM-DATA-Neu'!$T1-'[6]STROM-DATA-Neu'!$R$7)*'[6]STROM-DATA-Neu'!$S1*('[6]STROM-DATA-Neu'!$AA1-('[6]STROM-DATA-Neu'!A$3-'[6]STROM-DATA-Neu'!$T1+1))/'[6]STROM-DATA-Neu'!$AA1))</definedName>
    <definedName name="_SZW3">IF('[6]GAS-DATA-Neu'!$AA1="G",'[6]GAS-DATA-Neu'!$S1,MAX(0,OFFSET('[6]INDEX-TOTAL'!$E$4,'[6]GAS-DATA-Neu'!$R1-1,'[6]GAS-DATA-Neu'!A$3-'[6]GAS-DATA-Neu'!$R$8)/OFFSET('[6]INDEX-TOTAL'!$E$4,'[6]GAS-DATA-Neu'!$R1-1,'[6]GAS-DATA-Neu'!$T1-'[6]GAS-DATA-Neu'!$R$8)*'[6]GAS-DATA-Neu'!$S1*('[6]GAS-DATA-Neu'!$AA1-('[6]GAS-DATA-Neu'!A$3-'[6]GAS-DATA-Neu'!$T1+1))/'[6]GAS-DATA-Neu'!$AA1))</definedName>
    <definedName name="_SZW4">IF('[6]HEAT-DATA-Neu'!$AA1="G",'[6]HEAT-DATA-Neu'!$S1,MAX(0,OFFSET('[6]INDEX-TOTAL'!$E$4,'[6]HEAT-DATA-Neu'!$R1-1,'[6]HEAT-DATA-Neu'!A$3-'[6]HEAT-DATA-Neu'!$R$8)/OFFSET('[6]INDEX-TOTAL'!$E$4,'[6]HEAT-DATA-Neu'!$R1-1,'[6]HEAT-DATA-Neu'!$T1-'[6]HEAT-DATA-Neu'!$R$8)*'[6]HEAT-DATA-Neu'!$S1*('[6]HEAT-DATA-Neu'!$AA1-('[6]HEAT-DATA-Neu'!A$3-'[6]HEAT-DATA-Neu'!$T1+1))/'[6]HEAT-DATA-Neu'!$AA1))</definedName>
    <definedName name="_SZW5">IF('[6]WATER-DATA-Neu'!$AA1="G",'[6]WATER-DATA-Neu'!$S1,MAX(0,OFFSET('[6]INDEX-TOTAL'!$E$4,'[6]WATER-DATA-Neu'!$R1-1,'[6]WATER-DATA-Neu'!A$3-'[6]WATER-DATA-Neu'!$R$8)/OFFSET('[6]INDEX-TOTAL'!$E$4,'[6]WATER-DATA-Neu'!$R1-1,'[6]WATER-DATA-Neu'!$T1-'[6]WATER-DATA-Neu'!$R$8)*'[6]WATER-DATA-Neu'!$S1*('[6]WATER-DATA-Neu'!$AA1-('[6]WATER-DATA-Neu'!A$3-'[6]WATER-DATA-Neu'!$T1+1))/'[6]WATER-DATA-Neu'!$AA1))</definedName>
    <definedName name="A">'[10]Aug 03'!$A$131:$H$471</definedName>
    <definedName name="A_CGEA" localSheetId="34">#REF!</definedName>
    <definedName name="A_CGEA" localSheetId="35">#REF!</definedName>
    <definedName name="A_CGEA">#REF!</definedName>
    <definedName name="aaa" localSheetId="8" hidden="1">[9]LLEGADA!#REF!</definedName>
    <definedName name="aaa" localSheetId="2" hidden="1">[9]LLEGADA!#REF!</definedName>
    <definedName name="aaa" localSheetId="22" hidden="1">[9]LLEGADA!#REF!</definedName>
    <definedName name="aaa" localSheetId="29" hidden="1">[9]LLEGADA!#REF!</definedName>
    <definedName name="aaa" localSheetId="19" hidden="1">[9]LLEGADA!#REF!</definedName>
    <definedName name="aaa" localSheetId="20" hidden="1">[9]LLEGADA!#REF!</definedName>
    <definedName name="aaa" localSheetId="18" hidden="1">[9]LLEGADA!#REF!</definedName>
    <definedName name="aaa" localSheetId="4" hidden="1">[9]LLEGADA!#REF!</definedName>
    <definedName name="aaa" localSheetId="9" hidden="1">[9]LLEGADA!#REF!</definedName>
    <definedName name="aaa" localSheetId="5" hidden="1">[9]LLEGADA!#REF!</definedName>
    <definedName name="aaa" localSheetId="30" hidden="1">[9]LLEGADA!#REF!</definedName>
    <definedName name="aaa" localSheetId="14" hidden="1">[9]LLEGADA!#REF!</definedName>
    <definedName name="aaa" localSheetId="16" hidden="1">[9]LLEGADA!#REF!</definedName>
    <definedName name="aaa" localSheetId="6" hidden="1">[9]LLEGADA!#REF!</definedName>
    <definedName name="aaa" localSheetId="15" hidden="1">[9]LLEGADA!#REF!</definedName>
    <definedName name="aaa" localSheetId="1" hidden="1">[9]LLEGADA!#REF!</definedName>
    <definedName name="aaa" localSheetId="12" hidden="1">[9]LLEGADA!#REF!</definedName>
    <definedName name="aaa" localSheetId="25" hidden="1">[9]LLEGADA!#REF!</definedName>
    <definedName name="aaa" localSheetId="31" hidden="1">[9]LLEGADA!#REF!</definedName>
    <definedName name="aaa" hidden="1">[9]LLEGADA!#REF!</definedName>
    <definedName name="aaaaa" localSheetId="34">Compte Rés [11]!Euro</definedName>
    <definedName name="aaaaa" localSheetId="35">Compte Rés [11]!Euro</definedName>
    <definedName name="aaaaa" localSheetId="33">Compte Rés [11]!Euro</definedName>
    <definedName name="aaaaa" localSheetId="32">Compte Rés [11]!Euro</definedName>
    <definedName name="aaaaa" localSheetId="37">Compte Rés [11]!Euro</definedName>
    <definedName name="aaaaa">Compte Rés [11]!Euro</definedName>
    <definedName name="acno">#REF!</definedName>
    <definedName name="adl" localSheetId="0" hidden="1">{#N/A,#N/A,FALSE,"RECAP Note Global";#N/A,#N/A,FALSE,"RECAP Note France";#N/A,#N/A,FALSE,"RECAP Note étranger";#N/A,#N/A,FALSE,"RECAP Note Zones"}</definedName>
    <definedName name="adl" localSheetId="7" hidden="1">{#N/A,#N/A,FALSE,"RECAP Note Global";#N/A,#N/A,FALSE,"RECAP Note France";#N/A,#N/A,FALSE,"RECAP Note étranger";#N/A,#N/A,FALSE,"RECAP Note Zones"}</definedName>
    <definedName name="adl" localSheetId="2" hidden="1">{#N/A,#N/A,FALSE,"RECAP Note Global";#N/A,#N/A,FALSE,"RECAP Note France";#N/A,#N/A,FALSE,"RECAP Note étranger";#N/A,#N/A,FALSE,"RECAP Note Zones"}</definedName>
    <definedName name="adl" localSheetId="34" hidden="1">{#N/A,#N/A,FALSE,"RECAP Note Global";#N/A,#N/A,FALSE,"RECAP Note France";#N/A,#N/A,FALSE,"RECAP Note étranger";#N/A,#N/A,FALSE,"RECAP Note Zones"}</definedName>
    <definedName name="adl" localSheetId="35" hidden="1">{#N/A,#N/A,FALSE,"RECAP Note Global";#N/A,#N/A,FALSE,"RECAP Note France";#N/A,#N/A,FALSE,"RECAP Note étranger";#N/A,#N/A,FALSE,"RECAP Note Zones"}</definedName>
    <definedName name="adl" localSheetId="6" hidden="1">{#N/A,#N/A,FALSE,"RECAP Note Global";#N/A,#N/A,FALSE,"RECAP Note France";#N/A,#N/A,FALSE,"RECAP Note étranger";#N/A,#N/A,FALSE,"RECAP Note Zones"}</definedName>
    <definedName name="adl" localSheetId="15" hidden="1">{#N/A,#N/A,FALSE,"RECAP Note Global";#N/A,#N/A,FALSE,"RECAP Note France";#N/A,#N/A,FALSE,"RECAP Note étranger";#N/A,#N/A,FALSE,"RECAP Note Zones"}</definedName>
    <definedName name="adl" localSheetId="33" hidden="1">{#N/A,#N/A,FALSE,"RECAP Note Global";#N/A,#N/A,FALSE,"RECAP Note France";#N/A,#N/A,FALSE,"RECAP Note étranger";#N/A,#N/A,FALSE,"RECAP Note Zones"}</definedName>
    <definedName name="adl" localSheetId="32" hidden="1">{#N/A,#N/A,FALSE,"RECAP Note Global";#N/A,#N/A,FALSE,"RECAP Note France";#N/A,#N/A,FALSE,"RECAP Note étranger";#N/A,#N/A,FALSE,"RECAP Note Zones"}</definedName>
    <definedName name="adl" hidden="1">{#N/A,#N/A,FALSE,"RECAP Note Global";#N/A,#N/A,FALSE,"RECAP Note France";#N/A,#N/A,FALSE,"RECAP Note étranger";#N/A,#N/A,FALSE,"RECAP Note Zones"}</definedName>
    <definedName name="AFRIQMOYENORIENT">#REF!</definedName>
    <definedName name="ALARON" localSheetId="34">#REF!</definedName>
    <definedName name="ALARON" localSheetId="35">#REF!</definedName>
    <definedName name="ALARON">#REF!</definedName>
    <definedName name="ALEXANDRIE" localSheetId="34">#REF!</definedName>
    <definedName name="ALEXANDRIE" localSheetId="35">#REF!</definedName>
    <definedName name="ALEXANDRIE">#REF!</definedName>
    <definedName name="ALLEMACGEA" localSheetId="34">#REF!</definedName>
    <definedName name="ALLEMACGEA" localSheetId="35">#REF!</definedName>
    <definedName name="ALLEMACGEA">#REF!</definedName>
    <definedName name="ALLEMAGNE" localSheetId="34">#REF!</definedName>
    <definedName name="ALLEMAGNE" localSheetId="35">#REF!</definedName>
    <definedName name="ALLEMAGNE">#REF!</definedName>
    <definedName name="AMERIQSUD" localSheetId="34">#REF!</definedName>
    <definedName name="AMERIQSUD" localSheetId="35">#REF!</definedName>
    <definedName name="AMERIQSUD">#REF!</definedName>
    <definedName name="ANNEE">[12]Settings!$A$1</definedName>
    <definedName name="as" localSheetId="34">#REF!</definedName>
    <definedName name="as" localSheetId="35">#REF!</definedName>
    <definedName name="as">#REF!</definedName>
    <definedName name="AS2DocOpenMode" hidden="1">"AS2DocumentEdit"</definedName>
    <definedName name="asg">#REF!</definedName>
    <definedName name="ashdlka" localSheetId="34">#REF!</definedName>
    <definedName name="ashdlka" localSheetId="35">#REF!</definedName>
    <definedName name="ashdlka">#REF!</definedName>
    <definedName name="ATTRIBUTS_COPIES" localSheetId="34">#REF!</definedName>
    <definedName name="ATTRIBUTS_COPIES" localSheetId="35">#REF!</definedName>
    <definedName name="ATTRIBUTS_COPIES">#REF!</definedName>
    <definedName name="ATTRIBUTS_PLANNING" localSheetId="34">#REF!</definedName>
    <definedName name="ATTRIBUTS_PLANNING" localSheetId="35">#REF!</definedName>
    <definedName name="ATTRIBUTS_PLANNING">#REF!</definedName>
    <definedName name="AUD" localSheetId="34">#REF!</definedName>
    <definedName name="AUD" localSheetId="35">#REF!</definedName>
    <definedName name="AUD">#REF!</definedName>
    <definedName name="AUDIT_ID" localSheetId="34">#REF!</definedName>
    <definedName name="AUDIT_ID" localSheetId="35">#REF!</definedName>
    <definedName name="AUDIT_ID">#REF!</definedName>
    <definedName name="aug">'[10]Aug 03'!$A$131:$H$471</definedName>
    <definedName name="AUTO" localSheetId="34">#REF!</definedName>
    <definedName name="AUTO" localSheetId="35">#REF!</definedName>
    <definedName name="AUTO">#REF!</definedName>
    <definedName name="Autre_CZ">[13]ROA!#REF!</definedName>
    <definedName name="AUTRESEUROPE" localSheetId="34">#REF!</definedName>
    <definedName name="AUTRESEUROPE" localSheetId="35">#REF!</definedName>
    <definedName name="AUTRESEUROPE">#REF!</definedName>
    <definedName name="axe.6" localSheetId="34">#REF!</definedName>
    <definedName name="axe.6" localSheetId="35">#REF!</definedName>
    <definedName name="axe.6">#REF!</definedName>
    <definedName name="AZERTY">[14]PAO!$A$30:$A$35</definedName>
    <definedName name="B" localSheetId="0" hidden="1">{#N/A,#N/A,FALSE,"RECAP Note Global";#N/A,#N/A,FALSE,"RECAP Note France";#N/A,#N/A,FALSE,"RECAP Note étranger";#N/A,#N/A,FALSE,"RECAP Note Zones"}</definedName>
    <definedName name="B" localSheetId="7" hidden="1">{#N/A,#N/A,FALSE,"RECAP Note Global";#N/A,#N/A,FALSE,"RECAP Note France";#N/A,#N/A,FALSE,"RECAP Note étranger";#N/A,#N/A,FALSE,"RECAP Note Zones"}</definedName>
    <definedName name="B" localSheetId="2" hidden="1">{#N/A,#N/A,FALSE,"RECAP Note Global";#N/A,#N/A,FALSE,"RECAP Note France";#N/A,#N/A,FALSE,"RECAP Note étranger";#N/A,#N/A,FALSE,"RECAP Note Zones"}</definedName>
    <definedName name="B" localSheetId="34" hidden="1">{#N/A,#N/A,FALSE,"RECAP Note Global";#N/A,#N/A,FALSE,"RECAP Note France";#N/A,#N/A,FALSE,"RECAP Note étranger";#N/A,#N/A,FALSE,"RECAP Note Zones"}</definedName>
    <definedName name="B" localSheetId="35" hidden="1">{#N/A,#N/A,FALSE,"RECAP Note Global";#N/A,#N/A,FALSE,"RECAP Note France";#N/A,#N/A,FALSE,"RECAP Note étranger";#N/A,#N/A,FALSE,"RECAP Note Zones"}</definedName>
    <definedName name="B" localSheetId="6" hidden="1">{#N/A,#N/A,FALSE,"RECAP Note Global";#N/A,#N/A,FALSE,"RECAP Note France";#N/A,#N/A,FALSE,"RECAP Note étranger";#N/A,#N/A,FALSE,"RECAP Note Zones"}</definedName>
    <definedName name="B" localSheetId="15" hidden="1">{#N/A,#N/A,FALSE,"RECAP Note Global";#N/A,#N/A,FALSE,"RECAP Note France";#N/A,#N/A,FALSE,"RECAP Note étranger";#N/A,#N/A,FALSE,"RECAP Note Zones"}</definedName>
    <definedName name="B" localSheetId="33" hidden="1">{#N/A,#N/A,FALSE,"RECAP Note Global";#N/A,#N/A,FALSE,"RECAP Note France";#N/A,#N/A,FALSE,"RECAP Note étranger";#N/A,#N/A,FALSE,"RECAP Note Zones"}</definedName>
    <definedName name="B" localSheetId="32" hidden="1">{#N/A,#N/A,FALSE,"RECAP Note Global";#N/A,#N/A,FALSE,"RECAP Note France";#N/A,#N/A,FALSE,"RECAP Note étranger";#N/A,#N/A,FALSE,"RECAP Note Zones"}</definedName>
    <definedName name="B" hidden="1">{#N/A,#N/A,FALSE,"RECAP Note Global";#N/A,#N/A,FALSE,"RECAP Note France";#N/A,#N/A,FALSE,"RECAP Note étranger";#N/A,#N/A,FALSE,"RECAP Note Zones"}</definedName>
    <definedName name="B_PUIDF">#REF!</definedName>
    <definedName name="Beg_Bal" localSheetId="34">#REF!</definedName>
    <definedName name="Beg_Bal" localSheetId="35">#REF!</definedName>
    <definedName name="Beg_Bal">#REF!</definedName>
    <definedName name="BEREICH">[15]looplist!#REF!</definedName>
    <definedName name="Berlin">[13]ROA!#REF!</definedName>
    <definedName name="BFRfrance" localSheetId="34">#REF!</definedName>
    <definedName name="BFRfrance" localSheetId="35">#REF!</definedName>
    <definedName name="BFRfrance">#REF!</definedName>
    <definedName name="BFRfrancespe" localSheetId="34">#REF!</definedName>
    <definedName name="BFRfrancespe" localSheetId="35">#REF!</definedName>
    <definedName name="BFRfrancespe">#REF!</definedName>
    <definedName name="BFRnord" localSheetId="34">#REF!</definedName>
    <definedName name="BFRnord" localSheetId="35">#REF!</definedName>
    <definedName name="BFRnord">#REF!</definedName>
    <definedName name="BFRpeco" localSheetId="34">#REF!</definedName>
    <definedName name="BFRpeco" localSheetId="35">#REF!</definedName>
    <definedName name="BFRpeco">#REF!</definedName>
    <definedName name="BFRsud" localSheetId="34">#REF!</definedName>
    <definedName name="BFRsud" localSheetId="35">#REF!</definedName>
    <definedName name="BFRsud">#REF!</definedName>
    <definedName name="BuiltIn_Print_Area" localSheetId="34">#REF!</definedName>
    <definedName name="BuiltIn_Print_Area" localSheetId="35">#REF!</definedName>
    <definedName name="BuiltIn_Print_Area">#REF!</definedName>
    <definedName name="BuiltIn_Print_Area___0" localSheetId="34">#REF!</definedName>
    <definedName name="BuiltIn_Print_Area___0" localSheetId="35">#REF!</definedName>
    <definedName name="BuiltIn_Print_Area___0">#REF!</definedName>
    <definedName name="BuiltIn_Print_Titles" localSheetId="34">#REF!</definedName>
    <definedName name="BuiltIn_Print_Titles" localSheetId="35">#REF!</definedName>
    <definedName name="BuiltIn_Print_Titles">#REF!</definedName>
    <definedName name="BuiltIn_Print_Titles___0" localSheetId="34">#REF!</definedName>
    <definedName name="BuiltIn_Print_Titles___0" localSheetId="35">#REF!</definedName>
    <definedName name="BuiltIn_Print_Titles___0">#REF!</definedName>
    <definedName name="BUREAU_ETUDES" localSheetId="34">#REF!</definedName>
    <definedName name="BUREAU_ETUDES" localSheetId="35">#REF!</definedName>
    <definedName name="BUREAU_ETUDES">#REF!</definedName>
    <definedName name="C_DIIDF" localSheetId="34">#REF!</definedName>
    <definedName name="C_DIIDF" localSheetId="35">#REF!</definedName>
    <definedName name="C_DIIDF">#REF!</definedName>
    <definedName name="CAFD12" localSheetId="34">#REF!</definedName>
    <definedName name="CAFD12" localSheetId="35">#REF!</definedName>
    <definedName name="CAFD12">#REF!</definedName>
    <definedName name="CArecap" localSheetId="0" hidden="1">{#N/A,#N/A,FALSE,"RECAP Note Global";#N/A,#N/A,FALSE,"RECAP Note France";#N/A,#N/A,FALSE,"RECAP Note étranger";#N/A,#N/A,FALSE,"RECAP Note Zones"}</definedName>
    <definedName name="CArecap" localSheetId="7" hidden="1">{#N/A,#N/A,FALSE,"RECAP Note Global";#N/A,#N/A,FALSE,"RECAP Note France";#N/A,#N/A,FALSE,"RECAP Note étranger";#N/A,#N/A,FALSE,"RECAP Note Zones"}</definedName>
    <definedName name="CArecap" localSheetId="2" hidden="1">{#N/A,#N/A,FALSE,"RECAP Note Global";#N/A,#N/A,FALSE,"RECAP Note France";#N/A,#N/A,FALSE,"RECAP Note étranger";#N/A,#N/A,FALSE,"RECAP Note Zones"}</definedName>
    <definedName name="CArecap" localSheetId="34" hidden="1">{#N/A,#N/A,FALSE,"RECAP Note Global";#N/A,#N/A,FALSE,"RECAP Note France";#N/A,#N/A,FALSE,"RECAP Note étranger";#N/A,#N/A,FALSE,"RECAP Note Zones"}</definedName>
    <definedName name="CArecap" localSheetId="35" hidden="1">{#N/A,#N/A,FALSE,"RECAP Note Global";#N/A,#N/A,FALSE,"RECAP Note France";#N/A,#N/A,FALSE,"RECAP Note étranger";#N/A,#N/A,FALSE,"RECAP Note Zones"}</definedName>
    <definedName name="CArecap" localSheetId="6" hidden="1">{#N/A,#N/A,FALSE,"RECAP Note Global";#N/A,#N/A,FALSE,"RECAP Note France";#N/A,#N/A,FALSE,"RECAP Note étranger";#N/A,#N/A,FALSE,"RECAP Note Zones"}</definedName>
    <definedName name="CArecap" localSheetId="15" hidden="1">{#N/A,#N/A,FALSE,"RECAP Note Global";#N/A,#N/A,FALSE,"RECAP Note France";#N/A,#N/A,FALSE,"RECAP Note étranger";#N/A,#N/A,FALSE,"RECAP Note Zones"}</definedName>
    <definedName name="CArecap" localSheetId="33" hidden="1">{#N/A,#N/A,FALSE,"RECAP Note Global";#N/A,#N/A,FALSE,"RECAP Note France";#N/A,#N/A,FALSE,"RECAP Note étranger";#N/A,#N/A,FALSE,"RECAP Note Zones"}</definedName>
    <definedName name="CArecap" localSheetId="32" hidden="1">{#N/A,#N/A,FALSE,"RECAP Note Global";#N/A,#N/A,FALSE,"RECAP Note France";#N/A,#N/A,FALSE,"RECAP Note étranger";#N/A,#N/A,FALSE,"RECAP Note Zones"}</definedName>
    <definedName name="CArecap" hidden="1">{#N/A,#N/A,FALSE,"RECAP Note Global";#N/A,#N/A,FALSE,"RECAP Note France";#N/A,#N/A,FALSE,"RECAP Note étranger";#N/A,#N/A,FALSE,"RECAP Note Zones"}</definedName>
    <definedName name="ccc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7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6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CCCC" localSheetId="0" hidden="1">#REF!</definedName>
    <definedName name="CCCC" localSheetId="8" hidden="1">#REF!</definedName>
    <definedName name="CCCC" localSheetId="2" hidden="1">#REF!</definedName>
    <definedName name="CCCC" localSheetId="22" hidden="1">#REF!</definedName>
    <definedName name="CCCC" localSheetId="34" hidden="1">#REF!</definedName>
    <definedName name="CCCC" localSheetId="35" hidden="1">#REF!</definedName>
    <definedName name="CCCC" localSheetId="29" hidden="1">#REF!</definedName>
    <definedName name="CCCC" localSheetId="19" hidden="1">#REF!</definedName>
    <definedName name="CCCC" localSheetId="20" hidden="1">#REF!</definedName>
    <definedName name="CCCC" localSheetId="4" hidden="1">#REF!</definedName>
    <definedName name="CCCC" localSheetId="9" hidden="1">#REF!</definedName>
    <definedName name="CCCC" localSheetId="5" hidden="1">#REF!</definedName>
    <definedName name="CCCC" localSheetId="30" hidden="1">#REF!</definedName>
    <definedName name="CCCC" localSheetId="14" hidden="1">#REF!</definedName>
    <definedName name="CCCC" localSheetId="16" hidden="1">#REF!</definedName>
    <definedName name="CCCC" localSheetId="6" hidden="1">#REF!</definedName>
    <definedName name="CCCC" localSheetId="15" hidden="1">#REF!</definedName>
    <definedName name="CCCC" localSheetId="1" hidden="1">#REF!</definedName>
    <definedName name="CCCC" localSheetId="33" hidden="1">#REF!</definedName>
    <definedName name="CCCC" localSheetId="32" hidden="1">#REF!</definedName>
    <definedName name="CCCC" localSheetId="12" hidden="1">#REF!</definedName>
    <definedName name="CCCC" localSheetId="25" hidden="1">#REF!</definedName>
    <definedName name="CCCC" localSheetId="31" hidden="1">#REF!</definedName>
    <definedName name="CCCC" hidden="1">#REF!</definedName>
    <definedName name="CE.DIV">'[16]Rep PAO DIV'!$W$27:$AN$82</definedName>
    <definedName name="CE.GEO">'[16]Rep GEO PAO'!$W$33:$AN$88</definedName>
    <definedName name="Centrale">[17]PAO!$B$9:$B$16</definedName>
    <definedName name="CGE" localSheetId="34">#REF!</definedName>
    <definedName name="CGE" localSheetId="35">#REF!</definedName>
    <definedName name="CGE">#REF!</definedName>
    <definedName name="CGEA" localSheetId="34">#REF!</definedName>
    <definedName name="CGEA" localSheetId="35">#REF!</definedName>
    <definedName name="CGEA">#REF!</definedName>
    <definedName name="CGEA_ASIA" localSheetId="34">#REF!</definedName>
    <definedName name="CGEA_ASIA" localSheetId="35">#REF!</definedName>
    <definedName name="CGEA_ASIA">#REF!</definedName>
    <definedName name="colAttachment">[18]Recipients!$E$1</definedName>
    <definedName name="colEmail">[18]Recipients!$C$1</definedName>
    <definedName name="colName">[18]Recipients!$A$1</definedName>
    <definedName name="colSendOrNot">[18]Recipients!$D$1</definedName>
    <definedName name="colSuccess">[18]Recipients!$H$1</definedName>
    <definedName name="Column_1">'[19] Parameters'!$E$18</definedName>
    <definedName name="CONNEX" localSheetId="34">#REF!</definedName>
    <definedName name="CONNEX" localSheetId="35">#REF!</definedName>
    <definedName name="CONNEX">#REF!</definedName>
    <definedName name="Contrôle_çFrance" localSheetId="34">#REF!</definedName>
    <definedName name="Contrôle_çFrance" localSheetId="35">#REF!</definedName>
    <definedName name="Contrôle_çFrance">#REF!</definedName>
    <definedName name="Contrôle_global" localSheetId="34">#REF!</definedName>
    <definedName name="Contrôle_global" localSheetId="35">#REF!</definedName>
    <definedName name="Contrôle_global">#REF!</definedName>
    <definedName name="current" localSheetId="34">#REF!</definedName>
    <definedName name="current" localSheetId="35">#REF!</definedName>
    <definedName name="current">#REF!</definedName>
    <definedName name="customer" localSheetId="34">#REF!</definedName>
    <definedName name="customer" localSheetId="35">#REF!</definedName>
    <definedName name="customer">#REF!</definedName>
    <definedName name="CYSS" localSheetId="8" hidden="1">[7]DESBAST!#REF!</definedName>
    <definedName name="CYSS" localSheetId="2" hidden="1">[7]DESBAST!#REF!</definedName>
    <definedName name="CYSS" localSheetId="22" hidden="1">[7]DESBAST!#REF!</definedName>
    <definedName name="CYSS" localSheetId="29" hidden="1">[8]DESBAST!#REF!</definedName>
    <definedName name="CYSS" localSheetId="19" hidden="1">[7]DESBAST!#REF!</definedName>
    <definedName name="CYSS" localSheetId="20" hidden="1">[7]DESBAST!#REF!</definedName>
    <definedName name="CYSS" localSheetId="18" hidden="1">[7]DESBAST!#REF!</definedName>
    <definedName name="CYSS" localSheetId="4" hidden="1">[7]DESBAST!#REF!</definedName>
    <definedName name="CYSS" localSheetId="9" hidden="1">[7]DESBAST!#REF!</definedName>
    <definedName name="CYSS" localSheetId="5" hidden="1">[7]DESBAST!#REF!</definedName>
    <definedName name="CYSS" localSheetId="30" hidden="1">[8]DESBAST!#REF!</definedName>
    <definedName name="CYSS" localSheetId="14" hidden="1">[7]DESBAST!#REF!</definedName>
    <definedName name="CYSS" localSheetId="16" hidden="1">[7]DESBAST!#REF!</definedName>
    <definedName name="CYSS" localSheetId="6" hidden="1">[7]DESBAST!#REF!</definedName>
    <definedName name="CYSS" localSheetId="15" hidden="1">[7]DESBAST!#REF!</definedName>
    <definedName name="CYSS" localSheetId="1" hidden="1">[7]DESBAST!#REF!</definedName>
    <definedName name="CYSS" localSheetId="12" hidden="1">[7]DESBAST!#REF!</definedName>
    <definedName name="CYSS" localSheetId="25" hidden="1">[7]DESBAST!#REF!</definedName>
    <definedName name="CYSS" localSheetId="31" hidden="1">[8]DESBAST!#REF!</definedName>
    <definedName name="CYSS" hidden="1">[7]DESBAST!#REF!</definedName>
    <definedName name="CZK" localSheetId="34">#REF!</definedName>
    <definedName name="CZK" localSheetId="35">#REF!</definedName>
    <definedName name="CZK">#REF!</definedName>
    <definedName name="d" localSheetId="8" hidden="1">[1]DESBASTE!#REF!</definedName>
    <definedName name="d" localSheetId="2" hidden="1">[1]DESBASTE!#REF!</definedName>
    <definedName name="d" localSheetId="22" hidden="1">[1]DESBASTE!#REF!</definedName>
    <definedName name="d" localSheetId="9" hidden="1">[1]DESBASTE!#REF!</definedName>
    <definedName name="d" localSheetId="15" hidden="1">[1]DESBASTE!#REF!</definedName>
    <definedName name="d" localSheetId="25" hidden="1">[1]DESBASTE!#REF!</definedName>
    <definedName name="d" hidden="1">[1]DESBASTE!#REF!</definedName>
    <definedName name="D_REPVE" localSheetId="34">#REF!</definedName>
    <definedName name="D_REPVE" localSheetId="35">#REF!</definedName>
    <definedName name="D_REPVE">#REF!</definedName>
    <definedName name="DALKIA_DAT_01" localSheetId="34">#REF!</definedName>
    <definedName name="DALKIA_DAT_01" localSheetId="35">#REF!</definedName>
    <definedName name="DALKIA_DAT_01">#REF!</definedName>
    <definedName name="DALKIA_edf_4_50" localSheetId="34">#REF!</definedName>
    <definedName name="DALKIA_edf_4_50" localSheetId="35">#REF!</definedName>
    <definedName name="DALKIA_edf_4_50">#REF!</definedName>
    <definedName name="DALKIA_edf_5_44" localSheetId="34">#REF!</definedName>
    <definedName name="DALKIA_edf_5_44" localSheetId="35">#REF!</definedName>
    <definedName name="DALKIA_edf_5_44">#REF!</definedName>
    <definedName name="DALKIA_edf_5_725176" localSheetId="34">#REF!</definedName>
    <definedName name="DALKIA_edf_5_725176" localSheetId="35">#REF!</definedName>
    <definedName name="DALKIA_edf_5_725176">#REF!</definedName>
    <definedName name="DALKIA_HOLDING" localSheetId="34">#REF!</definedName>
    <definedName name="DALKIA_HOLDING" localSheetId="35">#REF!</definedName>
    <definedName name="DALKIA_HOLDING">#REF!</definedName>
    <definedName name="DALKIA_OD" localSheetId="34">#REF!</definedName>
    <definedName name="DALKIA_OD" localSheetId="35">#REF!</definedName>
    <definedName name="DALKIA_OD">#REF!</definedName>
    <definedName name="DALKIA_TRESORERIE" localSheetId="34">#REF!</definedName>
    <definedName name="DALKIA_TRESORERIE" localSheetId="35">#REF!</definedName>
    <definedName name="DALKIA_TRESORERIE">#REF!</definedName>
    <definedName name="DANEMARK" localSheetId="34">#REF!</definedName>
    <definedName name="DANEMARK" localSheetId="35">#REF!</definedName>
    <definedName name="DANEMARK">#REF!</definedName>
    <definedName name="Data" localSheetId="34">#REF!</definedName>
    <definedName name="Data" localSheetId="35">#REF!</definedName>
    <definedName name="Data">#REF!</definedName>
    <definedName name="DATA1" localSheetId="34">[20]IFRS!#REF!</definedName>
    <definedName name="DATA1" localSheetId="35">[20]IFRS!#REF!</definedName>
    <definedName name="DATA1">[20]IFRS!#REF!</definedName>
    <definedName name="DATA10" localSheetId="34">'[21]Korrektur Aufwertungen IFRS2010'!#REF!</definedName>
    <definedName name="DATA10" localSheetId="35">'[21]Korrektur Aufwertungen IFRS2010'!#REF!</definedName>
    <definedName name="DATA10">'[21]Korrektur Aufwertungen IFRS2010'!#REF!</definedName>
    <definedName name="DATA11" localSheetId="34">'[21]Korrektur Aufwertungen IFRS2010'!#REF!</definedName>
    <definedName name="DATA11" localSheetId="35">'[21]Korrektur Aufwertungen IFRS2010'!#REF!</definedName>
    <definedName name="DATA11">'[21]Korrektur Aufwertungen IFRS2010'!#REF!</definedName>
    <definedName name="DATA13" localSheetId="34">'[21]Korrektur Aufwertungen IFRS2010'!#REF!</definedName>
    <definedName name="DATA13" localSheetId="35">'[21]Korrektur Aufwertungen IFRS2010'!#REF!</definedName>
    <definedName name="DATA13">'[21]Korrektur Aufwertungen IFRS2010'!#REF!</definedName>
    <definedName name="DATA14">'[21]Korrektur Aufwertungen IFRS2010'!#REF!</definedName>
    <definedName name="DATA15">'[21]Korrektur Aufwertungen IFRS2010'!#REF!</definedName>
    <definedName name="DATA17">'[21]Korrektur Aufwertungen IFRS2010'!#REF!</definedName>
    <definedName name="DATA18">'[21]Korrektur Aufwertungen IFRS2010'!#REF!</definedName>
    <definedName name="DATA19">'[21]Korrektur Aufwertungen IFRS2010'!#REF!</definedName>
    <definedName name="DATA2">'[22]IFRS 09'!$B$2:$B$1159</definedName>
    <definedName name="DATA20">'[21]Korrektur Aufwertungen IFRS2010'!#REF!</definedName>
    <definedName name="DATA21">'[21]Korrektur Aufwertungen IFRS2010'!#REF!</definedName>
    <definedName name="DATA22">'[21]Korrektur Aufwertungen IFRS2010'!#REF!</definedName>
    <definedName name="DATA23">'[21]Korrektur Aufwertungen IFRS2010'!#REF!</definedName>
    <definedName name="DATA24">'[21]Korrektur Aufwertungen IFRS2010'!#REF!</definedName>
    <definedName name="DATA3">[20]IFRS!#REF!</definedName>
    <definedName name="DATA4">[20]IFRS!#REF!</definedName>
    <definedName name="DATA5">[20]IFRS!#REF!</definedName>
    <definedName name="DATA6">[20]IFRS!#REF!</definedName>
    <definedName name="DATA7">'[21]Korrektur Aufwertungen IFRS2010'!#REF!</definedName>
    <definedName name="DATA8">'[21]Korrektur Aufwertungen IFRS2010'!#REF!</definedName>
    <definedName name="DATA9">'[21]Korrektur Aufwertungen IFRS2010'!#REF!</definedName>
    <definedName name="_xlnm.Database" localSheetId="34">#REF!</definedName>
    <definedName name="_xlnm.Database" localSheetId="35">#REF!</definedName>
    <definedName name="_xlnm.Database">#REF!</definedName>
    <definedName name="dec07rt">[3]param!$AI$6:$AI$17</definedName>
    <definedName name="DEVI">[12]Settings!$A$3</definedName>
    <definedName name="dfhj">#N/A</definedName>
    <definedName name="DIS">#REF!</definedName>
    <definedName name="dividendesnord" localSheetId="34">#REF!</definedName>
    <definedName name="dividendesnord" localSheetId="35">#REF!</definedName>
    <definedName name="dividendesnord">#REF!</definedName>
    <definedName name="dividendespeco" localSheetId="34">#REF!</definedName>
    <definedName name="dividendespeco" localSheetId="35">#REF!</definedName>
    <definedName name="dividendespeco">#REF!</definedName>
    <definedName name="dividendessud" localSheetId="34">#REF!</definedName>
    <definedName name="dividendessud" localSheetId="35">#REF!</definedName>
    <definedName name="dividendessud">#REF!</definedName>
    <definedName name="DKK" localSheetId="34">#REF!</definedName>
    <definedName name="DKK" localSheetId="35">#REF!</definedName>
    <definedName name="DKK">#REF!</definedName>
    <definedName name="DLJDFLS" localSheetId="34">#REF!</definedName>
    <definedName name="DLJDFLS" localSheetId="35">#REF!</definedName>
    <definedName name="DLJDFLS">#REF!</definedName>
    <definedName name="dsghi" localSheetId="0" hidden="1">{#N/A,#N/A,FALSE,"Aging Summary";#N/A,#N/A,FALSE,"Ratio Analysis";#N/A,#N/A,FALSE,"Test 120 Day Accts";#N/A,#N/A,FALSE,"Tickmarks"}</definedName>
    <definedName name="dsghi" localSheetId="7" hidden="1">{#N/A,#N/A,FALSE,"Aging Summary";#N/A,#N/A,FALSE,"Ratio Analysis";#N/A,#N/A,FALSE,"Test 120 Day Accts";#N/A,#N/A,FALSE,"Tickmarks"}</definedName>
    <definedName name="dsghi" localSheetId="2" hidden="1">{#N/A,#N/A,FALSE,"Aging Summary";#N/A,#N/A,FALSE,"Ratio Analysis";#N/A,#N/A,FALSE,"Test 120 Day Accts";#N/A,#N/A,FALSE,"Tickmarks"}</definedName>
    <definedName name="dsghi" localSheetId="34" hidden="1">{#N/A,#N/A,FALSE,"Aging Summary";#N/A,#N/A,FALSE,"Ratio Analysis";#N/A,#N/A,FALSE,"Test 120 Day Accts";#N/A,#N/A,FALSE,"Tickmarks"}</definedName>
    <definedName name="dsghi" localSheetId="35" hidden="1">{#N/A,#N/A,FALSE,"Aging Summary";#N/A,#N/A,FALSE,"Ratio Analysis";#N/A,#N/A,FALSE,"Test 120 Day Accts";#N/A,#N/A,FALSE,"Tickmarks"}</definedName>
    <definedName name="dsghi" localSheetId="6" hidden="1">{#N/A,#N/A,FALSE,"Aging Summary";#N/A,#N/A,FALSE,"Ratio Analysis";#N/A,#N/A,FALSE,"Test 120 Day Accts";#N/A,#N/A,FALSE,"Tickmarks"}</definedName>
    <definedName name="dsghi" localSheetId="15" hidden="1">{#N/A,#N/A,FALSE,"Aging Summary";#N/A,#N/A,FALSE,"Ratio Analysis";#N/A,#N/A,FALSE,"Test 120 Day Accts";#N/A,#N/A,FALSE,"Tickmarks"}</definedName>
    <definedName name="dsghi" localSheetId="33" hidden="1">{#N/A,#N/A,FALSE,"Aging Summary";#N/A,#N/A,FALSE,"Ratio Analysis";#N/A,#N/A,FALSE,"Test 120 Day Accts";#N/A,#N/A,FALSE,"Tickmarks"}</definedName>
    <definedName name="dsghi" localSheetId="32" hidden="1">{#N/A,#N/A,FALSE,"Aging Summary";#N/A,#N/A,FALSE,"Ratio Analysis";#N/A,#N/A,FALSE,"Test 120 Day Accts";#N/A,#N/A,FALSE,"Tickmarks"}</definedName>
    <definedName name="dsghi" hidden="1">{#N/A,#N/A,FALSE,"Aging Summary";#N/A,#N/A,FALSE,"Ratio Analysis";#N/A,#N/A,FALSE,"Test 120 Day Accts";#N/A,#N/A,FALSE,"Tickmarks"}</definedName>
    <definedName name="E">#REF!</definedName>
    <definedName name="E_NE" localSheetId="34">#REF!</definedName>
    <definedName name="E_NE" localSheetId="35">#REF!</definedName>
    <definedName name="E_NE">#REF!</definedName>
    <definedName name="EE" localSheetId="34">#REF!</definedName>
    <definedName name="EE" localSheetId="35">#REF!</definedName>
    <definedName name="EE">#REF!</definedName>
    <definedName name="EFND12" localSheetId="34">#REF!</definedName>
    <definedName name="EFND12" localSheetId="35">#REF!</definedName>
    <definedName name="EFND12">#REF!</definedName>
    <definedName name="emailAttachment">[18]Help!$B$16</definedName>
    <definedName name="EmailsTodayTable" localSheetId="34">#REF!</definedName>
    <definedName name="EmailsTodayTable" localSheetId="35">#REF!</definedName>
    <definedName name="EmailsTodayTable">#REF!</definedName>
    <definedName name="emailSubject">[18]Help!$B$2</definedName>
    <definedName name="Emilio" localSheetId="8" hidden="1">[23]DESBASTE!#REF!</definedName>
    <definedName name="Emilio" localSheetId="2" hidden="1">[23]DESBASTE!#REF!</definedName>
    <definedName name="Emilio" localSheetId="22" hidden="1">[23]DESBASTE!#REF!</definedName>
    <definedName name="Emilio" localSheetId="29" hidden="1">[24]DESBASTE!#REF!</definedName>
    <definedName name="Emilio" localSheetId="19" hidden="1">[23]DESBASTE!#REF!</definedName>
    <definedName name="Emilio" localSheetId="20" hidden="1">[23]DESBASTE!#REF!</definedName>
    <definedName name="Emilio" localSheetId="18" hidden="1">[23]DESBASTE!#REF!</definedName>
    <definedName name="Emilio" localSheetId="4" hidden="1">[23]DESBASTE!#REF!</definedName>
    <definedName name="Emilio" localSheetId="9" hidden="1">[23]DESBASTE!#REF!</definedName>
    <definedName name="Emilio" localSheetId="5" hidden="1">[23]DESBASTE!#REF!</definedName>
    <definedName name="Emilio" localSheetId="30" hidden="1">[24]DESBASTE!#REF!</definedName>
    <definedName name="Emilio" localSheetId="14" hidden="1">[23]DESBASTE!#REF!</definedName>
    <definedName name="Emilio" localSheetId="16" hidden="1">[23]DESBASTE!#REF!</definedName>
    <definedName name="Emilio" localSheetId="6" hidden="1">[23]DESBASTE!#REF!</definedName>
    <definedName name="Emilio" localSheetId="15" hidden="1">[23]DESBASTE!#REF!</definedName>
    <definedName name="Emilio" localSheetId="1" hidden="1">[23]DESBASTE!#REF!</definedName>
    <definedName name="Emilio" localSheetId="12" hidden="1">[23]DESBASTE!#REF!</definedName>
    <definedName name="Emilio" localSheetId="25" hidden="1">[23]DESBASTE!#REF!</definedName>
    <definedName name="Emilio" localSheetId="31" hidden="1">[24]DESBASTE!#REF!</definedName>
    <definedName name="Emilio" hidden="1">[23]DESBASTE!#REF!</definedName>
    <definedName name="emilio1" localSheetId="0" hidden="1">#REF!</definedName>
    <definedName name="emilio1" localSheetId="8" hidden="1">#REF!</definedName>
    <definedName name="emilio1" localSheetId="2" hidden="1">#REF!</definedName>
    <definedName name="emilio1" localSheetId="22" hidden="1">#REF!</definedName>
    <definedName name="emilio1" localSheetId="34" hidden="1">#REF!</definedName>
    <definedName name="emilio1" localSheetId="35" hidden="1">#REF!</definedName>
    <definedName name="emilio1" localSheetId="29" hidden="1">#REF!</definedName>
    <definedName name="emilio1" localSheetId="19" hidden="1">#REF!</definedName>
    <definedName name="emilio1" localSheetId="20" hidden="1">#REF!</definedName>
    <definedName name="emilio1" localSheetId="18" hidden="1">#REF!</definedName>
    <definedName name="emilio1" localSheetId="4" hidden="1">#REF!</definedName>
    <definedName name="emilio1" localSheetId="9" hidden="1">#REF!</definedName>
    <definedName name="emilio1" localSheetId="5" hidden="1">#REF!</definedName>
    <definedName name="emilio1" localSheetId="30" hidden="1">#REF!</definedName>
    <definedName name="emilio1" localSheetId="14" hidden="1">#REF!</definedName>
    <definedName name="emilio1" localSheetId="16" hidden="1">#REF!</definedName>
    <definedName name="emilio1" localSheetId="6" hidden="1">#REF!</definedName>
    <definedName name="emilio1" localSheetId="15" hidden="1">#REF!</definedName>
    <definedName name="emilio1" localSheetId="1" hidden="1">#REF!</definedName>
    <definedName name="emilio1" localSheetId="33" hidden="1">#REF!</definedName>
    <definedName name="emilio1" localSheetId="32" hidden="1">#REF!</definedName>
    <definedName name="emilio1" localSheetId="12" hidden="1">#REF!</definedName>
    <definedName name="emilio1" localSheetId="25" hidden="1">#REF!</definedName>
    <definedName name="emilio1" localSheetId="31" hidden="1">#REF!</definedName>
    <definedName name="emilio1" hidden="1">#REF!</definedName>
    <definedName name="Emilio2" localSheetId="8" hidden="1">[25]LLEGADA!#REF!</definedName>
    <definedName name="Emilio2" localSheetId="2" hidden="1">[25]LLEGADA!#REF!</definedName>
    <definedName name="Emilio2" localSheetId="22" hidden="1">[25]LLEGADA!#REF!</definedName>
    <definedName name="Emilio2" localSheetId="29" hidden="1">[26]LLEGADA!#REF!</definedName>
    <definedName name="Emilio2" localSheetId="19" hidden="1">[25]LLEGADA!#REF!</definedName>
    <definedName name="Emilio2" localSheetId="20" hidden="1">[25]LLEGADA!#REF!</definedName>
    <definedName name="Emilio2" localSheetId="18" hidden="1">[25]LLEGADA!#REF!</definedName>
    <definedName name="Emilio2" localSheetId="4" hidden="1">[25]LLEGADA!#REF!</definedName>
    <definedName name="Emilio2" localSheetId="9" hidden="1">[25]LLEGADA!#REF!</definedName>
    <definedName name="Emilio2" localSheetId="5" hidden="1">[25]LLEGADA!#REF!</definedName>
    <definedName name="Emilio2" localSheetId="30" hidden="1">[26]LLEGADA!#REF!</definedName>
    <definedName name="Emilio2" localSheetId="14" hidden="1">[25]LLEGADA!#REF!</definedName>
    <definedName name="Emilio2" localSheetId="16" hidden="1">[25]LLEGADA!#REF!</definedName>
    <definedName name="Emilio2" localSheetId="6" hidden="1">[25]LLEGADA!#REF!</definedName>
    <definedName name="Emilio2" localSheetId="15" hidden="1">[25]LLEGADA!#REF!</definedName>
    <definedName name="Emilio2" localSheetId="1" hidden="1">[25]LLEGADA!#REF!</definedName>
    <definedName name="Emilio2" localSheetId="12" hidden="1">[25]LLEGADA!#REF!</definedName>
    <definedName name="Emilio2" localSheetId="25" hidden="1">[25]LLEGADA!#REF!</definedName>
    <definedName name="Emilio2" localSheetId="31" hidden="1">[26]LLEGADA!#REF!</definedName>
    <definedName name="Emilio2" hidden="1">[25]LLEGADA!#REF!</definedName>
    <definedName name="End_Bal" localSheetId="34">#REF!</definedName>
    <definedName name="End_Bal" localSheetId="35">#REF!</definedName>
    <definedName name="End_Bal">#REF!</definedName>
    <definedName name="ENTITY" localSheetId="34">#REF!</definedName>
    <definedName name="ENTITY" localSheetId="35">#REF!</definedName>
    <definedName name="ENTITY">#REF!</definedName>
    <definedName name="esc" localSheetId="34">#REF!</definedName>
    <definedName name="esc" localSheetId="35">#REF!</definedName>
    <definedName name="esc">#REF!</definedName>
    <definedName name="EST" localSheetId="34">#REF!</definedName>
    <definedName name="EST" localSheetId="35">#REF!</definedName>
    <definedName name="EST">#REF!</definedName>
    <definedName name="ESTIME2">[3]param!$J$6:$J$17</definedName>
    <definedName name="ESTIME2RT">[3]param!$AD$20:$AD$31</definedName>
    <definedName name="estime2sulo" localSheetId="34">#REF!</definedName>
    <definedName name="estime2sulo" localSheetId="35">#REF!</definedName>
    <definedName name="estime2sulo">#REF!</definedName>
    <definedName name="EUGR" localSheetId="34">#REF!</definedName>
    <definedName name="EUGR" localSheetId="35">#REF!</definedName>
    <definedName name="EUGR">#REF!</definedName>
    <definedName name="Euro" localSheetId="34">#REF!</definedName>
    <definedName name="Euro" localSheetId="35">#REF!</definedName>
    <definedName name="Euro">#REF!</definedName>
    <definedName name="EUROPCONTINENTAL" localSheetId="34">#REF!</definedName>
    <definedName name="EUROPCONTINENTAL" localSheetId="35">#REF!</definedName>
    <definedName name="EUROPCONTINENTAL">#REF!</definedName>
    <definedName name="EUROPNORD" localSheetId="34">#REF!</definedName>
    <definedName name="EUROPNORD" localSheetId="35">#REF!</definedName>
    <definedName name="EUROPNORD">#REF!</definedName>
    <definedName name="Excel_BuiltIn_Database" localSheetId="34">#REF!</definedName>
    <definedName name="Excel_BuiltIn_Database" localSheetId="35">#REF!</definedName>
    <definedName name="Excel_BuiltIn_Database">#REF!</definedName>
    <definedName name="Excel_BuiltIn_Database_61" localSheetId="34">#REF!</definedName>
    <definedName name="Excel_BuiltIn_Database_61" localSheetId="35">#REF!</definedName>
    <definedName name="Excel_BuiltIn_Database_61">#REF!</definedName>
    <definedName name="Excel_BuiltIn_Print_Area_1_1" localSheetId="34">#REF!</definedName>
    <definedName name="Excel_BuiltIn_Print_Area_1_1" localSheetId="35">#REF!</definedName>
    <definedName name="Excel_BuiltIn_Print_Area_1_1">#REF!</definedName>
    <definedName name="Excel_BuiltIn_Print_Area_2_1" localSheetId="34">#REF!</definedName>
    <definedName name="Excel_BuiltIn_Print_Area_2_1" localSheetId="35">#REF!</definedName>
    <definedName name="Excel_BuiltIn_Print_Area_2_1">#REF!</definedName>
    <definedName name="Excel_BuiltIn_Print_Area_2_1_1" localSheetId="34">#REF!</definedName>
    <definedName name="Excel_BuiltIn_Print_Area_2_1_1" localSheetId="35">#REF!</definedName>
    <definedName name="Excel_BuiltIn_Print_Area_2_1_1">#REF!</definedName>
    <definedName name="Excel_BuiltIn_Print_Area_3_1" localSheetId="34">#REF!</definedName>
    <definedName name="Excel_BuiltIn_Print_Area_3_1" localSheetId="35">#REF!</definedName>
    <definedName name="Excel_BuiltIn_Print_Area_3_1">#REF!</definedName>
    <definedName name="Excel_BuiltIn_Print_Area_4" localSheetId="34">#REF!</definedName>
    <definedName name="Excel_BuiltIn_Print_Area_4" localSheetId="35">#REF!</definedName>
    <definedName name="Excel_BuiltIn_Print_Area_4">#REF!</definedName>
    <definedName name="Excel_BuiltIn_Print_Area_4_1" localSheetId="34">#REF!</definedName>
    <definedName name="Excel_BuiltIn_Print_Area_4_1" localSheetId="35">#REF!</definedName>
    <definedName name="Excel_BuiltIn_Print_Area_4_1">#REF!</definedName>
    <definedName name="Excel_BuiltIn_Print_Area_8" localSheetId="34">#REF!</definedName>
    <definedName name="Excel_BuiltIn_Print_Area_8" localSheetId="35">#REF!</definedName>
    <definedName name="Excel_BuiltIn_Print_Area_8">#REF!</definedName>
    <definedName name="excelDirectory">[18]Help!$B$13</definedName>
    <definedName name="ExchangeDate">[27]HistoricData!$A$1</definedName>
    <definedName name="Exercice" localSheetId="34">#REF!</definedName>
    <definedName name="Exercice" localSheetId="35">#REF!</definedName>
    <definedName name="Exercice">#REF!</definedName>
    <definedName name="Extra_Pay" localSheetId="34">#REF!</definedName>
    <definedName name="Extra_Pay" localSheetId="35">#REF!</definedName>
    <definedName name="Extra_Pay">#REF!</definedName>
    <definedName name="f" localSheetId="34">#REF!</definedName>
    <definedName name="f" localSheetId="35">#REF!</definedName>
    <definedName name="f">#REF!</definedName>
    <definedName name="F_NEP" localSheetId="34">#REF!</definedName>
    <definedName name="F_NEP" localSheetId="35">#REF!</definedName>
    <definedName name="F_NEP">#REF!</definedName>
    <definedName name="FCFD12" localSheetId="34">#REF!</definedName>
    <definedName name="FCFD12" localSheetId="35">#REF!</definedName>
    <definedName name="FCFD12">#REF!</definedName>
    <definedName name="feild">'[27]FX (OLD)'!$B$3</definedName>
    <definedName name="financierfrance" localSheetId="34">#REF!</definedName>
    <definedName name="financierfrance" localSheetId="35">#REF!</definedName>
    <definedName name="financierfrance">#REF!</definedName>
    <definedName name="financierfrancespe" localSheetId="34">#REF!</definedName>
    <definedName name="financierfrancespe" localSheetId="35">#REF!</definedName>
    <definedName name="financierfrancespe">#REF!</definedName>
    <definedName name="financiernord" localSheetId="34">#REF!</definedName>
    <definedName name="financiernord" localSheetId="35">#REF!</definedName>
    <definedName name="financiernord">#REF!</definedName>
    <definedName name="financierpeco" localSheetId="34">#REF!</definedName>
    <definedName name="financierpeco" localSheetId="35">#REF!</definedName>
    <definedName name="financierpeco">#REF!</definedName>
    <definedName name="financiersud" localSheetId="34">#REF!</definedName>
    <definedName name="financiersud" localSheetId="35">#REF!</definedName>
    <definedName name="financiersud">#REF!</definedName>
    <definedName name="FinishedGoods">'[28] FG VALUATION'!$E$7:$E$8,'[28] FG VALUATION'!$E$10</definedName>
    <definedName name="FORECAST2">[29]PARAM!$D$1:$D$12</definedName>
    <definedName name="FRAISDEPERS" localSheetId="0" hidden="1">{#N/A,#N/A,FALSE,"RECAP Note Global";#N/A,#N/A,FALSE,"RECAP Note France";#N/A,#N/A,FALSE,"RECAP Note étranger";#N/A,#N/A,FALSE,"RECAP Note Zones"}</definedName>
    <definedName name="FRAISDEPERS" localSheetId="7" hidden="1">{#N/A,#N/A,FALSE,"RECAP Note Global";#N/A,#N/A,FALSE,"RECAP Note France";#N/A,#N/A,FALSE,"RECAP Note étranger";#N/A,#N/A,FALSE,"RECAP Note Zones"}</definedName>
    <definedName name="FRAISDEPERS" localSheetId="2" hidden="1">{#N/A,#N/A,FALSE,"RECAP Note Global";#N/A,#N/A,FALSE,"RECAP Note France";#N/A,#N/A,FALSE,"RECAP Note étranger";#N/A,#N/A,FALSE,"RECAP Note Zones"}</definedName>
    <definedName name="FRAISDEPERS" localSheetId="34" hidden="1">{#N/A,#N/A,FALSE,"RECAP Note Global";#N/A,#N/A,FALSE,"RECAP Note France";#N/A,#N/A,FALSE,"RECAP Note étranger";#N/A,#N/A,FALSE,"RECAP Note Zones"}</definedName>
    <definedName name="FRAISDEPERS" localSheetId="35" hidden="1">{#N/A,#N/A,FALSE,"RECAP Note Global";#N/A,#N/A,FALSE,"RECAP Note France";#N/A,#N/A,FALSE,"RECAP Note étranger";#N/A,#N/A,FALSE,"RECAP Note Zones"}</definedName>
    <definedName name="FRAISDEPERS" localSheetId="6" hidden="1">{#N/A,#N/A,FALSE,"RECAP Note Global";#N/A,#N/A,FALSE,"RECAP Note France";#N/A,#N/A,FALSE,"RECAP Note étranger";#N/A,#N/A,FALSE,"RECAP Note Zones"}</definedName>
    <definedName name="FRAISDEPERS" localSheetId="15" hidden="1">{#N/A,#N/A,FALSE,"RECAP Note Global";#N/A,#N/A,FALSE,"RECAP Note France";#N/A,#N/A,FALSE,"RECAP Note étranger";#N/A,#N/A,FALSE,"RECAP Note Zones"}</definedName>
    <definedName name="FRAISDEPERS" localSheetId="33" hidden="1">{#N/A,#N/A,FALSE,"RECAP Note Global";#N/A,#N/A,FALSE,"RECAP Note France";#N/A,#N/A,FALSE,"RECAP Note étranger";#N/A,#N/A,FALSE,"RECAP Note Zones"}</definedName>
    <definedName name="FRAISDEPERS" localSheetId="32" hidden="1">{#N/A,#N/A,FALSE,"RECAP Note Global";#N/A,#N/A,FALSE,"RECAP Note France";#N/A,#N/A,FALSE,"RECAP Note étranger";#N/A,#N/A,FALSE,"RECAP Note Zones"}</definedName>
    <definedName name="FRAISDEPERS" hidden="1">{#N/A,#N/A,FALSE,"RECAP Note Global";#N/A,#N/A,FALSE,"RECAP Note France";#N/A,#N/A,FALSE,"RECAP Note étranger";#N/A,#N/A,FALSE,"RECAP Note Zones"}</definedName>
    <definedName name="FRANCE">#REF!</definedName>
    <definedName name="Full_Print" localSheetId="34">#REF!</definedName>
    <definedName name="Full_Print" localSheetId="35">#REF!</definedName>
    <definedName name="Full_Print">#REF!</definedName>
    <definedName name="FunktionA">2+2+2+2</definedName>
    <definedName name="FwDate">#REF!</definedName>
    <definedName name="FwDay" localSheetId="34">#REF!</definedName>
    <definedName name="FwDay" localSheetId="35">#REF!</definedName>
    <definedName name="FwDay">#REF!</definedName>
    <definedName name="FwMonth" localSheetId="34">#REF!</definedName>
    <definedName name="FwMonth" localSheetId="35">#REF!</definedName>
    <definedName name="FwMonth">#REF!</definedName>
    <definedName name="FwYear" localSheetId="34">#REF!</definedName>
    <definedName name="FwYear" localSheetId="35">#REF!</definedName>
    <definedName name="FwYear">#REF!</definedName>
    <definedName name="fx">'[30]1. Local Hypothesys'!$C$54</definedName>
    <definedName name="g" localSheetId="34">#REF!</definedName>
    <definedName name="g" localSheetId="35">#REF!</definedName>
    <definedName name="g">#REF!</definedName>
    <definedName name="G_NORMA" localSheetId="34">#REF!</definedName>
    <definedName name="G_NORMA" localSheetId="35">#REF!</definedName>
    <definedName name="G_NORMA">#REF!</definedName>
    <definedName name="GBP" localSheetId="34">#REF!</definedName>
    <definedName name="GBP" localSheetId="35">#REF!</definedName>
    <definedName name="GBP">#REF!</definedName>
    <definedName name="gfh" localSheetId="8" hidden="1">[9]LLEGADA!#REF!</definedName>
    <definedName name="gfh" localSheetId="2" hidden="1">[9]LLEGADA!#REF!</definedName>
    <definedName name="gfh" localSheetId="22" hidden="1">[9]LLEGADA!#REF!</definedName>
    <definedName name="gfh" localSheetId="9" hidden="1">[9]LLEGADA!#REF!</definedName>
    <definedName name="gfh" localSheetId="15" hidden="1">[9]LLEGADA!#REF!</definedName>
    <definedName name="gfh" localSheetId="1" hidden="1">[9]LLEGADA!#REF!</definedName>
    <definedName name="gfh" localSheetId="25" hidden="1">[9]LLEGADA!#REF!</definedName>
    <definedName name="gfh" hidden="1">[9]LLEGADA!#REF!</definedName>
    <definedName name="GRANDE_BRETAGNE" localSheetId="34">#REF!</definedName>
    <definedName name="GRANDE_BRETAGNE" localSheetId="35">#REF!</definedName>
    <definedName name="GRANDE_BRETAGNE">#REF!</definedName>
    <definedName name="GREENLINE" localSheetId="34">#REF!</definedName>
    <definedName name="GREENLINE" localSheetId="35">#REF!</definedName>
    <definedName name="GREENLINE">#REF!</definedName>
    <definedName name="Groupe_CGEA_CONNEX" localSheetId="34">Compte Rés 'Execulation Revenue'!Euro</definedName>
    <definedName name="Groupe_CGEA_CONNEX" localSheetId="35">Compte Rés 'Execution Cost'!Euro</definedName>
    <definedName name="Groupe_CGEA_CONNEX" localSheetId="33">Compte Rés [0]!Euro</definedName>
    <definedName name="Groupe_CGEA_CONNEX" localSheetId="32">Compte Rés [0]!Euro</definedName>
    <definedName name="Groupe_CGEA_CONNEX" localSheetId="37">Compte Rés [0]!Euro</definedName>
    <definedName name="Groupe_CGEA_CONNEX">Compte Rés Euro</definedName>
    <definedName name="gsg">[31]Interrogation!#REF!</definedName>
    <definedName name="H_SO" localSheetId="34">#REF!</definedName>
    <definedName name="H_SO" localSheetId="35">#REF!</definedName>
    <definedName name="H_SO">#REF!</definedName>
    <definedName name="Header_Row">ROW(#REF!)</definedName>
    <definedName name="HISTO3">[3]param!$E$6:$E$17</definedName>
    <definedName name="Holding" localSheetId="34">#REF!,#REF!</definedName>
    <definedName name="Holding" localSheetId="35">#REF!,#REF!</definedName>
    <definedName name="Holding">#REF!,#REF!</definedName>
    <definedName name="Holding_asie" localSheetId="34">#REF!</definedName>
    <definedName name="Holding_asie" localSheetId="35">#REF!</definedName>
    <definedName name="Holding_asie">#REF!</definedName>
    <definedName name="holding1" localSheetId="34">#REF!</definedName>
    <definedName name="holding1" localSheetId="35">#REF!</definedName>
    <definedName name="holding1">#REF!</definedName>
    <definedName name="holidays" localSheetId="34">#REF!</definedName>
    <definedName name="holidays" localSheetId="35">#REF!</definedName>
    <definedName name="holidays">#REF!</definedName>
    <definedName name="HONGRIECGEA" localSheetId="34">#REF!</definedName>
    <definedName name="HONGRIECGEA" localSheetId="35">#REF!</definedName>
    <definedName name="HONGRIECGEA">#REF!</definedName>
    <definedName name="htmlDirectory">[18]Help!$B$11</definedName>
    <definedName name="HtmlLastSaved">[18]Help!$B$8</definedName>
    <definedName name="htmlTemplate">[18]Help!$B$7</definedName>
    <definedName name="I_Anträge_nach_VS_Q1" localSheetId="34">#REF!</definedName>
    <definedName name="I_Anträge_nach_VS_Q1" localSheetId="35">#REF!</definedName>
    <definedName name="I_Anträge_nach_VS_Q1">#REF!</definedName>
    <definedName name="I_CENTRE" localSheetId="34">#REF!</definedName>
    <definedName name="I_CENTRE" localSheetId="35">#REF!</definedName>
    <definedName name="I_CENTRE">#REF!</definedName>
    <definedName name="IFRS" localSheetId="34">[2]ND!#REF!</definedName>
    <definedName name="IFRS" localSheetId="35">[2]ND!#REF!</definedName>
    <definedName name="IFRS">[2]ND!#REF!</definedName>
    <definedName name="ii" localSheetId="0" hidden="1">{#N/A,#N/A,FALSE,"RECAP Note Global";#N/A,#N/A,FALSE,"RECAP Note France";#N/A,#N/A,FALSE,"RECAP Note étranger";#N/A,#N/A,FALSE,"RECAP Note Zones"}</definedName>
    <definedName name="ii" localSheetId="7" hidden="1">{#N/A,#N/A,FALSE,"RECAP Note Global";#N/A,#N/A,FALSE,"RECAP Note France";#N/A,#N/A,FALSE,"RECAP Note étranger";#N/A,#N/A,FALSE,"RECAP Note Zones"}</definedName>
    <definedName name="ii" localSheetId="2" hidden="1">{#N/A,#N/A,FALSE,"RECAP Note Global";#N/A,#N/A,FALSE,"RECAP Note France";#N/A,#N/A,FALSE,"RECAP Note étranger";#N/A,#N/A,FALSE,"RECAP Note Zones"}</definedName>
    <definedName name="ii" localSheetId="34" hidden="1">{#N/A,#N/A,FALSE,"RECAP Note Global";#N/A,#N/A,FALSE,"RECAP Note France";#N/A,#N/A,FALSE,"RECAP Note étranger";#N/A,#N/A,FALSE,"RECAP Note Zones"}</definedName>
    <definedName name="ii" localSheetId="35" hidden="1">{#N/A,#N/A,FALSE,"RECAP Note Global";#N/A,#N/A,FALSE,"RECAP Note France";#N/A,#N/A,FALSE,"RECAP Note étranger";#N/A,#N/A,FALSE,"RECAP Note Zones"}</definedName>
    <definedName name="ii" localSheetId="6" hidden="1">{#N/A,#N/A,FALSE,"RECAP Note Global";#N/A,#N/A,FALSE,"RECAP Note France";#N/A,#N/A,FALSE,"RECAP Note étranger";#N/A,#N/A,FALSE,"RECAP Note Zones"}</definedName>
    <definedName name="ii" localSheetId="15" hidden="1">{#N/A,#N/A,FALSE,"RECAP Note Global";#N/A,#N/A,FALSE,"RECAP Note France";#N/A,#N/A,FALSE,"RECAP Note étranger";#N/A,#N/A,FALSE,"RECAP Note Zones"}</definedName>
    <definedName name="ii" localSheetId="33" hidden="1">{#N/A,#N/A,FALSE,"RECAP Note Global";#N/A,#N/A,FALSE,"RECAP Note France";#N/A,#N/A,FALSE,"RECAP Note étranger";#N/A,#N/A,FALSE,"RECAP Note Zones"}</definedName>
    <definedName name="ii" localSheetId="32" hidden="1">{#N/A,#N/A,FALSE,"RECAP Note Global";#N/A,#N/A,FALSE,"RECAP Note France";#N/A,#N/A,FALSE,"RECAP Note étranger";#N/A,#N/A,FALSE,"RECAP Note Zones"}</definedName>
    <definedName name="ii" hidden="1">{#N/A,#N/A,FALSE,"RECAP Note Global";#N/A,#N/A,FALSE,"RECAP Note France";#N/A,#N/A,FALSE,"RECAP Note étranger";#N/A,#N/A,FALSE,"RECAP Note Zones"}</definedName>
    <definedName name="im">#REF!</definedName>
    <definedName name="IMP.Produkt01">[32]Import!$J$57</definedName>
    <definedName name="IMP.Produkt02">[32]Import!$J$58</definedName>
    <definedName name="IMP.Produkt03">[32]Import!$J$59</definedName>
    <definedName name="IMP.Produkt04">[32]Import!$J$60</definedName>
    <definedName name="IMP.Produkt05">[32]Import!$J$61</definedName>
    <definedName name="INDE" localSheetId="34">#REF!</definedName>
    <definedName name="INDE" localSheetId="35">#REF!</definedName>
    <definedName name="INDE">#REF!</definedName>
    <definedName name="indic" hidden="1">40753.6389930556</definedName>
    <definedName name="INEABUSINESSMODEL_REPORT0">'[33]PBZ - DEVISE LOCALE'!$E$4</definedName>
    <definedName name="INEACONTAINER_REPORT0" localSheetId="34">#REF!</definedName>
    <definedName name="INEACONTAINER_REPORT0" localSheetId="35">#REF!</definedName>
    <definedName name="INEACONTAINER_REPORT0">#REF!</definedName>
    <definedName name="INEADIM0ROW_REPORT0" localSheetId="34">#REF!</definedName>
    <definedName name="INEADIM0ROW_REPORT0" localSheetId="35">#REF!</definedName>
    <definedName name="INEADIM0ROW_REPORT0">#REF!</definedName>
    <definedName name="INEADIM0ROW_REPORT1" localSheetId="34">#REF!</definedName>
    <definedName name="INEADIM0ROW_REPORT1" localSheetId="35">#REF!</definedName>
    <definedName name="INEADIM0ROW_REPORT1">#REF!</definedName>
    <definedName name="INEADIM0ROW_REPORT2" localSheetId="34">#REF!</definedName>
    <definedName name="INEADIM0ROW_REPORT2" localSheetId="35">#REF!</definedName>
    <definedName name="INEADIM0ROW_REPORT2">#REF!</definedName>
    <definedName name="INEADIM1_REPORT0">'[33]PBZ - DEVISE LOCALE'!$E$7</definedName>
    <definedName name="INEADIM1_REPORT1" localSheetId="34">#REF!</definedName>
    <definedName name="INEADIM1_REPORT1" localSheetId="35">#REF!</definedName>
    <definedName name="INEADIM1_REPORT1">#REF!</definedName>
    <definedName name="INEADIM1_REPORT2" localSheetId="34">#REF!</definedName>
    <definedName name="INEADIM1_REPORT2" localSheetId="35">#REF!</definedName>
    <definedName name="INEADIM1_REPORT2">#REF!</definedName>
    <definedName name="INEADIM1_REPORT3" localSheetId="34">#REF!</definedName>
    <definedName name="INEADIM1_REPORT3" localSheetId="35">#REF!</definedName>
    <definedName name="INEADIM1_REPORT3">#REF!</definedName>
    <definedName name="INEADIM11_REPORT0">'[33]PBZ - DEVISE LOCALE'!$E$5</definedName>
    <definedName name="INEADIM11_REPORT1" localSheetId="34">#REF!</definedName>
    <definedName name="INEADIM11_REPORT1" localSheetId="35">#REF!</definedName>
    <definedName name="INEADIM11_REPORT1">#REF!</definedName>
    <definedName name="INEADIM11_REPORT2" localSheetId="34">#REF!</definedName>
    <definedName name="INEADIM11_REPORT2" localSheetId="35">#REF!</definedName>
    <definedName name="INEADIM11_REPORT2">#REF!</definedName>
    <definedName name="INEADIM11_REPORT3" localSheetId="34">#REF!</definedName>
    <definedName name="INEADIM11_REPORT3" localSheetId="35">#REF!</definedName>
    <definedName name="INEADIM11_REPORT3">#REF!</definedName>
    <definedName name="INEADIM11LABEL_REPORT0" localSheetId="34">#REF!</definedName>
    <definedName name="INEADIM11LABEL_REPORT0" localSheetId="35">#REF!</definedName>
    <definedName name="INEADIM11LABEL_REPORT0">#REF!</definedName>
    <definedName name="INEADIM12_REPORT0">'[33]PBZ - DEVISE LOCALE'!$E$6</definedName>
    <definedName name="INEADIM12_REPORT1" localSheetId="34">#REF!</definedName>
    <definedName name="INEADIM12_REPORT1" localSheetId="35">#REF!</definedName>
    <definedName name="INEADIM12_REPORT1">#REF!</definedName>
    <definedName name="INEADIM12_REPORT2" localSheetId="34">#REF!</definedName>
    <definedName name="INEADIM12_REPORT2" localSheetId="35">#REF!</definedName>
    <definedName name="INEADIM12_REPORT2">#REF!</definedName>
    <definedName name="INEADIM12_REPORT3" localSheetId="34">#REF!</definedName>
    <definedName name="INEADIM12_REPORT3" localSheetId="35">#REF!</definedName>
    <definedName name="INEADIM12_REPORT3">#REF!</definedName>
    <definedName name="INEADIM12COLUMN_REPORT0" localSheetId="34">[34]ugt!#REF!</definedName>
    <definedName name="INEADIM12COLUMN_REPORT0" localSheetId="35">[34]ugt!#REF!</definedName>
    <definedName name="INEADIM12COLUMN_REPORT0">[34]ugt!#REF!</definedName>
    <definedName name="INEADIM13ROW_REPORT0" localSheetId="34">#REF!</definedName>
    <definedName name="INEADIM13ROW_REPORT0" localSheetId="35">#REF!</definedName>
    <definedName name="INEADIM13ROW_REPORT0">#REF!</definedName>
    <definedName name="INEADIM14ROW_REPORT1" localSheetId="34">#REF!</definedName>
    <definedName name="INEADIM14ROW_REPORT1" localSheetId="35">#REF!</definedName>
    <definedName name="INEADIM14ROW_REPORT1">#REF!</definedName>
    <definedName name="INEADIM14ROW_REPORT2" localSheetId="34">#REF!</definedName>
    <definedName name="INEADIM14ROW_REPORT2" localSheetId="35">#REF!</definedName>
    <definedName name="INEADIM14ROW_REPORT2">#REF!</definedName>
    <definedName name="INEADIM14ROW_REPORT3" localSheetId="34">#REF!</definedName>
    <definedName name="INEADIM14ROW_REPORT3" localSheetId="35">#REF!</definedName>
    <definedName name="INEADIM14ROW_REPORT3">#REF!</definedName>
    <definedName name="INEADIM18_REPORT0">'[33]PBZ - DEVISE LOCALE'!$E$11</definedName>
    <definedName name="INEADIM18_REPORT1" localSheetId="34">#REF!</definedName>
    <definedName name="INEADIM18_REPORT1" localSheetId="35">#REF!</definedName>
    <definedName name="INEADIM18_REPORT1">#REF!</definedName>
    <definedName name="INEADIM18_REPORT2" localSheetId="34">#REF!</definedName>
    <definedName name="INEADIM18_REPORT2" localSheetId="35">#REF!</definedName>
    <definedName name="INEADIM18_REPORT2">#REF!</definedName>
    <definedName name="INEADIM18_REPORT3" localSheetId="34">#REF!</definedName>
    <definedName name="INEADIM18_REPORT3" localSheetId="35">#REF!</definedName>
    <definedName name="INEADIM18_REPORT3">#REF!</definedName>
    <definedName name="INEADIM18LABEL_REPORT0" localSheetId="34">#REF!</definedName>
    <definedName name="INEADIM18LABEL_REPORT0" localSheetId="35">#REF!</definedName>
    <definedName name="INEADIM18LABEL_REPORT0">#REF!</definedName>
    <definedName name="INEADIM1LABEL_REPORT0" localSheetId="34">#REF!</definedName>
    <definedName name="INEADIM1LABEL_REPORT0" localSheetId="35">#REF!</definedName>
    <definedName name="INEADIM1LABEL_REPORT0">#REF!</definedName>
    <definedName name="INEADIM2_REPORT0">'[33]PBZ - DEVISE LOCALE'!$E$8</definedName>
    <definedName name="INEADIM2_REPORT1" localSheetId="34">#REF!</definedName>
    <definedName name="INEADIM2_REPORT1" localSheetId="35">#REF!</definedName>
    <definedName name="INEADIM2_REPORT1">#REF!</definedName>
    <definedName name="INEADIM2_REPORT2" localSheetId="34">#REF!</definedName>
    <definedName name="INEADIM2_REPORT2" localSheetId="35">#REF!</definedName>
    <definedName name="INEADIM2_REPORT2">#REF!</definedName>
    <definedName name="INEADIM2_REPORT3" localSheetId="34">#REF!</definedName>
    <definedName name="INEADIM2_REPORT3" localSheetId="35">#REF!</definedName>
    <definedName name="INEADIM2_REPORT3">#REF!</definedName>
    <definedName name="INEADIM2LABEL_REPORT0" localSheetId="34">#REF!</definedName>
    <definedName name="INEADIM2LABEL_REPORT0" localSheetId="35">#REF!</definedName>
    <definedName name="INEADIM2LABEL_REPORT0">#REF!</definedName>
    <definedName name="INEADIM5_REPORT0">'[33]PBZ - DEVISE LOCALE'!$E$9</definedName>
    <definedName name="INEADIM5_REPORT1" localSheetId="34">#REF!</definedName>
    <definedName name="INEADIM5_REPORT1" localSheetId="35">#REF!</definedName>
    <definedName name="INEADIM5_REPORT1">#REF!</definedName>
    <definedName name="INEADIM5_REPORT2" localSheetId="34">#REF!</definedName>
    <definedName name="INEADIM5_REPORT2" localSheetId="35">#REF!</definedName>
    <definedName name="INEADIM5_REPORT2">#REF!</definedName>
    <definedName name="INEADIM5_REPORT3" localSheetId="34">#REF!</definedName>
    <definedName name="INEADIM5_REPORT3" localSheetId="35">#REF!</definedName>
    <definedName name="INEADIM5_REPORT3">#REF!</definedName>
    <definedName name="INEADIM5LABEL_REPORT0" localSheetId="34">#REF!</definedName>
    <definedName name="INEADIM5LABEL_REPORT0" localSheetId="35">#REF!</definedName>
    <definedName name="INEADIM5LABEL_REPORT0">#REF!</definedName>
    <definedName name="INEADIM6_REPORT0">'[33]PBZ - DEVISE LOCALE'!$E$10</definedName>
    <definedName name="INEADIM6_REPORT1" localSheetId="34">#REF!</definedName>
    <definedName name="INEADIM6_REPORT1" localSheetId="35">#REF!</definedName>
    <definedName name="INEADIM6_REPORT1">#REF!</definedName>
    <definedName name="INEADIM6_REPORT2" localSheetId="34">#REF!</definedName>
    <definedName name="INEADIM6_REPORT2" localSheetId="35">#REF!</definedName>
    <definedName name="INEADIM6_REPORT2">#REF!</definedName>
    <definedName name="INEADIM6_REPORT3" localSheetId="34">#REF!</definedName>
    <definedName name="INEADIM6_REPORT3" localSheetId="35">#REF!</definedName>
    <definedName name="INEADIM6_REPORT3">#REF!</definedName>
    <definedName name="INEADIM6COLUMN_REPORT0" localSheetId="34">#REF!</definedName>
    <definedName name="INEADIM6COLUMN_REPORT0" localSheetId="35">#REF!</definedName>
    <definedName name="INEADIM6COLUMN_REPORT0">#REF!</definedName>
    <definedName name="INEADIM6COLUMN_REPORT2" localSheetId="34">#REF!</definedName>
    <definedName name="INEADIM6COLUMN_REPORT2" localSheetId="35">#REF!</definedName>
    <definedName name="INEADIM6COLUMN_REPORT2">#REF!</definedName>
    <definedName name="INEADIM6LABEL_REPORT0" localSheetId="34">#REF!</definedName>
    <definedName name="INEADIM6LABEL_REPORT0" localSheetId="35">#REF!</definedName>
    <definedName name="INEADIM6LABEL_REPORT0">#REF!</definedName>
    <definedName name="INEADIM9_REPORT0" localSheetId="34">#REF!</definedName>
    <definedName name="INEADIM9_REPORT0" localSheetId="35">#REF!</definedName>
    <definedName name="INEADIM9_REPORT0">#REF!</definedName>
    <definedName name="INEADIM9_REPORT2" localSheetId="34">#REF!</definedName>
    <definedName name="INEADIM9_REPORT2" localSheetId="35">#REF!</definedName>
    <definedName name="INEADIM9_REPORT2">#REF!</definedName>
    <definedName name="INEADIM9COLUMN_REPORT0" localSheetId="34">#REF!</definedName>
    <definedName name="INEADIM9COLUMN_REPORT0" localSheetId="35">#REF!</definedName>
    <definedName name="INEADIM9COLUMN_REPORT0">#REF!</definedName>
    <definedName name="INEADIM9COLUMN_REPORT1" localSheetId="34">#REF!</definedName>
    <definedName name="INEADIM9COLUMN_REPORT1" localSheetId="35">#REF!</definedName>
    <definedName name="INEADIM9COLUMN_REPORT1">#REF!</definedName>
    <definedName name="INEADIM9COLUMN_REPORT2" localSheetId="34">#REF!</definedName>
    <definedName name="INEADIM9COLUMN_REPORT2" localSheetId="35">#REF!</definedName>
    <definedName name="INEADIM9COLUMN_REPORT2">#REF!</definedName>
    <definedName name="INEADIM9COLUMN_REPORT3" localSheetId="34">#REF!</definedName>
    <definedName name="INEADIM9COLUMN_REPORT3" localSheetId="35">#REF!</definedName>
    <definedName name="INEADIM9COLUMN_REPORT3">#REF!</definedName>
    <definedName name="INEAUPLOADCOLUMN_REPORT0" localSheetId="34">#REF!</definedName>
    <definedName name="INEAUPLOADCOLUMN_REPORT0" localSheetId="35">#REF!</definedName>
    <definedName name="INEAUPLOADCOLUMN_REPORT0">#REF!</definedName>
    <definedName name="INEAUPLOADROW_REPORT0" localSheetId="34">#REF!</definedName>
    <definedName name="INEAUPLOADROW_REPORT0" localSheetId="35">#REF!</definedName>
    <definedName name="INEAUPLOADROW_REPORT0">#REF!</definedName>
    <definedName name="inflationfrance" localSheetId="34">#REF!</definedName>
    <definedName name="inflationfrance" localSheetId="35">#REF!</definedName>
    <definedName name="inflationfrance">#REF!</definedName>
    <definedName name="inflationfrancespe" localSheetId="34">#REF!</definedName>
    <definedName name="inflationfrancespe" localSheetId="35">#REF!</definedName>
    <definedName name="inflationfrancespe">#REF!</definedName>
    <definedName name="inflationnord" localSheetId="34">#REF!</definedName>
    <definedName name="inflationnord" localSheetId="35">#REF!</definedName>
    <definedName name="inflationnord">#REF!</definedName>
    <definedName name="inflationpeco" localSheetId="34">#REF!</definedName>
    <definedName name="inflationpeco" localSheetId="35">#REF!</definedName>
    <definedName name="inflationpeco">#REF!</definedName>
    <definedName name="inflationsud" localSheetId="34">#REF!</definedName>
    <definedName name="inflationsud" localSheetId="35">#REF!</definedName>
    <definedName name="inflationsud">#REF!</definedName>
    <definedName name="Int" localSheetId="34">#REF!</definedName>
    <definedName name="Int" localSheetId="35">#REF!</definedName>
    <definedName name="Int">#REF!</definedName>
    <definedName name="Interest_Rate" localSheetId="34">#REF!</definedName>
    <definedName name="Interest_Rate" localSheetId="35">#REF!</definedName>
    <definedName name="Interest_Rate">#REF!</definedName>
    <definedName name="International" localSheetId="34">#REF!</definedName>
    <definedName name="International" localSheetId="35">#REF!</definedName>
    <definedName name="International">#REF!</definedName>
    <definedName name="INVD12" localSheetId="34">#REF!</definedName>
    <definedName name="INVD12" localSheetId="35">#REF!</definedName>
    <definedName name="INVD12">#REF!</definedName>
    <definedName name="Invest_antrag_2006" localSheetId="34">#REF!</definedName>
    <definedName name="Invest_antrag_2006" localSheetId="35">#REF!</definedName>
    <definedName name="Invest_antrag_2006">#REF!</definedName>
    <definedName name="IRLANDE" localSheetId="34">#REF!</definedName>
    <definedName name="IRLANDE" localSheetId="35">#REF!</definedName>
    <definedName name="IRLANDE">#REF!</definedName>
    <definedName name="ISARELCGEA" localSheetId="34">#REF!</definedName>
    <definedName name="ISARELCGEA" localSheetId="35">#REF!</definedName>
    <definedName name="ISARELCGEA">#REF!</definedName>
    <definedName name="ISARELCGEA1" localSheetId="34">#REF!</definedName>
    <definedName name="ISARELCGEA1" localSheetId="35">#REF!</definedName>
    <definedName name="ISARELCGEA1">#REF!</definedName>
    <definedName name="ISfrance" localSheetId="34">#REF!</definedName>
    <definedName name="ISfrance" localSheetId="35">#REF!</definedName>
    <definedName name="ISfrance">#REF!</definedName>
    <definedName name="ISfrancespe" localSheetId="34">#REF!</definedName>
    <definedName name="ISfrancespe" localSheetId="35">#REF!</definedName>
    <definedName name="ISfrancespe">#REF!</definedName>
    <definedName name="ISnord" localSheetId="34">#REF!</definedName>
    <definedName name="ISnord" localSheetId="35">#REF!</definedName>
    <definedName name="ISnord">#REF!</definedName>
    <definedName name="ISpeco" localSheetId="34">#REF!</definedName>
    <definedName name="ISpeco" localSheetId="35">#REF!</definedName>
    <definedName name="ISpeco">#REF!</definedName>
    <definedName name="ISsud" localSheetId="34">#REF!</definedName>
    <definedName name="ISsud" localSheetId="35">#REF!</definedName>
    <definedName name="ISsud">#REF!</definedName>
    <definedName name="Ist_2006" localSheetId="34">#REF!</definedName>
    <definedName name="Ist_2006" localSheetId="35">#REF!</definedName>
    <definedName name="Ist_2006">#REF!</definedName>
    <definedName name="j" localSheetId="34">#REF!</definedName>
    <definedName name="j" localSheetId="35">#REF!</definedName>
    <definedName name="j">#REF!</definedName>
    <definedName name="J_SACO" localSheetId="34">#REF!</definedName>
    <definedName name="J_SACO" localSheetId="35">#REF!</definedName>
    <definedName name="J_SACO">#REF!</definedName>
    <definedName name="JPY" localSheetId="34">#REF!</definedName>
    <definedName name="JPY" localSheetId="35">#REF!</definedName>
    <definedName name="JPY">#REF!</definedName>
    <definedName name="K_ARA" localSheetId="34">#REF!</definedName>
    <definedName name="K_ARA" localSheetId="35">#REF!</definedName>
    <definedName name="K_ARA">#REF!</definedName>
    <definedName name="kñlñlñlñ" localSheetId="8" hidden="1">[23]DESBASTE!#REF!</definedName>
    <definedName name="kñlñlñlñ" localSheetId="2" hidden="1">[23]DESBASTE!#REF!</definedName>
    <definedName name="kñlñlñlñ" localSheetId="22" hidden="1">[23]DESBASTE!#REF!</definedName>
    <definedName name="kñlñlñlñ" localSheetId="29" hidden="1">[24]DESBASTE!#REF!</definedName>
    <definedName name="kñlñlñlñ" localSheetId="19" hidden="1">[23]DESBASTE!#REF!</definedName>
    <definedName name="kñlñlñlñ" localSheetId="20" hidden="1">[23]DESBASTE!#REF!</definedName>
    <definedName name="kñlñlñlñ" localSheetId="18" hidden="1">[23]DESBASTE!#REF!</definedName>
    <definedName name="kñlñlñlñ" localSheetId="4" hidden="1">[23]DESBASTE!#REF!</definedName>
    <definedName name="kñlñlñlñ" localSheetId="9" hidden="1">[23]DESBASTE!#REF!</definedName>
    <definedName name="kñlñlñlñ" localSheetId="5" hidden="1">[23]DESBASTE!#REF!</definedName>
    <definedName name="kñlñlñlñ" localSheetId="30" hidden="1">[24]DESBASTE!#REF!</definedName>
    <definedName name="kñlñlñlñ" localSheetId="14" hidden="1">[23]DESBASTE!#REF!</definedName>
    <definedName name="kñlñlñlñ" localSheetId="16" hidden="1">[23]DESBASTE!#REF!</definedName>
    <definedName name="kñlñlñlñ" localSheetId="6" hidden="1">[23]DESBASTE!#REF!</definedName>
    <definedName name="kñlñlñlñ" localSheetId="15" hidden="1">[23]DESBASTE!#REF!</definedName>
    <definedName name="kñlñlñlñ" localSheetId="1" hidden="1">[23]DESBASTE!#REF!</definedName>
    <definedName name="kñlñlñlñ" localSheetId="12" hidden="1">[23]DESBASTE!#REF!</definedName>
    <definedName name="kñlñlñlñ" localSheetId="25" hidden="1">[23]DESBASTE!#REF!</definedName>
    <definedName name="kñlñlñlñ" localSheetId="31" hidden="1">[24]DESBASTE!#REF!</definedName>
    <definedName name="kñlñlñlñ" hidden="1">[23]DESBASTE!#REF!</definedName>
    <definedName name="L_MED" localSheetId="34">#REF!</definedName>
    <definedName name="L_MED" localSheetId="35">#REF!</definedName>
    <definedName name="L_MED">#REF!</definedName>
    <definedName name="LANG">[12]Settings!$A$4</definedName>
    <definedName name="Last_Row">#N/A</definedName>
    <definedName name="List_1">'[35]Long-Term Borrowings'!$K$2:$K$3</definedName>
    <definedName name="List_RevisionES">[36]Feuil1!$F$4:$F$6</definedName>
    <definedName name="liste_DIV_2" localSheetId="34">#REF!</definedName>
    <definedName name="liste_DIV_2" localSheetId="35">#REF!</definedName>
    <definedName name="liste_DIV_2">#REF!</definedName>
    <definedName name="Loan_Amount" localSheetId="34">#REF!</definedName>
    <definedName name="Loan_Amount" localSheetId="35">#REF!</definedName>
    <definedName name="Loan_Amount">#REF!</definedName>
    <definedName name="Loan_Start" localSheetId="34">#REF!</definedName>
    <definedName name="Loan_Start" localSheetId="35">#REF!</definedName>
    <definedName name="Loan_Start">#REF!</definedName>
    <definedName name="Loan_Years" localSheetId="34">#REF!</definedName>
    <definedName name="Loan_Years" localSheetId="35">#REF!</definedName>
    <definedName name="Loan_Years">#REF!</definedName>
    <definedName name="LPCD">[37]Para!$B$1</definedName>
    <definedName name="M_SEAS" localSheetId="34">#REF!</definedName>
    <definedName name="M_SEAS" localSheetId="35">#REF!</definedName>
    <definedName name="M_SEAS">#REF!</definedName>
    <definedName name="MarketsToday">[27]LOC!$J$31</definedName>
    <definedName name="MarketsYesterday">[27]LOC!$B$31</definedName>
    <definedName name="MaxDate" localSheetId="34">#REF!</definedName>
    <definedName name="MaxDate" localSheetId="35">#REF!</definedName>
    <definedName name="MaxDate">#REF!</definedName>
    <definedName name="MEASURE">[38]SUMMARY!#REF!</definedName>
    <definedName name="Mehdi" localSheetId="34">Compte Rés 'Execulation Revenue'!Euro</definedName>
    <definedName name="Mehdi" localSheetId="35">Compte Rés 'Execution Cost'!Euro</definedName>
    <definedName name="Mehdi" localSheetId="33">Compte Rés [0]!Euro</definedName>
    <definedName name="Mehdi" localSheetId="32">Compte Rés [0]!Euro</definedName>
    <definedName name="Mehdi" localSheetId="37">Compte Rés [0]!Euro</definedName>
    <definedName name="Mehdi">Compte Rés Euro</definedName>
    <definedName name="MessageBody">[27]Control!$F$6</definedName>
    <definedName name="MessageSubject">[27]Control!$F$9</definedName>
    <definedName name="MinDate" localSheetId="34">#REF!</definedName>
    <definedName name="MinDate" localSheetId="35">#REF!</definedName>
    <definedName name="MinDate">#REF!</definedName>
    <definedName name="mixtes" localSheetId="34">#REF!</definedName>
    <definedName name="mixtes" localSheetId="35">#REF!</definedName>
    <definedName name="mixtes">#REF!</definedName>
    <definedName name="MMM" localSheetId="34">#REF!</definedName>
    <definedName name="MMM" localSheetId="35">#REF!</definedName>
    <definedName name="MMM">#REF!</definedName>
    <definedName name="n" localSheetId="0" hidden="1">{#N/A,#N/A,FALSE,"RECAP Note Global";#N/A,#N/A,FALSE,"RECAP Note France";#N/A,#N/A,FALSE,"RECAP Note étranger";#N/A,#N/A,FALSE,"RECAP Note Zones"}</definedName>
    <definedName name="n" localSheetId="7" hidden="1">{#N/A,#N/A,FALSE,"RECAP Note Global";#N/A,#N/A,FALSE,"RECAP Note France";#N/A,#N/A,FALSE,"RECAP Note étranger";#N/A,#N/A,FALSE,"RECAP Note Zones"}</definedName>
    <definedName name="n" localSheetId="2" hidden="1">{#N/A,#N/A,FALSE,"RECAP Note Global";#N/A,#N/A,FALSE,"RECAP Note France";#N/A,#N/A,FALSE,"RECAP Note étranger";#N/A,#N/A,FALSE,"RECAP Note Zones"}</definedName>
    <definedName name="n" localSheetId="34" hidden="1">{#N/A,#N/A,FALSE,"RECAP Note Global";#N/A,#N/A,FALSE,"RECAP Note France";#N/A,#N/A,FALSE,"RECAP Note étranger";#N/A,#N/A,FALSE,"RECAP Note Zones"}</definedName>
    <definedName name="n" localSheetId="35" hidden="1">{#N/A,#N/A,FALSE,"RECAP Note Global";#N/A,#N/A,FALSE,"RECAP Note France";#N/A,#N/A,FALSE,"RECAP Note étranger";#N/A,#N/A,FALSE,"RECAP Note Zones"}</definedName>
    <definedName name="n" localSheetId="6" hidden="1">{#N/A,#N/A,FALSE,"RECAP Note Global";#N/A,#N/A,FALSE,"RECAP Note France";#N/A,#N/A,FALSE,"RECAP Note étranger";#N/A,#N/A,FALSE,"RECAP Note Zones"}</definedName>
    <definedName name="n" localSheetId="15" hidden="1">{#N/A,#N/A,FALSE,"RECAP Note Global";#N/A,#N/A,FALSE,"RECAP Note France";#N/A,#N/A,FALSE,"RECAP Note étranger";#N/A,#N/A,FALSE,"RECAP Note Zones"}</definedName>
    <definedName name="n" localSheetId="33" hidden="1">{#N/A,#N/A,FALSE,"RECAP Note Global";#N/A,#N/A,FALSE,"RECAP Note France";#N/A,#N/A,FALSE,"RECAP Note étranger";#N/A,#N/A,FALSE,"RECAP Note Zones"}</definedName>
    <definedName name="n" localSheetId="32" hidden="1">{#N/A,#N/A,FALSE,"RECAP Note Global";#N/A,#N/A,FALSE,"RECAP Note France";#N/A,#N/A,FALSE,"RECAP Note étranger";#N/A,#N/A,FALSE,"RECAP Note Zones"}</definedName>
    <definedName name="n" hidden="1">{#N/A,#N/A,FALSE,"RECAP Note Global";#N/A,#N/A,FALSE,"RECAP Note France";#N/A,#N/A,FALSE,"RECAP Note étranger";#N/A,#N/A,FALSE,"RECAP Note Zones"}</definedName>
    <definedName name="N_PôleNI">#REF!</definedName>
    <definedName name="Nlle_Zelande" localSheetId="34">#REF!</definedName>
    <definedName name="Nlle_Zelande" localSheetId="35">#REF!</definedName>
    <definedName name="Nlle_Zelande">#REF!</definedName>
    <definedName name="Nord">[13]ROA!#REF!</definedName>
    <definedName name="NORVEGE" localSheetId="34">#REF!</definedName>
    <definedName name="NORVEGE" localSheetId="35">#REF!</definedName>
    <definedName name="NORVEGE">#REF!</definedName>
    <definedName name="nov" localSheetId="34">#REF!</definedName>
    <definedName name="nov" localSheetId="35">#REF!</definedName>
    <definedName name="nov">#REF!</definedName>
    <definedName name="novold" localSheetId="34">#REF!</definedName>
    <definedName name="novold" localSheetId="35">#REF!</definedName>
    <definedName name="novold">#REF!</definedName>
    <definedName name="NRW">[37]Para!$B$2</definedName>
    <definedName name="NTM" localSheetId="34">#REF!</definedName>
    <definedName name="NTM" localSheetId="35">#REF!</definedName>
    <definedName name="NTM">#REF!</definedName>
    <definedName name="NUGR" localSheetId="34">#REF!</definedName>
    <definedName name="NUGR" localSheetId="35">#REF!</definedName>
    <definedName name="NUGR">#REF!</definedName>
    <definedName name="Num_Pmt_Per_Year" localSheetId="34">#REF!</definedName>
    <definedName name="Num_Pmt_Per_Year" localSheetId="35">#REF!</definedName>
    <definedName name="Num_Pmt_Per_Year">#REF!</definedName>
    <definedName name="Number_of_Payments" localSheetId="34">MATCH(0.01,'Execulation Revenue'!End_Bal,-1)+1</definedName>
    <definedName name="Number_of_Payments" localSheetId="35">MATCH(0.01,'Execution Cost'!End_Bal,-1)+1</definedName>
    <definedName name="Number_of_Payments">MATCH(0.01,End_Bal,-1)+1</definedName>
    <definedName name="O_SARP">#REF!</definedName>
    <definedName name="oct" localSheetId="34">#REF!</definedName>
    <definedName name="oct" localSheetId="35">#REF!</definedName>
    <definedName name="oct">#REF!</definedName>
    <definedName name="ONYX" localSheetId="34">Compte Rés 'Execulation Revenue'!Euro</definedName>
    <definedName name="ONYX" localSheetId="35">Compte Rés 'Execution Cost'!Euro</definedName>
    <definedName name="ONYX" localSheetId="33">Compte Rés [0]!Euro</definedName>
    <definedName name="ONYX" localSheetId="32">Compte Rés [0]!Euro</definedName>
    <definedName name="ONYX" localSheetId="37">Compte Rés [0]!Euro</definedName>
    <definedName name="ONYX">Compte Rés Euro</definedName>
    <definedName name="orlnew" localSheetId="0" hidden="1">{#N/A,#N/A,FALSE,"DEA Report";#N/A,#N/A,FALSE,"Veba Report";#N/A,#N/A,FALSE,"Wintershall Report";#N/A,#N/A,FALSE,"Fina Report"}</definedName>
    <definedName name="orlnew" localSheetId="7" hidden="1">{#N/A,#N/A,FALSE,"DEA Report";#N/A,#N/A,FALSE,"Veba Report";#N/A,#N/A,FALSE,"Wintershall Report";#N/A,#N/A,FALSE,"Fina Report"}</definedName>
    <definedName name="orlnew" localSheetId="2" hidden="1">{#N/A,#N/A,FALSE,"DEA Report";#N/A,#N/A,FALSE,"Veba Report";#N/A,#N/A,FALSE,"Wintershall Report";#N/A,#N/A,FALSE,"Fina Report"}</definedName>
    <definedName name="orlnew" localSheetId="34" hidden="1">{#N/A,#N/A,FALSE,"DEA Report";#N/A,#N/A,FALSE,"Veba Report";#N/A,#N/A,FALSE,"Wintershall Report";#N/A,#N/A,FALSE,"Fina Report"}</definedName>
    <definedName name="orlnew" localSheetId="35" hidden="1">{#N/A,#N/A,FALSE,"DEA Report";#N/A,#N/A,FALSE,"Veba Report";#N/A,#N/A,FALSE,"Wintershall Report";#N/A,#N/A,FALSE,"Fina Report"}</definedName>
    <definedName name="orlnew" localSheetId="6" hidden="1">{#N/A,#N/A,FALSE,"DEA Report";#N/A,#N/A,FALSE,"Veba Report";#N/A,#N/A,FALSE,"Wintershall Report";#N/A,#N/A,FALSE,"Fina Report"}</definedName>
    <definedName name="orlnew" localSheetId="15" hidden="1">{#N/A,#N/A,FALSE,"DEA Report";#N/A,#N/A,FALSE,"Veba Report";#N/A,#N/A,FALSE,"Wintershall Report";#N/A,#N/A,FALSE,"Fina Report"}</definedName>
    <definedName name="orlnew" localSheetId="33" hidden="1">{#N/A,#N/A,FALSE,"DEA Report";#N/A,#N/A,FALSE,"Veba Report";#N/A,#N/A,FALSE,"Wintershall Report";#N/A,#N/A,FALSE,"Fina Report"}</definedName>
    <definedName name="orlnew" localSheetId="32" hidden="1">{#N/A,#N/A,FALSE,"DEA Report";#N/A,#N/A,FALSE,"Veba Report";#N/A,#N/A,FALSE,"Wintershall Report";#N/A,#N/A,FALSE,"Fina Report"}</definedName>
    <definedName name="orlnew" hidden="1">{#N/A,#N/A,FALSE,"DEA Report";#N/A,#N/A,FALSE,"Veba Report";#N/A,#N/A,FALSE,"Wintershall Report";#N/A,#N/A,FALSE,"Fina Report"}</definedName>
    <definedName name="P_CET">#REF!</definedName>
    <definedName name="PAO.DIV">'[16]Rep PAO DIV'!$A$27:$U$82</definedName>
    <definedName name="PAO.GEO">'[16]Rep GEO PAO'!$A$33:$U$88</definedName>
    <definedName name="PAOD12" localSheetId="34">#REF!</definedName>
    <definedName name="PAOD12" localSheetId="35">#REF!</definedName>
    <definedName name="PAOD12">#REF!</definedName>
    <definedName name="PAODiv">'[39]CV Axe Div'!$M$5:$U$66</definedName>
    <definedName name="passgd" localSheetId="0" hidden="1">{#N/A,#N/A,FALSE,"RECAP Note Global";#N/A,#N/A,FALSE,"RECAP Note France";#N/A,#N/A,FALSE,"RECAP Note étranger";#N/A,#N/A,FALSE,"RECAP Note Zones"}</definedName>
    <definedName name="passgd" localSheetId="7" hidden="1">{#N/A,#N/A,FALSE,"RECAP Note Global";#N/A,#N/A,FALSE,"RECAP Note France";#N/A,#N/A,FALSE,"RECAP Note étranger";#N/A,#N/A,FALSE,"RECAP Note Zones"}</definedName>
    <definedName name="passgd" localSheetId="2" hidden="1">{#N/A,#N/A,FALSE,"RECAP Note Global";#N/A,#N/A,FALSE,"RECAP Note France";#N/A,#N/A,FALSE,"RECAP Note étranger";#N/A,#N/A,FALSE,"RECAP Note Zones"}</definedName>
    <definedName name="passgd" localSheetId="34" hidden="1">{#N/A,#N/A,FALSE,"RECAP Note Global";#N/A,#N/A,FALSE,"RECAP Note France";#N/A,#N/A,FALSE,"RECAP Note étranger";#N/A,#N/A,FALSE,"RECAP Note Zones"}</definedName>
    <definedName name="passgd" localSheetId="35" hidden="1">{#N/A,#N/A,FALSE,"RECAP Note Global";#N/A,#N/A,FALSE,"RECAP Note France";#N/A,#N/A,FALSE,"RECAP Note étranger";#N/A,#N/A,FALSE,"RECAP Note Zones"}</definedName>
    <definedName name="passgd" localSheetId="6" hidden="1">{#N/A,#N/A,FALSE,"RECAP Note Global";#N/A,#N/A,FALSE,"RECAP Note France";#N/A,#N/A,FALSE,"RECAP Note étranger";#N/A,#N/A,FALSE,"RECAP Note Zones"}</definedName>
    <definedName name="passgd" localSheetId="15" hidden="1">{#N/A,#N/A,FALSE,"RECAP Note Global";#N/A,#N/A,FALSE,"RECAP Note France";#N/A,#N/A,FALSE,"RECAP Note étranger";#N/A,#N/A,FALSE,"RECAP Note Zones"}</definedName>
    <definedName name="passgd" localSheetId="33" hidden="1">{#N/A,#N/A,FALSE,"RECAP Note Global";#N/A,#N/A,FALSE,"RECAP Note France";#N/A,#N/A,FALSE,"RECAP Note étranger";#N/A,#N/A,FALSE,"RECAP Note Zones"}</definedName>
    <definedName name="passgd" localSheetId="32" hidden="1">{#N/A,#N/A,FALSE,"RECAP Note Global";#N/A,#N/A,FALSE,"RECAP Note France";#N/A,#N/A,FALSE,"RECAP Note étranger";#N/A,#N/A,FALSE,"RECAP Note Zones"}</definedName>
    <definedName name="passgd" hidden="1">{#N/A,#N/A,FALSE,"RECAP Note Global";#N/A,#N/A,FALSE,"RECAP Note France";#N/A,#N/A,FALSE,"RECAP Note étranger";#N/A,#N/A,FALSE,"RECAP Note Zones"}</definedName>
    <definedName name="Pay_Date">#REF!</definedName>
    <definedName name="Pay_Num" localSheetId="34">#REF!</definedName>
    <definedName name="Pay_Num" localSheetId="35">#REF!</definedName>
    <definedName name="Pay_Num">#REF!</definedName>
    <definedName name="Payment_Date" localSheetId="34">DATE(YEAR('Execulation Revenue'!Loan_Start),MONTH('Execulation Revenue'!Loan_Start)+Payment_Number,DAY('Execulation Revenue'!Loan_Start))</definedName>
    <definedName name="Payment_Date" localSheetId="35">DATE(YEAR('Execution Cost'!Loan_Start),MONTH('Execution Cost'!Loan_Start)+Payment_Number,DAY('Execution Cost'!Loan_Start))</definedName>
    <definedName name="Payment_Date" localSheetId="33">DATE(YEAR([0]!Loan_Start),MONTH([0]!Loan_Start)+Payment_Number,DAY([0]!Loan_Start))</definedName>
    <definedName name="Payment_Date" localSheetId="32">DATE(YEAR([0]!Loan_Start),MONTH([0]!Loan_Start)+Payment_Number,DAY([0]!Loan_Start))</definedName>
    <definedName name="Payment_Date" localSheetId="37">DATE(YEAR([0]!Loan_Start),MONTH([0]!Loan_Start)+Payment_Number,DAY([0]!Loan_Start))</definedName>
    <definedName name="Payment_Date">DATE(YEAR(Loan_Start),MONTH(Loan_Start)+Payment_Number,DAY(Loan_Start))</definedName>
    <definedName name="Percent">'[40]Lists&amp;Param'!$B$18:$B$28</definedName>
    <definedName name="ph" localSheetId="0" hidden="1">{#N/A,#N/A,FALSE,"Aging Summary";#N/A,#N/A,FALSE,"Ratio Analysis";#N/A,#N/A,FALSE,"Test 120 Day Accts";#N/A,#N/A,FALSE,"Tickmarks"}</definedName>
    <definedName name="ph" localSheetId="7" hidden="1">{#N/A,#N/A,FALSE,"Aging Summary";#N/A,#N/A,FALSE,"Ratio Analysis";#N/A,#N/A,FALSE,"Test 120 Day Accts";#N/A,#N/A,FALSE,"Tickmarks"}</definedName>
    <definedName name="ph" localSheetId="2" hidden="1">{#N/A,#N/A,FALSE,"Aging Summary";#N/A,#N/A,FALSE,"Ratio Analysis";#N/A,#N/A,FALSE,"Test 120 Day Accts";#N/A,#N/A,FALSE,"Tickmarks"}</definedName>
    <definedName name="ph" localSheetId="34" hidden="1">{#N/A,#N/A,FALSE,"Aging Summary";#N/A,#N/A,FALSE,"Ratio Analysis";#N/A,#N/A,FALSE,"Test 120 Day Accts";#N/A,#N/A,FALSE,"Tickmarks"}</definedName>
    <definedName name="ph" localSheetId="35" hidden="1">{#N/A,#N/A,FALSE,"Aging Summary";#N/A,#N/A,FALSE,"Ratio Analysis";#N/A,#N/A,FALSE,"Test 120 Day Accts";#N/A,#N/A,FALSE,"Tickmarks"}</definedName>
    <definedName name="ph" localSheetId="6" hidden="1">{#N/A,#N/A,FALSE,"Aging Summary";#N/A,#N/A,FALSE,"Ratio Analysis";#N/A,#N/A,FALSE,"Test 120 Day Accts";#N/A,#N/A,FALSE,"Tickmarks"}</definedName>
    <definedName name="ph" localSheetId="15" hidden="1">{#N/A,#N/A,FALSE,"Aging Summary";#N/A,#N/A,FALSE,"Ratio Analysis";#N/A,#N/A,FALSE,"Test 120 Day Accts";#N/A,#N/A,FALSE,"Tickmarks"}</definedName>
    <definedName name="ph" localSheetId="33" hidden="1">{#N/A,#N/A,FALSE,"Aging Summary";#N/A,#N/A,FALSE,"Ratio Analysis";#N/A,#N/A,FALSE,"Test 120 Day Accts";#N/A,#N/A,FALSE,"Tickmarks"}</definedName>
    <definedName name="ph" localSheetId="32" hidden="1">{#N/A,#N/A,FALSE,"Aging Summary";#N/A,#N/A,FALSE,"Ratio Analysis";#N/A,#N/A,FALSE,"Test 120 Day Accts";#N/A,#N/A,FALSE,"Tickmarks"}</definedName>
    <definedName name="ph" hidden="1">{#N/A,#N/A,FALSE,"Aging Summary";#N/A,#N/A,FALSE,"Ratio Analysis";#N/A,#N/A,FALSE,"Test 120 Day Accts";#N/A,#N/A,FALSE,"Tickmarks"}</definedName>
    <definedName name="Pole">'[41]Carto Eau 2 pôles'!$K$6:$K$8</definedName>
    <definedName name="POLOGNE" localSheetId="34">#REF!</definedName>
    <definedName name="POLOGNE" localSheetId="35">#REF!</definedName>
    <definedName name="POLOGNE">#REF!</definedName>
    <definedName name="PORTUGAL" localSheetId="34">#REF!</definedName>
    <definedName name="PORTUGAL" localSheetId="35">#REF!</definedName>
    <definedName name="PORTUGAL">#REF!</definedName>
    <definedName name="Princ" localSheetId="34">#REF!</definedName>
    <definedName name="Princ" localSheetId="35">#REF!</definedName>
    <definedName name="Princ">#REF!</definedName>
    <definedName name="_xlnm.Print_Area" localSheetId="34">#REF!</definedName>
    <definedName name="_xlnm.Print_Area" localSheetId="35">#REF!</definedName>
    <definedName name="_xlnm.Print_Area">#REF!</definedName>
    <definedName name="Print_Area_Reset" localSheetId="34">OFFSET('Execulation Revenue'!Full_Print,0,0,[0]!Last_Row)</definedName>
    <definedName name="Print_Area_Reset" localSheetId="35">OFFSET('Execution Cost'!Full_Print,0,0,[0]!Last_Row)</definedName>
    <definedName name="Print_Area_Reset">OFFSET(Full_Print,0,0,[0]!Last_Row)</definedName>
    <definedName name="prodfrance">#REF!</definedName>
    <definedName name="prodfrancespe" localSheetId="34">#REF!</definedName>
    <definedName name="prodfrancespe" localSheetId="35">#REF!</definedName>
    <definedName name="prodfrancespe">#REF!</definedName>
    <definedName name="prodnord" localSheetId="34">#REF!</definedName>
    <definedName name="prodnord" localSheetId="35">#REF!</definedName>
    <definedName name="prodnord">#REF!</definedName>
    <definedName name="prodpeco" localSheetId="34">#REF!</definedName>
    <definedName name="prodpeco" localSheetId="35">#REF!</definedName>
    <definedName name="prodpeco">#REF!</definedName>
    <definedName name="prodsud" localSheetId="34">#REF!</definedName>
    <definedName name="prodsud" localSheetId="35">#REF!</definedName>
    <definedName name="prodsud">#REF!</definedName>
    <definedName name="Prognose_nach_VS_Q1" localSheetId="34">#REF!</definedName>
    <definedName name="Prognose_nach_VS_Q1" localSheetId="35">#REF!</definedName>
    <definedName name="Prognose_nach_VS_Q1">#REF!</definedName>
    <definedName name="ProjectName" localSheetId="34">{"Client Name or Project Name"}</definedName>
    <definedName name="ProjectName" localSheetId="35">{"Client Name or Project Name"}</definedName>
    <definedName name="ProjectName">{"Client Name or Project Name"}</definedName>
    <definedName name="PSP_Element">#REF!</definedName>
    <definedName name="PWM" localSheetId="34">#REF!</definedName>
    <definedName name="PWM" localSheetId="35">#REF!</definedName>
    <definedName name="PWM">#REF!</definedName>
    <definedName name="q" localSheetId="0" hidden="1">[1]DESBASTE!#REF!</definedName>
    <definedName name="q" localSheetId="7" hidden="1">[1]DESBASTE!#REF!</definedName>
    <definedName name="q" localSheetId="22" hidden="1">[1]DESBASTE!#REF!</definedName>
    <definedName name="q" localSheetId="15" hidden="1">[1]DESBASTE!#REF!</definedName>
    <definedName name="q" localSheetId="25" hidden="1">[1]DESBASTE!#REF!</definedName>
    <definedName name="q" hidden="1">[1]DESBASTE!#REF!</definedName>
    <definedName name="Q_SOULIER" localSheetId="34">#REF!</definedName>
    <definedName name="Q_SOULIER" localSheetId="35">#REF!</definedName>
    <definedName name="Q_SOULIER">#REF!</definedName>
    <definedName name="Quote_Date">[27]ForwardData!$A$1</definedName>
    <definedName name="R_DIVERS" localSheetId="34">#REF!</definedName>
    <definedName name="R_DIVERS" localSheetId="35">#REF!</definedName>
    <definedName name="R_DIVERS">#REF!</definedName>
    <definedName name="reca" localSheetId="0" hidden="1">{#N/A,#N/A,FALSE,"RECAP Note Global";#N/A,#N/A,FALSE,"RECAP Note France";#N/A,#N/A,FALSE,"RECAP Note étranger";#N/A,#N/A,FALSE,"RECAP Note Zones"}</definedName>
    <definedName name="reca" localSheetId="7" hidden="1">{#N/A,#N/A,FALSE,"RECAP Note Global";#N/A,#N/A,FALSE,"RECAP Note France";#N/A,#N/A,FALSE,"RECAP Note étranger";#N/A,#N/A,FALSE,"RECAP Note Zones"}</definedName>
    <definedName name="reca" localSheetId="2" hidden="1">{#N/A,#N/A,FALSE,"RECAP Note Global";#N/A,#N/A,FALSE,"RECAP Note France";#N/A,#N/A,FALSE,"RECAP Note étranger";#N/A,#N/A,FALSE,"RECAP Note Zones"}</definedName>
    <definedName name="reca" localSheetId="34" hidden="1">{#N/A,#N/A,FALSE,"RECAP Note Global";#N/A,#N/A,FALSE,"RECAP Note France";#N/A,#N/A,FALSE,"RECAP Note étranger";#N/A,#N/A,FALSE,"RECAP Note Zones"}</definedName>
    <definedName name="reca" localSheetId="35" hidden="1">{#N/A,#N/A,FALSE,"RECAP Note Global";#N/A,#N/A,FALSE,"RECAP Note France";#N/A,#N/A,FALSE,"RECAP Note étranger";#N/A,#N/A,FALSE,"RECAP Note Zones"}</definedName>
    <definedName name="reca" localSheetId="6" hidden="1">{#N/A,#N/A,FALSE,"RECAP Note Global";#N/A,#N/A,FALSE,"RECAP Note France";#N/A,#N/A,FALSE,"RECAP Note étranger";#N/A,#N/A,FALSE,"RECAP Note Zones"}</definedName>
    <definedName name="reca" localSheetId="15" hidden="1">{#N/A,#N/A,FALSE,"RECAP Note Global";#N/A,#N/A,FALSE,"RECAP Note France";#N/A,#N/A,FALSE,"RECAP Note étranger";#N/A,#N/A,FALSE,"RECAP Note Zones"}</definedName>
    <definedName name="reca" localSheetId="33" hidden="1">{#N/A,#N/A,FALSE,"RECAP Note Global";#N/A,#N/A,FALSE,"RECAP Note France";#N/A,#N/A,FALSE,"RECAP Note étranger";#N/A,#N/A,FALSE,"RECAP Note Zones"}</definedName>
    <definedName name="reca" localSheetId="32" hidden="1">{#N/A,#N/A,FALSE,"RECAP Note Global";#N/A,#N/A,FALSE,"RECAP Note France";#N/A,#N/A,FALSE,"RECAP Note étranger";#N/A,#N/A,FALSE,"RECAP Note Zones"}</definedName>
    <definedName name="reca" hidden="1">{#N/A,#N/A,FALSE,"RECAP Note Global";#N/A,#N/A,FALSE,"RECAP Note France";#N/A,#N/A,FALSE,"RECAP Note étranger";#N/A,#N/A,FALSE,"RECAP Note Zones"}</definedName>
    <definedName name="ResOp06">#REF!</definedName>
    <definedName name="ResOpD12" localSheetId="34">#REF!</definedName>
    <definedName name="ResOpD12" localSheetId="35">#REF!</definedName>
    <definedName name="ResOpD12">#REF!</definedName>
    <definedName name="réunion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7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6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éunion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RHODIA_ECO">#REF!</definedName>
    <definedName name="risknature3">'[42]données 2'!$C$2:$C$43</definedName>
    <definedName name="RM" localSheetId="34">#REF!</definedName>
    <definedName name="RM" localSheetId="35">#REF!</definedName>
    <definedName name="RM">#REF!</definedName>
    <definedName name="rt" localSheetId="8" hidden="1">[1]DESBASTE!#REF!</definedName>
    <definedName name="rt" localSheetId="2" hidden="1">[1]DESBASTE!#REF!</definedName>
    <definedName name="rt" localSheetId="22" hidden="1">[1]DESBASTE!#REF!</definedName>
    <definedName name="rt" localSheetId="9" hidden="1">[1]DESBASTE!#REF!</definedName>
    <definedName name="rt" localSheetId="15" hidden="1">[1]DESBASTE!#REF!</definedName>
    <definedName name="rt" localSheetId="25" hidden="1">[1]DESBASTE!#REF!</definedName>
    <definedName name="rt" hidden="1">[1]DESBASTE!#REF!</definedName>
    <definedName name="S_BE" localSheetId="34">#REF!</definedName>
    <definedName name="S_BE" localSheetId="35">#REF!</definedName>
    <definedName name="S_BE">#REF!</definedName>
    <definedName name="SAPBEXrevision" hidden="1">3</definedName>
    <definedName name="SAPBEXsysID" hidden="1">"BWP"</definedName>
    <definedName name="SAPBEXwbID" hidden="1">"E707F2JC7JIY2MD6WWFHZOGC9"</definedName>
    <definedName name="SARPALLEMAGNE">#REF!</definedName>
    <definedName name="SARPCANADA" localSheetId="34">#REF!</definedName>
    <definedName name="SARPCANADA" localSheetId="35">#REF!</definedName>
    <definedName name="SARPCANADA">#REF!</definedName>
    <definedName name="SARPCARAIBES" localSheetId="34">#REF!</definedName>
    <definedName name="SARPCARAIBES" localSheetId="35">#REF!</definedName>
    <definedName name="SARPCARAIBES">#REF!</definedName>
    <definedName name="SARPI_hors_CET" localSheetId="34">#REF!</definedName>
    <definedName name="SARPI_hors_CET" localSheetId="35">#REF!</definedName>
    <definedName name="SARPI_hors_CET">#REF!</definedName>
    <definedName name="SARPIHONGRIE" localSheetId="34">#REF!</definedName>
    <definedName name="SARPIHONGRIE" localSheetId="35">#REF!</definedName>
    <definedName name="SARPIHONGRIE">#REF!</definedName>
    <definedName name="SARPIISRAEL" localSheetId="34">#REF!</definedName>
    <definedName name="SARPIISRAEL" localSheetId="35">#REF!</definedName>
    <definedName name="SARPIISRAEL">#REF!</definedName>
    <definedName name="SARPISUISSE" localSheetId="34">#REF!</definedName>
    <definedName name="SARPISUISSE" localSheetId="35">#REF!</definedName>
    <definedName name="SARPISUISSE">#REF!</definedName>
    <definedName name="Sched_Pay" localSheetId="34">#REF!</definedName>
    <definedName name="Sched_Pay" localSheetId="35">#REF!</definedName>
    <definedName name="Sched_Pay">#REF!</definedName>
    <definedName name="Scheduled_Extra_Payments" localSheetId="34">#REF!</definedName>
    <definedName name="Scheduled_Extra_Payments" localSheetId="35">#REF!</definedName>
    <definedName name="Scheduled_Extra_Payments">#REF!</definedName>
    <definedName name="Scheduled_Interest_Rate" localSheetId="34">#REF!</definedName>
    <definedName name="Scheduled_Interest_Rate" localSheetId="35">#REF!</definedName>
    <definedName name="Scheduled_Interest_Rate">#REF!</definedName>
    <definedName name="Scheduled_Monthly_Payment" localSheetId="34">#REF!</definedName>
    <definedName name="Scheduled_Monthly_Payment" localSheetId="35">#REF!</definedName>
    <definedName name="Scheduled_Monthly_Payment">#REF!</definedName>
    <definedName name="secretarial" localSheetId="34">#REF!</definedName>
    <definedName name="secretarial" localSheetId="35">#REF!</definedName>
    <definedName name="secretarial">#REF!</definedName>
    <definedName name="SEDIBEX" localSheetId="34">#REF!</definedName>
    <definedName name="SEDIBEX" localSheetId="35">#REF!</definedName>
    <definedName name="SEDIBEX">#REF!</definedName>
    <definedName name="SEK" localSheetId="34">#REF!</definedName>
    <definedName name="SEK" localSheetId="35">#REF!</definedName>
    <definedName name="SEK">#REF!</definedName>
    <definedName name="senderEmailAddr">[18]Help!$B$5</definedName>
    <definedName name="senderName">[18]Help!$B$4</definedName>
    <definedName name="sep">'[10]Sep 03'!$A$131:$H$471</definedName>
    <definedName name="sept">[3]param!#REF!</definedName>
    <definedName name="singapour" localSheetId="34">#REF!</definedName>
    <definedName name="singapour" localSheetId="35">#REF!</definedName>
    <definedName name="singapour">#REF!</definedName>
    <definedName name="sjgrhäg" localSheetId="34">Compte Rés 'Execulation Revenue'!Euro</definedName>
    <definedName name="sjgrhäg" localSheetId="35">Compte Rés 'Execution Cost'!Euro</definedName>
    <definedName name="sjgrhäg" localSheetId="33">Compte Rés [0]!Euro</definedName>
    <definedName name="sjgrhäg" localSheetId="32">Compte Rés [0]!Euro</definedName>
    <definedName name="sjgrhäg" localSheetId="37">Compte Rés [0]!Euro</definedName>
    <definedName name="sjgrhäg">Compte Rés Euro</definedName>
    <definedName name="SLOVAQUIE">#REF!</definedName>
    <definedName name="SOULIERALLEMAGNE" localSheetId="34">#REF!</definedName>
    <definedName name="SOULIERALLEMAGNE" localSheetId="35">#REF!</definedName>
    <definedName name="SOULIERALLEMAGNE">#REF!</definedName>
    <definedName name="stuffing" localSheetId="34">#REF!</definedName>
    <definedName name="stuffing" localSheetId="35">#REF!</definedName>
    <definedName name="stuffing">#REF!</definedName>
    <definedName name="Sud">[17]PAO!$B$19:$B$24</definedName>
    <definedName name="SudEst">[17]PAO!$B$27:$B$36</definedName>
    <definedName name="SUEDE" localSheetId="34">#REF!</definedName>
    <definedName name="SUEDE" localSheetId="35">#REF!</definedName>
    <definedName name="SUEDE">#REF!</definedName>
    <definedName name="SUISSECGEA" localSheetId="34">#REF!</definedName>
    <definedName name="SUISSECGEA" localSheetId="35">#REF!</definedName>
    <definedName name="SUISSECGEA">#REF!</definedName>
    <definedName name="SwEndDate" localSheetId="34">#REF!</definedName>
    <definedName name="SwEndDate" localSheetId="35">#REF!</definedName>
    <definedName name="SwEndDate">#REF!</definedName>
    <definedName name="SwEndDay" localSheetId="34">#REF!</definedName>
    <definedName name="SwEndDay" localSheetId="35">#REF!</definedName>
    <definedName name="SwEndDay">#REF!</definedName>
    <definedName name="SwEndMonth" localSheetId="34">#REF!</definedName>
    <definedName name="SwEndMonth" localSheetId="35">#REF!</definedName>
    <definedName name="SwEndMonth">#REF!</definedName>
    <definedName name="SwEndYear" localSheetId="34">#REF!</definedName>
    <definedName name="SwEndYear" localSheetId="35">#REF!</definedName>
    <definedName name="SwEndYear">#REF!</definedName>
    <definedName name="SwStartDate" localSheetId="34">#REF!</definedName>
    <definedName name="SwStartDate" localSheetId="35">#REF!</definedName>
    <definedName name="SwStartDate">#REF!</definedName>
    <definedName name="SwStartDay" localSheetId="34">#REF!</definedName>
    <definedName name="SwStartDay" localSheetId="35">#REF!</definedName>
    <definedName name="SwStartDay">#REF!</definedName>
    <definedName name="SwStartMonth" localSheetId="34">#REF!</definedName>
    <definedName name="SwStartMonth" localSheetId="35">#REF!</definedName>
    <definedName name="SwStartMonth">#REF!</definedName>
    <definedName name="SwStartYear" localSheetId="34">#REF!</definedName>
    <definedName name="SwStartYear" localSheetId="35">#REF!</definedName>
    <definedName name="SwStartYear">#REF!</definedName>
    <definedName name="SZW">IF('[2]WATER-DATA'!$AA1="G",'[2]WATER-DATA'!$S1,MAX(0,OFFSET('[2]INDEX-TOTAL'!$E$4,'[2]WATER-DATA'!$R1-1,'[2]WATER-DATA'!A$3-'[2]WATER-DATA'!$R$8)/OFFSET('[2]INDEX-TOTAL'!$E$4,'[2]WATER-DATA'!$R1-1,'[2]WATER-DATA'!$T1-'[2]WATER-DATA'!$R$8)*'[2]WATER-DATA'!$S1*('[2]WATER-DATA'!$AA1-('[2]WATER-DATA'!A$3-'[2]WATER-DATA'!$T1+1))/'[2]WATER-DATA'!$AA1))</definedName>
    <definedName name="t" localSheetId="34">[31]Interrogation!#REF!</definedName>
    <definedName name="t" localSheetId="35">[31]Interrogation!#REF!</definedName>
    <definedName name="t">[31]Interrogation!#REF!</definedName>
    <definedName name="T_Hessemans" localSheetId="34">#REF!</definedName>
    <definedName name="T_Hessemans" localSheetId="35">#REF!</definedName>
    <definedName name="T_Hessemans">#REF!</definedName>
    <definedName name="T16EE">[43]Summary!$P$1</definedName>
    <definedName name="T16NE">[43]Summary!$S$1</definedName>
    <definedName name="T16SE">[43]Summary!$V$1</definedName>
    <definedName name="T16TE">[43]Summary!$Y$1</definedName>
    <definedName name="T17EE">[43]Summary!$Q$1</definedName>
    <definedName name="T17NE">[43]Summary!$T$1</definedName>
    <definedName name="T17SE">[43]Summary!$W$1</definedName>
    <definedName name="T17TE">[43]Summary!$Z$1</definedName>
    <definedName name="T18EE">[43]Summary!$R$1</definedName>
    <definedName name="T18NE">[43]Summary!$U$1</definedName>
    <definedName name="T18SE">[43]Summary!$X$1</definedName>
    <definedName name="T18TE">[43]Summary!$AA$1</definedName>
    <definedName name="ta">[31]Interrogation!#REF!</definedName>
    <definedName name="tab">[31]Interrogation!#REF!</definedName>
    <definedName name="tabl" localSheetId="34">#REF!,#REF!,#REF!</definedName>
    <definedName name="tabl" localSheetId="35">#REF!,#REF!,#REF!</definedName>
    <definedName name="tabl">#REF!,#REF!,#REF!</definedName>
    <definedName name="table1" localSheetId="34">[31]Interrogation!#REF!</definedName>
    <definedName name="table1" localSheetId="35">[31]Interrogation!#REF!</definedName>
    <definedName name="table1">[31]Interrogation!#REF!</definedName>
    <definedName name="table2" localSheetId="34">[31]Interrogation!#REF!</definedName>
    <definedName name="table2" localSheetId="35">[31]Interrogation!#REF!</definedName>
    <definedName name="table2">[31]Interrogation!#REF!</definedName>
    <definedName name="table3" localSheetId="34">#REF!</definedName>
    <definedName name="table3" localSheetId="35">#REF!</definedName>
    <definedName name="table3">#REF!</definedName>
    <definedName name="table4" localSheetId="34">#REF!</definedName>
    <definedName name="table4" localSheetId="35">#REF!</definedName>
    <definedName name="table4">#REF!</definedName>
    <definedName name="table5" localSheetId="34">#REF!</definedName>
    <definedName name="table5" localSheetId="35">#REF!</definedName>
    <definedName name="table5">#REF!</definedName>
    <definedName name="table6" localSheetId="34">#REF!</definedName>
    <definedName name="table6" localSheetId="35">#REF!</definedName>
    <definedName name="table6">#REF!</definedName>
    <definedName name="tabled" localSheetId="34">#REF!</definedName>
    <definedName name="tabled" localSheetId="35">#REF!</definedName>
    <definedName name="tabled">#REF!</definedName>
    <definedName name="tablee" localSheetId="34">#REF!</definedName>
    <definedName name="tablee" localSheetId="35">#REF!</definedName>
    <definedName name="tablee">#REF!</definedName>
    <definedName name="tablef" localSheetId="34">#REF!</definedName>
    <definedName name="tablef" localSheetId="35">#REF!</definedName>
    <definedName name="tablef">#REF!</definedName>
    <definedName name="tableg" localSheetId="34">#REF!</definedName>
    <definedName name="tableg" localSheetId="35">#REF!</definedName>
    <definedName name="tableg">#REF!</definedName>
    <definedName name="tableh" localSheetId="34">#REF!</definedName>
    <definedName name="tableh" localSheetId="35">#REF!</definedName>
    <definedName name="tableh">#REF!</definedName>
    <definedName name="tablei" localSheetId="34">#REF!</definedName>
    <definedName name="tablei" localSheetId="35">#REF!</definedName>
    <definedName name="tablei">#REF!</definedName>
    <definedName name="tablej" localSheetId="34">#REF!</definedName>
    <definedName name="tablej" localSheetId="35">#REF!</definedName>
    <definedName name="tablej">#REF!</definedName>
    <definedName name="tablek" localSheetId="34">[31]Interrogation!#REF!</definedName>
    <definedName name="tablek" localSheetId="35">[31]Interrogation!#REF!</definedName>
    <definedName name="tablek">[31]Interrogation!#REF!</definedName>
    <definedName name="tablel" localSheetId="34">#REF!</definedName>
    <definedName name="tablel" localSheetId="35">#REF!</definedName>
    <definedName name="tablel">#REF!</definedName>
    <definedName name="tablelll" localSheetId="34">#REF!</definedName>
    <definedName name="tablelll" localSheetId="35">#REF!</definedName>
    <definedName name="tablelll">#REF!</definedName>
    <definedName name="tablem" localSheetId="34">#REF!</definedName>
    <definedName name="tablem" localSheetId="35">#REF!</definedName>
    <definedName name="tablem">#REF!</definedName>
    <definedName name="tablep" localSheetId="34">#REF!</definedName>
    <definedName name="tablep" localSheetId="35">#REF!</definedName>
    <definedName name="tablep">#REF!</definedName>
    <definedName name="tablev" localSheetId="34">#REF!</definedName>
    <definedName name="tablev" localSheetId="35">#REF!</definedName>
    <definedName name="tablev">#REF!</definedName>
    <definedName name="tablew" localSheetId="34">#REF!</definedName>
    <definedName name="tablew" localSheetId="35">#REF!</definedName>
    <definedName name="tablew">#REF!</definedName>
    <definedName name="TAHO" localSheetId="34">#REF!</definedName>
    <definedName name="TAHO" localSheetId="35">#REF!</definedName>
    <definedName name="TAHO">#REF!</definedName>
    <definedName name="tatat" localSheetId="34">#REF!</definedName>
    <definedName name="tatat" localSheetId="35">#REF!</definedName>
    <definedName name="tatat">#REF!</definedName>
    <definedName name="tauxcroissance" localSheetId="34">#REF!</definedName>
    <definedName name="tauxcroissance" localSheetId="35">#REF!</definedName>
    <definedName name="tauxcroissance">#REF!</definedName>
    <definedName name="TCHEQUIE" localSheetId="34">#REF!</definedName>
    <definedName name="TCHEQUIE" localSheetId="35">#REF!</definedName>
    <definedName name="TCHEQUIE">#REF!</definedName>
    <definedName name="TEST" localSheetId="34">#REF!</definedName>
    <definedName name="TEST" localSheetId="35">#REF!</definedName>
    <definedName name="TEST">#REF!</definedName>
    <definedName name="TEST0" localSheetId="34">#REF!</definedName>
    <definedName name="TEST0" localSheetId="35">#REF!</definedName>
    <definedName name="TEST0">#REF!</definedName>
    <definedName name="TEST28" localSheetId="0" hidden="1">{#N/A,#N/A,FALSE,"Aging Summary";#N/A,#N/A,FALSE,"Ratio Analysis";#N/A,#N/A,FALSE,"Test 120 Day Accts";#N/A,#N/A,FALSE,"Tickmarks"}</definedName>
    <definedName name="TEST28" localSheetId="7" hidden="1">{#N/A,#N/A,FALSE,"Aging Summary";#N/A,#N/A,FALSE,"Ratio Analysis";#N/A,#N/A,FALSE,"Test 120 Day Accts";#N/A,#N/A,FALSE,"Tickmarks"}</definedName>
    <definedName name="TEST28" localSheetId="2" hidden="1">{#N/A,#N/A,FALSE,"Aging Summary";#N/A,#N/A,FALSE,"Ratio Analysis";#N/A,#N/A,FALSE,"Test 120 Day Accts";#N/A,#N/A,FALSE,"Tickmarks"}</definedName>
    <definedName name="TEST28" localSheetId="34" hidden="1">{#N/A,#N/A,FALSE,"Aging Summary";#N/A,#N/A,FALSE,"Ratio Analysis";#N/A,#N/A,FALSE,"Test 120 Day Accts";#N/A,#N/A,FALSE,"Tickmarks"}</definedName>
    <definedName name="TEST28" localSheetId="35" hidden="1">{#N/A,#N/A,FALSE,"Aging Summary";#N/A,#N/A,FALSE,"Ratio Analysis";#N/A,#N/A,FALSE,"Test 120 Day Accts";#N/A,#N/A,FALSE,"Tickmarks"}</definedName>
    <definedName name="TEST28" localSheetId="6" hidden="1">{#N/A,#N/A,FALSE,"Aging Summary";#N/A,#N/A,FALSE,"Ratio Analysis";#N/A,#N/A,FALSE,"Test 120 Day Accts";#N/A,#N/A,FALSE,"Tickmarks"}</definedName>
    <definedName name="TEST28" localSheetId="15" hidden="1">{#N/A,#N/A,FALSE,"Aging Summary";#N/A,#N/A,FALSE,"Ratio Analysis";#N/A,#N/A,FALSE,"Test 120 Day Accts";#N/A,#N/A,FALSE,"Tickmarks"}</definedName>
    <definedName name="TEST28" localSheetId="33" hidden="1">{#N/A,#N/A,FALSE,"Aging Summary";#N/A,#N/A,FALSE,"Ratio Analysis";#N/A,#N/A,FALSE,"Test 120 Day Accts";#N/A,#N/A,FALSE,"Tickmarks"}</definedName>
    <definedName name="TEST28" localSheetId="32" hidden="1">{#N/A,#N/A,FALSE,"Aging Summary";#N/A,#N/A,FALSE,"Ratio Analysis";#N/A,#N/A,FALSE,"Test 120 Day Accts";#N/A,#N/A,FALSE,"Tickmarks"}</definedName>
    <definedName name="TEST28" hidden="1">{#N/A,#N/A,FALSE,"Aging Summary";#N/A,#N/A,FALSE,"Ratio Analysis";#N/A,#N/A,FALSE,"Test 120 Day Accts";#N/A,#N/A,FALSE,"Tickmarks"}</definedName>
    <definedName name="TESTHKEY">#REF!</definedName>
    <definedName name="TESTKEYS" localSheetId="34">#REF!</definedName>
    <definedName name="TESTKEYS" localSheetId="35">#REF!</definedName>
    <definedName name="TESTKEYS">#REF!</definedName>
    <definedName name="TESTVKEY" localSheetId="34">#REF!</definedName>
    <definedName name="TESTVKEY" localSheetId="35">#REF!</definedName>
    <definedName name="TESTVKEY">#REF!</definedName>
    <definedName name="tetety" localSheetId="34">#REF!</definedName>
    <definedName name="tetety" localSheetId="35">#REF!</definedName>
    <definedName name="tetety">#REF!</definedName>
    <definedName name="TodaysDay" localSheetId="34">#REF!</definedName>
    <definedName name="TodaysDay" localSheetId="35">#REF!</definedName>
    <definedName name="TodaysDay">#REF!</definedName>
    <definedName name="Total_Interest" localSheetId="34">#REF!</definedName>
    <definedName name="Total_Interest" localSheetId="35">#REF!</definedName>
    <definedName name="Total_Interest">#REF!</definedName>
    <definedName name="Total_Pay" localSheetId="34">#REF!</definedName>
    <definedName name="Total_Pay" localSheetId="35">#REF!</definedName>
    <definedName name="Total_Pay">#REF!</definedName>
    <definedName name="Total_Payment" localSheetId="34">Scheduled_Payment+Extra_Payment</definedName>
    <definedName name="Total_Payment" localSheetId="35">Scheduled_Payment+Extra_Payment</definedName>
    <definedName name="Total_Payment" localSheetId="33">Scheduled_Payment+Extra_Payment</definedName>
    <definedName name="Total_Payment" localSheetId="32">Scheduled_Payment+Extra_Payment</definedName>
    <definedName name="Total_Payment" localSheetId="37">Scheduled_Payment+Extra_Payment</definedName>
    <definedName name="Total_Payment">Scheduled_Payment+Extra_Payment</definedName>
    <definedName name="Total_sociétés">#REF!</definedName>
    <definedName name="travaut" localSheetId="34">#REF!,#REF!</definedName>
    <definedName name="travaut" localSheetId="35">#REF!,#REF!</definedName>
    <definedName name="travaut">#REF!,#REF!</definedName>
    <definedName name="TUNISIECGEA" localSheetId="34">#REF!</definedName>
    <definedName name="TUNISIECGEA" localSheetId="35">#REF!</definedName>
    <definedName name="TUNISIECGEA">#REF!</definedName>
    <definedName name="U_ANGI" localSheetId="34">#REF!</definedName>
    <definedName name="U_ANGI" localSheetId="35">#REF!</definedName>
    <definedName name="U_ANGI">#REF!</definedName>
    <definedName name="UGT">[44]Menu!$L$1:$L$19</definedName>
    <definedName name="Uk">'[45]Nom indicateurs'!#REF!</definedName>
    <definedName name="USA" localSheetId="34">#REF!</definedName>
    <definedName name="USA" localSheetId="35">#REF!</definedName>
    <definedName name="USA">#REF!</definedName>
    <definedName name="USACGEA" localSheetId="34">#REF!</definedName>
    <definedName name="USACGEA" localSheetId="35">#REF!</definedName>
    <definedName name="USACGEA">#REF!</definedName>
    <definedName name="USD" localSheetId="34">#REF!</definedName>
    <definedName name="USD" localSheetId="35">#REF!</definedName>
    <definedName name="USD">#REF!</definedName>
    <definedName name="USDT401" localSheetId="34">#REF!</definedName>
    <definedName name="USDT401" localSheetId="35">#REF!</definedName>
    <definedName name="USDT401">#REF!</definedName>
    <definedName name="USDT42001" localSheetId="34">#REF!</definedName>
    <definedName name="USDT42001" localSheetId="35">#REF!</definedName>
    <definedName name="USDT42001">#REF!</definedName>
    <definedName name="V_DOMTOM" localSheetId="34">#REF!</definedName>
    <definedName name="V_DOMTOM" localSheetId="35">#REF!</definedName>
    <definedName name="V_DOMTOM">#REF!</definedName>
    <definedName name="value" localSheetId="34">#REF!</definedName>
    <definedName name="value" localSheetId="35">#REF!</definedName>
    <definedName name="value">#REF!</definedName>
    <definedName name="Values_Entered" localSheetId="34">IF('Execulation Revenue'!Loan_Amount*'Execulation Revenue'!Interest_Rate*'Execulation Revenue'!Loan_Years*'Execulation Revenue'!Loan_Start&gt;0,1,0)</definedName>
    <definedName name="Values_Entered" localSheetId="35">IF('Execution Cost'!Loan_Amount*'Execution Cost'!Interest_Rate*'Execution Cost'!Loan_Years*'Execution Cost'!Loan_Start&gt;0,1,0)</definedName>
    <definedName name="Values_Entered">IF(Loan_Amount*Interest_Rate*Loan_Years*Loan_Start&gt;0,1,0)</definedName>
    <definedName name="Var." localSheetId="0" hidden="1">[1]DESBASTE!#REF!</definedName>
    <definedName name="Var." localSheetId="8" hidden="1">[1]DESBASTE!#REF!</definedName>
    <definedName name="Var." localSheetId="7" hidden="1">[1]DESBASTE!#REF!</definedName>
    <definedName name="Var." localSheetId="2" hidden="1">[1]DESBASTE!#REF!</definedName>
    <definedName name="Var." localSheetId="22" hidden="1">[1]DESBASTE!#REF!</definedName>
    <definedName name="Var." localSheetId="29" hidden="1">[1]DESBASTE!#REF!</definedName>
    <definedName name="Var." localSheetId="19" hidden="1">[1]DESBASTE!#REF!</definedName>
    <definedName name="Var." localSheetId="18" hidden="1">[1]DESBASTE!#REF!</definedName>
    <definedName name="Var." localSheetId="4" hidden="1">[1]DESBASTE!#REF!</definedName>
    <definedName name="Var." localSheetId="9" hidden="1">[1]DESBASTE!#REF!</definedName>
    <definedName name="Var." localSheetId="5" hidden="1">[1]DESBASTE!#REF!</definedName>
    <definedName name="Var." localSheetId="30" hidden="1">[1]DESBASTE!#REF!</definedName>
    <definedName name="Var." localSheetId="14" hidden="1">[1]DESBASTE!#REF!</definedName>
    <definedName name="Var." localSheetId="16" hidden="1">[1]DESBASTE!#REF!</definedName>
    <definedName name="Var." localSheetId="6" hidden="1">[1]DESBASTE!#REF!</definedName>
    <definedName name="Var." localSheetId="15" hidden="1">[1]DESBASTE!#REF!</definedName>
    <definedName name="Var." localSheetId="1" hidden="1">[1]DESBASTE!#REF!</definedName>
    <definedName name="Var." localSheetId="12" hidden="1">[1]DESBASTE!#REF!</definedName>
    <definedName name="Var." localSheetId="25" hidden="1">[1]DESBASTE!#REF!</definedName>
    <definedName name="Var." localSheetId="31" hidden="1">[1]DESBASTE!#REF!</definedName>
    <definedName name="Var." hidden="1">[1]DESBASTE!#REF!</definedName>
    <definedName name="VIVENDI" localSheetId="34">#REF!</definedName>
    <definedName name="VIVENDI" localSheetId="35">#REF!</definedName>
    <definedName name="VIVENDI">#REF!</definedName>
    <definedName name="VIVENDI__EMP._OBLIGATAIRE" localSheetId="34">#REF!</definedName>
    <definedName name="VIVENDI__EMP._OBLIGATAIRE" localSheetId="35">#REF!</definedName>
    <definedName name="VIVENDI__EMP._OBLIGATAIRE">#REF!</definedName>
    <definedName name="VIVENDI_EQUILIBRAGE" localSheetId="34">#REF!</definedName>
    <definedName name="VIVENDI_EQUILIBRAGE" localSheetId="35">#REF!</definedName>
    <definedName name="VIVENDI_EQUILIBRAGE">#REF!</definedName>
    <definedName name="VIVENDI_UK" localSheetId="34">#REF!</definedName>
    <definedName name="VIVENDI_UK" localSheetId="35">#REF!</definedName>
    <definedName name="VIVENDI_UK">#REF!</definedName>
    <definedName name="VIVENDI_WATER" localSheetId="34">#REF!</definedName>
    <definedName name="VIVENDI_WATER" localSheetId="35">#REF!</definedName>
    <definedName name="VIVENDI_WATER">#REF!</definedName>
    <definedName name="vn" localSheetId="0" hidden="1">{#N/A,#N/A,FALSE,"RECAP Note Global";#N/A,#N/A,FALSE,"RECAP Note France";#N/A,#N/A,FALSE,"RECAP Note étranger";#N/A,#N/A,FALSE,"RECAP Note Zones"}</definedName>
    <definedName name="vn" localSheetId="7" hidden="1">{#N/A,#N/A,FALSE,"RECAP Note Global";#N/A,#N/A,FALSE,"RECAP Note France";#N/A,#N/A,FALSE,"RECAP Note étranger";#N/A,#N/A,FALSE,"RECAP Note Zones"}</definedName>
    <definedName name="vn" localSheetId="2" hidden="1">{#N/A,#N/A,FALSE,"RECAP Note Global";#N/A,#N/A,FALSE,"RECAP Note France";#N/A,#N/A,FALSE,"RECAP Note étranger";#N/A,#N/A,FALSE,"RECAP Note Zones"}</definedName>
    <definedName name="vn" localSheetId="34" hidden="1">{#N/A,#N/A,FALSE,"RECAP Note Global";#N/A,#N/A,FALSE,"RECAP Note France";#N/A,#N/A,FALSE,"RECAP Note étranger";#N/A,#N/A,FALSE,"RECAP Note Zones"}</definedName>
    <definedName name="vn" localSheetId="35" hidden="1">{#N/A,#N/A,FALSE,"RECAP Note Global";#N/A,#N/A,FALSE,"RECAP Note France";#N/A,#N/A,FALSE,"RECAP Note étranger";#N/A,#N/A,FALSE,"RECAP Note Zones"}</definedName>
    <definedName name="vn" localSheetId="6" hidden="1">{#N/A,#N/A,FALSE,"RECAP Note Global";#N/A,#N/A,FALSE,"RECAP Note France";#N/A,#N/A,FALSE,"RECAP Note étranger";#N/A,#N/A,FALSE,"RECAP Note Zones"}</definedName>
    <definedName name="vn" localSheetId="15" hidden="1">{#N/A,#N/A,FALSE,"RECAP Note Global";#N/A,#N/A,FALSE,"RECAP Note France";#N/A,#N/A,FALSE,"RECAP Note étranger";#N/A,#N/A,FALSE,"RECAP Note Zones"}</definedName>
    <definedName name="vn" localSheetId="33" hidden="1">{#N/A,#N/A,FALSE,"RECAP Note Global";#N/A,#N/A,FALSE,"RECAP Note France";#N/A,#N/A,FALSE,"RECAP Note étranger";#N/A,#N/A,FALSE,"RECAP Note Zones"}</definedName>
    <definedName name="vn" localSheetId="32" hidden="1">{#N/A,#N/A,FALSE,"RECAP Note Global";#N/A,#N/A,FALSE,"RECAP Note France";#N/A,#N/A,FALSE,"RECAP Note étranger";#N/A,#N/A,FALSE,"RECAP Note Zones"}</definedName>
    <definedName name="vn" hidden="1">{#N/A,#N/A,FALSE,"RECAP Note Global";#N/A,#N/A,FALSE,"RECAP Note France";#N/A,#N/A,FALSE,"RECAP Note étranger";#N/A,#N/A,FALSE,"RECAP Note Zones"}</definedName>
    <definedName name="VNAO">#REF!</definedName>
    <definedName name="vrr" localSheetId="34">#REF!</definedName>
    <definedName name="vrr" localSheetId="35">#REF!</definedName>
    <definedName name="vrr">#REF!</definedName>
    <definedName name="vsr" localSheetId="34">#REF!</definedName>
    <definedName name="vsr" localSheetId="35">#REF!</definedName>
    <definedName name="vsr">#REF!</definedName>
    <definedName name="vss" localSheetId="34">#REF!</definedName>
    <definedName name="vss" localSheetId="35">#REF!</definedName>
    <definedName name="vss">#REF!</definedName>
    <definedName name="vv" localSheetId="34">'[33]PBZ - DEVISE LOCALE'!#REF!</definedName>
    <definedName name="vv" localSheetId="35">'[33]PBZ - DEVISE LOCALE'!#REF!</definedName>
    <definedName name="vv">'[33]PBZ - DEVISE LOCALE'!#REF!</definedName>
    <definedName name="vve" localSheetId="34">#REF!</definedName>
    <definedName name="vve" localSheetId="35">#REF!</definedName>
    <definedName name="vve">#REF!</definedName>
    <definedName name="vvv" localSheetId="34">'[33]PBZ - DEVISE LOCALE'!#REF!</definedName>
    <definedName name="vvv" localSheetId="35">'[33]PBZ - DEVISE LOCALE'!#REF!</definedName>
    <definedName name="vvv">'[33]PBZ - DEVISE LOCALE'!#REF!</definedName>
    <definedName name="W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7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6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assereinsparung2001">#REF!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7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localSheetId="34" hidden="1">{#N/A,#N/A,FALSE,"Aging Summary";#N/A,#N/A,FALSE,"Ratio Analysis";#N/A,#N/A,FALSE,"Test 120 Day Accts";#N/A,#N/A,FALSE,"Tickmarks"}</definedName>
    <definedName name="wrn.Aging._.and._.Trend._.Analysis." localSheetId="35" hidden="1">{#N/A,#N/A,FALSE,"Aging Summary";#N/A,#N/A,FALSE,"Ratio Analysis";#N/A,#N/A,FALSE,"Test 120 Day Accts";#N/A,#N/A,FALSE,"Tickmarks"}</definedName>
    <definedName name="wrn.Aging._.and._.Trend._.Analysis." localSheetId="6" hidden="1">{#N/A,#N/A,FALSE,"Aging Summary";#N/A,#N/A,FALSE,"Ratio Analysis";#N/A,#N/A,FALSE,"Test 120 Day Accts";#N/A,#N/A,FALSE,"Tickmarks"}</definedName>
    <definedName name="wrn.Aging._.and._.Trend._.Analysis." localSheetId="15" hidden="1">{#N/A,#N/A,FALSE,"Aging Summary";#N/A,#N/A,FALSE,"Ratio Analysis";#N/A,#N/A,FALSE,"Test 120 Day Accts";#N/A,#N/A,FALSE,"Tickmarks"}</definedName>
    <definedName name="wrn.Aging._.and._.Trend._.Analysis." localSheetId="33" hidden="1">{#N/A,#N/A,FALSE,"Aging Summary";#N/A,#N/A,FALSE,"Ratio Analysis";#N/A,#N/A,FALSE,"Test 120 Day Accts";#N/A,#N/A,FALSE,"Tickmarks"}</definedName>
    <definedName name="wrn.Aging._.and._.Trend._.Analysis." localSheetId="3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RECAP." localSheetId="0" hidden="1">{#N/A,#N/A,FALSE,"RECAP Note Global";#N/A,#N/A,FALSE,"RECAP Note France";#N/A,#N/A,FALSE,"RECAP Note étranger";#N/A,#N/A,FALSE,"RECAP Note Zones"}</definedName>
    <definedName name="wrn.RECAP." localSheetId="7" hidden="1">{#N/A,#N/A,FALSE,"RECAP Note Global";#N/A,#N/A,FALSE,"RECAP Note France";#N/A,#N/A,FALSE,"RECAP Note étranger";#N/A,#N/A,FALSE,"RECAP Note Zones"}</definedName>
    <definedName name="wrn.RECAP." localSheetId="2" hidden="1">{#N/A,#N/A,FALSE,"RECAP Note Global";#N/A,#N/A,FALSE,"RECAP Note France";#N/A,#N/A,FALSE,"RECAP Note étranger";#N/A,#N/A,FALSE,"RECAP Note Zones"}</definedName>
    <definedName name="wrn.RECAP." localSheetId="34" hidden="1">{#N/A,#N/A,FALSE,"RECAP Note Global";#N/A,#N/A,FALSE,"RECAP Note France";#N/A,#N/A,FALSE,"RECAP Note étranger";#N/A,#N/A,FALSE,"RECAP Note Zones"}</definedName>
    <definedName name="wrn.RECAP." localSheetId="35" hidden="1">{#N/A,#N/A,FALSE,"RECAP Note Global";#N/A,#N/A,FALSE,"RECAP Note France";#N/A,#N/A,FALSE,"RECAP Note étranger";#N/A,#N/A,FALSE,"RECAP Note Zones"}</definedName>
    <definedName name="wrn.RECAP." localSheetId="6" hidden="1">{#N/A,#N/A,FALSE,"RECAP Note Global";#N/A,#N/A,FALSE,"RECAP Note France";#N/A,#N/A,FALSE,"RECAP Note étranger";#N/A,#N/A,FALSE,"RECAP Note Zones"}</definedName>
    <definedName name="wrn.RECAP." localSheetId="15" hidden="1">{#N/A,#N/A,FALSE,"RECAP Note Global";#N/A,#N/A,FALSE,"RECAP Note France";#N/A,#N/A,FALSE,"RECAP Note étranger";#N/A,#N/A,FALSE,"RECAP Note Zones"}</definedName>
    <definedName name="wrn.RECAP." localSheetId="33" hidden="1">{#N/A,#N/A,FALSE,"RECAP Note Global";#N/A,#N/A,FALSE,"RECAP Note France";#N/A,#N/A,FALSE,"RECAP Note étranger";#N/A,#N/A,FALSE,"RECAP Note Zones"}</definedName>
    <definedName name="wrn.RECAP." localSheetId="32" hidden="1">{#N/A,#N/A,FALSE,"RECAP Note Global";#N/A,#N/A,FALSE,"RECAP Note France";#N/A,#N/A,FALSE,"RECAP Note étranger";#N/A,#N/A,FALSE,"RECAP Note Zones"}</definedName>
    <definedName name="wrn.RECAP." hidden="1">{#N/A,#N/A,FALSE,"RECAP Note Global";#N/A,#N/A,FALSE,"RECAP Note France";#N/A,#N/A,FALSE,"RECAP Note étranger";#N/A,#N/A,FALSE,"RECAP Note Zones"}</definedName>
    <definedName name="wrn.Refining._.Margin._.Faxes." localSheetId="0" hidden="1">{#N/A,#N/A,FALSE,"DEA Report";#N/A,#N/A,FALSE,"Veba Report";#N/A,#N/A,FALSE,"Wintershall Report";#N/A,#N/A,FALSE,"Fina Report"}</definedName>
    <definedName name="wrn.Refining._.Margin._.Faxes." localSheetId="7" hidden="1">{#N/A,#N/A,FALSE,"DEA Report";#N/A,#N/A,FALSE,"Veba Report";#N/A,#N/A,FALSE,"Wintershall Report";#N/A,#N/A,FALSE,"Fina Report"}</definedName>
    <definedName name="wrn.Refining._.Margin._.Faxes." localSheetId="2" hidden="1">{#N/A,#N/A,FALSE,"DEA Report";#N/A,#N/A,FALSE,"Veba Report";#N/A,#N/A,FALSE,"Wintershall Report";#N/A,#N/A,FALSE,"Fina Report"}</definedName>
    <definedName name="wrn.Refining._.Margin._.Faxes." localSheetId="34" hidden="1">{#N/A,#N/A,FALSE,"DEA Report";#N/A,#N/A,FALSE,"Veba Report";#N/A,#N/A,FALSE,"Wintershall Report";#N/A,#N/A,FALSE,"Fina Report"}</definedName>
    <definedName name="wrn.Refining._.Margin._.Faxes." localSheetId="35" hidden="1">{#N/A,#N/A,FALSE,"DEA Report";#N/A,#N/A,FALSE,"Veba Report";#N/A,#N/A,FALSE,"Wintershall Report";#N/A,#N/A,FALSE,"Fina Report"}</definedName>
    <definedName name="wrn.Refining._.Margin._.Faxes." localSheetId="6" hidden="1">{#N/A,#N/A,FALSE,"DEA Report";#N/A,#N/A,FALSE,"Veba Report";#N/A,#N/A,FALSE,"Wintershall Report";#N/A,#N/A,FALSE,"Fina Report"}</definedName>
    <definedName name="wrn.Refining._.Margin._.Faxes." localSheetId="15" hidden="1">{#N/A,#N/A,FALSE,"DEA Report";#N/A,#N/A,FALSE,"Veba Report";#N/A,#N/A,FALSE,"Wintershall Report";#N/A,#N/A,FALSE,"Fina Report"}</definedName>
    <definedName name="wrn.Refining._.Margin._.Faxes." localSheetId="33" hidden="1">{#N/A,#N/A,FALSE,"DEA Report";#N/A,#N/A,FALSE,"Veba Report";#N/A,#N/A,FALSE,"Wintershall Report";#N/A,#N/A,FALSE,"Fina Report"}</definedName>
    <definedName name="wrn.Refining._.Margin._.Faxes." localSheetId="32" hidden="1">{#N/A,#N/A,FALSE,"DEA Report";#N/A,#N/A,FALSE,"Veba Report";#N/A,#N/A,FALSE,"Wintershall Report";#N/A,#N/A,FALSE,"Fina Report"}</definedName>
    <definedName name="wrn.Refining._.Margin._.Faxes." hidden="1">{#N/A,#N/A,FALSE,"DEA Report";#N/A,#N/A,FALSE,"Veba Report";#N/A,#N/A,FALSE,"Wintershall Report";#N/A,#N/A,FALSE,"Fina Report"}</definedName>
    <definedName name="wrn.Reporting.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7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6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rn.Reporting.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WTP">#REF!</definedName>
    <definedName name="x" localSheetId="0" hidden="1">{#N/A,#N/A,FALSE,"Aging Summary";#N/A,#N/A,FALSE,"Ratio Analysis";#N/A,#N/A,FALSE,"Test 120 Day Accts";#N/A,#N/A,FALSE,"Tickmarks"}</definedName>
    <definedName name="x" localSheetId="7" hidden="1">{#N/A,#N/A,FALSE,"Aging Summary";#N/A,#N/A,FALSE,"Ratio Analysis";#N/A,#N/A,FALSE,"Test 120 Day Accts";#N/A,#N/A,FALSE,"Tickmarks"}</definedName>
    <definedName name="x" localSheetId="2" hidden="1">{#N/A,#N/A,FALSE,"Aging Summary";#N/A,#N/A,FALSE,"Ratio Analysis";#N/A,#N/A,FALSE,"Test 120 Day Accts";#N/A,#N/A,FALSE,"Tickmarks"}</definedName>
    <definedName name="x" localSheetId="34" hidden="1">{#N/A,#N/A,FALSE,"Aging Summary";#N/A,#N/A,FALSE,"Ratio Analysis";#N/A,#N/A,FALSE,"Test 120 Day Accts";#N/A,#N/A,FALSE,"Tickmarks"}</definedName>
    <definedName name="x" localSheetId="35" hidden="1">{#N/A,#N/A,FALSE,"Aging Summary";#N/A,#N/A,FALSE,"Ratio Analysis";#N/A,#N/A,FALSE,"Test 120 Day Accts";#N/A,#N/A,FALSE,"Tickmarks"}</definedName>
    <definedName name="x" localSheetId="6" hidden="1">{#N/A,#N/A,FALSE,"Aging Summary";#N/A,#N/A,FALSE,"Ratio Analysis";#N/A,#N/A,FALSE,"Test 120 Day Accts";#N/A,#N/A,FALSE,"Tickmarks"}</definedName>
    <definedName name="x" localSheetId="15" hidden="1">{#N/A,#N/A,FALSE,"Aging Summary";#N/A,#N/A,FALSE,"Ratio Analysis";#N/A,#N/A,FALSE,"Test 120 Day Accts";#N/A,#N/A,FALSE,"Tickmarks"}</definedName>
    <definedName name="x" localSheetId="33" hidden="1">{#N/A,#N/A,FALSE,"Aging Summary";#N/A,#N/A,FALSE,"Ratio Analysis";#N/A,#N/A,FALSE,"Test 120 Day Accts";#N/A,#N/A,FALSE,"Tickmarks"}</definedName>
    <definedName name="x" localSheetId="32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">'[33]PBZ - DEVISE LOCALE'!#REF!</definedName>
    <definedName name="xxx" localSheetId="0" hidden="1">{#N/A,#N/A,FALSE,"RECAP Note Global";#N/A,#N/A,FALSE,"RECAP Note France";#N/A,#N/A,FALSE,"RECAP Note étranger";#N/A,#N/A,FALSE,"RECAP Note Zones"}</definedName>
    <definedName name="xxx" localSheetId="7" hidden="1">{#N/A,#N/A,FALSE,"RECAP Note Global";#N/A,#N/A,FALSE,"RECAP Note France";#N/A,#N/A,FALSE,"RECAP Note étranger";#N/A,#N/A,FALSE,"RECAP Note Zones"}</definedName>
    <definedName name="xxx" localSheetId="2" hidden="1">{#N/A,#N/A,FALSE,"RECAP Note Global";#N/A,#N/A,FALSE,"RECAP Note France";#N/A,#N/A,FALSE,"RECAP Note étranger";#N/A,#N/A,FALSE,"RECAP Note Zones"}</definedName>
    <definedName name="xxx" localSheetId="34" hidden="1">{#N/A,#N/A,FALSE,"RECAP Note Global";#N/A,#N/A,FALSE,"RECAP Note France";#N/A,#N/A,FALSE,"RECAP Note étranger";#N/A,#N/A,FALSE,"RECAP Note Zones"}</definedName>
    <definedName name="xxx" localSheetId="35" hidden="1">{#N/A,#N/A,FALSE,"RECAP Note Global";#N/A,#N/A,FALSE,"RECAP Note France";#N/A,#N/A,FALSE,"RECAP Note étranger";#N/A,#N/A,FALSE,"RECAP Note Zones"}</definedName>
    <definedName name="xxx" localSheetId="6" hidden="1">{#N/A,#N/A,FALSE,"RECAP Note Global";#N/A,#N/A,FALSE,"RECAP Note France";#N/A,#N/A,FALSE,"RECAP Note étranger";#N/A,#N/A,FALSE,"RECAP Note Zones"}</definedName>
    <definedName name="xxx" localSheetId="15" hidden="1">{#N/A,#N/A,FALSE,"RECAP Note Global";#N/A,#N/A,FALSE,"RECAP Note France";#N/A,#N/A,FALSE,"RECAP Note étranger";#N/A,#N/A,FALSE,"RECAP Note Zones"}</definedName>
    <definedName name="xxx" localSheetId="33" hidden="1">{#N/A,#N/A,FALSE,"RECAP Note Global";#N/A,#N/A,FALSE,"RECAP Note France";#N/A,#N/A,FALSE,"RECAP Note étranger";#N/A,#N/A,FALSE,"RECAP Note Zones"}</definedName>
    <definedName name="xxx" localSheetId="32" hidden="1">{#N/A,#N/A,FALSE,"RECAP Note Global";#N/A,#N/A,FALSE,"RECAP Note France";#N/A,#N/A,FALSE,"RECAP Note étranger";#N/A,#N/A,FALSE,"RECAP Note Zones"}</definedName>
    <definedName name="xxx" hidden="1">{#N/A,#N/A,FALSE,"RECAP Note Global";#N/A,#N/A,FALSE,"RECAP Note France";#N/A,#N/A,FALSE,"RECAP Note étranger";#N/A,#N/A,FALSE,"RECAP Note Zones"}</definedName>
    <definedName name="xxx1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7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6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xxx1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YesNo">'[40]Lists&amp;Param'!$B$14:$B$15</definedName>
    <definedName name="Z_FBC186E6_458F_491F_B373_517B3CE2AAE4_.wvu.Cols" localSheetId="28" hidden="1">Automation!#REF!</definedName>
    <definedName name="Z_FBC186E6_458F_491F_B373_517B3CE2AAE4_.wvu.Cols" localSheetId="26" hidden="1">'CF Working'!#REF!</definedName>
    <definedName name="Z_FBC186E6_458F_491F_B373_517B3CE2AAE4_.wvu.Cols" localSheetId="29" hidden="1">'Existing UGRs'!#REF!</definedName>
    <definedName name="Z_FBC186E6_458F_491F_B373_517B3CE2AAE4_.wvu.Cols" localSheetId="30" hidden="1">'New UGRs'!#REF!</definedName>
    <definedName name="Z_FBC186E6_458F_491F_B373_517B3CE2AAE4_.wvu.Cols" localSheetId="25" hidden="1">'Work CF'!#REF!</definedName>
    <definedName name="Z_FBC186E6_458F_491F_B373_517B3CE2AAE4_.wvu.Cols" localSheetId="24" hidden="1">'Work Schedule'!#REF!</definedName>
    <definedName name="Z_FBC186E6_458F_491F_B373_517B3CE2AAE4_.wvu.Cols" localSheetId="27" hidden="1">'Works Working'!#REF!</definedName>
    <definedName name="Z_FBC186E6_458F_491F_B373_517B3CE2AAE4_.wvu.Cols" localSheetId="31" hidden="1">WTP!#REF!</definedName>
    <definedName name="Z_FBC186E6_458F_491F_B373_517B3CE2AAE4_.wvu.FilterData" localSheetId="28" hidden="1">Automation!$A$1:$M$5</definedName>
    <definedName name="Z_FBC186E6_458F_491F_B373_517B3CE2AAE4_.wvu.FilterData" localSheetId="29" hidden="1">'Existing UGRs'!$A$1:$M$13</definedName>
    <definedName name="Z_FBC186E6_458F_491F_B373_517B3CE2AAE4_.wvu.FilterData" localSheetId="30" hidden="1">'New UGRs'!$A$1:$N$12</definedName>
    <definedName name="Z_FBC186E6_458F_491F_B373_517B3CE2AAE4_.wvu.FilterData" localSheetId="25" hidden="1">'Work CF'!$A$1:$K$38</definedName>
    <definedName name="Z_FBC186E6_458F_491F_B373_517B3CE2AAE4_.wvu.FilterData" localSheetId="24" hidden="1">'Work Schedule'!$A$1:$K$38</definedName>
    <definedName name="Z_FBC186E6_458F_491F_B373_517B3CE2AAE4_.wvu.FilterData" localSheetId="31" hidden="1">WTP!$A$1:$M$7</definedName>
    <definedName name="Zone_d_impression_EFNcarat" localSheetId="34">#REF!,#REF!,#REF!</definedName>
    <definedName name="Zone_d_impression_EFNcarat" localSheetId="35">#REF!,#REF!,#REF!</definedName>
    <definedName name="Zone_d_impression_EFNcarat">#REF!,#REF!,#REF!</definedName>
    <definedName name="Zone_d_impression_EFNretraite" localSheetId="34">#REF!,#REF!,#REF!</definedName>
    <definedName name="Zone_d_impression_EFNretraite" localSheetId="35">#REF!,#REF!,#REF!</definedName>
    <definedName name="Zone_d_impression_EFNretraite">#REF!,#REF!,#REF!</definedName>
    <definedName name="Zone_d_impression_RetraitEFN" localSheetId="34">#REF!,#REF!,#REF!</definedName>
    <definedName name="Zone_d_impression_RetraitEFN" localSheetId="35">#REF!,#REF!,#REF!</definedName>
    <definedName name="Zone_d_impression_RetraitEFN">#REF!,#REF!,#REF!</definedName>
    <definedName name="zzz" localSheetId="0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34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3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15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33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localSheetId="32" hidden="1">{#N/A,#N/A,TRUE,"SOMMAIRE";#N/A,#N/A,TRUE,"COMMENT";#N/A,#N/A,TRUE,"RESULTAT";#N/A,#N/A,TRUE,"ENDETTEMENT";#N/A,#N/A,TRUE,"CRÉDITS CT-LT";#N/A,#N/A,TRUE,"CLIENTS";#N/A,#N/A,TRUE,"CRÉANS CHALEUR";#N/A,#N/A,TRUE,"EFFECTIF";#N/A,#N/A,TRUE,"INVEST"}</definedName>
    <definedName name="zzz" hidden="1">{#N/A,#N/A,TRUE,"SOMMAIRE";#N/A,#N/A,TRUE,"COMMENT";#N/A,#N/A,TRUE,"RESULTAT";#N/A,#N/A,TRUE,"ENDETTEMENT";#N/A,#N/A,TRUE,"CRÉDITS CT-LT";#N/A,#N/A,TRUE,"CLIENTS";#N/A,#N/A,TRUE,"CRÉANS CHALEUR";#N/A,#N/A,TRUE,"EFFECTIF";#N/A,#N/A,TRUE,"INVEST"}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2" l="1"/>
  <c r="B5" i="10" l="1"/>
  <c r="M16" i="10" l="1"/>
  <c r="H35" i="2" l="1"/>
  <c r="G35" i="2"/>
  <c r="F35" i="2"/>
  <c r="E35" i="2"/>
  <c r="D35" i="2"/>
  <c r="C35" i="2"/>
  <c r="B35" i="2"/>
  <c r="CY16" i="11" l="1"/>
  <c r="AA10" i="11" l="1"/>
  <c r="Z15" i="6"/>
  <c r="Q12" i="2"/>
  <c r="P12" i="2"/>
  <c r="O12" i="2"/>
  <c r="N12" i="2"/>
  <c r="M12" i="2"/>
  <c r="L12" i="2"/>
  <c r="K12" i="2"/>
  <c r="J12" i="2"/>
  <c r="M49" i="5"/>
  <c r="M50" i="5" s="1"/>
  <c r="J22" i="2"/>
  <c r="I22" i="2"/>
  <c r="CW19" i="5" l="1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A16" i="25"/>
  <c r="Z16" i="25"/>
  <c r="AA9" i="25"/>
  <c r="AB9" i="25" s="1"/>
  <c r="AC9" i="25" s="1"/>
  <c r="AD9" i="25" s="1"/>
  <c r="AE9" i="25" s="1"/>
  <c r="AF9" i="25" s="1"/>
  <c r="AG9" i="25" s="1"/>
  <c r="AH9" i="25" s="1"/>
  <c r="AI9" i="25" s="1"/>
  <c r="AJ9" i="25" s="1"/>
  <c r="AK9" i="25" s="1"/>
  <c r="AL9" i="25" s="1"/>
  <c r="AM9" i="25" s="1"/>
  <c r="AN9" i="25" s="1"/>
  <c r="AO9" i="25" s="1"/>
  <c r="AP9" i="25" s="1"/>
  <c r="AQ9" i="25" s="1"/>
  <c r="AR9" i="25" s="1"/>
  <c r="AS9" i="25" s="1"/>
  <c r="AT9" i="25" s="1"/>
  <c r="AU9" i="25" s="1"/>
  <c r="AV9" i="25" s="1"/>
  <c r="AW9" i="25" s="1"/>
  <c r="AX9" i="25" s="1"/>
  <c r="AY9" i="25" s="1"/>
  <c r="AZ9" i="25" s="1"/>
  <c r="BA9" i="25" s="1"/>
  <c r="BB9" i="25" s="1"/>
  <c r="BC9" i="25" s="1"/>
  <c r="BD9" i="25" s="1"/>
  <c r="BE9" i="25" s="1"/>
  <c r="BF9" i="25" s="1"/>
  <c r="BG9" i="25" s="1"/>
  <c r="BH9" i="25" s="1"/>
  <c r="BI9" i="25" s="1"/>
  <c r="BJ9" i="25" s="1"/>
  <c r="BK9" i="25" s="1"/>
  <c r="BL9" i="25" s="1"/>
  <c r="BM9" i="25" s="1"/>
  <c r="BN9" i="25" s="1"/>
  <c r="BO9" i="25" s="1"/>
  <c r="BP9" i="25" s="1"/>
  <c r="BQ9" i="25" s="1"/>
  <c r="BR9" i="25" s="1"/>
  <c r="BS9" i="25" s="1"/>
  <c r="BT9" i="25" s="1"/>
  <c r="BU9" i="25" s="1"/>
  <c r="BV9" i="25" s="1"/>
  <c r="BW9" i="25" s="1"/>
  <c r="BX9" i="25" s="1"/>
  <c r="BY9" i="25" s="1"/>
  <c r="BZ9" i="25" s="1"/>
  <c r="CA9" i="25" s="1"/>
  <c r="CB9" i="25" s="1"/>
  <c r="CC9" i="25" s="1"/>
  <c r="CD9" i="25" s="1"/>
  <c r="CE9" i="25" s="1"/>
  <c r="CF9" i="25" s="1"/>
  <c r="CG9" i="25" s="1"/>
  <c r="CH9" i="25" s="1"/>
  <c r="CI9" i="25" s="1"/>
  <c r="CJ9" i="25" s="1"/>
  <c r="CK9" i="25" s="1"/>
  <c r="CL9" i="25" s="1"/>
  <c r="CM9" i="25" s="1"/>
  <c r="CN9" i="25" s="1"/>
  <c r="CO9" i="25" s="1"/>
  <c r="CP9" i="25" s="1"/>
  <c r="CQ9" i="25" s="1"/>
  <c r="CR9" i="25" s="1"/>
  <c r="CS9" i="25" s="1"/>
  <c r="CT9" i="25" s="1"/>
  <c r="CU9" i="25" s="1"/>
  <c r="CV9" i="25" s="1"/>
  <c r="CW9" i="25" s="1"/>
  <c r="CX9" i="25" s="1"/>
  <c r="CY9" i="25" s="1"/>
  <c r="AB16" i="25" l="1"/>
  <c r="AD16" i="25"/>
  <c r="AC16" i="25"/>
  <c r="AE16" i="25" l="1"/>
  <c r="AF16" i="25" l="1"/>
  <c r="AG16" i="25" l="1"/>
  <c r="AH16" i="25" l="1"/>
  <c r="AI16" i="25" l="1"/>
  <c r="AJ16" i="25" l="1"/>
  <c r="AK16" i="25" l="1"/>
  <c r="AL16" i="25" l="1"/>
  <c r="AM16" i="25" l="1"/>
  <c r="AN16" i="25" l="1"/>
  <c r="AO16" i="25" l="1"/>
  <c r="AP16" i="25" l="1"/>
  <c r="AQ16" i="25" l="1"/>
  <c r="AR16" i="25" l="1"/>
  <c r="AS16" i="25" l="1"/>
  <c r="AT16" i="25" l="1"/>
  <c r="AU16" i="25" l="1"/>
  <c r="AV16" i="25" l="1"/>
  <c r="AW16" i="25" l="1"/>
  <c r="AX16" i="25" l="1"/>
  <c r="AY16" i="25" l="1"/>
  <c r="AZ16" i="25" l="1"/>
  <c r="BA16" i="25" l="1"/>
  <c r="BB16" i="25" l="1"/>
  <c r="BC16" i="25" l="1"/>
  <c r="BD16" i="25" l="1"/>
  <c r="BE16" i="25" l="1"/>
  <c r="BF16" i="25" l="1"/>
  <c r="BG16" i="25" l="1"/>
  <c r="BH16" i="25" l="1"/>
  <c r="BI16" i="25" l="1"/>
  <c r="BJ16" i="25" l="1"/>
  <c r="BK16" i="25" l="1"/>
  <c r="BL16" i="25" l="1"/>
  <c r="BM16" i="25" l="1"/>
  <c r="BN16" i="25" l="1"/>
  <c r="BO16" i="25" l="1"/>
  <c r="BP16" i="25" l="1"/>
  <c r="BQ16" i="25" l="1"/>
  <c r="BR16" i="25" l="1"/>
  <c r="BS16" i="25" l="1"/>
  <c r="BT16" i="25" l="1"/>
  <c r="BU16" i="25" l="1"/>
  <c r="BV16" i="25" l="1"/>
  <c r="BW16" i="25" l="1"/>
  <c r="BX16" i="25" l="1"/>
  <c r="BY16" i="25" l="1"/>
  <c r="BZ16" i="25" l="1"/>
  <c r="CA16" i="25" l="1"/>
  <c r="CB16" i="25" l="1"/>
  <c r="CC16" i="25" l="1"/>
  <c r="CD16" i="25" l="1"/>
  <c r="CE16" i="25" l="1"/>
  <c r="CF16" i="25" l="1"/>
  <c r="CG16" i="25" l="1"/>
  <c r="CH16" i="25" l="1"/>
  <c r="CI16" i="25" l="1"/>
  <c r="CJ16" i="25" l="1"/>
  <c r="CK16" i="25" l="1"/>
  <c r="CL16" i="25" l="1"/>
  <c r="CM16" i="25" l="1"/>
  <c r="CN16" i="25" l="1"/>
  <c r="CO16" i="25" l="1"/>
  <c r="CP16" i="25" l="1"/>
  <c r="CQ16" i="25" l="1"/>
  <c r="CR16" i="25" l="1"/>
  <c r="CS16" i="25" l="1"/>
  <c r="CT16" i="25" l="1"/>
  <c r="CU16" i="25" l="1"/>
  <c r="CV16" i="25" l="1"/>
  <c r="CW16" i="25" l="1"/>
  <c r="CY16" i="25" l="1"/>
  <c r="CX16" i="25"/>
  <c r="B7" i="8" l="1"/>
  <c r="C2" i="10"/>
  <c r="F2" i="10" l="1"/>
  <c r="B12" i="8"/>
  <c r="D49" i="10"/>
  <c r="W8" i="43"/>
  <c r="AS24" i="4" l="1"/>
  <c r="AT24" i="4"/>
  <c r="AU24" i="4"/>
  <c r="AV24" i="4"/>
  <c r="AW24" i="4"/>
  <c r="AX24" i="4"/>
  <c r="AY24" i="4"/>
  <c r="AZ24" i="4"/>
  <c r="BA24" i="4"/>
  <c r="BB24" i="4"/>
  <c r="BC24" i="4"/>
  <c r="BD24" i="4"/>
  <c r="BE24" i="4"/>
  <c r="BF24" i="4"/>
  <c r="BG24" i="4"/>
  <c r="BH24" i="4"/>
  <c r="BI24" i="4"/>
  <c r="BJ24" i="4"/>
  <c r="BK24" i="4"/>
  <c r="BL24" i="4"/>
  <c r="BM24" i="4"/>
  <c r="BN24" i="4"/>
  <c r="BO24" i="4"/>
  <c r="BP24" i="4"/>
  <c r="BQ24" i="4"/>
  <c r="BR24" i="4"/>
  <c r="BS24" i="4"/>
  <c r="BT24" i="4"/>
  <c r="BU24" i="4"/>
  <c r="BV24" i="4"/>
  <c r="BW24" i="4"/>
  <c r="BX24" i="4"/>
  <c r="BY24" i="4"/>
  <c r="BZ24" i="4"/>
  <c r="CA24" i="4"/>
  <c r="CB24" i="4"/>
  <c r="CC24" i="4"/>
  <c r="CD24" i="4"/>
  <c r="CE24" i="4"/>
  <c r="CF24" i="4"/>
  <c r="CG24" i="4"/>
  <c r="CH24" i="4"/>
  <c r="CI24" i="4"/>
  <c r="CJ24" i="4"/>
  <c r="CK24" i="4"/>
  <c r="CL24" i="4"/>
  <c r="CM24" i="4"/>
  <c r="CN24" i="4"/>
  <c r="CO24" i="4"/>
  <c r="CP24" i="4"/>
  <c r="CQ24" i="4"/>
  <c r="CR24" i="4"/>
  <c r="CS24" i="4"/>
  <c r="CT24" i="4"/>
  <c r="CU24" i="4"/>
  <c r="CV24" i="4"/>
  <c r="CW24" i="4"/>
  <c r="CX24" i="4"/>
  <c r="CY24" i="4"/>
  <c r="CZ24" i="4"/>
  <c r="DA24" i="4"/>
  <c r="DB24" i="4"/>
  <c r="CV34" i="6"/>
  <c r="CW34" i="6"/>
  <c r="CX34" i="6"/>
  <c r="CY34" i="6"/>
  <c r="CZ34" i="6"/>
  <c r="DA34" i="6"/>
  <c r="CU6" i="6"/>
  <c r="S12" i="42" l="1"/>
  <c r="R12" i="42"/>
  <c r="C12" i="42"/>
  <c r="AG46" i="8"/>
  <c r="AF46" i="8"/>
  <c r="AE46" i="8"/>
  <c r="AG17" i="8"/>
  <c r="AF17" i="8"/>
  <c r="AE17" i="8"/>
  <c r="AG15" i="8"/>
  <c r="AG30" i="8" s="1"/>
  <c r="AG35" i="8" s="1"/>
  <c r="AF15" i="8"/>
  <c r="AF30" i="8" s="1"/>
  <c r="AF35" i="8" s="1"/>
  <c r="AE15" i="8"/>
  <c r="AE30" i="8" s="1"/>
  <c r="AE35" i="8" s="1"/>
  <c r="C17" i="42"/>
  <c r="Q40" i="8" s="1"/>
  <c r="S14" i="42"/>
  <c r="S15" i="42"/>
  <c r="S16" i="42"/>
  <c r="S13" i="42"/>
  <c r="S6" i="42"/>
  <c r="S7" i="42"/>
  <c r="S5" i="42"/>
  <c r="S4" i="42"/>
  <c r="S3" i="42"/>
  <c r="R3" i="42"/>
  <c r="Q3" i="42"/>
  <c r="S2" i="42"/>
  <c r="B3" i="42"/>
  <c r="M28" i="35"/>
  <c r="K28" i="35"/>
  <c r="J28" i="35"/>
  <c r="I28" i="35"/>
  <c r="M27" i="35"/>
  <c r="L27" i="35"/>
  <c r="J27" i="35"/>
  <c r="I27" i="35"/>
  <c r="M26" i="35"/>
  <c r="L26" i="35"/>
  <c r="J26" i="35"/>
  <c r="I26" i="35"/>
  <c r="M25" i="35"/>
  <c r="L25" i="35"/>
  <c r="K25" i="35"/>
  <c r="J25" i="35"/>
  <c r="I25" i="35"/>
  <c r="M24" i="35"/>
  <c r="K24" i="35"/>
  <c r="J24" i="35"/>
  <c r="I24" i="35"/>
  <c r="N23" i="35"/>
  <c r="M23" i="35"/>
  <c r="L23" i="35"/>
  <c r="K23" i="35"/>
  <c r="J23" i="35"/>
  <c r="I23" i="35"/>
  <c r="N22" i="35"/>
  <c r="M22" i="35"/>
  <c r="L22" i="35"/>
  <c r="K22" i="35"/>
  <c r="J22" i="35"/>
  <c r="I22" i="35"/>
  <c r="N21" i="35"/>
  <c r="M21" i="35"/>
  <c r="L21" i="35"/>
  <c r="K21" i="35"/>
  <c r="J21" i="35"/>
  <c r="I21" i="35"/>
  <c r="N20" i="35"/>
  <c r="M20" i="35"/>
  <c r="L20" i="35"/>
  <c r="K20" i="35"/>
  <c r="J20" i="35"/>
  <c r="I20" i="35"/>
  <c r="N19" i="35"/>
  <c r="M19" i="35"/>
  <c r="L19" i="35"/>
  <c r="K19" i="35"/>
  <c r="J19" i="35"/>
  <c r="I19" i="35"/>
  <c r="N18" i="35"/>
  <c r="M18" i="35"/>
  <c r="L18" i="35"/>
  <c r="K18" i="35"/>
  <c r="J18" i="35"/>
  <c r="I18" i="35"/>
  <c r="N17" i="35"/>
  <c r="M17" i="35"/>
  <c r="L17" i="35"/>
  <c r="K17" i="35"/>
  <c r="J17" i="35"/>
  <c r="I17" i="35"/>
  <c r="P13" i="43"/>
  <c r="R13" i="42" s="1"/>
  <c r="O13" i="43"/>
  <c r="Q13" i="42" s="1"/>
  <c r="N13" i="43"/>
  <c r="P13" i="42" s="1"/>
  <c r="M13" i="43"/>
  <c r="O13" i="42" s="1"/>
  <c r="L13" i="43"/>
  <c r="N13" i="42" s="1"/>
  <c r="K13" i="43"/>
  <c r="M13" i="42" s="1"/>
  <c r="J13" i="43"/>
  <c r="L13" i="42" s="1"/>
  <c r="P5" i="43"/>
  <c r="R5" i="42" s="1"/>
  <c r="O5" i="43"/>
  <c r="Q5" i="42" s="1"/>
  <c r="N5" i="43"/>
  <c r="M5" i="43"/>
  <c r="L5" i="43"/>
  <c r="K5" i="43"/>
  <c r="K5" i="42" s="1"/>
  <c r="J5" i="43"/>
  <c r="I5" i="43"/>
  <c r="H5" i="43"/>
  <c r="P14" i="43"/>
  <c r="R14" i="42" s="1"/>
  <c r="O14" i="43"/>
  <c r="Q14" i="42" s="1"/>
  <c r="N14" i="43"/>
  <c r="P14" i="42" s="1"/>
  <c r="M14" i="43"/>
  <c r="O14" i="42" s="1"/>
  <c r="L14" i="43"/>
  <c r="N14" i="42" s="1"/>
  <c r="K14" i="43"/>
  <c r="M14" i="42" s="1"/>
  <c r="J14" i="43"/>
  <c r="L14" i="42" s="1"/>
  <c r="I14" i="43"/>
  <c r="K14" i="42" s="1"/>
  <c r="H14" i="43"/>
  <c r="J14" i="42" s="1"/>
  <c r="P16" i="37"/>
  <c r="O16" i="37"/>
  <c r="N16" i="37"/>
  <c r="M16" i="37"/>
  <c r="L16" i="37"/>
  <c r="J16" i="37"/>
  <c r="I16" i="37"/>
  <c r="P15" i="37"/>
  <c r="O15" i="37"/>
  <c r="N15" i="37"/>
  <c r="M15" i="37"/>
  <c r="L15" i="37"/>
  <c r="J15" i="37"/>
  <c r="I15" i="37"/>
  <c r="P14" i="37"/>
  <c r="O14" i="37"/>
  <c r="N14" i="37"/>
  <c r="M14" i="37"/>
  <c r="L14" i="37"/>
  <c r="J14" i="37"/>
  <c r="I14" i="37"/>
  <c r="P13" i="37"/>
  <c r="O13" i="37"/>
  <c r="N13" i="37"/>
  <c r="M13" i="37"/>
  <c r="L13" i="37"/>
  <c r="J13" i="37"/>
  <c r="I13" i="37"/>
  <c r="P12" i="37"/>
  <c r="O12" i="37"/>
  <c r="N12" i="37"/>
  <c r="M12" i="37"/>
  <c r="L12" i="37"/>
  <c r="J12" i="37"/>
  <c r="I12" i="37"/>
  <c r="P11" i="37"/>
  <c r="O11" i="37"/>
  <c r="N11" i="37"/>
  <c r="M11" i="37"/>
  <c r="L11" i="37"/>
  <c r="J11" i="37"/>
  <c r="I11" i="37"/>
  <c r="J5" i="42" l="1"/>
  <c r="N5" i="42"/>
  <c r="L5" i="42"/>
  <c r="M5" i="42"/>
  <c r="P5" i="42"/>
  <c r="S8" i="42"/>
  <c r="AG16" i="8" s="1"/>
  <c r="AG25" i="8" s="1"/>
  <c r="O5" i="42"/>
  <c r="AG28" i="8" l="1"/>
  <c r="P15" i="43"/>
  <c r="R15" i="42" s="1"/>
  <c r="O15" i="43"/>
  <c r="Q15" i="42" s="1"/>
  <c r="N15" i="43"/>
  <c r="P15" i="42" s="1"/>
  <c r="M15" i="43"/>
  <c r="O15" i="42" s="1"/>
  <c r="L15" i="43"/>
  <c r="N15" i="42" s="1"/>
  <c r="K15" i="43"/>
  <c r="M15" i="42" s="1"/>
  <c r="J15" i="43"/>
  <c r="L15" i="42" s="1"/>
  <c r="I15" i="43"/>
  <c r="K15" i="42" s="1"/>
  <c r="P6" i="43"/>
  <c r="O6" i="43"/>
  <c r="N6" i="43"/>
  <c r="M6" i="43"/>
  <c r="M6" i="42" s="1"/>
  <c r="L6" i="43"/>
  <c r="K6" i="43"/>
  <c r="J6" i="43"/>
  <c r="I6" i="43"/>
  <c r="M10" i="36"/>
  <c r="K4" i="36"/>
  <c r="O26" i="36"/>
  <c r="N26" i="36"/>
  <c r="L26" i="36"/>
  <c r="K26" i="36"/>
  <c r="J26" i="36"/>
  <c r="O25" i="36"/>
  <c r="N25" i="36"/>
  <c r="M25" i="36"/>
  <c r="K25" i="36"/>
  <c r="J25" i="36"/>
  <c r="P23" i="36"/>
  <c r="O23" i="36"/>
  <c r="N23" i="36"/>
  <c r="M23" i="36"/>
  <c r="L23" i="36"/>
  <c r="K23" i="36"/>
  <c r="J23" i="36"/>
  <c r="O22" i="36"/>
  <c r="N22" i="36"/>
  <c r="L22" i="36"/>
  <c r="K22" i="36"/>
  <c r="J22" i="36"/>
  <c r="O21" i="36"/>
  <c r="N21" i="36"/>
  <c r="L21" i="36"/>
  <c r="K21" i="36"/>
  <c r="J21" i="36"/>
  <c r="P20" i="36"/>
  <c r="N20" i="36"/>
  <c r="M20" i="36"/>
  <c r="K20" i="36"/>
  <c r="J20" i="36"/>
  <c r="P19" i="36"/>
  <c r="O19" i="36"/>
  <c r="N19" i="36"/>
  <c r="M19" i="36"/>
  <c r="L19" i="36"/>
  <c r="K19" i="36"/>
  <c r="J19" i="36"/>
  <c r="P17" i="36"/>
  <c r="O17" i="36"/>
  <c r="N17" i="36"/>
  <c r="M17" i="36"/>
  <c r="L17" i="36"/>
  <c r="K17" i="36"/>
  <c r="J17" i="36"/>
  <c r="O16" i="36"/>
  <c r="N16" i="36"/>
  <c r="M16" i="36"/>
  <c r="K16" i="36"/>
  <c r="J16" i="36"/>
  <c r="C25" i="36"/>
  <c r="I25" i="36"/>
  <c r="C26" i="36"/>
  <c r="C17" i="36"/>
  <c r="C18" i="36"/>
  <c r="C19" i="36"/>
  <c r="C20" i="36"/>
  <c r="C21" i="36"/>
  <c r="C22" i="36"/>
  <c r="C23" i="36"/>
  <c r="C24" i="36"/>
  <c r="C16" i="36"/>
  <c r="L6" i="42" l="1"/>
  <c r="N6" i="42"/>
  <c r="K6" i="42"/>
  <c r="O6" i="42"/>
  <c r="Q6" i="42"/>
  <c r="P6" i="42"/>
  <c r="R6" i="42"/>
  <c r="P7" i="43"/>
  <c r="O7" i="43"/>
  <c r="O16" i="43" s="1"/>
  <c r="Q16" i="42" s="1"/>
  <c r="N7" i="43"/>
  <c r="N7" i="42" s="1"/>
  <c r="M7" i="43"/>
  <c r="L7" i="43"/>
  <c r="K7" i="43"/>
  <c r="K7" i="42" s="1"/>
  <c r="J7" i="43"/>
  <c r="J7" i="42" s="1"/>
  <c r="I7" i="43"/>
  <c r="H7" i="43"/>
  <c r="G7" i="43"/>
  <c r="G16" i="43" s="1"/>
  <c r="I16" i="42" s="1"/>
  <c r="P4" i="43"/>
  <c r="R4" i="42" s="1"/>
  <c r="O4" i="43"/>
  <c r="Q4" i="42" s="1"/>
  <c r="N4" i="43"/>
  <c r="P4" i="42" s="1"/>
  <c r="M4" i="43"/>
  <c r="O4" i="42" s="1"/>
  <c r="L4" i="43"/>
  <c r="N4" i="42" s="1"/>
  <c r="K4" i="43"/>
  <c r="M4" i="42" s="1"/>
  <c r="J4" i="43"/>
  <c r="L4" i="42" s="1"/>
  <c r="I4" i="43"/>
  <c r="K4" i="42" s="1"/>
  <c r="K16" i="43"/>
  <c r="M16" i="42" s="1"/>
  <c r="I16" i="43"/>
  <c r="K16" i="42" s="1"/>
  <c r="H16" i="43"/>
  <c r="J16" i="42" s="1"/>
  <c r="M16" i="43"/>
  <c r="O16" i="42" s="1"/>
  <c r="Q7" i="42" l="1"/>
  <c r="O7" i="42"/>
  <c r="J16" i="43"/>
  <c r="L16" i="42" s="1"/>
  <c r="L16" i="43"/>
  <c r="N16" i="42" s="1"/>
  <c r="L7" i="42"/>
  <c r="P16" i="43"/>
  <c r="R16" i="42" s="1"/>
  <c r="R7" i="42"/>
  <c r="P7" i="42"/>
  <c r="N16" i="43"/>
  <c r="P16" i="42" s="1"/>
  <c r="I7" i="42"/>
  <c r="M7" i="42"/>
  <c r="Y23" i="6" l="1"/>
  <c r="Z23" i="6"/>
  <c r="AA23" i="6"/>
  <c r="AB23" i="6"/>
  <c r="AC23" i="6"/>
  <c r="AD23" i="6"/>
  <c r="AE23" i="6"/>
  <c r="AF23" i="6"/>
  <c r="DA23" i="6"/>
  <c r="CZ23" i="6"/>
  <c r="CY23" i="6"/>
  <c r="CX23" i="6"/>
  <c r="CW23" i="6"/>
  <c r="CV23" i="6"/>
  <c r="C16" i="10" l="1"/>
  <c r="C11" i="10"/>
  <c r="F11" i="10" s="1"/>
  <c r="C5" i="10"/>
  <c r="CW26" i="5"/>
  <c r="AD9" i="6"/>
  <c r="DA16" i="6" l="1"/>
  <c r="CZ16" i="6"/>
  <c r="CY16" i="6"/>
  <c r="CX16" i="6"/>
  <c r="CW16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CU29" i="6"/>
  <c r="AD6" i="8"/>
  <c r="P6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P12" i="36"/>
  <c r="P26" i="36" s="1"/>
  <c r="M12" i="36"/>
  <c r="M26" i="36" s="1"/>
  <c r="P11" i="36"/>
  <c r="P25" i="36" s="1"/>
  <c r="L11" i="36"/>
  <c r="L25" i="36" s="1"/>
  <c r="P10" i="36"/>
  <c r="P8" i="36"/>
  <c r="P22" i="36" s="1"/>
  <c r="M8" i="36"/>
  <c r="M22" i="36" s="1"/>
  <c r="P7" i="36"/>
  <c r="P21" i="36" s="1"/>
  <c r="O6" i="36"/>
  <c r="O20" i="36" s="1"/>
  <c r="M7" i="36"/>
  <c r="M21" i="36" s="1"/>
  <c r="L6" i="36"/>
  <c r="L20" i="36" s="1"/>
  <c r="P2" i="36"/>
  <c r="P16" i="36" s="1"/>
  <c r="P15" i="36"/>
  <c r="O15" i="36"/>
  <c r="O13" i="36"/>
  <c r="G15" i="43" s="1"/>
  <c r="I15" i="42" s="1"/>
  <c r="L2" i="36"/>
  <c r="L16" i="36" s="1"/>
  <c r="N13" i="35"/>
  <c r="N28" i="35" s="1"/>
  <c r="L13" i="35"/>
  <c r="L28" i="35" s="1"/>
  <c r="N12" i="35"/>
  <c r="K12" i="35"/>
  <c r="K27" i="35" s="1"/>
  <c r="N11" i="35"/>
  <c r="N26" i="35" s="1"/>
  <c r="K11" i="35"/>
  <c r="K26" i="35" s="1"/>
  <c r="N10" i="35"/>
  <c r="N25" i="35" s="1"/>
  <c r="L9" i="35"/>
  <c r="L24" i="35" s="1"/>
  <c r="N9" i="35"/>
  <c r="N24" i="35" s="1"/>
  <c r="P17" i="37"/>
  <c r="H4" i="43" s="1"/>
  <c r="J4" i="42" s="1"/>
  <c r="P10" i="37"/>
  <c r="P8" i="37"/>
  <c r="I13" i="43" s="1"/>
  <c r="K13" i="42" s="1"/>
  <c r="N14" i="35" l="1"/>
  <c r="G14" i="43" s="1"/>
  <c r="I14" i="42" s="1"/>
  <c r="N27" i="35"/>
  <c r="P13" i="36"/>
  <c r="H15" i="43" s="1"/>
  <c r="J15" i="42" s="1"/>
  <c r="P27" i="36"/>
  <c r="H6" i="43" s="1"/>
  <c r="O27" i="36"/>
  <c r="G6" i="43" s="1"/>
  <c r="N29" i="35"/>
  <c r="G5" i="43" s="1"/>
  <c r="I6" i="42" l="1"/>
  <c r="J6" i="42"/>
  <c r="I5" i="42"/>
  <c r="O10" i="37"/>
  <c r="O8" i="37"/>
  <c r="H13" i="43" s="1"/>
  <c r="J13" i="42" s="1"/>
  <c r="N10" i="37"/>
  <c r="N8" i="37"/>
  <c r="G13" i="43" s="1"/>
  <c r="I13" i="42" s="1"/>
  <c r="B12" i="10"/>
  <c r="I10" i="3"/>
  <c r="H10" i="3"/>
  <c r="G10" i="3"/>
  <c r="F10" i="3"/>
  <c r="E10" i="3"/>
  <c r="D10" i="3"/>
  <c r="C10" i="3"/>
  <c r="B10" i="3"/>
  <c r="DA35" i="6"/>
  <c r="CZ35" i="6"/>
  <c r="CY35" i="6"/>
  <c r="CX35" i="6"/>
  <c r="CW35" i="6"/>
  <c r="CV35" i="6"/>
  <c r="CU35" i="6"/>
  <c r="CT35" i="6"/>
  <c r="CS35" i="6"/>
  <c r="CR35" i="6"/>
  <c r="CQ35" i="6"/>
  <c r="CP35" i="6"/>
  <c r="CO35" i="6"/>
  <c r="CN35" i="6"/>
  <c r="CM35" i="6"/>
  <c r="CL35" i="6"/>
  <c r="CK35" i="6"/>
  <c r="CJ35" i="6"/>
  <c r="CI35" i="6"/>
  <c r="CH35" i="6"/>
  <c r="CG35" i="6"/>
  <c r="CF35" i="6"/>
  <c r="CE35" i="6"/>
  <c r="CD35" i="6"/>
  <c r="CC35" i="6"/>
  <c r="CB35" i="6"/>
  <c r="CA35" i="6"/>
  <c r="BZ35" i="6"/>
  <c r="BY35" i="6"/>
  <c r="BX35" i="6"/>
  <c r="BW35" i="6"/>
  <c r="BV35" i="6"/>
  <c r="BU35" i="6"/>
  <c r="BT35" i="6"/>
  <c r="BS35" i="6"/>
  <c r="BR35" i="6"/>
  <c r="BQ35" i="6"/>
  <c r="BP35" i="6"/>
  <c r="BO35" i="6"/>
  <c r="BN35" i="6"/>
  <c r="BM35" i="6"/>
  <c r="BL35" i="6"/>
  <c r="BK35" i="6"/>
  <c r="BJ35" i="6"/>
  <c r="BI35" i="6"/>
  <c r="BH35" i="6"/>
  <c r="BG35" i="6"/>
  <c r="BF35" i="6"/>
  <c r="BE35" i="6"/>
  <c r="BD35" i="6"/>
  <c r="BC35" i="6"/>
  <c r="BB35" i="6"/>
  <c r="BA35" i="6"/>
  <c r="AZ35" i="6"/>
  <c r="AY35" i="6"/>
  <c r="AX35" i="6"/>
  <c r="AW35" i="6"/>
  <c r="AV35" i="6"/>
  <c r="AU35" i="6"/>
  <c r="AT35" i="6"/>
  <c r="AS35" i="6"/>
  <c r="AR35" i="6"/>
  <c r="AQ35" i="6"/>
  <c r="AP35" i="6"/>
  <c r="W25" i="4"/>
  <c r="X25" i="4" s="1"/>
  <c r="Y25" i="4" s="1"/>
  <c r="Z25" i="4" s="1"/>
  <c r="AA25" i="4" s="1"/>
  <c r="AB25" i="4" s="1"/>
  <c r="AC25" i="4" s="1"/>
  <c r="AD25" i="4" s="1"/>
  <c r="AE25" i="4" s="1"/>
  <c r="AF25" i="4" s="1"/>
  <c r="AG25" i="4" s="1"/>
  <c r="AH25" i="4" s="1"/>
  <c r="V21" i="6"/>
  <c r="W21" i="6"/>
  <c r="X21" i="6"/>
  <c r="V29" i="6"/>
  <c r="W29" i="6"/>
  <c r="X29" i="6"/>
  <c r="V31" i="6"/>
  <c r="W31" i="6"/>
  <c r="X31" i="6"/>
  <c r="V5" i="6"/>
  <c r="W5" i="6"/>
  <c r="X5" i="6"/>
  <c r="V6" i="6"/>
  <c r="W6" i="6"/>
  <c r="X6" i="6"/>
  <c r="V7" i="6"/>
  <c r="W7" i="6"/>
  <c r="X7" i="6"/>
  <c r="V9" i="6"/>
  <c r="W9" i="6"/>
  <c r="X9" i="6"/>
  <c r="AD46" i="8"/>
  <c r="AC46" i="8"/>
  <c r="AD15" i="8"/>
  <c r="AD30" i="8" s="1"/>
  <c r="AD35" i="8" s="1"/>
  <c r="AC15" i="8"/>
  <c r="AC30" i="8" s="1"/>
  <c r="AC35" i="8" s="1"/>
  <c r="AI25" i="4" l="1"/>
  <c r="AJ25" i="4" s="1"/>
  <c r="AK25" i="4" s="1"/>
  <c r="AL25" i="4" s="1"/>
  <c r="AM25" i="4" s="1"/>
  <c r="K22" i="2"/>
  <c r="AN25" i="4"/>
  <c r="AO25" i="4" s="1"/>
  <c r="AP25" i="4" s="1"/>
  <c r="AQ25" i="4" s="1"/>
  <c r="AR25" i="4" s="1"/>
  <c r="AS25" i="4" s="1"/>
  <c r="AT25" i="4" s="1"/>
  <c r="O17" i="37"/>
  <c r="N17" i="37"/>
  <c r="AU25" i="4" l="1"/>
  <c r="AV25" i="4" s="1"/>
  <c r="AW25" i="4" s="1"/>
  <c r="AX25" i="4" s="1"/>
  <c r="AY25" i="4" s="1"/>
  <c r="AZ25" i="4" s="1"/>
  <c r="BA25" i="4" s="1"/>
  <c r="BB25" i="4" s="1"/>
  <c r="BC25" i="4" s="1"/>
  <c r="BD25" i="4" s="1"/>
  <c r="BE25" i="4" s="1"/>
  <c r="BF25" i="4" s="1"/>
  <c r="L22" i="2"/>
  <c r="G4" i="43"/>
  <c r="I4" i="42" s="1"/>
  <c r="L12" i="34"/>
  <c r="K12" i="34"/>
  <c r="J12" i="34"/>
  <c r="I12" i="34"/>
  <c r="H12" i="34"/>
  <c r="M11" i="34"/>
  <c r="L11" i="34"/>
  <c r="K11" i="34"/>
  <c r="J11" i="34"/>
  <c r="I11" i="34"/>
  <c r="H11" i="34"/>
  <c r="M10" i="34"/>
  <c r="L10" i="34"/>
  <c r="K10" i="34"/>
  <c r="J10" i="34"/>
  <c r="I10" i="34"/>
  <c r="H10" i="34"/>
  <c r="M9" i="34"/>
  <c r="L9" i="34"/>
  <c r="K9" i="34"/>
  <c r="J9" i="34"/>
  <c r="I9" i="34"/>
  <c r="H9" i="34"/>
  <c r="M8" i="34"/>
  <c r="L8" i="34"/>
  <c r="K8" i="34"/>
  <c r="J8" i="34"/>
  <c r="I8" i="34"/>
  <c r="H8" i="34"/>
  <c r="H28" i="35"/>
  <c r="H27" i="35"/>
  <c r="H26" i="35"/>
  <c r="H25" i="35"/>
  <c r="H24" i="35"/>
  <c r="H23" i="35"/>
  <c r="H22" i="35"/>
  <c r="H21" i="35"/>
  <c r="H20" i="35"/>
  <c r="H19" i="35"/>
  <c r="H18" i="35"/>
  <c r="H17" i="35"/>
  <c r="BG25" i="4" l="1"/>
  <c r="BH25" i="4" s="1"/>
  <c r="BI25" i="4" s="1"/>
  <c r="BJ25" i="4" s="1"/>
  <c r="BK25" i="4" s="1"/>
  <c r="BL25" i="4" s="1"/>
  <c r="BM25" i="4" s="1"/>
  <c r="BN25" i="4" s="1"/>
  <c r="BO25" i="4" s="1"/>
  <c r="BP25" i="4" s="1"/>
  <c r="BQ25" i="4" s="1"/>
  <c r="BR25" i="4" s="1"/>
  <c r="M22" i="2"/>
  <c r="G5" i="36"/>
  <c r="BS25" i="4" l="1"/>
  <c r="BT25" i="4" s="1"/>
  <c r="BU25" i="4" s="1"/>
  <c r="BV25" i="4" s="1"/>
  <c r="BW25" i="4" s="1"/>
  <c r="BX25" i="4" s="1"/>
  <c r="BY25" i="4" s="1"/>
  <c r="BZ25" i="4" s="1"/>
  <c r="CA25" i="4" s="1"/>
  <c r="CB25" i="4" s="1"/>
  <c r="CC25" i="4" s="1"/>
  <c r="CD25" i="4" s="1"/>
  <c r="N22" i="2"/>
  <c r="I24" i="36"/>
  <c r="I23" i="36"/>
  <c r="I22" i="36"/>
  <c r="I21" i="36"/>
  <c r="I20" i="36"/>
  <c r="I19" i="36"/>
  <c r="I18" i="36"/>
  <c r="I17" i="36"/>
  <c r="I16" i="36"/>
  <c r="N15" i="36"/>
  <c r="M15" i="36"/>
  <c r="L15" i="36"/>
  <c r="K15" i="36"/>
  <c r="J15" i="36"/>
  <c r="I15" i="36"/>
  <c r="H12" i="37"/>
  <c r="H13" i="37"/>
  <c r="H14" i="37"/>
  <c r="H15" i="37"/>
  <c r="H11" i="37"/>
  <c r="AJ18" i="41"/>
  <c r="AI18" i="41"/>
  <c r="AH18" i="41"/>
  <c r="AG18" i="41"/>
  <c r="AF18" i="41"/>
  <c r="AE18" i="41"/>
  <c r="AD18" i="41"/>
  <c r="AC18" i="41"/>
  <c r="AB18" i="41"/>
  <c r="AA18" i="41"/>
  <c r="Z18" i="41"/>
  <c r="Y18" i="41"/>
  <c r="X18" i="41"/>
  <c r="W18" i="41"/>
  <c r="V18" i="41"/>
  <c r="F18" i="41"/>
  <c r="AJ17" i="41"/>
  <c r="AI17" i="41"/>
  <c r="AH17" i="41"/>
  <c r="AG17" i="41"/>
  <c r="AF17" i="41"/>
  <c r="AE17" i="41"/>
  <c r="AD17" i="41"/>
  <c r="AC17" i="41"/>
  <c r="AB17" i="41"/>
  <c r="AA17" i="41"/>
  <c r="Z17" i="41"/>
  <c r="Y17" i="41"/>
  <c r="X17" i="41"/>
  <c r="W17" i="41"/>
  <c r="V17" i="41"/>
  <c r="F17" i="41"/>
  <c r="AJ16" i="41"/>
  <c r="AI16" i="41"/>
  <c r="AH16" i="41"/>
  <c r="AG16" i="41"/>
  <c r="AF16" i="41"/>
  <c r="AE16" i="41"/>
  <c r="AD16" i="41"/>
  <c r="AC16" i="41"/>
  <c r="AB16" i="41"/>
  <c r="AA16" i="41"/>
  <c r="Z16" i="41"/>
  <c r="Y16" i="41"/>
  <c r="X16" i="41"/>
  <c r="W16" i="41"/>
  <c r="V16" i="41"/>
  <c r="F16" i="41"/>
  <c r="AJ15" i="41"/>
  <c r="AI15" i="41"/>
  <c r="AH15" i="41"/>
  <c r="AG15" i="41"/>
  <c r="AF15" i="41"/>
  <c r="AE15" i="41"/>
  <c r="AD15" i="41"/>
  <c r="AC15" i="41"/>
  <c r="AB15" i="41"/>
  <c r="AA15" i="41"/>
  <c r="Z15" i="41"/>
  <c r="Y15" i="41"/>
  <c r="X15" i="41"/>
  <c r="W15" i="41"/>
  <c r="V15" i="41"/>
  <c r="F15" i="41"/>
  <c r="AJ14" i="41"/>
  <c r="AI14" i="41"/>
  <c r="AH14" i="41"/>
  <c r="AG14" i="41"/>
  <c r="AF14" i="41"/>
  <c r="AE14" i="41"/>
  <c r="AD14" i="41"/>
  <c r="AC14" i="41"/>
  <c r="AB14" i="41"/>
  <c r="AA14" i="41"/>
  <c r="Z14" i="41"/>
  <c r="Y14" i="41"/>
  <c r="X14" i="41"/>
  <c r="W14" i="41"/>
  <c r="V14" i="41"/>
  <c r="F14" i="41"/>
  <c r="AJ13" i="41"/>
  <c r="AI13" i="41"/>
  <c r="AH13" i="41"/>
  <c r="AG13" i="41"/>
  <c r="AF13" i="41"/>
  <c r="AE13" i="41"/>
  <c r="AD13" i="41"/>
  <c r="AC13" i="41"/>
  <c r="AB13" i="41"/>
  <c r="AA13" i="41"/>
  <c r="Z13" i="41"/>
  <c r="Y13" i="41"/>
  <c r="X13" i="41"/>
  <c r="W13" i="41"/>
  <c r="V13" i="41"/>
  <c r="F13" i="41"/>
  <c r="AJ12" i="41"/>
  <c r="AI12" i="41"/>
  <c r="AH12" i="41"/>
  <c r="AG12" i="41"/>
  <c r="AF12" i="41"/>
  <c r="AE12" i="41"/>
  <c r="AD12" i="41"/>
  <c r="AC12" i="41"/>
  <c r="AB12" i="41"/>
  <c r="AA12" i="41"/>
  <c r="Z12" i="41"/>
  <c r="Y12" i="41"/>
  <c r="X12" i="41"/>
  <c r="W12" i="41"/>
  <c r="V12" i="41"/>
  <c r="F12" i="41"/>
  <c r="AJ11" i="41"/>
  <c r="AI11" i="41"/>
  <c r="AH11" i="41"/>
  <c r="AG11" i="41"/>
  <c r="AF11" i="41"/>
  <c r="AE11" i="41"/>
  <c r="AD11" i="41"/>
  <c r="AC11" i="41"/>
  <c r="AB11" i="41"/>
  <c r="AA11" i="41"/>
  <c r="Z11" i="41"/>
  <c r="Y11" i="41"/>
  <c r="X11" i="41"/>
  <c r="W11" i="41"/>
  <c r="V11" i="41"/>
  <c r="F11" i="41"/>
  <c r="AJ10" i="41"/>
  <c r="AI10" i="41"/>
  <c r="AH10" i="41"/>
  <c r="AG10" i="41"/>
  <c r="AF10" i="41"/>
  <c r="AE10" i="41"/>
  <c r="AD10" i="41"/>
  <c r="AC10" i="41"/>
  <c r="AB10" i="41"/>
  <c r="AA10" i="41"/>
  <c r="Z10" i="41"/>
  <c r="Y10" i="41"/>
  <c r="X10" i="41"/>
  <c r="W10" i="41"/>
  <c r="V10" i="41"/>
  <c r="F10" i="41"/>
  <c r="AJ9" i="41"/>
  <c r="AI9" i="41"/>
  <c r="AH9" i="41"/>
  <c r="AG9" i="41"/>
  <c r="AF9" i="41"/>
  <c r="AE9" i="41"/>
  <c r="AD9" i="41"/>
  <c r="AC9" i="41"/>
  <c r="AB9" i="41"/>
  <c r="AA9" i="41"/>
  <c r="Z9" i="41"/>
  <c r="Y9" i="41"/>
  <c r="X9" i="41"/>
  <c r="W9" i="41"/>
  <c r="V9" i="41"/>
  <c r="F9" i="41"/>
  <c r="AJ8" i="41"/>
  <c r="AI8" i="41"/>
  <c r="AH8" i="41"/>
  <c r="AG8" i="41"/>
  <c r="AF8" i="41"/>
  <c r="AE8" i="41"/>
  <c r="AD8" i="41"/>
  <c r="AC8" i="41"/>
  <c r="AB8" i="41"/>
  <c r="AA8" i="41"/>
  <c r="Z8" i="41"/>
  <c r="Y8" i="41"/>
  <c r="X8" i="41"/>
  <c r="W8" i="41"/>
  <c r="V8" i="41"/>
  <c r="F8" i="41"/>
  <c r="AJ7" i="41"/>
  <c r="AI7" i="41"/>
  <c r="AH7" i="41"/>
  <c r="AG7" i="41"/>
  <c r="AF7" i="41"/>
  <c r="AE7" i="41"/>
  <c r="AD7" i="41"/>
  <c r="AC7" i="41"/>
  <c r="AB7" i="41"/>
  <c r="AA7" i="41"/>
  <c r="Z7" i="41"/>
  <c r="Y7" i="41"/>
  <c r="X7" i="41"/>
  <c r="W7" i="41"/>
  <c r="V7" i="41"/>
  <c r="F7" i="41"/>
  <c r="AJ6" i="41"/>
  <c r="AI6" i="41"/>
  <c r="AH6" i="41"/>
  <c r="AG6" i="41"/>
  <c r="AF6" i="41"/>
  <c r="AE6" i="41"/>
  <c r="AD6" i="41"/>
  <c r="AC6" i="41"/>
  <c r="AB6" i="41"/>
  <c r="AA6" i="41"/>
  <c r="Z6" i="41"/>
  <c r="Y6" i="41"/>
  <c r="X6" i="41"/>
  <c r="W6" i="41"/>
  <c r="V6" i="41"/>
  <c r="F6" i="41"/>
  <c r="AJ5" i="41"/>
  <c r="AI5" i="41"/>
  <c r="AH5" i="41"/>
  <c r="AG5" i="41"/>
  <c r="AF5" i="41"/>
  <c r="AE5" i="41"/>
  <c r="AD5" i="41"/>
  <c r="AC5" i="41"/>
  <c r="AB5" i="41"/>
  <c r="AA5" i="41"/>
  <c r="Z5" i="41"/>
  <c r="Y5" i="41"/>
  <c r="X5" i="41"/>
  <c r="W5" i="41"/>
  <c r="V5" i="41"/>
  <c r="F5" i="41"/>
  <c r="AJ4" i="41"/>
  <c r="AI4" i="41"/>
  <c r="AH4" i="41"/>
  <c r="AG4" i="41"/>
  <c r="AF4" i="41"/>
  <c r="AE4" i="41"/>
  <c r="AD4" i="41"/>
  <c r="AC4" i="41"/>
  <c r="AB4" i="41"/>
  <c r="AA4" i="41"/>
  <c r="Z4" i="41"/>
  <c r="Y4" i="41"/>
  <c r="X4" i="41"/>
  <c r="W4" i="41"/>
  <c r="V4" i="41"/>
  <c r="F4" i="41"/>
  <c r="AJ3" i="41"/>
  <c r="AI3" i="41"/>
  <c r="AH3" i="41"/>
  <c r="AG3" i="41"/>
  <c r="AF3" i="41"/>
  <c r="AE3" i="41"/>
  <c r="AD3" i="41"/>
  <c r="AC3" i="41"/>
  <c r="AB3" i="41"/>
  <c r="AA3" i="41"/>
  <c r="Z3" i="41"/>
  <c r="Y3" i="41"/>
  <c r="X3" i="41"/>
  <c r="W3" i="41"/>
  <c r="V3" i="41"/>
  <c r="F3" i="41"/>
  <c r="AJ2" i="41"/>
  <c r="P2" i="43" s="1"/>
  <c r="AI2" i="41"/>
  <c r="O2" i="43" s="1"/>
  <c r="AH2" i="41"/>
  <c r="N2" i="43" s="1"/>
  <c r="AG2" i="41"/>
  <c r="M2" i="43" s="1"/>
  <c r="AF2" i="41"/>
  <c r="L2" i="43" s="1"/>
  <c r="AE2" i="41"/>
  <c r="K2" i="43" s="1"/>
  <c r="AD2" i="41"/>
  <c r="J2" i="43" s="1"/>
  <c r="AC2" i="41"/>
  <c r="I2" i="43" s="1"/>
  <c r="K2" i="42" s="1"/>
  <c r="AB2" i="41"/>
  <c r="H2" i="43" s="1"/>
  <c r="AA2" i="41"/>
  <c r="G2" i="43" s="1"/>
  <c r="Z2" i="41"/>
  <c r="F2" i="43" s="1"/>
  <c r="H2" i="42" s="1"/>
  <c r="Y2" i="41"/>
  <c r="E2" i="43" s="1"/>
  <c r="G2" i="42" s="1"/>
  <c r="X2" i="41"/>
  <c r="D2" i="43" s="1"/>
  <c r="F2" i="42" s="1"/>
  <c r="W2" i="41"/>
  <c r="C2" i="43" s="1"/>
  <c r="E2" i="42" s="1"/>
  <c r="V2" i="41"/>
  <c r="B2" i="43" s="1"/>
  <c r="D2" i="42" s="1"/>
  <c r="F2" i="41"/>
  <c r="U8" i="40"/>
  <c r="V8" i="40"/>
  <c r="X8" i="40"/>
  <c r="Y8" i="40"/>
  <c r="Z8" i="40"/>
  <c r="AA8" i="40"/>
  <c r="AB8" i="40"/>
  <c r="AC8" i="40"/>
  <c r="AD8" i="40"/>
  <c r="AE8" i="40"/>
  <c r="AF8" i="40"/>
  <c r="AG8" i="40"/>
  <c r="AH8" i="40"/>
  <c r="V9" i="40"/>
  <c r="X9" i="40"/>
  <c r="Z9" i="40"/>
  <c r="AB9" i="40"/>
  <c r="AC9" i="40"/>
  <c r="AD9" i="40"/>
  <c r="AE9" i="40"/>
  <c r="AF9" i="40"/>
  <c r="AG9" i="40"/>
  <c r="AH9" i="40"/>
  <c r="U10" i="40"/>
  <c r="V10" i="40"/>
  <c r="W10" i="40"/>
  <c r="X10" i="40"/>
  <c r="Y10" i="40"/>
  <c r="Z10" i="40"/>
  <c r="AA10" i="40"/>
  <c r="AB10" i="40"/>
  <c r="AC10" i="40"/>
  <c r="AD10" i="40"/>
  <c r="AE10" i="40"/>
  <c r="AF10" i="40"/>
  <c r="AG10" i="40"/>
  <c r="AH10" i="40"/>
  <c r="U11" i="40"/>
  <c r="V11" i="40"/>
  <c r="W11" i="40"/>
  <c r="X11" i="40"/>
  <c r="Y11" i="40"/>
  <c r="Z11" i="40"/>
  <c r="AA11" i="40"/>
  <c r="AB11" i="40"/>
  <c r="AC11" i="40"/>
  <c r="AD11" i="40"/>
  <c r="AE11" i="40"/>
  <c r="AF11" i="40"/>
  <c r="AG11" i="40"/>
  <c r="AH11" i="40"/>
  <c r="U12" i="40"/>
  <c r="V12" i="40"/>
  <c r="W12" i="40"/>
  <c r="X12" i="40"/>
  <c r="Y12" i="40"/>
  <c r="Z12" i="40"/>
  <c r="AA12" i="40"/>
  <c r="AB12" i="40"/>
  <c r="AC12" i="40"/>
  <c r="AD12" i="40"/>
  <c r="AE12" i="40"/>
  <c r="AF12" i="40"/>
  <c r="AG12" i="40"/>
  <c r="AH12" i="40"/>
  <c r="U13" i="40"/>
  <c r="V13" i="40"/>
  <c r="W13" i="40"/>
  <c r="X13" i="40"/>
  <c r="Y13" i="40"/>
  <c r="Z13" i="40"/>
  <c r="AA13" i="40"/>
  <c r="AB13" i="40"/>
  <c r="AC13" i="40"/>
  <c r="AD13" i="40"/>
  <c r="AE13" i="40"/>
  <c r="AF13" i="40"/>
  <c r="AG13" i="40"/>
  <c r="AH13" i="40"/>
  <c r="U14" i="40"/>
  <c r="V14" i="40"/>
  <c r="W14" i="40"/>
  <c r="X14" i="40"/>
  <c r="Y14" i="40"/>
  <c r="Z14" i="40"/>
  <c r="AA14" i="40"/>
  <c r="AB14" i="40"/>
  <c r="AC14" i="40"/>
  <c r="AD14" i="40"/>
  <c r="AE14" i="40"/>
  <c r="AF14" i="40"/>
  <c r="AG14" i="40"/>
  <c r="AH14" i="40"/>
  <c r="M9" i="40"/>
  <c r="AA9" i="40" s="1"/>
  <c r="K9" i="40"/>
  <c r="Y9" i="40" s="1"/>
  <c r="I9" i="40"/>
  <c r="W9" i="40" s="1"/>
  <c r="G9" i="40"/>
  <c r="U9" i="40" s="1"/>
  <c r="I8" i="40"/>
  <c r="W8" i="40" s="1"/>
  <c r="F10" i="40"/>
  <c r="F11" i="40"/>
  <c r="F12" i="40"/>
  <c r="F13" i="40"/>
  <c r="F9" i="40"/>
  <c r="F8" i="40"/>
  <c r="AH7" i="40"/>
  <c r="AG7" i="40"/>
  <c r="AF7" i="40"/>
  <c r="AE7" i="40"/>
  <c r="AD7" i="40"/>
  <c r="AC7" i="40"/>
  <c r="AB7" i="40"/>
  <c r="AA7" i="40"/>
  <c r="Z7" i="40"/>
  <c r="Y7" i="40"/>
  <c r="W7" i="40"/>
  <c r="V7" i="40"/>
  <c r="U7" i="40"/>
  <c r="X7" i="40"/>
  <c r="F7" i="40"/>
  <c r="AH6" i="40"/>
  <c r="AG6" i="40"/>
  <c r="AF6" i="40"/>
  <c r="AE6" i="40"/>
  <c r="AD6" i="40"/>
  <c r="AC6" i="40"/>
  <c r="AB6" i="40"/>
  <c r="AA6" i="40"/>
  <c r="Z6" i="40"/>
  <c r="Y6" i="40"/>
  <c r="W6" i="40"/>
  <c r="V6" i="40"/>
  <c r="U6" i="40"/>
  <c r="X6" i="40"/>
  <c r="F6" i="40"/>
  <c r="AH5" i="40"/>
  <c r="AG5" i="40"/>
  <c r="AF5" i="40"/>
  <c r="AE5" i="40"/>
  <c r="AD5" i="40"/>
  <c r="AC5" i="40"/>
  <c r="AB5" i="40"/>
  <c r="AA5" i="40"/>
  <c r="Z5" i="40"/>
  <c r="Y5" i="40"/>
  <c r="X5" i="40"/>
  <c r="W5" i="40"/>
  <c r="V5" i="40"/>
  <c r="U5" i="40"/>
  <c r="F5" i="40"/>
  <c r="AH4" i="40"/>
  <c r="AG4" i="40"/>
  <c r="AF4" i="40"/>
  <c r="AE4" i="40"/>
  <c r="AD4" i="40"/>
  <c r="AC4" i="40"/>
  <c r="AB4" i="40"/>
  <c r="Z4" i="40"/>
  <c r="Y4" i="40"/>
  <c r="X4" i="40"/>
  <c r="W4" i="40"/>
  <c r="V4" i="40"/>
  <c r="U4" i="40"/>
  <c r="M4" i="40"/>
  <c r="AA4" i="40" s="1"/>
  <c r="AH3" i="40"/>
  <c r="AG3" i="40"/>
  <c r="AF3" i="40"/>
  <c r="AE3" i="40"/>
  <c r="AD3" i="40"/>
  <c r="AC3" i="40"/>
  <c r="AB3" i="40"/>
  <c r="AA3" i="40"/>
  <c r="Z3" i="40"/>
  <c r="Y3" i="40"/>
  <c r="X3" i="40"/>
  <c r="W3" i="40"/>
  <c r="V3" i="40"/>
  <c r="U3" i="40"/>
  <c r="F3" i="40"/>
  <c r="AH2" i="40"/>
  <c r="AG2" i="40"/>
  <c r="AF2" i="40"/>
  <c r="N3" i="43" s="1"/>
  <c r="N3" i="42" s="1"/>
  <c r="AE2" i="40"/>
  <c r="AD2" i="40"/>
  <c r="AC2" i="40"/>
  <c r="AB2" i="40"/>
  <c r="J3" i="43" s="1"/>
  <c r="J3" i="42" s="1"/>
  <c r="AA2" i="40"/>
  <c r="Z2" i="40"/>
  <c r="Y2" i="40"/>
  <c r="X2" i="40"/>
  <c r="F3" i="43" s="1"/>
  <c r="F3" i="42" s="1"/>
  <c r="W2" i="40"/>
  <c r="V2" i="40"/>
  <c r="U2" i="40"/>
  <c r="F2" i="40"/>
  <c r="F2" i="39"/>
  <c r="V2" i="39"/>
  <c r="W2" i="39"/>
  <c r="X2" i="39"/>
  <c r="Y2" i="39"/>
  <c r="Z2" i="39"/>
  <c r="AA2" i="39"/>
  <c r="AB2" i="39"/>
  <c r="AC2" i="39"/>
  <c r="AD2" i="39"/>
  <c r="AE2" i="39"/>
  <c r="AF2" i="39"/>
  <c r="AG2" i="39"/>
  <c r="AH2" i="39"/>
  <c r="AI2" i="39"/>
  <c r="AJ2" i="39"/>
  <c r="F3" i="39"/>
  <c r="V3" i="39"/>
  <c r="W3" i="39"/>
  <c r="X3" i="39"/>
  <c r="Y3" i="39"/>
  <c r="Z3" i="39"/>
  <c r="AA3" i="39"/>
  <c r="AB3" i="39"/>
  <c r="AC3" i="39"/>
  <c r="AD3" i="39"/>
  <c r="AE3" i="39"/>
  <c r="AF3" i="39"/>
  <c r="AG3" i="39"/>
  <c r="AH3" i="39"/>
  <c r="AI3" i="39"/>
  <c r="AJ3" i="39"/>
  <c r="F4" i="39"/>
  <c r="V4" i="39"/>
  <c r="W4" i="39"/>
  <c r="X4" i="39"/>
  <c r="Y4" i="39"/>
  <c r="Z4" i="39"/>
  <c r="AA4" i="39"/>
  <c r="AB4" i="39"/>
  <c r="AC4" i="39"/>
  <c r="AD4" i="39"/>
  <c r="AE4" i="39"/>
  <c r="AF4" i="39"/>
  <c r="AG4" i="39"/>
  <c r="AH4" i="39"/>
  <c r="AI4" i="39"/>
  <c r="AJ4" i="39"/>
  <c r="F5" i="39"/>
  <c r="V5" i="39"/>
  <c r="W5" i="39"/>
  <c r="X5" i="39"/>
  <c r="Y5" i="39"/>
  <c r="Z5" i="39"/>
  <c r="AA5" i="39"/>
  <c r="AB5" i="39"/>
  <c r="AC5" i="39"/>
  <c r="AD5" i="39"/>
  <c r="AE5" i="39"/>
  <c r="AF5" i="39"/>
  <c r="AG5" i="39"/>
  <c r="AH5" i="39"/>
  <c r="AI5" i="39"/>
  <c r="AJ5" i="39"/>
  <c r="F6" i="39"/>
  <c r="V6" i="39"/>
  <c r="W6" i="39"/>
  <c r="X6" i="39"/>
  <c r="Y6" i="39"/>
  <c r="Z6" i="39"/>
  <c r="AA6" i="39"/>
  <c r="AB6" i="39"/>
  <c r="AC6" i="39"/>
  <c r="AD6" i="39"/>
  <c r="AE6" i="39"/>
  <c r="AF6" i="39"/>
  <c r="AG6" i="39"/>
  <c r="AH6" i="39"/>
  <c r="AI6" i="39"/>
  <c r="AJ6" i="39"/>
  <c r="F7" i="39"/>
  <c r="V7" i="39"/>
  <c r="W7" i="39"/>
  <c r="X7" i="39"/>
  <c r="Y7" i="39"/>
  <c r="Z7" i="39"/>
  <c r="AA7" i="39"/>
  <c r="AB7" i="39"/>
  <c r="AC7" i="39"/>
  <c r="AD7" i="39"/>
  <c r="AE7" i="39"/>
  <c r="AF7" i="39"/>
  <c r="AG7" i="39"/>
  <c r="AH7" i="39"/>
  <c r="AI7" i="39"/>
  <c r="AJ7" i="39"/>
  <c r="F8" i="39"/>
  <c r="V8" i="39"/>
  <c r="W8" i="39"/>
  <c r="X8" i="39"/>
  <c r="Y8" i="39"/>
  <c r="Z8" i="39"/>
  <c r="AA8" i="39"/>
  <c r="AB8" i="39"/>
  <c r="AC8" i="39"/>
  <c r="AD8" i="39"/>
  <c r="AE8" i="39"/>
  <c r="AF8" i="39"/>
  <c r="AG8" i="39"/>
  <c r="AH8" i="39"/>
  <c r="AI8" i="39"/>
  <c r="AJ8" i="39"/>
  <c r="F9" i="39"/>
  <c r="V9" i="39"/>
  <c r="W9" i="39"/>
  <c r="X9" i="39"/>
  <c r="Y9" i="39"/>
  <c r="Z9" i="39"/>
  <c r="AA9" i="39"/>
  <c r="AB9" i="39"/>
  <c r="AC9" i="39"/>
  <c r="AD9" i="39"/>
  <c r="AE9" i="39"/>
  <c r="AF9" i="39"/>
  <c r="AG9" i="39"/>
  <c r="AH9" i="39"/>
  <c r="AI9" i="39"/>
  <c r="AJ9" i="39"/>
  <c r="F10" i="39"/>
  <c r="V10" i="39"/>
  <c r="W10" i="39"/>
  <c r="X10" i="39"/>
  <c r="Y10" i="39"/>
  <c r="Z10" i="39"/>
  <c r="AA10" i="39"/>
  <c r="AB10" i="39"/>
  <c r="AC10" i="39"/>
  <c r="AD10" i="39"/>
  <c r="AE10" i="39"/>
  <c r="AF10" i="39"/>
  <c r="AG10" i="39"/>
  <c r="AH10" i="39"/>
  <c r="AI10" i="39"/>
  <c r="AJ10" i="39"/>
  <c r="F11" i="39"/>
  <c r="V11" i="39"/>
  <c r="W11" i="39"/>
  <c r="X11" i="39"/>
  <c r="Y11" i="39"/>
  <c r="Z11" i="39"/>
  <c r="AA11" i="39"/>
  <c r="AB11" i="39"/>
  <c r="AC11" i="39"/>
  <c r="AD11" i="39"/>
  <c r="AE11" i="39"/>
  <c r="AF11" i="39"/>
  <c r="AG11" i="39"/>
  <c r="AH11" i="39"/>
  <c r="AI11" i="39"/>
  <c r="AJ11" i="39"/>
  <c r="F12" i="39"/>
  <c r="V12" i="39"/>
  <c r="W12" i="39"/>
  <c r="X12" i="39"/>
  <c r="Y12" i="39"/>
  <c r="Z12" i="39"/>
  <c r="AA12" i="39"/>
  <c r="AB12" i="39"/>
  <c r="AC12" i="39"/>
  <c r="AD12" i="39"/>
  <c r="AE12" i="39"/>
  <c r="AF12" i="39"/>
  <c r="AG12" i="39"/>
  <c r="AH12" i="39"/>
  <c r="AI12" i="39"/>
  <c r="AJ12" i="39"/>
  <c r="F13" i="39"/>
  <c r="V13" i="39"/>
  <c r="W13" i="39"/>
  <c r="X13" i="39"/>
  <c r="Y13" i="39"/>
  <c r="Z13" i="39"/>
  <c r="AA13" i="39"/>
  <c r="AB13" i="39"/>
  <c r="AC13" i="39"/>
  <c r="AD13" i="39"/>
  <c r="AE13" i="39"/>
  <c r="AF13" i="39"/>
  <c r="AG13" i="39"/>
  <c r="AH13" i="39"/>
  <c r="AI13" i="39"/>
  <c r="AJ13" i="39"/>
  <c r="F14" i="39"/>
  <c r="V14" i="39"/>
  <c r="W14" i="39"/>
  <c r="X14" i="39"/>
  <c r="Y14" i="39"/>
  <c r="Z14" i="39"/>
  <c r="AA14" i="39"/>
  <c r="AB14" i="39"/>
  <c r="AC14" i="39"/>
  <c r="AD14" i="39"/>
  <c r="AE14" i="39"/>
  <c r="AF14" i="39"/>
  <c r="AG14" i="39"/>
  <c r="AH14" i="39"/>
  <c r="AI14" i="39"/>
  <c r="AJ14" i="39"/>
  <c r="F15" i="39"/>
  <c r="V15" i="39"/>
  <c r="W15" i="39"/>
  <c r="X15" i="39"/>
  <c r="Y15" i="39"/>
  <c r="Z15" i="39"/>
  <c r="AA15" i="39"/>
  <c r="AB15" i="39"/>
  <c r="AC15" i="39"/>
  <c r="AD15" i="39"/>
  <c r="AE15" i="39"/>
  <c r="AF15" i="39"/>
  <c r="AG15" i="39"/>
  <c r="AH15" i="39"/>
  <c r="AI15" i="39"/>
  <c r="AJ15" i="39"/>
  <c r="F16" i="39"/>
  <c r="V16" i="39"/>
  <c r="W16" i="39"/>
  <c r="X16" i="39"/>
  <c r="Y16" i="39"/>
  <c r="Z16" i="39"/>
  <c r="AA16" i="39"/>
  <c r="AB16" i="39"/>
  <c r="AC16" i="39"/>
  <c r="AD16" i="39"/>
  <c r="AE16" i="39"/>
  <c r="AF16" i="39"/>
  <c r="AG16" i="39"/>
  <c r="AH16" i="39"/>
  <c r="AI16" i="39"/>
  <c r="AJ16" i="39"/>
  <c r="F17" i="39"/>
  <c r="V17" i="39"/>
  <c r="W17" i="39"/>
  <c r="X17" i="39"/>
  <c r="Y17" i="39"/>
  <c r="Z17" i="39"/>
  <c r="AA17" i="39"/>
  <c r="AB17" i="39"/>
  <c r="AC17" i="39"/>
  <c r="AD17" i="39"/>
  <c r="AE17" i="39"/>
  <c r="AF17" i="39"/>
  <c r="AG17" i="39"/>
  <c r="AH17" i="39"/>
  <c r="AI17" i="39"/>
  <c r="AJ17" i="39"/>
  <c r="F18" i="39"/>
  <c r="V18" i="39"/>
  <c r="W18" i="39"/>
  <c r="X18" i="39"/>
  <c r="Y18" i="39"/>
  <c r="Z18" i="39"/>
  <c r="AA18" i="39"/>
  <c r="AB18" i="39"/>
  <c r="AC18" i="39"/>
  <c r="AD18" i="39"/>
  <c r="AE18" i="39"/>
  <c r="AF18" i="39"/>
  <c r="AG18" i="39"/>
  <c r="AH18" i="39"/>
  <c r="AI18" i="39"/>
  <c r="AJ18" i="39"/>
  <c r="F19" i="39"/>
  <c r="V19" i="39"/>
  <c r="W19" i="39"/>
  <c r="X19" i="39"/>
  <c r="Y19" i="39"/>
  <c r="Z19" i="39"/>
  <c r="AA19" i="39"/>
  <c r="AB19" i="39"/>
  <c r="AC19" i="39"/>
  <c r="AD19" i="39"/>
  <c r="AE19" i="39"/>
  <c r="AF19" i="39"/>
  <c r="AG19" i="39"/>
  <c r="AH19" i="39"/>
  <c r="AI19" i="39"/>
  <c r="AJ19" i="39"/>
  <c r="F2" i="38"/>
  <c r="U2" i="38"/>
  <c r="V2" i="38"/>
  <c r="W2" i="38"/>
  <c r="E12" i="43" s="1"/>
  <c r="F12" i="42" s="1"/>
  <c r="X2" i="38"/>
  <c r="Y2" i="38"/>
  <c r="Z2" i="38"/>
  <c r="AA2" i="38"/>
  <c r="AB2" i="38"/>
  <c r="AC2" i="38"/>
  <c r="AD2" i="38"/>
  <c r="AE2" i="38"/>
  <c r="AF2" i="38"/>
  <c r="AG2" i="38"/>
  <c r="AH2" i="38"/>
  <c r="F3" i="38"/>
  <c r="U3" i="38"/>
  <c r="V3" i="38"/>
  <c r="W3" i="38"/>
  <c r="X3" i="38"/>
  <c r="Y3" i="38"/>
  <c r="Z3" i="38"/>
  <c r="AA3" i="38"/>
  <c r="AB3" i="38"/>
  <c r="AC3" i="38"/>
  <c r="AD3" i="38"/>
  <c r="AE3" i="38"/>
  <c r="AF3" i="38"/>
  <c r="AG3" i="38"/>
  <c r="AH3" i="38"/>
  <c r="M4" i="38"/>
  <c r="AA4" i="38" s="1"/>
  <c r="U4" i="38"/>
  <c r="V4" i="38"/>
  <c r="W4" i="38"/>
  <c r="X4" i="38"/>
  <c r="Y4" i="38"/>
  <c r="Z4" i="38"/>
  <c r="AB4" i="38"/>
  <c r="AC4" i="38"/>
  <c r="AD4" i="38"/>
  <c r="AE4" i="38"/>
  <c r="AF4" i="38"/>
  <c r="AG4" i="38"/>
  <c r="AH4" i="38"/>
  <c r="F5" i="38"/>
  <c r="I5" i="38"/>
  <c r="W5" i="38" s="1"/>
  <c r="U5" i="38"/>
  <c r="V5" i="38"/>
  <c r="X5" i="38"/>
  <c r="Y5" i="38"/>
  <c r="Z5" i="38"/>
  <c r="AA5" i="38"/>
  <c r="AB5" i="38"/>
  <c r="AC5" i="38"/>
  <c r="AD5" i="38"/>
  <c r="AE5" i="38"/>
  <c r="AF5" i="38"/>
  <c r="AG5" i="38"/>
  <c r="AH5" i="38"/>
  <c r="F6" i="38"/>
  <c r="H6" i="38"/>
  <c r="V6" i="38" s="1"/>
  <c r="U6" i="38"/>
  <c r="W6" i="38"/>
  <c r="Y6" i="38"/>
  <c r="Z6" i="38"/>
  <c r="AA6" i="38"/>
  <c r="AB6" i="38"/>
  <c r="AC6" i="38"/>
  <c r="AD6" i="38"/>
  <c r="AE6" i="38"/>
  <c r="AF6" i="38"/>
  <c r="AG6" i="38"/>
  <c r="AH6" i="38"/>
  <c r="F7" i="38"/>
  <c r="J7" i="38"/>
  <c r="U7" i="38"/>
  <c r="V7" i="38"/>
  <c r="W7" i="38"/>
  <c r="X7" i="38"/>
  <c r="Y7" i="38"/>
  <c r="Z7" i="38"/>
  <c r="AA7" i="38"/>
  <c r="AB7" i="38"/>
  <c r="AC7" i="38"/>
  <c r="AD7" i="38"/>
  <c r="AE7" i="38"/>
  <c r="AF7" i="38"/>
  <c r="AG7" i="38"/>
  <c r="AH7" i="38"/>
  <c r="F8" i="38"/>
  <c r="I8" i="38"/>
  <c r="W8" i="38" s="1"/>
  <c r="U8" i="38"/>
  <c r="V8" i="38"/>
  <c r="X8" i="38"/>
  <c r="Y8" i="38"/>
  <c r="Z8" i="38"/>
  <c r="AA8" i="38"/>
  <c r="AB8" i="38"/>
  <c r="AC8" i="38"/>
  <c r="AD8" i="38"/>
  <c r="AE8" i="38"/>
  <c r="AF8" i="38"/>
  <c r="AG8" i="38"/>
  <c r="AH8" i="38"/>
  <c r="F9" i="38"/>
  <c r="G9" i="38"/>
  <c r="U9" i="38" s="1"/>
  <c r="I9" i="38"/>
  <c r="W9" i="38" s="1"/>
  <c r="K9" i="38"/>
  <c r="Y9" i="38" s="1"/>
  <c r="M9" i="38"/>
  <c r="V9" i="38"/>
  <c r="X9" i="38"/>
  <c r="Z9" i="38"/>
  <c r="AA9" i="38"/>
  <c r="AB9" i="38"/>
  <c r="AC9" i="38"/>
  <c r="AD9" i="38"/>
  <c r="AE9" i="38"/>
  <c r="AF9" i="38"/>
  <c r="AG9" i="38"/>
  <c r="AH9" i="38"/>
  <c r="L11" i="43" l="1"/>
  <c r="I2" i="42"/>
  <c r="G8" i="43"/>
  <c r="I12" i="43"/>
  <c r="J12" i="42" s="1"/>
  <c r="P12" i="43"/>
  <c r="Q12" i="42" s="1"/>
  <c r="L12" i="43"/>
  <c r="M12" i="42" s="1"/>
  <c r="H12" i="43"/>
  <c r="I12" i="42" s="1"/>
  <c r="D12" i="43"/>
  <c r="E12" i="42" s="1"/>
  <c r="O11" i="43"/>
  <c r="K11" i="43"/>
  <c r="G11" i="43"/>
  <c r="C11" i="43"/>
  <c r="F11" i="42" s="1"/>
  <c r="C3" i="43"/>
  <c r="C3" i="42" s="1"/>
  <c r="G3" i="43"/>
  <c r="G3" i="42" s="1"/>
  <c r="K3" i="43"/>
  <c r="K3" i="42" s="1"/>
  <c r="K8" i="42" s="1"/>
  <c r="Y16" i="8" s="1"/>
  <c r="O3" i="43"/>
  <c r="O3" i="42" s="1"/>
  <c r="J2" i="42"/>
  <c r="J8" i="42" s="1"/>
  <c r="X16" i="8" s="1"/>
  <c r="N2" i="42"/>
  <c r="N8" i="42" s="1"/>
  <c r="AB16" i="8" s="1"/>
  <c r="L8" i="43"/>
  <c r="R2" i="42"/>
  <c r="R8" i="42" s="1"/>
  <c r="AF16" i="8" s="1"/>
  <c r="M12" i="43"/>
  <c r="N12" i="42" s="1"/>
  <c r="D11" i="43"/>
  <c r="G11" i="42" s="1"/>
  <c r="Q2" i="42"/>
  <c r="Q8" i="42" s="1"/>
  <c r="AE16" i="8" s="1"/>
  <c r="O12" i="43"/>
  <c r="P12" i="42" s="1"/>
  <c r="G12" i="43"/>
  <c r="H12" i="42" s="1"/>
  <c r="N11" i="43"/>
  <c r="J11" i="43"/>
  <c r="F11" i="43"/>
  <c r="I11" i="42" s="1"/>
  <c r="I17" i="42" s="1"/>
  <c r="W40" i="8" s="1"/>
  <c r="B11" i="43"/>
  <c r="E11" i="42" s="1"/>
  <c r="D3" i="43"/>
  <c r="D3" i="42" s="1"/>
  <c r="H3" i="43"/>
  <c r="H3" i="42" s="1"/>
  <c r="L3" i="43"/>
  <c r="L3" i="42" s="1"/>
  <c r="P3" i="43"/>
  <c r="P3" i="42" s="1"/>
  <c r="I3" i="43"/>
  <c r="O2" i="42"/>
  <c r="M8" i="43"/>
  <c r="P11" i="43"/>
  <c r="H11" i="43"/>
  <c r="M2" i="42"/>
  <c r="M8" i="42" s="1"/>
  <c r="AA16" i="8" s="1"/>
  <c r="K8" i="43"/>
  <c r="K12" i="43"/>
  <c r="L12" i="42" s="1"/>
  <c r="C12" i="43"/>
  <c r="D12" i="42" s="1"/>
  <c r="N12" i="43"/>
  <c r="O12" i="42" s="1"/>
  <c r="J12" i="43"/>
  <c r="K12" i="42" s="1"/>
  <c r="M11" i="43"/>
  <c r="I11" i="43"/>
  <c r="L11" i="42" s="1"/>
  <c r="E11" i="43"/>
  <c r="H11" i="42" s="1"/>
  <c r="E3" i="43"/>
  <c r="E3" i="42" s="1"/>
  <c r="M3" i="43"/>
  <c r="M3" i="42" s="1"/>
  <c r="L2" i="42"/>
  <c r="J8" i="43"/>
  <c r="N8" i="43"/>
  <c r="P2" i="42"/>
  <c r="CE25" i="4"/>
  <c r="CF25" i="4" s="1"/>
  <c r="CG25" i="4" s="1"/>
  <c r="CH25" i="4" s="1"/>
  <c r="CI25" i="4" s="1"/>
  <c r="CJ25" i="4" s="1"/>
  <c r="CK25" i="4" s="1"/>
  <c r="CL25" i="4" s="1"/>
  <c r="CM25" i="4" s="1"/>
  <c r="CN25" i="4" s="1"/>
  <c r="CO25" i="4" s="1"/>
  <c r="CP25" i="4" s="1"/>
  <c r="O22" i="2"/>
  <c r="I3" i="42"/>
  <c r="I8" i="42" s="1"/>
  <c r="W16" i="8" s="1"/>
  <c r="I8" i="43"/>
  <c r="F4" i="40"/>
  <c r="I17" i="43"/>
  <c r="F4" i="38"/>
  <c r="J6" i="38"/>
  <c r="X6" i="38" s="1"/>
  <c r="F12" i="43" s="1"/>
  <c r="G12" i="42" s="1"/>
  <c r="J11" i="42" l="1"/>
  <c r="J17" i="42" s="1"/>
  <c r="X40" i="8" s="1"/>
  <c r="G17" i="43"/>
  <c r="L8" i="42"/>
  <c r="Z16" i="8" s="1"/>
  <c r="L17" i="42"/>
  <c r="Z40" i="8" s="1"/>
  <c r="K11" i="42"/>
  <c r="K17" i="42" s="1"/>
  <c r="Y40" i="8" s="1"/>
  <c r="H17" i="43"/>
  <c r="M11" i="42"/>
  <c r="M17" i="42" s="1"/>
  <c r="AA40" i="8" s="1"/>
  <c r="J17" i="43"/>
  <c r="O8" i="43"/>
  <c r="P8" i="43"/>
  <c r="H8" i="43"/>
  <c r="N11" i="42"/>
  <c r="N17" i="42" s="1"/>
  <c r="AB40" i="8" s="1"/>
  <c r="K17" i="43"/>
  <c r="O8" i="42"/>
  <c r="AC16" i="8" s="1"/>
  <c r="P8" i="42"/>
  <c r="AD16" i="8" s="1"/>
  <c r="P11" i="42"/>
  <c r="P17" i="42" s="1"/>
  <c r="AD40" i="8" s="1"/>
  <c r="AD4" i="8" s="1"/>
  <c r="AD13" i="8" s="1"/>
  <c r="M17" i="43"/>
  <c r="S11" i="42"/>
  <c r="S17" i="42" s="1"/>
  <c r="AG40" i="8" s="1"/>
  <c r="AG4" i="8" s="1"/>
  <c r="AG13" i="8" s="1"/>
  <c r="P17" i="43"/>
  <c r="Q11" i="42"/>
  <c r="Q17" i="42" s="1"/>
  <c r="AE40" i="8" s="1"/>
  <c r="AE4" i="8" s="1"/>
  <c r="AE13" i="8" s="1"/>
  <c r="N17" i="43"/>
  <c r="AE25" i="8"/>
  <c r="AE28" i="8"/>
  <c r="AF28" i="8"/>
  <c r="AF25" i="8"/>
  <c r="AO35" i="6" s="1"/>
  <c r="R11" i="42"/>
  <c r="R17" i="42" s="1"/>
  <c r="AF40" i="8" s="1"/>
  <c r="AF4" i="8" s="1"/>
  <c r="AF13" i="8" s="1"/>
  <c r="O17" i="43"/>
  <c r="O11" i="42"/>
  <c r="O17" i="42" s="1"/>
  <c r="AC40" i="8" s="1"/>
  <c r="AC4" i="8" s="1"/>
  <c r="AC13" i="8" s="1"/>
  <c r="L17" i="43"/>
  <c r="CQ25" i="4"/>
  <c r="CR25" i="4" s="1"/>
  <c r="CS25" i="4" s="1"/>
  <c r="CT25" i="4" s="1"/>
  <c r="CU25" i="4" s="1"/>
  <c r="CV25" i="4" s="1"/>
  <c r="CW25" i="4" s="1"/>
  <c r="CX25" i="4" s="1"/>
  <c r="CY25" i="4" s="1"/>
  <c r="CZ25" i="4" s="1"/>
  <c r="DA25" i="4" s="1"/>
  <c r="DB25" i="4" s="1"/>
  <c r="Q22" i="2" s="1"/>
  <c r="P22" i="2"/>
  <c r="F2" i="37"/>
  <c r="F3" i="37"/>
  <c r="F4" i="37"/>
  <c r="F5" i="37"/>
  <c r="F6" i="37"/>
  <c r="F7" i="37"/>
  <c r="H7" i="37"/>
  <c r="H16" i="37" s="1"/>
  <c r="H8" i="37"/>
  <c r="H10" i="37"/>
  <c r="I10" i="37"/>
  <c r="J10" i="37"/>
  <c r="K10" i="37"/>
  <c r="L10" i="37"/>
  <c r="M10" i="37"/>
  <c r="F11" i="37"/>
  <c r="F12" i="37"/>
  <c r="F13" i="37"/>
  <c r="E14" i="37"/>
  <c r="F14" i="37" s="1"/>
  <c r="E15" i="37"/>
  <c r="F15" i="37" s="1"/>
  <c r="F16" i="37"/>
  <c r="H17" i="37"/>
  <c r="I17" i="37"/>
  <c r="G2" i="36"/>
  <c r="G3" i="36"/>
  <c r="F4" i="36"/>
  <c r="G4" i="36" s="1"/>
  <c r="G6" i="36"/>
  <c r="G7" i="36"/>
  <c r="G8" i="36"/>
  <c r="G9" i="36"/>
  <c r="F10" i="36"/>
  <c r="G10" i="36" s="1"/>
  <c r="G11" i="36"/>
  <c r="G12" i="36"/>
  <c r="I13" i="36"/>
  <c r="I26" i="36" s="1"/>
  <c r="I27" i="36"/>
  <c r="F28" i="36"/>
  <c r="F2" i="35"/>
  <c r="F3" i="35"/>
  <c r="F4" i="35"/>
  <c r="F5" i="35"/>
  <c r="F6" i="35"/>
  <c r="F7" i="35"/>
  <c r="F8" i="35"/>
  <c r="F9" i="35"/>
  <c r="F10" i="35"/>
  <c r="F11" i="35"/>
  <c r="F12" i="35"/>
  <c r="F13" i="35"/>
  <c r="H14" i="35"/>
  <c r="I14" i="35"/>
  <c r="B14" i="43" s="1"/>
  <c r="D14" i="42" s="1"/>
  <c r="L14" i="35"/>
  <c r="E14" i="43" s="1"/>
  <c r="G14" i="42" s="1"/>
  <c r="M14" i="35"/>
  <c r="F14" i="43" s="1"/>
  <c r="H14" i="42" s="1"/>
  <c r="F17" i="35"/>
  <c r="F18" i="35"/>
  <c r="F19" i="35"/>
  <c r="F20" i="35"/>
  <c r="F21" i="35"/>
  <c r="F22" i="35"/>
  <c r="F23" i="35"/>
  <c r="F24" i="35"/>
  <c r="F25" i="35"/>
  <c r="F26" i="35"/>
  <c r="F27" i="35"/>
  <c r="F28" i="35"/>
  <c r="H29" i="35"/>
  <c r="I29" i="35"/>
  <c r="B5" i="43" s="1"/>
  <c r="B5" i="42" s="1"/>
  <c r="J29" i="35"/>
  <c r="C5" i="43" s="1"/>
  <c r="C5" i="42" s="1"/>
  <c r="K29" i="35"/>
  <c r="D5" i="43" s="1"/>
  <c r="L29" i="35"/>
  <c r="E5" i="43" s="1"/>
  <c r="M29" i="35"/>
  <c r="F5" i="43" s="1"/>
  <c r="M5" i="34"/>
  <c r="M12" i="34" s="1"/>
  <c r="F6" i="34"/>
  <c r="H6" i="34"/>
  <c r="I6" i="34"/>
  <c r="B7" i="43" s="1"/>
  <c r="J6" i="34"/>
  <c r="C7" i="43" s="1"/>
  <c r="K6" i="34"/>
  <c r="D7" i="43" s="1"/>
  <c r="L6" i="34"/>
  <c r="E7" i="43" s="1"/>
  <c r="F9" i="34"/>
  <c r="F10" i="34"/>
  <c r="F11" i="34"/>
  <c r="F12" i="34"/>
  <c r="F13" i="34"/>
  <c r="F14" i="34" s="1"/>
  <c r="H13" i="34"/>
  <c r="I13" i="34"/>
  <c r="J13" i="34"/>
  <c r="K13" i="34"/>
  <c r="L13" i="34"/>
  <c r="M13" i="34"/>
  <c r="E16" i="43" l="1"/>
  <c r="G16" i="42" s="1"/>
  <c r="G7" i="42"/>
  <c r="E7" i="42"/>
  <c r="AL16" i="6"/>
  <c r="AN19" i="5"/>
  <c r="AP19" i="5"/>
  <c r="AN16" i="6"/>
  <c r="D5" i="42"/>
  <c r="F29" i="35"/>
  <c r="AD25" i="8"/>
  <c r="AM35" i="6" s="1"/>
  <c r="AD28" i="8"/>
  <c r="B7" i="42"/>
  <c r="B16" i="43"/>
  <c r="D16" i="42" s="1"/>
  <c r="F14" i="35"/>
  <c r="AM16" i="6"/>
  <c r="AO19" i="5"/>
  <c r="D7" i="42"/>
  <c r="D16" i="43"/>
  <c r="F16" i="42" s="1"/>
  <c r="C7" i="42"/>
  <c r="C16" i="43"/>
  <c r="E16" i="42" s="1"/>
  <c r="F8" i="37"/>
  <c r="F18" i="37" s="1"/>
  <c r="AQ19" i="5"/>
  <c r="AF26" i="8"/>
  <c r="AF32" i="8" s="1"/>
  <c r="AO16" i="6"/>
  <c r="AE26" i="8"/>
  <c r="AE32" i="8" s="1"/>
  <c r="AN35" i="6"/>
  <c r="AG26" i="8"/>
  <c r="AG32" i="8" s="1"/>
  <c r="AR19" i="5"/>
  <c r="AP16" i="6"/>
  <c r="AC25" i="8"/>
  <c r="AL35" i="6" s="1"/>
  <c r="AC28" i="8"/>
  <c r="F5" i="42"/>
  <c r="H5" i="42"/>
  <c r="E5" i="42"/>
  <c r="G5" i="42"/>
  <c r="B4" i="43"/>
  <c r="D4" i="42" s="1"/>
  <c r="F17" i="37"/>
  <c r="M6" i="34"/>
  <c r="F7" i="43" s="1"/>
  <c r="G27" i="36"/>
  <c r="K14" i="35"/>
  <c r="D14" i="43" s="1"/>
  <c r="F14" i="42" s="1"/>
  <c r="J13" i="36"/>
  <c r="B15" i="43" s="1"/>
  <c r="D15" i="42" s="1"/>
  <c r="J8" i="37"/>
  <c r="C13" i="43" s="1"/>
  <c r="E13" i="42" s="1"/>
  <c r="I8" i="37"/>
  <c r="B13" i="43" s="1"/>
  <c r="D13" i="42" s="1"/>
  <c r="J14" i="35"/>
  <c r="C14" i="43" s="1"/>
  <c r="E14" i="42" s="1"/>
  <c r="G13" i="36"/>
  <c r="F7" i="42" l="1"/>
  <c r="H7" i="42"/>
  <c r="F16" i="43"/>
  <c r="H16" i="42" s="1"/>
  <c r="AD26" i="8"/>
  <c r="AD32" i="8" s="1"/>
  <c r="D17" i="42"/>
  <c r="R40" i="8" s="1"/>
  <c r="F30" i="35"/>
  <c r="AC26" i="8"/>
  <c r="AC32" i="8" s="1"/>
  <c r="B17" i="42"/>
  <c r="J17" i="37"/>
  <c r="M13" i="36"/>
  <c r="E15" i="43" s="1"/>
  <c r="G15" i="42" s="1"/>
  <c r="M27" i="36"/>
  <c r="E6" i="43" s="1"/>
  <c r="N13" i="36"/>
  <c r="F15" i="43" s="1"/>
  <c r="H15" i="42" s="1"/>
  <c r="N27" i="36"/>
  <c r="F6" i="43" s="1"/>
  <c r="J27" i="36"/>
  <c r="B6" i="43" s="1"/>
  <c r="B6" i="42" s="1"/>
  <c r="B8" i="42" s="1"/>
  <c r="P16" i="8" s="1"/>
  <c r="K8" i="37"/>
  <c r="D13" i="43" s="1"/>
  <c r="F13" i="42" s="1"/>
  <c r="K13" i="36"/>
  <c r="C15" i="43" s="1"/>
  <c r="E15" i="42" s="1"/>
  <c r="E17" i="42" s="1"/>
  <c r="S40" i="8" s="1"/>
  <c r="G28" i="36"/>
  <c r="H6" i="42" l="1"/>
  <c r="G6" i="42"/>
  <c r="C4" i="43"/>
  <c r="E4" i="42" s="1"/>
  <c r="B8" i="43"/>
  <c r="K17" i="37"/>
  <c r="K27" i="36"/>
  <c r="C6" i="43" s="1"/>
  <c r="C6" i="42" s="1"/>
  <c r="C8" i="42" s="1"/>
  <c r="Q16" i="8" s="1"/>
  <c r="L8" i="37"/>
  <c r="E13" i="43" s="1"/>
  <c r="G13" i="42" s="1"/>
  <c r="G17" i="42" s="1"/>
  <c r="U40" i="8" s="1"/>
  <c r="E6" i="42" l="1"/>
  <c r="E8" i="42" s="1"/>
  <c r="S16" i="8" s="1"/>
  <c r="D4" i="43"/>
  <c r="F4" i="42" s="1"/>
  <c r="B17" i="43"/>
  <c r="C17" i="43"/>
  <c r="C8" i="43"/>
  <c r="L27" i="36"/>
  <c r="D6" i="43" s="1"/>
  <c r="L17" i="37"/>
  <c r="M17" i="37"/>
  <c r="M8" i="37"/>
  <c r="F13" i="43" s="1"/>
  <c r="H13" i="42" s="1"/>
  <c r="H17" i="42" s="1"/>
  <c r="V40" i="8" s="1"/>
  <c r="L13" i="36"/>
  <c r="D15" i="43" s="1"/>
  <c r="F15" i="42" s="1"/>
  <c r="F17" i="42" s="1"/>
  <c r="T40" i="8" s="1"/>
  <c r="T4" i="8" s="1"/>
  <c r="DF17" i="12"/>
  <c r="DE17" i="12"/>
  <c r="DD17" i="12"/>
  <c r="DC17" i="12"/>
  <c r="DB17" i="12"/>
  <c r="DA17" i="12"/>
  <c r="CZ17" i="12"/>
  <c r="CY17" i="12"/>
  <c r="CX17" i="12"/>
  <c r="CW17" i="12"/>
  <c r="CV17" i="12"/>
  <c r="CU17" i="12"/>
  <c r="CT17" i="12"/>
  <c r="CS17" i="12"/>
  <c r="CR17" i="12"/>
  <c r="CQ17" i="12"/>
  <c r="CP17" i="12"/>
  <c r="CO17" i="12"/>
  <c r="CN17" i="12"/>
  <c r="CM17" i="12"/>
  <c r="CL17" i="12"/>
  <c r="CK17" i="12"/>
  <c r="CJ17" i="12"/>
  <c r="CI17" i="12"/>
  <c r="CH17" i="12"/>
  <c r="CG17" i="12"/>
  <c r="CF17" i="12"/>
  <c r="CE17" i="12"/>
  <c r="CD17" i="12"/>
  <c r="CC17" i="12"/>
  <c r="CB17" i="12"/>
  <c r="CA17" i="12"/>
  <c r="BZ17" i="12"/>
  <c r="BY17" i="12"/>
  <c r="BX17" i="12"/>
  <c r="BW17" i="12"/>
  <c r="BV17" i="12"/>
  <c r="BU17" i="12"/>
  <c r="BT17" i="12"/>
  <c r="BS17" i="12"/>
  <c r="BR17" i="12"/>
  <c r="BQ17" i="12"/>
  <c r="BP17" i="12"/>
  <c r="BO17" i="12"/>
  <c r="BN17" i="12"/>
  <c r="BM17" i="12"/>
  <c r="BL17" i="12"/>
  <c r="BK17" i="12"/>
  <c r="BJ17" i="12"/>
  <c r="BI17" i="12"/>
  <c r="BH17" i="12"/>
  <c r="BG17" i="12"/>
  <c r="BF17" i="12"/>
  <c r="BE17" i="12"/>
  <c r="BD17" i="12"/>
  <c r="BC17" i="12"/>
  <c r="BB17" i="12"/>
  <c r="BA17" i="12"/>
  <c r="AZ17" i="12"/>
  <c r="AY17" i="12"/>
  <c r="AX17" i="12"/>
  <c r="AW17" i="12"/>
  <c r="AV17" i="12"/>
  <c r="AU17" i="12"/>
  <c r="AT17" i="12"/>
  <c r="AS17" i="12"/>
  <c r="AR17" i="12"/>
  <c r="AQ17" i="12"/>
  <c r="AP17" i="12"/>
  <c r="AO17" i="12"/>
  <c r="AN17" i="12"/>
  <c r="AM17" i="12"/>
  <c r="AL17" i="12"/>
  <c r="AK17" i="12"/>
  <c r="AJ17" i="12"/>
  <c r="AI17" i="12"/>
  <c r="AH17" i="12"/>
  <c r="AG17" i="12"/>
  <c r="AF17" i="12"/>
  <c r="AE17" i="12"/>
  <c r="AD17" i="12"/>
  <c r="AC17" i="12"/>
  <c r="AB17" i="12"/>
  <c r="AA17" i="12"/>
  <c r="DF14" i="12"/>
  <c r="DE14" i="12"/>
  <c r="DD14" i="12"/>
  <c r="DC14" i="12"/>
  <c r="DB14" i="12"/>
  <c r="DA14" i="12"/>
  <c r="CZ14" i="12"/>
  <c r="CY14" i="12"/>
  <c r="CX14" i="12"/>
  <c r="CW14" i="12"/>
  <c r="CV14" i="12"/>
  <c r="CU14" i="12"/>
  <c r="CT14" i="12"/>
  <c r="CS14" i="12"/>
  <c r="CR14" i="12"/>
  <c r="CQ14" i="12"/>
  <c r="CP14" i="12"/>
  <c r="CO14" i="12"/>
  <c r="CN14" i="12"/>
  <c r="CM14" i="12"/>
  <c r="CL14" i="12"/>
  <c r="CK14" i="12"/>
  <c r="CJ14" i="12"/>
  <c r="CI14" i="12"/>
  <c r="CH14" i="12"/>
  <c r="CG14" i="12"/>
  <c r="CF14" i="12"/>
  <c r="CE14" i="12"/>
  <c r="CD14" i="12"/>
  <c r="CC14" i="12"/>
  <c r="CB14" i="12"/>
  <c r="CA14" i="12"/>
  <c r="BZ14" i="12"/>
  <c r="BY14" i="12"/>
  <c r="BX14" i="12"/>
  <c r="BW14" i="12"/>
  <c r="BV14" i="12"/>
  <c r="BU14" i="12"/>
  <c r="BT14" i="12"/>
  <c r="BS14" i="12"/>
  <c r="BR14" i="12"/>
  <c r="BQ14" i="12"/>
  <c r="BP14" i="12"/>
  <c r="BO14" i="12"/>
  <c r="BN14" i="12"/>
  <c r="BM14" i="12"/>
  <c r="BL14" i="12"/>
  <c r="BK14" i="12"/>
  <c r="BJ14" i="12"/>
  <c r="BI14" i="12"/>
  <c r="BH14" i="12"/>
  <c r="BG14" i="12"/>
  <c r="BF14" i="12"/>
  <c r="BE14" i="12"/>
  <c r="BD14" i="12"/>
  <c r="BC14" i="12"/>
  <c r="BB14" i="12"/>
  <c r="BA14" i="12"/>
  <c r="AZ14" i="12"/>
  <c r="AY14" i="12"/>
  <c r="AX14" i="12"/>
  <c r="AW14" i="12"/>
  <c r="AV14" i="12"/>
  <c r="AU14" i="12"/>
  <c r="AT14" i="12"/>
  <c r="AS14" i="12"/>
  <c r="AR14" i="12"/>
  <c r="AQ14" i="12"/>
  <c r="AP14" i="12"/>
  <c r="AO14" i="12"/>
  <c r="AN14" i="12"/>
  <c r="AM14" i="12"/>
  <c r="AL14" i="12"/>
  <c r="AK14" i="12"/>
  <c r="AJ14" i="12"/>
  <c r="AI14" i="12"/>
  <c r="AH14" i="12"/>
  <c r="AG14" i="12"/>
  <c r="AF14" i="12"/>
  <c r="AE14" i="12"/>
  <c r="AD14" i="12"/>
  <c r="AC14" i="12"/>
  <c r="AB14" i="12"/>
  <c r="AA14" i="12"/>
  <c r="AB5" i="12"/>
  <c r="AC5" i="12" s="1"/>
  <c r="AD5" i="12" s="1"/>
  <c r="AE5" i="12" s="1"/>
  <c r="AF5" i="12" s="1"/>
  <c r="AG5" i="12" s="1"/>
  <c r="AH5" i="12" s="1"/>
  <c r="AI5" i="12" s="1"/>
  <c r="AJ5" i="12" s="1"/>
  <c r="AK5" i="12" s="1"/>
  <c r="AL5" i="12" s="1"/>
  <c r="AM5" i="12" s="1"/>
  <c r="AN5" i="12" s="1"/>
  <c r="AO5" i="12" s="1"/>
  <c r="AP5" i="12" s="1"/>
  <c r="AQ5" i="12" s="1"/>
  <c r="AR5" i="12" s="1"/>
  <c r="AS5" i="12" s="1"/>
  <c r="AT5" i="12" s="1"/>
  <c r="AU5" i="12" s="1"/>
  <c r="AV5" i="12" s="1"/>
  <c r="AW5" i="12" s="1"/>
  <c r="AX5" i="12" s="1"/>
  <c r="AY5" i="12" s="1"/>
  <c r="AZ5" i="12" s="1"/>
  <c r="BA5" i="12" s="1"/>
  <c r="BB5" i="12" s="1"/>
  <c r="BC5" i="12" s="1"/>
  <c r="BD5" i="12" s="1"/>
  <c r="BE5" i="12" s="1"/>
  <c r="BF5" i="12" s="1"/>
  <c r="BG5" i="12" s="1"/>
  <c r="BH5" i="12" s="1"/>
  <c r="BI5" i="12" s="1"/>
  <c r="BJ5" i="12" s="1"/>
  <c r="BK5" i="12" s="1"/>
  <c r="BL5" i="12" s="1"/>
  <c r="BM5" i="12" s="1"/>
  <c r="BN5" i="12" s="1"/>
  <c r="BO5" i="12" s="1"/>
  <c r="BP5" i="12" s="1"/>
  <c r="BQ5" i="12" s="1"/>
  <c r="BR5" i="12" s="1"/>
  <c r="BS5" i="12" s="1"/>
  <c r="BT5" i="12" s="1"/>
  <c r="BU5" i="12" s="1"/>
  <c r="BV5" i="12" s="1"/>
  <c r="BW5" i="12" s="1"/>
  <c r="BX5" i="12" s="1"/>
  <c r="BY5" i="12" s="1"/>
  <c r="BZ5" i="12" s="1"/>
  <c r="CA5" i="12" s="1"/>
  <c r="CB5" i="12" s="1"/>
  <c r="CC5" i="12" s="1"/>
  <c r="CD5" i="12" s="1"/>
  <c r="CE5" i="12" s="1"/>
  <c r="CF5" i="12" s="1"/>
  <c r="CG5" i="12" s="1"/>
  <c r="CH5" i="12" s="1"/>
  <c r="CI5" i="12" s="1"/>
  <c r="CJ5" i="12" s="1"/>
  <c r="CK5" i="12" s="1"/>
  <c r="CL5" i="12" s="1"/>
  <c r="CM5" i="12" s="1"/>
  <c r="CN5" i="12" s="1"/>
  <c r="CO5" i="12" s="1"/>
  <c r="CP5" i="12" s="1"/>
  <c r="CQ5" i="12" s="1"/>
  <c r="CR5" i="12" s="1"/>
  <c r="CS5" i="12" s="1"/>
  <c r="CT5" i="12" s="1"/>
  <c r="CU5" i="12" s="1"/>
  <c r="CV5" i="12" s="1"/>
  <c r="CW5" i="12" s="1"/>
  <c r="CX5" i="12" s="1"/>
  <c r="CY5" i="12" s="1"/>
  <c r="CZ5" i="12" s="1"/>
  <c r="DA5" i="12" s="1"/>
  <c r="DB5" i="12" s="1"/>
  <c r="DC5" i="12" s="1"/>
  <c r="DD5" i="12" s="1"/>
  <c r="DE5" i="12" s="1"/>
  <c r="DF5" i="12" s="1"/>
  <c r="DF4" i="12"/>
  <c r="DE4" i="12"/>
  <c r="DD4" i="12"/>
  <c r="DC4" i="12"/>
  <c r="DB4" i="12"/>
  <c r="DA4" i="12"/>
  <c r="CZ4" i="12"/>
  <c r="CY4" i="12"/>
  <c r="CX4" i="12"/>
  <c r="CW4" i="12"/>
  <c r="CV4" i="12"/>
  <c r="CU4" i="12"/>
  <c r="CT4" i="12"/>
  <c r="CS4" i="12"/>
  <c r="CR4" i="12"/>
  <c r="CQ4" i="12"/>
  <c r="CP4" i="12"/>
  <c r="CO4" i="12"/>
  <c r="CN4" i="12"/>
  <c r="CM4" i="12"/>
  <c r="CL4" i="12"/>
  <c r="CK4" i="12"/>
  <c r="CJ4" i="12"/>
  <c r="CI4" i="12"/>
  <c r="CH4" i="12"/>
  <c r="CG4" i="12"/>
  <c r="CF4" i="12"/>
  <c r="CE4" i="12"/>
  <c r="CD4" i="12"/>
  <c r="CC4" i="12"/>
  <c r="CB4" i="12"/>
  <c r="CA4" i="12"/>
  <c r="BZ4" i="12"/>
  <c r="BY4" i="12"/>
  <c r="BX4" i="12"/>
  <c r="BW4" i="12"/>
  <c r="BV4" i="12"/>
  <c r="BU4" i="12"/>
  <c r="BT4" i="12"/>
  <c r="BS4" i="12"/>
  <c r="BR4" i="12"/>
  <c r="BQ4" i="12"/>
  <c r="BP4" i="12"/>
  <c r="BO4" i="12"/>
  <c r="BN4" i="12"/>
  <c r="BM4" i="12"/>
  <c r="BL4" i="12"/>
  <c r="BK4" i="12"/>
  <c r="BJ4" i="12"/>
  <c r="BI4" i="12"/>
  <c r="BH4" i="12"/>
  <c r="BG4" i="12"/>
  <c r="BF4" i="12"/>
  <c r="BE4" i="12"/>
  <c r="BD4" i="12"/>
  <c r="BC4" i="12"/>
  <c r="BB4" i="12"/>
  <c r="BA4" i="12"/>
  <c r="AZ4" i="12"/>
  <c r="AY4" i="12"/>
  <c r="AX4" i="12"/>
  <c r="AW4" i="12"/>
  <c r="AV4" i="12"/>
  <c r="AU4" i="12"/>
  <c r="AT4" i="12"/>
  <c r="AS4" i="12"/>
  <c r="AR4" i="12"/>
  <c r="AQ4" i="12"/>
  <c r="AP4" i="12"/>
  <c r="AO4" i="12"/>
  <c r="AN4" i="12"/>
  <c r="AM4" i="12"/>
  <c r="AL4" i="12"/>
  <c r="AK4" i="12"/>
  <c r="AJ4" i="12"/>
  <c r="AI4" i="12"/>
  <c r="AH4" i="12"/>
  <c r="AG4" i="12"/>
  <c r="AF4" i="12"/>
  <c r="AE4" i="12"/>
  <c r="AD4" i="12"/>
  <c r="AC4" i="12"/>
  <c r="AB4" i="12"/>
  <c r="AA4" i="12"/>
  <c r="AB3" i="12"/>
  <c r="AC3" i="12" s="1"/>
  <c r="AD3" i="12" s="1"/>
  <c r="AE3" i="12" s="1"/>
  <c r="AF3" i="12" s="1"/>
  <c r="AG3" i="12" s="1"/>
  <c r="AH3" i="12" s="1"/>
  <c r="AI3" i="12" s="1"/>
  <c r="AJ3" i="12" s="1"/>
  <c r="AK3" i="12" s="1"/>
  <c r="AL3" i="12" s="1"/>
  <c r="AM3" i="12" s="1"/>
  <c r="AN3" i="12" s="1"/>
  <c r="AO3" i="12" s="1"/>
  <c r="AP3" i="12" s="1"/>
  <c r="AQ3" i="12" s="1"/>
  <c r="AR3" i="12" s="1"/>
  <c r="AS3" i="12" s="1"/>
  <c r="AT3" i="12" s="1"/>
  <c r="AU3" i="12" s="1"/>
  <c r="AV3" i="12" s="1"/>
  <c r="AW3" i="12" s="1"/>
  <c r="AX3" i="12" s="1"/>
  <c r="AY3" i="12" s="1"/>
  <c r="AZ3" i="12" s="1"/>
  <c r="BA3" i="12" s="1"/>
  <c r="BB3" i="12" s="1"/>
  <c r="BC3" i="12" s="1"/>
  <c r="BD3" i="12" s="1"/>
  <c r="BE3" i="12" s="1"/>
  <c r="BF3" i="12" s="1"/>
  <c r="BG3" i="12" s="1"/>
  <c r="BH3" i="12" s="1"/>
  <c r="BI3" i="12" s="1"/>
  <c r="BJ3" i="12" s="1"/>
  <c r="BK3" i="12" s="1"/>
  <c r="BL3" i="12" s="1"/>
  <c r="BM3" i="12" s="1"/>
  <c r="BN3" i="12" s="1"/>
  <c r="BO3" i="12" s="1"/>
  <c r="BP3" i="12" s="1"/>
  <c r="BQ3" i="12" s="1"/>
  <c r="BR3" i="12" s="1"/>
  <c r="BS3" i="12" s="1"/>
  <c r="BT3" i="12" s="1"/>
  <c r="BU3" i="12" s="1"/>
  <c r="BV3" i="12" s="1"/>
  <c r="BW3" i="12" s="1"/>
  <c r="BX3" i="12" s="1"/>
  <c r="BY3" i="12" s="1"/>
  <c r="BZ3" i="12" s="1"/>
  <c r="CA3" i="12" s="1"/>
  <c r="CB3" i="12" s="1"/>
  <c r="CC3" i="12" s="1"/>
  <c r="CD3" i="12" s="1"/>
  <c r="CE3" i="12" s="1"/>
  <c r="CF3" i="12" s="1"/>
  <c r="CG3" i="12" s="1"/>
  <c r="CH3" i="12" s="1"/>
  <c r="CI3" i="12" s="1"/>
  <c r="CJ3" i="12" s="1"/>
  <c r="CK3" i="12" s="1"/>
  <c r="CL3" i="12" s="1"/>
  <c r="CM3" i="12" s="1"/>
  <c r="CN3" i="12" s="1"/>
  <c r="CO3" i="12" s="1"/>
  <c r="CP3" i="12" s="1"/>
  <c r="CQ3" i="12" s="1"/>
  <c r="CR3" i="12" s="1"/>
  <c r="CS3" i="12" s="1"/>
  <c r="CT3" i="12" s="1"/>
  <c r="CU3" i="12" s="1"/>
  <c r="CV3" i="12" s="1"/>
  <c r="CW3" i="12" s="1"/>
  <c r="CX3" i="12" s="1"/>
  <c r="CY3" i="12" s="1"/>
  <c r="CZ3" i="12" s="1"/>
  <c r="DA3" i="12" s="1"/>
  <c r="DB3" i="12" s="1"/>
  <c r="DC3" i="12" s="1"/>
  <c r="DD3" i="12" s="1"/>
  <c r="DE3" i="12" s="1"/>
  <c r="DF3" i="12" s="1"/>
  <c r="AB2" i="12"/>
  <c r="D6" i="42" l="1"/>
  <c r="D8" i="42" s="1"/>
  <c r="R16" i="8" s="1"/>
  <c r="F6" i="42"/>
  <c r="F8" i="42" s="1"/>
  <c r="T16" i="8" s="1"/>
  <c r="E4" i="43"/>
  <c r="G4" i="42" s="1"/>
  <c r="G8" i="42" s="1"/>
  <c r="U16" i="8" s="1"/>
  <c r="F4" i="43"/>
  <c r="H4" i="42" s="1"/>
  <c r="H8" i="42" s="1"/>
  <c r="V16" i="8" s="1"/>
  <c r="AB6" i="12"/>
  <c r="AC2" i="12"/>
  <c r="E8" i="43" l="1"/>
  <c r="F17" i="43"/>
  <c r="F8" i="43"/>
  <c r="D8" i="43"/>
  <c r="B2" i="10"/>
  <c r="G2" i="10" s="1"/>
  <c r="AD2" i="12"/>
  <c r="AC6" i="12"/>
  <c r="E8" i="10" l="1"/>
  <c r="E17" i="43"/>
  <c r="U8" i="43"/>
  <c r="D17" i="43"/>
  <c r="U17" i="43" s="1"/>
  <c r="AD6" i="12"/>
  <c r="AE2" i="12"/>
  <c r="V8" i="43" l="1"/>
  <c r="X8" i="43" s="1"/>
  <c r="AF2" i="12"/>
  <c r="AE6" i="12"/>
  <c r="AG2" i="12" l="1"/>
  <c r="AF6" i="12"/>
  <c r="AG6" i="12" l="1"/>
  <c r="AH2" i="12"/>
  <c r="AH6" i="12" l="1"/>
  <c r="AI2" i="12"/>
  <c r="AI6" i="12" l="1"/>
  <c r="AJ2" i="12"/>
  <c r="AJ6" i="12" l="1"/>
  <c r="AK2" i="12"/>
  <c r="AL2" i="12" l="1"/>
  <c r="AK6" i="12"/>
  <c r="AL6" i="12" l="1"/>
  <c r="AM2" i="12"/>
  <c r="AM6" i="12" l="1"/>
  <c r="AN2" i="12"/>
  <c r="AO2" i="12" l="1"/>
  <c r="AN6" i="12"/>
  <c r="AO6" i="12" l="1"/>
  <c r="AP2" i="12"/>
  <c r="AP6" i="12" l="1"/>
  <c r="AQ2" i="12"/>
  <c r="AQ6" i="12" l="1"/>
  <c r="AR2" i="12"/>
  <c r="AR6" i="12" l="1"/>
  <c r="AS2" i="12"/>
  <c r="AS6" i="12" l="1"/>
  <c r="AT2" i="12"/>
  <c r="AT6" i="12" l="1"/>
  <c r="AU2" i="12"/>
  <c r="AV2" i="12" l="1"/>
  <c r="AU6" i="12"/>
  <c r="AW2" i="12" l="1"/>
  <c r="AV6" i="12"/>
  <c r="AX2" i="12" l="1"/>
  <c r="AW6" i="12"/>
  <c r="AX6" i="12" l="1"/>
  <c r="AY2" i="12"/>
  <c r="AY6" i="12" l="1"/>
  <c r="AZ2" i="12"/>
  <c r="AZ6" i="12" l="1"/>
  <c r="BA2" i="12"/>
  <c r="BA6" i="12" l="1"/>
  <c r="BB2" i="12"/>
  <c r="BB6" i="12" l="1"/>
  <c r="BC2" i="12"/>
  <c r="BC6" i="12" l="1"/>
  <c r="BD2" i="12"/>
  <c r="BE2" i="12" l="1"/>
  <c r="BD6" i="12"/>
  <c r="BE6" i="12" l="1"/>
  <c r="BF2" i="12"/>
  <c r="BF6" i="12" l="1"/>
  <c r="BG2" i="12"/>
  <c r="BG6" i="12" l="1"/>
  <c r="BH2" i="12"/>
  <c r="BH6" i="12" l="1"/>
  <c r="BI2" i="12"/>
  <c r="BI6" i="12" l="1"/>
  <c r="BJ2" i="12"/>
  <c r="BJ6" i="12" l="1"/>
  <c r="BK2" i="12"/>
  <c r="BL2" i="12" l="1"/>
  <c r="BK6" i="12"/>
  <c r="BM2" i="12" l="1"/>
  <c r="BL6" i="12"/>
  <c r="BM6" i="12" l="1"/>
  <c r="BN2" i="12"/>
  <c r="BN6" i="12" l="1"/>
  <c r="BO2" i="12"/>
  <c r="BO6" i="12" l="1"/>
  <c r="BP2" i="12"/>
  <c r="BP6" i="12" l="1"/>
  <c r="BQ2" i="12"/>
  <c r="BQ6" i="12" l="1"/>
  <c r="BR2" i="12"/>
  <c r="BR6" i="12" l="1"/>
  <c r="BS2" i="12"/>
  <c r="BS6" i="12" l="1"/>
  <c r="BT2" i="12"/>
  <c r="BU2" i="12" l="1"/>
  <c r="BT6" i="12"/>
  <c r="BU6" i="12" l="1"/>
  <c r="BV2" i="12"/>
  <c r="BV6" i="12" l="1"/>
  <c r="BW2" i="12"/>
  <c r="BW6" i="12" l="1"/>
  <c r="BX2" i="12"/>
  <c r="BX6" i="12" l="1"/>
  <c r="BY2" i="12"/>
  <c r="BY6" i="12" l="1"/>
  <c r="BZ2" i="12"/>
  <c r="BZ6" i="12" l="1"/>
  <c r="CA2" i="12"/>
  <c r="CB2" i="12" l="1"/>
  <c r="CA6" i="12"/>
  <c r="CC2" i="12" l="1"/>
  <c r="CB6" i="12"/>
  <c r="CC6" i="12" l="1"/>
  <c r="CD2" i="12"/>
  <c r="CD6" i="12" l="1"/>
  <c r="CE2" i="12"/>
  <c r="CE6" i="12" l="1"/>
  <c r="CF2" i="12"/>
  <c r="CF6" i="12" l="1"/>
  <c r="CG2" i="12"/>
  <c r="CG6" i="12" l="1"/>
  <c r="CH2" i="12"/>
  <c r="CH6" i="12" l="1"/>
  <c r="CI2" i="12"/>
  <c r="CI6" i="12" l="1"/>
  <c r="CJ2" i="12"/>
  <c r="CK2" i="12" l="1"/>
  <c r="CJ6" i="12"/>
  <c r="CK6" i="12" l="1"/>
  <c r="CL2" i="12"/>
  <c r="CL6" i="12" l="1"/>
  <c r="CM2" i="12"/>
  <c r="CM6" i="12" l="1"/>
  <c r="CN2" i="12"/>
  <c r="CN6" i="12" l="1"/>
  <c r="CO2" i="12"/>
  <c r="CO6" i="12" l="1"/>
  <c r="CP2" i="12"/>
  <c r="CP6" i="12" l="1"/>
  <c r="CQ2" i="12"/>
  <c r="CQ6" i="12" l="1"/>
  <c r="CR2" i="12"/>
  <c r="CS2" i="12" l="1"/>
  <c r="CR6" i="12"/>
  <c r="CS6" i="12" l="1"/>
  <c r="CT2" i="12"/>
  <c r="CT6" i="12" l="1"/>
  <c r="CU2" i="12"/>
  <c r="CU6" i="12" l="1"/>
  <c r="CV2" i="12"/>
  <c r="CV6" i="12" l="1"/>
  <c r="CW2" i="12"/>
  <c r="CW6" i="12" l="1"/>
  <c r="CX2" i="12"/>
  <c r="CX6" i="12" l="1"/>
  <c r="CY2" i="12"/>
  <c r="CZ2" i="12" l="1"/>
  <c r="CY6" i="12"/>
  <c r="DA2" i="12" l="1"/>
  <c r="CZ6" i="12"/>
  <c r="DA6" i="12" l="1"/>
  <c r="DB2" i="12"/>
  <c r="DB6" i="12" l="1"/>
  <c r="DC2" i="12"/>
  <c r="DC6" i="12" l="1"/>
  <c r="DD2" i="12"/>
  <c r="DD6" i="12" l="1"/>
  <c r="DE2" i="12"/>
  <c r="DE6" i="12" l="1"/>
  <c r="DF2" i="12"/>
  <c r="DF6" i="12" s="1"/>
  <c r="AF34" i="5" l="1"/>
  <c r="AF33" i="5"/>
  <c r="B39" i="8" l="1"/>
  <c r="B40" i="8" s="1"/>
  <c r="H13" i="3" l="1"/>
  <c r="W12" i="4" l="1"/>
  <c r="X12" i="4" s="1"/>
  <c r="Y12" i="4" s="1"/>
  <c r="Z12" i="4" s="1"/>
  <c r="AA12" i="4" s="1"/>
  <c r="AB12" i="4" s="1"/>
  <c r="AC12" i="4" s="1"/>
  <c r="AD12" i="4" s="1"/>
  <c r="AE12" i="4" s="1"/>
  <c r="AF12" i="4" s="1"/>
  <c r="AG12" i="4" s="1"/>
  <c r="AH12" i="4" s="1"/>
  <c r="AI12" i="4" s="1"/>
  <c r="AJ12" i="4" s="1"/>
  <c r="AK12" i="4" s="1"/>
  <c r="AL12" i="4" s="1"/>
  <c r="AM12" i="4" s="1"/>
  <c r="AN12" i="4" s="1"/>
  <c r="AO12" i="4" s="1"/>
  <c r="AP12" i="4" s="1"/>
  <c r="AQ12" i="4" s="1"/>
  <c r="AR12" i="4" s="1"/>
  <c r="AS12" i="4" s="1"/>
  <c r="AT12" i="4" s="1"/>
  <c r="AU12" i="4" s="1"/>
  <c r="AV12" i="4" s="1"/>
  <c r="AW12" i="4" s="1"/>
  <c r="AX12" i="4" s="1"/>
  <c r="AY12" i="4" s="1"/>
  <c r="AZ12" i="4" s="1"/>
  <c r="BA12" i="4" s="1"/>
  <c r="BB12" i="4" s="1"/>
  <c r="BC12" i="4" s="1"/>
  <c r="BD12" i="4" s="1"/>
  <c r="BE12" i="4" s="1"/>
  <c r="BF12" i="4" s="1"/>
  <c r="BG12" i="4" s="1"/>
  <c r="BH12" i="4" s="1"/>
  <c r="BI12" i="4" s="1"/>
  <c r="BJ12" i="4" s="1"/>
  <c r="BK12" i="4" s="1"/>
  <c r="BL12" i="4" s="1"/>
  <c r="BM12" i="4" s="1"/>
  <c r="BN12" i="4" s="1"/>
  <c r="BO12" i="4" s="1"/>
  <c r="BP12" i="4" s="1"/>
  <c r="BQ12" i="4" s="1"/>
  <c r="BR12" i="4" s="1"/>
  <c r="BS12" i="4" s="1"/>
  <c r="BT12" i="4" s="1"/>
  <c r="BU12" i="4" s="1"/>
  <c r="BV12" i="4" s="1"/>
  <c r="BW12" i="4" s="1"/>
  <c r="BX12" i="4" s="1"/>
  <c r="BY12" i="4" s="1"/>
  <c r="BZ12" i="4" s="1"/>
  <c r="CA12" i="4" s="1"/>
  <c r="CB12" i="4" s="1"/>
  <c r="CC12" i="4" s="1"/>
  <c r="CD12" i="4" s="1"/>
  <c r="CE12" i="4" s="1"/>
  <c r="CF12" i="4" s="1"/>
  <c r="CG12" i="4" s="1"/>
  <c r="CH12" i="4" s="1"/>
  <c r="CI12" i="4" s="1"/>
  <c r="CJ12" i="4" s="1"/>
  <c r="CK12" i="4" s="1"/>
  <c r="CL12" i="4" s="1"/>
  <c r="CM12" i="4" s="1"/>
  <c r="CN12" i="4" s="1"/>
  <c r="CO12" i="4" s="1"/>
  <c r="CP12" i="4" s="1"/>
  <c r="CQ12" i="4" s="1"/>
  <c r="CR12" i="4" s="1"/>
  <c r="CS12" i="4" s="1"/>
  <c r="CT12" i="4" s="1"/>
  <c r="CU12" i="4" s="1"/>
  <c r="CV12" i="4" s="1"/>
  <c r="CW12" i="4" s="1"/>
  <c r="CX12" i="4" s="1"/>
  <c r="CY12" i="4" s="1"/>
  <c r="CZ12" i="4" s="1"/>
  <c r="DA12" i="4" s="1"/>
  <c r="DB12" i="4" s="1"/>
  <c r="W11" i="4"/>
  <c r="X11" i="4" s="1"/>
  <c r="Y11" i="4" s="1"/>
  <c r="Z11" i="4" s="1"/>
  <c r="AA11" i="4" s="1"/>
  <c r="AB11" i="4" s="1"/>
  <c r="AC11" i="4" s="1"/>
  <c r="AD11" i="4" s="1"/>
  <c r="AE11" i="4" s="1"/>
  <c r="AF11" i="4" s="1"/>
  <c r="AG11" i="4" s="1"/>
  <c r="AH11" i="4" s="1"/>
  <c r="AI11" i="4" s="1"/>
  <c r="AJ11" i="4" s="1"/>
  <c r="AK11" i="4" s="1"/>
  <c r="AL11" i="4" s="1"/>
  <c r="AM11" i="4" s="1"/>
  <c r="AN11" i="4" s="1"/>
  <c r="AO11" i="4" s="1"/>
  <c r="AP11" i="4" s="1"/>
  <c r="AQ11" i="4" s="1"/>
  <c r="AR11" i="4" s="1"/>
  <c r="AS11" i="4" s="1"/>
  <c r="AT11" i="4" s="1"/>
  <c r="AU11" i="4" s="1"/>
  <c r="AV11" i="4" s="1"/>
  <c r="AW11" i="4" s="1"/>
  <c r="AX11" i="4" s="1"/>
  <c r="AY11" i="4" s="1"/>
  <c r="AZ11" i="4" s="1"/>
  <c r="BA11" i="4" s="1"/>
  <c r="BB11" i="4" s="1"/>
  <c r="BC11" i="4" s="1"/>
  <c r="BD11" i="4" s="1"/>
  <c r="BE11" i="4" s="1"/>
  <c r="BF11" i="4" s="1"/>
  <c r="BG11" i="4" s="1"/>
  <c r="BH11" i="4" s="1"/>
  <c r="BI11" i="4" s="1"/>
  <c r="BJ11" i="4" s="1"/>
  <c r="BK11" i="4" s="1"/>
  <c r="BL11" i="4" s="1"/>
  <c r="BM11" i="4" s="1"/>
  <c r="BN11" i="4" s="1"/>
  <c r="BO11" i="4" s="1"/>
  <c r="BP11" i="4" s="1"/>
  <c r="BQ11" i="4" s="1"/>
  <c r="BR11" i="4" s="1"/>
  <c r="BS11" i="4" s="1"/>
  <c r="BT11" i="4" s="1"/>
  <c r="BU11" i="4" s="1"/>
  <c r="BV11" i="4" s="1"/>
  <c r="BW11" i="4" s="1"/>
  <c r="BX11" i="4" s="1"/>
  <c r="BY11" i="4" s="1"/>
  <c r="BZ11" i="4" s="1"/>
  <c r="CA11" i="4" s="1"/>
  <c r="CB11" i="4" s="1"/>
  <c r="CC11" i="4" s="1"/>
  <c r="CD11" i="4" s="1"/>
  <c r="CE11" i="4" s="1"/>
  <c r="CF11" i="4" s="1"/>
  <c r="CG11" i="4" s="1"/>
  <c r="CH11" i="4" s="1"/>
  <c r="CI11" i="4" s="1"/>
  <c r="CJ11" i="4" s="1"/>
  <c r="CK11" i="4" s="1"/>
  <c r="CL11" i="4" s="1"/>
  <c r="CM11" i="4" s="1"/>
  <c r="CN11" i="4" s="1"/>
  <c r="CO11" i="4" s="1"/>
  <c r="CP11" i="4" s="1"/>
  <c r="CQ11" i="4" s="1"/>
  <c r="CR11" i="4" s="1"/>
  <c r="CS11" i="4" s="1"/>
  <c r="CT11" i="4" s="1"/>
  <c r="CU11" i="4" s="1"/>
  <c r="CV11" i="4" s="1"/>
  <c r="CW11" i="4" s="1"/>
  <c r="CX11" i="4" s="1"/>
  <c r="CY11" i="4" s="1"/>
  <c r="CZ11" i="4" s="1"/>
  <c r="DA11" i="4" s="1"/>
  <c r="DB11" i="4" s="1"/>
  <c r="B32" i="2"/>
  <c r="H17" i="9"/>
  <c r="G17" i="9"/>
  <c r="F17" i="9"/>
  <c r="E17" i="9"/>
  <c r="D17" i="9"/>
  <c r="C17" i="9"/>
  <c r="B17" i="9"/>
  <c r="AG22" i="6"/>
  <c r="AF22" i="6"/>
  <c r="AE22" i="6"/>
  <c r="AD22" i="6"/>
  <c r="AC22" i="6"/>
  <c r="AB22" i="6"/>
  <c r="AA22" i="6"/>
  <c r="Z22" i="6"/>
  <c r="Y22" i="6"/>
  <c r="J24" i="33"/>
  <c r="J29" i="33" s="1"/>
  <c r="J30" i="33" s="1"/>
  <c r="I24" i="33"/>
  <c r="I29" i="33" s="1"/>
  <c r="H24" i="33"/>
  <c r="H29" i="33" s="1"/>
  <c r="G24" i="33"/>
  <c r="G29" i="33" s="1"/>
  <c r="F24" i="33"/>
  <c r="F29" i="33" s="1"/>
  <c r="E24" i="33"/>
  <c r="E29" i="33" s="1"/>
  <c r="D24" i="33"/>
  <c r="C24" i="33"/>
  <c r="C29" i="33" s="1"/>
  <c r="B24" i="33"/>
  <c r="B29" i="33" s="1"/>
  <c r="Q13" i="33"/>
  <c r="P13" i="33"/>
  <c r="O13" i="33"/>
  <c r="N13" i="33"/>
  <c r="M13" i="33"/>
  <c r="L13" i="33"/>
  <c r="K13" i="33"/>
  <c r="J13" i="33"/>
  <c r="I13" i="33"/>
  <c r="H13" i="33"/>
  <c r="G13" i="33"/>
  <c r="F13" i="33"/>
  <c r="E13" i="33"/>
  <c r="D13" i="33"/>
  <c r="C13" i="33"/>
  <c r="B13" i="33"/>
  <c r="I12" i="33"/>
  <c r="I15" i="33" s="1"/>
  <c r="H12" i="33"/>
  <c r="H15" i="33" s="1"/>
  <c r="G12" i="33"/>
  <c r="G15" i="33" s="1"/>
  <c r="F12" i="33"/>
  <c r="F15" i="33" s="1"/>
  <c r="E12" i="33"/>
  <c r="E15" i="33" s="1"/>
  <c r="D12" i="33"/>
  <c r="D15" i="33" s="1"/>
  <c r="C12" i="33"/>
  <c r="C15" i="33" s="1"/>
  <c r="B12" i="33"/>
  <c r="H8" i="33"/>
  <c r="G8" i="33"/>
  <c r="F8" i="33"/>
  <c r="E8" i="33"/>
  <c r="D8" i="33"/>
  <c r="C8" i="33"/>
  <c r="B8" i="33"/>
  <c r="H7" i="33"/>
  <c r="G7" i="33"/>
  <c r="F7" i="33"/>
  <c r="E7" i="33"/>
  <c r="D7" i="33"/>
  <c r="C7" i="33"/>
  <c r="B7" i="33"/>
  <c r="H6" i="33"/>
  <c r="G6" i="33"/>
  <c r="F6" i="33"/>
  <c r="E6" i="33"/>
  <c r="D6" i="33"/>
  <c r="C6" i="33"/>
  <c r="B6" i="33"/>
  <c r="I5" i="33"/>
  <c r="H5" i="33"/>
  <c r="G5" i="33"/>
  <c r="F5" i="33"/>
  <c r="E5" i="33"/>
  <c r="D5" i="33"/>
  <c r="C5" i="33"/>
  <c r="J5" i="33" s="1"/>
  <c r="I28" i="33"/>
  <c r="H28" i="33"/>
  <c r="G28" i="33"/>
  <c r="F28" i="33"/>
  <c r="E28" i="33"/>
  <c r="D28" i="33"/>
  <c r="C28" i="33"/>
  <c r="B28" i="33"/>
  <c r="B15" i="33"/>
  <c r="Q11" i="33"/>
  <c r="Q22" i="33" s="1"/>
  <c r="Q27" i="33" s="1"/>
  <c r="P11" i="33"/>
  <c r="P22" i="33" s="1"/>
  <c r="P27" i="33" s="1"/>
  <c r="O11" i="33"/>
  <c r="O22" i="33" s="1"/>
  <c r="O27" i="33" s="1"/>
  <c r="N11" i="33"/>
  <c r="N22" i="33" s="1"/>
  <c r="N27" i="33" s="1"/>
  <c r="M11" i="33"/>
  <c r="M22" i="33" s="1"/>
  <c r="M27" i="33" s="1"/>
  <c r="L11" i="33"/>
  <c r="L22" i="33" s="1"/>
  <c r="L27" i="33" s="1"/>
  <c r="K11" i="33"/>
  <c r="K22" i="33" s="1"/>
  <c r="K27" i="33" s="1"/>
  <c r="J11" i="33"/>
  <c r="J22" i="33" s="1"/>
  <c r="J27" i="33" s="1"/>
  <c r="I11" i="33"/>
  <c r="I22" i="33" s="1"/>
  <c r="I27" i="33" s="1"/>
  <c r="H11" i="33"/>
  <c r="H22" i="33" s="1"/>
  <c r="H27" i="33" s="1"/>
  <c r="G11" i="33"/>
  <c r="G22" i="33" s="1"/>
  <c r="G27" i="33" s="1"/>
  <c r="F11" i="33"/>
  <c r="F22" i="33" s="1"/>
  <c r="F27" i="33" s="1"/>
  <c r="E11" i="33"/>
  <c r="E22" i="33" s="1"/>
  <c r="E27" i="33" s="1"/>
  <c r="D11" i="33"/>
  <c r="D22" i="33" s="1"/>
  <c r="D27" i="33" s="1"/>
  <c r="C11" i="33"/>
  <c r="C22" i="33" s="1"/>
  <c r="C27" i="33" s="1"/>
  <c r="B11" i="33"/>
  <c r="B22" i="33" s="1"/>
  <c r="B27" i="33" s="1"/>
  <c r="B30" i="33" l="1"/>
  <c r="F30" i="33"/>
  <c r="H30" i="33"/>
  <c r="E30" i="33"/>
  <c r="G30" i="33"/>
  <c r="I30" i="33"/>
  <c r="C30" i="33"/>
  <c r="D29" i="33"/>
  <c r="D30" i="33" s="1"/>
  <c r="W24" i="4" l="1"/>
  <c r="X24" i="4" s="1"/>
  <c r="Y24" i="4" s="1"/>
  <c r="Z24" i="4" s="1"/>
  <c r="K2" i="20" l="1"/>
  <c r="J2" i="20"/>
  <c r="I2" i="20"/>
  <c r="H2" i="20"/>
  <c r="G2" i="20"/>
  <c r="F2" i="20"/>
  <c r="E2" i="20"/>
  <c r="D2" i="20"/>
  <c r="B42" i="26" l="1"/>
  <c r="B23" i="25"/>
  <c r="B15" i="25" s="1"/>
  <c r="B17" i="25" s="1"/>
  <c r="B6" i="22" s="1"/>
  <c r="C23" i="25"/>
  <c r="C15" i="25" s="1"/>
  <c r="C17" i="25" s="1"/>
  <c r="C6" i="22" s="1"/>
  <c r="D23" i="25"/>
  <c r="D15" i="25" s="1"/>
  <c r="D17" i="25" s="1"/>
  <c r="D6" i="22" s="1"/>
  <c r="E23" i="25"/>
  <c r="E15" i="25" s="1"/>
  <c r="E17" i="25" s="1"/>
  <c r="E6" i="22" s="1"/>
  <c r="F23" i="25"/>
  <c r="F15" i="25" s="1"/>
  <c r="F17" i="25" s="1"/>
  <c r="F6" i="22" s="1"/>
  <c r="G23" i="25"/>
  <c r="G15" i="25" s="1"/>
  <c r="G17" i="25" s="1"/>
  <c r="H23" i="25"/>
  <c r="H15" i="25" s="1"/>
  <c r="H17" i="25" s="1"/>
  <c r="H6" i="22" s="1"/>
  <c r="I23" i="25"/>
  <c r="I15" i="25" s="1"/>
  <c r="I17" i="25" s="1"/>
  <c r="J23" i="25"/>
  <c r="J15" i="25" s="1"/>
  <c r="J17" i="25" s="1"/>
  <c r="J6" i="22" s="1"/>
  <c r="K23" i="25"/>
  <c r="K15" i="25" s="1"/>
  <c r="K17" i="25" s="1"/>
  <c r="K6" i="22" s="1"/>
  <c r="L23" i="25"/>
  <c r="L15" i="25" s="1"/>
  <c r="L17" i="25" s="1"/>
  <c r="L6" i="22" s="1"/>
  <c r="M23" i="25"/>
  <c r="M15" i="25" s="1"/>
  <c r="M17" i="25" s="1"/>
  <c r="M6" i="22" s="1"/>
  <c r="N23" i="25"/>
  <c r="N15" i="25" s="1"/>
  <c r="N17" i="25" s="1"/>
  <c r="N6" i="22" s="1"/>
  <c r="O23" i="25"/>
  <c r="O15" i="25" s="1"/>
  <c r="O17" i="25" s="1"/>
  <c r="O6" i="22" s="1"/>
  <c r="P23" i="25"/>
  <c r="P15" i="25" s="1"/>
  <c r="P17" i="25" s="1"/>
  <c r="P6" i="22" s="1"/>
  <c r="Q23" i="25"/>
  <c r="Q15" i="25" s="1"/>
  <c r="Q17" i="25" s="1"/>
  <c r="R23" i="25"/>
  <c r="R15" i="25" s="1"/>
  <c r="R17" i="25" s="1"/>
  <c r="R6" i="22" s="1"/>
  <c r="S23" i="25"/>
  <c r="S15" i="25" s="1"/>
  <c r="S17" i="25" s="1"/>
  <c r="S6" i="22" s="1"/>
  <c r="T23" i="25"/>
  <c r="T15" i="25" s="1"/>
  <c r="T17" i="25" s="1"/>
  <c r="T6" i="22" s="1"/>
  <c r="U23" i="25"/>
  <c r="U15" i="25" s="1"/>
  <c r="U17" i="25" s="1"/>
  <c r="U6" i="22" s="1"/>
  <c r="V23" i="25"/>
  <c r="V15" i="25" s="1"/>
  <c r="V17" i="25" s="1"/>
  <c r="V6" i="22" s="1"/>
  <c r="W23" i="25"/>
  <c r="W15" i="25" s="1"/>
  <c r="W17" i="25" s="1"/>
  <c r="X23" i="25"/>
  <c r="X15" i="25" s="1"/>
  <c r="X17" i="25" s="1"/>
  <c r="X6" i="22" s="1"/>
  <c r="Y23" i="25"/>
  <c r="Y15" i="25" s="1"/>
  <c r="Y17" i="25" s="1"/>
  <c r="Z23" i="25"/>
  <c r="Z15" i="25" s="1"/>
  <c r="Z17" i="25" s="1"/>
  <c r="Z6" i="22" s="1"/>
  <c r="AA23" i="25"/>
  <c r="AA15" i="25" s="1"/>
  <c r="AA17" i="25" s="1"/>
  <c r="AA6" i="22" s="1"/>
  <c r="AB23" i="25"/>
  <c r="AB15" i="25" s="1"/>
  <c r="AB17" i="25" s="1"/>
  <c r="AB6" i="22" s="1"/>
  <c r="AC23" i="25"/>
  <c r="AC15" i="25" s="1"/>
  <c r="AC17" i="25" s="1"/>
  <c r="AC6" i="22" s="1"/>
  <c r="AD23" i="25"/>
  <c r="AD15" i="25" s="1"/>
  <c r="AD17" i="25" s="1"/>
  <c r="AD6" i="22" s="1"/>
  <c r="AE23" i="25"/>
  <c r="AE15" i="25" s="1"/>
  <c r="AE17" i="25" s="1"/>
  <c r="AE6" i="22" s="1"/>
  <c r="AF23" i="25"/>
  <c r="AF15" i="25" s="1"/>
  <c r="AF17" i="25" s="1"/>
  <c r="AF6" i="22" s="1"/>
  <c r="AG23" i="25"/>
  <c r="AG15" i="25" s="1"/>
  <c r="AG17" i="25" s="1"/>
  <c r="AH23" i="25"/>
  <c r="AH15" i="25" s="1"/>
  <c r="AH17" i="25" s="1"/>
  <c r="AH6" i="22" s="1"/>
  <c r="AI23" i="25"/>
  <c r="AI15" i="25" s="1"/>
  <c r="AI17" i="25" s="1"/>
  <c r="AI6" i="22" s="1"/>
  <c r="AJ23" i="25"/>
  <c r="AJ15" i="25" s="1"/>
  <c r="AJ17" i="25" s="1"/>
  <c r="AJ6" i="22" s="1"/>
  <c r="AK23" i="25"/>
  <c r="AK15" i="25" s="1"/>
  <c r="AK17" i="25" s="1"/>
  <c r="AK6" i="22" s="1"/>
  <c r="AL23" i="25"/>
  <c r="AL15" i="25" s="1"/>
  <c r="AL17" i="25" s="1"/>
  <c r="AL6" i="22" s="1"/>
  <c r="AM23" i="25"/>
  <c r="AM15" i="25" s="1"/>
  <c r="AM17" i="25" s="1"/>
  <c r="AM6" i="22" s="1"/>
  <c r="AN23" i="25"/>
  <c r="AN15" i="25" s="1"/>
  <c r="AN17" i="25" s="1"/>
  <c r="AN6" i="22" s="1"/>
  <c r="AO23" i="25"/>
  <c r="AO15" i="25" s="1"/>
  <c r="AO17" i="25" s="1"/>
  <c r="AO6" i="22" s="1"/>
  <c r="AP23" i="25"/>
  <c r="AP15" i="25" s="1"/>
  <c r="AP17" i="25" s="1"/>
  <c r="AP6" i="22" s="1"/>
  <c r="AQ23" i="25"/>
  <c r="AQ15" i="25" s="1"/>
  <c r="AQ17" i="25" s="1"/>
  <c r="AQ6" i="22" s="1"/>
  <c r="AR23" i="25"/>
  <c r="AR15" i="25" s="1"/>
  <c r="AR17" i="25" s="1"/>
  <c r="AR6" i="22" s="1"/>
  <c r="AS23" i="25"/>
  <c r="AS15" i="25" s="1"/>
  <c r="AS17" i="25" s="1"/>
  <c r="AS6" i="22" s="1"/>
  <c r="AT23" i="25"/>
  <c r="AT15" i="25" s="1"/>
  <c r="AT17" i="25" s="1"/>
  <c r="AT6" i="22" s="1"/>
  <c r="AU23" i="25"/>
  <c r="AU15" i="25" s="1"/>
  <c r="AU17" i="25" s="1"/>
  <c r="AU6" i="22" s="1"/>
  <c r="AV23" i="25"/>
  <c r="AV15" i="25" s="1"/>
  <c r="AV17" i="25" s="1"/>
  <c r="AV6" i="22" s="1"/>
  <c r="AW23" i="25"/>
  <c r="AW15" i="25" s="1"/>
  <c r="AW17" i="25" s="1"/>
  <c r="AW6" i="22" s="1"/>
  <c r="AX23" i="25"/>
  <c r="AX15" i="25" s="1"/>
  <c r="AX17" i="25" s="1"/>
  <c r="AX6" i="22" s="1"/>
  <c r="AY23" i="25"/>
  <c r="AY15" i="25" s="1"/>
  <c r="AY17" i="25" s="1"/>
  <c r="AY6" i="22" s="1"/>
  <c r="AZ23" i="25"/>
  <c r="AZ15" i="25" s="1"/>
  <c r="AZ17" i="25" s="1"/>
  <c r="AZ6" i="22" s="1"/>
  <c r="BA23" i="25"/>
  <c r="BA15" i="25" s="1"/>
  <c r="BA17" i="25" s="1"/>
  <c r="BA6" i="22" s="1"/>
  <c r="BB23" i="25"/>
  <c r="BB15" i="25" s="1"/>
  <c r="BB17" i="25" s="1"/>
  <c r="BB6" i="22" s="1"/>
  <c r="BC23" i="25"/>
  <c r="BC15" i="25" s="1"/>
  <c r="BC17" i="25" s="1"/>
  <c r="BC6" i="22" s="1"/>
  <c r="BD23" i="25"/>
  <c r="BD15" i="25" s="1"/>
  <c r="BD17" i="25" s="1"/>
  <c r="BD6" i="22" s="1"/>
  <c r="BE23" i="25"/>
  <c r="BE15" i="25" s="1"/>
  <c r="BE17" i="25" s="1"/>
  <c r="BF23" i="25"/>
  <c r="BF15" i="25" s="1"/>
  <c r="BF17" i="25" s="1"/>
  <c r="BF6" i="22" s="1"/>
  <c r="BG23" i="25"/>
  <c r="BG15" i="25" s="1"/>
  <c r="BG17" i="25" s="1"/>
  <c r="BG6" i="22" s="1"/>
  <c r="BH23" i="25"/>
  <c r="BH15" i="25" s="1"/>
  <c r="BH17" i="25" s="1"/>
  <c r="BH6" i="22" s="1"/>
  <c r="BI23" i="25"/>
  <c r="BI15" i="25" s="1"/>
  <c r="BI17" i="25" s="1"/>
  <c r="BI6" i="22" s="1"/>
  <c r="BJ23" i="25"/>
  <c r="BJ15" i="25" s="1"/>
  <c r="BJ17" i="25" s="1"/>
  <c r="BJ6" i="22" s="1"/>
  <c r="BK23" i="25"/>
  <c r="BK15" i="25" s="1"/>
  <c r="BK17" i="25" s="1"/>
  <c r="BK6" i="22" s="1"/>
  <c r="BL23" i="25"/>
  <c r="BL15" i="25" s="1"/>
  <c r="BL17" i="25" s="1"/>
  <c r="BL6" i="22" s="1"/>
  <c r="BM23" i="25"/>
  <c r="BM15" i="25" s="1"/>
  <c r="BM17" i="25" s="1"/>
  <c r="BM6" i="22" s="1"/>
  <c r="BN23" i="25"/>
  <c r="BN15" i="25" s="1"/>
  <c r="BN17" i="25" s="1"/>
  <c r="BN6" i="22" s="1"/>
  <c r="BO23" i="25"/>
  <c r="BO15" i="25" s="1"/>
  <c r="BO17" i="25" s="1"/>
  <c r="BO6" i="22" s="1"/>
  <c r="BP23" i="25"/>
  <c r="BP15" i="25" s="1"/>
  <c r="BP17" i="25" s="1"/>
  <c r="BP6" i="22" s="1"/>
  <c r="BQ23" i="25"/>
  <c r="BQ15" i="25" s="1"/>
  <c r="BQ17" i="25" s="1"/>
  <c r="BQ6" i="22" s="1"/>
  <c r="BR23" i="25"/>
  <c r="BR15" i="25" s="1"/>
  <c r="BR17" i="25" s="1"/>
  <c r="BR6" i="22" s="1"/>
  <c r="BS23" i="25"/>
  <c r="BS15" i="25" s="1"/>
  <c r="BS17" i="25" s="1"/>
  <c r="BS6" i="22" s="1"/>
  <c r="BT23" i="25"/>
  <c r="BT15" i="25" s="1"/>
  <c r="BT17" i="25" s="1"/>
  <c r="BT6" i="22" s="1"/>
  <c r="BU23" i="25"/>
  <c r="BU15" i="25" s="1"/>
  <c r="BU17" i="25" s="1"/>
  <c r="BV23" i="25"/>
  <c r="BV15" i="25" s="1"/>
  <c r="BV17" i="25" s="1"/>
  <c r="BV6" i="22" s="1"/>
  <c r="BW23" i="25"/>
  <c r="BW15" i="25" s="1"/>
  <c r="BW17" i="25" s="1"/>
  <c r="BW6" i="22" s="1"/>
  <c r="BX23" i="25"/>
  <c r="BX15" i="25" s="1"/>
  <c r="BX17" i="25" s="1"/>
  <c r="BX6" i="22" s="1"/>
  <c r="BY23" i="25"/>
  <c r="BY15" i="25" s="1"/>
  <c r="BY17" i="25" s="1"/>
  <c r="BY6" i="22" s="1"/>
  <c r="BZ23" i="25"/>
  <c r="BZ15" i="25" s="1"/>
  <c r="BZ17" i="25" s="1"/>
  <c r="BZ6" i="22" s="1"/>
  <c r="CA23" i="25"/>
  <c r="CA15" i="25" s="1"/>
  <c r="CA17" i="25" s="1"/>
  <c r="CA6" i="22" s="1"/>
  <c r="CB23" i="25"/>
  <c r="CB15" i="25" s="1"/>
  <c r="CB17" i="25" s="1"/>
  <c r="CB6" i="22" s="1"/>
  <c r="CC23" i="25"/>
  <c r="CC15" i="25" s="1"/>
  <c r="CC17" i="25" s="1"/>
  <c r="CC6" i="22" s="1"/>
  <c r="CD23" i="25"/>
  <c r="CD15" i="25" s="1"/>
  <c r="CD17" i="25" s="1"/>
  <c r="CD6" i="22" s="1"/>
  <c r="CE23" i="25"/>
  <c r="CE15" i="25" s="1"/>
  <c r="CE17" i="25" s="1"/>
  <c r="CE6" i="22" s="1"/>
  <c r="CF23" i="25"/>
  <c r="CF15" i="25" s="1"/>
  <c r="CF17" i="25" s="1"/>
  <c r="CF6" i="22" s="1"/>
  <c r="CG23" i="25"/>
  <c r="CG15" i="25" s="1"/>
  <c r="CG17" i="25" s="1"/>
  <c r="CG6" i="22" s="1"/>
  <c r="CH23" i="25"/>
  <c r="CH15" i="25" s="1"/>
  <c r="CH17" i="25" s="1"/>
  <c r="CH6" i="22" s="1"/>
  <c r="CI23" i="25"/>
  <c r="CI15" i="25" s="1"/>
  <c r="CI17" i="25" s="1"/>
  <c r="CI6" i="22" s="1"/>
  <c r="CJ23" i="25"/>
  <c r="CJ15" i="25" s="1"/>
  <c r="CJ17" i="25" s="1"/>
  <c r="CJ6" i="22" s="1"/>
  <c r="CK23" i="25"/>
  <c r="CK15" i="25" s="1"/>
  <c r="CK17" i="25" s="1"/>
  <c r="CL23" i="25"/>
  <c r="CL15" i="25" s="1"/>
  <c r="CL17" i="25" s="1"/>
  <c r="CL6" i="22" s="1"/>
  <c r="CM23" i="25"/>
  <c r="CM15" i="25" s="1"/>
  <c r="CM17" i="25" s="1"/>
  <c r="CM6" i="22" s="1"/>
  <c r="CN23" i="25"/>
  <c r="CN15" i="25" s="1"/>
  <c r="CN17" i="25" s="1"/>
  <c r="CN6" i="22" s="1"/>
  <c r="CO23" i="25"/>
  <c r="CO15" i="25" s="1"/>
  <c r="CO17" i="25" s="1"/>
  <c r="CO6" i="22" s="1"/>
  <c r="CP23" i="25"/>
  <c r="CP15" i="25" s="1"/>
  <c r="CP17" i="25" s="1"/>
  <c r="CP6" i="22" s="1"/>
  <c r="CQ23" i="25"/>
  <c r="CQ15" i="25" s="1"/>
  <c r="CQ17" i="25" s="1"/>
  <c r="CQ6" i="22" s="1"/>
  <c r="CR23" i="25"/>
  <c r="CR15" i="25" s="1"/>
  <c r="CR17" i="25" s="1"/>
  <c r="CR6" i="22" s="1"/>
  <c r="CS23" i="25"/>
  <c r="CS15" i="25" s="1"/>
  <c r="CS17" i="25" s="1"/>
  <c r="CT23" i="25"/>
  <c r="CT15" i="25" s="1"/>
  <c r="CT17" i="25" s="1"/>
  <c r="CT6" i="22" s="1"/>
  <c r="CU23" i="25"/>
  <c r="CU15" i="25" s="1"/>
  <c r="CU17" i="25" s="1"/>
  <c r="CU6" i="22" s="1"/>
  <c r="CV23" i="25"/>
  <c r="CV15" i="25" s="1"/>
  <c r="CV17" i="25" s="1"/>
  <c r="CV6" i="22" s="1"/>
  <c r="CW23" i="25"/>
  <c r="CW15" i="25" s="1"/>
  <c r="CW17" i="25" s="1"/>
  <c r="CW6" i="22" s="1"/>
  <c r="CX23" i="25"/>
  <c r="CX15" i="25" s="1"/>
  <c r="CX17" i="25" s="1"/>
  <c r="CX6" i="22" s="1"/>
  <c r="CY23" i="25"/>
  <c r="CY15" i="25" s="1"/>
  <c r="CY17" i="25" s="1"/>
  <c r="CY6" i="22" s="1"/>
  <c r="CZ6" i="22" s="1"/>
  <c r="DA6" i="22" s="1"/>
  <c r="DB6" i="22" s="1"/>
  <c r="DC6" i="22" s="1"/>
  <c r="DD6" i="22" s="1"/>
  <c r="DE6" i="22" s="1"/>
  <c r="B24" i="25"/>
  <c r="B25" i="25" s="1"/>
  <c r="C24" i="25"/>
  <c r="C25" i="25" s="1"/>
  <c r="D24" i="25"/>
  <c r="E24" i="25"/>
  <c r="E25" i="25" s="1"/>
  <c r="F24" i="25"/>
  <c r="F25" i="25" s="1"/>
  <c r="G24" i="25"/>
  <c r="G25" i="25" s="1"/>
  <c r="H24" i="25"/>
  <c r="H25" i="25" s="1"/>
  <c r="I24" i="25"/>
  <c r="J24" i="25"/>
  <c r="J25" i="25" s="1"/>
  <c r="K24" i="25"/>
  <c r="K25" i="25" s="1"/>
  <c r="L24" i="25"/>
  <c r="L25" i="25" s="1"/>
  <c r="M24" i="25"/>
  <c r="N24" i="25"/>
  <c r="N25" i="25" s="1"/>
  <c r="L8" i="5" s="1"/>
  <c r="O24" i="25"/>
  <c r="O25" i="25" s="1"/>
  <c r="M8" i="5" s="1"/>
  <c r="P24" i="25"/>
  <c r="P25" i="25" s="1"/>
  <c r="N8" i="5" s="1"/>
  <c r="Q24" i="25"/>
  <c r="R24" i="25"/>
  <c r="R25" i="25" s="1"/>
  <c r="P8" i="5" s="1"/>
  <c r="S24" i="25"/>
  <c r="S25" i="25" s="1"/>
  <c r="Q8" i="5" s="1"/>
  <c r="T24" i="25"/>
  <c r="T25" i="25" s="1"/>
  <c r="R8" i="5" s="1"/>
  <c r="U24" i="25"/>
  <c r="U25" i="25" s="1"/>
  <c r="S8" i="5" s="1"/>
  <c r="V24" i="25"/>
  <c r="V25" i="25" s="1"/>
  <c r="T8" i="5" s="1"/>
  <c r="W24" i="25"/>
  <c r="W25" i="25" s="1"/>
  <c r="U8" i="5" s="1"/>
  <c r="X24" i="25"/>
  <c r="X25" i="25" s="1"/>
  <c r="V8" i="5" s="1"/>
  <c r="Y24" i="25"/>
  <c r="Z24" i="25"/>
  <c r="Z25" i="25" s="1"/>
  <c r="X8" i="5" s="1"/>
  <c r="W8" i="6" s="1"/>
  <c r="AA24" i="25"/>
  <c r="AA25" i="25" s="1"/>
  <c r="Y8" i="5" s="1"/>
  <c r="X8" i="6" s="1"/>
  <c r="AB24" i="25"/>
  <c r="AB25" i="25" s="1"/>
  <c r="Z8" i="5" s="1"/>
  <c r="AC24" i="25"/>
  <c r="AD24" i="25"/>
  <c r="AD25" i="25" s="1"/>
  <c r="AB8" i="5" s="1"/>
  <c r="AE24" i="25"/>
  <c r="AE25" i="25" s="1"/>
  <c r="AC8" i="5" s="1"/>
  <c r="AF24" i="25"/>
  <c r="AF25" i="25" s="1"/>
  <c r="AD8" i="5" s="1"/>
  <c r="AG24" i="25"/>
  <c r="AH24" i="25"/>
  <c r="AH25" i="25" s="1"/>
  <c r="AF8" i="5" s="1"/>
  <c r="AI24" i="25"/>
  <c r="AI25" i="25" s="1"/>
  <c r="AG8" i="5" s="1"/>
  <c r="AJ24" i="25"/>
  <c r="AJ25" i="25" s="1"/>
  <c r="AH8" i="5" s="1"/>
  <c r="AK24" i="25"/>
  <c r="AK25" i="25" s="1"/>
  <c r="AI8" i="5" s="1"/>
  <c r="AL24" i="25"/>
  <c r="AL25" i="25" s="1"/>
  <c r="AJ8" i="5" s="1"/>
  <c r="AM24" i="25"/>
  <c r="AM25" i="25" s="1"/>
  <c r="AK8" i="5" s="1"/>
  <c r="AN24" i="25"/>
  <c r="AN25" i="25" s="1"/>
  <c r="AL8" i="5" s="1"/>
  <c r="AO24" i="25"/>
  <c r="AP24" i="25"/>
  <c r="AP25" i="25" s="1"/>
  <c r="AN8" i="5" s="1"/>
  <c r="AQ24" i="25"/>
  <c r="AQ25" i="25" s="1"/>
  <c r="AO8" i="5" s="1"/>
  <c r="AR24" i="25"/>
  <c r="AR25" i="25" s="1"/>
  <c r="AP8" i="5" s="1"/>
  <c r="AS24" i="25"/>
  <c r="AT24" i="25"/>
  <c r="AT25" i="25" s="1"/>
  <c r="AR8" i="5" s="1"/>
  <c r="AU24" i="25"/>
  <c r="AU25" i="25" s="1"/>
  <c r="AS8" i="5" s="1"/>
  <c r="AV24" i="25"/>
  <c r="AV25" i="25" s="1"/>
  <c r="AT8" i="5" s="1"/>
  <c r="AW24" i="25"/>
  <c r="AX24" i="25"/>
  <c r="AX25" i="25" s="1"/>
  <c r="AV8" i="5" s="1"/>
  <c r="AY24" i="25"/>
  <c r="AY25" i="25" s="1"/>
  <c r="AW8" i="5" s="1"/>
  <c r="AZ24" i="25"/>
  <c r="AZ25" i="25" s="1"/>
  <c r="AX8" i="5" s="1"/>
  <c r="BA24" i="25"/>
  <c r="BA25" i="25" s="1"/>
  <c r="AY8" i="5" s="1"/>
  <c r="BB24" i="25"/>
  <c r="BB25" i="25" s="1"/>
  <c r="AZ8" i="5" s="1"/>
  <c r="BC24" i="25"/>
  <c r="BC25" i="25" s="1"/>
  <c r="BA8" i="5" s="1"/>
  <c r="BD24" i="25"/>
  <c r="BD25" i="25" s="1"/>
  <c r="BB8" i="5" s="1"/>
  <c r="BE24" i="25"/>
  <c r="BF24" i="25"/>
  <c r="BF25" i="25" s="1"/>
  <c r="BD8" i="5" s="1"/>
  <c r="BG24" i="25"/>
  <c r="BG25" i="25" s="1"/>
  <c r="BE8" i="5" s="1"/>
  <c r="BH24" i="25"/>
  <c r="BH25" i="25" s="1"/>
  <c r="BF8" i="5" s="1"/>
  <c r="BI24" i="25"/>
  <c r="BJ24" i="25"/>
  <c r="BJ25" i="25" s="1"/>
  <c r="BH8" i="5" s="1"/>
  <c r="BK24" i="25"/>
  <c r="BK25" i="25" s="1"/>
  <c r="BI8" i="5" s="1"/>
  <c r="BL24" i="25"/>
  <c r="BL25" i="25" s="1"/>
  <c r="BJ8" i="5" s="1"/>
  <c r="BM24" i="25"/>
  <c r="BN24" i="25"/>
  <c r="BN25" i="25" s="1"/>
  <c r="BL8" i="5" s="1"/>
  <c r="BO24" i="25"/>
  <c r="BO25" i="25" s="1"/>
  <c r="BM8" i="5" s="1"/>
  <c r="BP24" i="25"/>
  <c r="BP25" i="25" s="1"/>
  <c r="BN8" i="5" s="1"/>
  <c r="BQ24" i="25"/>
  <c r="BQ25" i="25" s="1"/>
  <c r="BO8" i="5" s="1"/>
  <c r="BR24" i="25"/>
  <c r="BR25" i="25" s="1"/>
  <c r="BP8" i="5" s="1"/>
  <c r="BS24" i="25"/>
  <c r="BS25" i="25" s="1"/>
  <c r="BQ8" i="5" s="1"/>
  <c r="BT24" i="25"/>
  <c r="BT25" i="25" s="1"/>
  <c r="BR8" i="5" s="1"/>
  <c r="BU24" i="25"/>
  <c r="BV24" i="25"/>
  <c r="BV25" i="25" s="1"/>
  <c r="BT8" i="5" s="1"/>
  <c r="BW24" i="25"/>
  <c r="BW25" i="25" s="1"/>
  <c r="BU8" i="5" s="1"/>
  <c r="BX24" i="25"/>
  <c r="BX25" i="25" s="1"/>
  <c r="BV8" i="5" s="1"/>
  <c r="BY24" i="25"/>
  <c r="BZ24" i="25"/>
  <c r="BZ25" i="25" s="1"/>
  <c r="BX8" i="5" s="1"/>
  <c r="CA24" i="25"/>
  <c r="CB24" i="25"/>
  <c r="CB25" i="25" s="1"/>
  <c r="BZ8" i="5" s="1"/>
  <c r="CC24" i="25"/>
  <c r="CD24" i="25"/>
  <c r="CD25" i="25" s="1"/>
  <c r="CB8" i="5" s="1"/>
  <c r="CE24" i="25"/>
  <c r="CE25" i="25" s="1"/>
  <c r="CC8" i="5" s="1"/>
  <c r="CF24" i="25"/>
  <c r="CF25" i="25" s="1"/>
  <c r="CD8" i="5" s="1"/>
  <c r="CG24" i="25"/>
  <c r="CH24" i="25"/>
  <c r="CH25" i="25" s="1"/>
  <c r="CF8" i="5" s="1"/>
  <c r="CI24" i="25"/>
  <c r="CI25" i="25" s="1"/>
  <c r="CG8" i="5" s="1"/>
  <c r="CJ24" i="25"/>
  <c r="CJ25" i="25" s="1"/>
  <c r="CH8" i="5" s="1"/>
  <c r="CK24" i="25"/>
  <c r="CL24" i="25"/>
  <c r="CL25" i="25" s="1"/>
  <c r="CJ8" i="5" s="1"/>
  <c r="CM24" i="25"/>
  <c r="CM25" i="25" s="1"/>
  <c r="CK8" i="5" s="1"/>
  <c r="CN24" i="25"/>
  <c r="CN25" i="25" s="1"/>
  <c r="CL8" i="5" s="1"/>
  <c r="CO24" i="25"/>
  <c r="CP24" i="25"/>
  <c r="CP25" i="25" s="1"/>
  <c r="CN8" i="5" s="1"/>
  <c r="CQ24" i="25"/>
  <c r="CQ25" i="25" s="1"/>
  <c r="CO8" i="5" s="1"/>
  <c r="CR24" i="25"/>
  <c r="CR25" i="25" s="1"/>
  <c r="CP8" i="5" s="1"/>
  <c r="CS24" i="25"/>
  <c r="CT24" i="25"/>
  <c r="CT25" i="25" s="1"/>
  <c r="CR8" i="5" s="1"/>
  <c r="CU24" i="25"/>
  <c r="CU25" i="25" s="1"/>
  <c r="CS8" i="5" s="1"/>
  <c r="CV24" i="25"/>
  <c r="CV25" i="25" s="1"/>
  <c r="CT8" i="5" s="1"/>
  <c r="CW24" i="25"/>
  <c r="CW25" i="25" s="1"/>
  <c r="CU8" i="5" s="1"/>
  <c r="CX24" i="25"/>
  <c r="CX25" i="25" s="1"/>
  <c r="CV8" i="5" s="1"/>
  <c r="CY24" i="25"/>
  <c r="CY25" i="25" s="1"/>
  <c r="CW8" i="5" s="1"/>
  <c r="D25" i="25"/>
  <c r="I25" i="25"/>
  <c r="M25" i="25"/>
  <c r="Q25" i="25"/>
  <c r="O8" i="5" s="1"/>
  <c r="Y25" i="25"/>
  <c r="W8" i="5" s="1"/>
  <c r="V8" i="6" s="1"/>
  <c r="AC25" i="25"/>
  <c r="AA8" i="5" s="1"/>
  <c r="AG25" i="25"/>
  <c r="AE8" i="5" s="1"/>
  <c r="AO25" i="25"/>
  <c r="AM8" i="5" s="1"/>
  <c r="AS25" i="25"/>
  <c r="AQ8" i="5" s="1"/>
  <c r="AW25" i="25"/>
  <c r="AU8" i="5" s="1"/>
  <c r="BE25" i="25"/>
  <c r="BC8" i="5" s="1"/>
  <c r="BI25" i="25"/>
  <c r="BG8" i="5" s="1"/>
  <c r="BM25" i="25"/>
  <c r="BK8" i="5" s="1"/>
  <c r="BU25" i="25"/>
  <c r="BS8" i="5" s="1"/>
  <c r="BY25" i="25"/>
  <c r="BW8" i="5" s="1"/>
  <c r="CA25" i="25"/>
  <c r="BY8" i="5" s="1"/>
  <c r="CC25" i="25"/>
  <c r="CA8" i="5" s="1"/>
  <c r="CG25" i="25"/>
  <c r="CE8" i="5" s="1"/>
  <c r="CK25" i="25"/>
  <c r="CI8" i="5" s="1"/>
  <c r="CO25" i="25"/>
  <c r="CM8" i="5" s="1"/>
  <c r="CS25" i="25"/>
  <c r="CQ8" i="5" s="1"/>
  <c r="B2" i="24"/>
  <c r="B26" i="24" s="1"/>
  <c r="B35" i="24" s="1"/>
  <c r="C2" i="24"/>
  <c r="C26" i="24" s="1"/>
  <c r="C35" i="24" s="1"/>
  <c r="D2" i="24"/>
  <c r="D26" i="24" s="1"/>
  <c r="D35" i="24" s="1"/>
  <c r="E2" i="24"/>
  <c r="E16" i="24" s="1"/>
  <c r="F2" i="24"/>
  <c r="F16" i="24" s="1"/>
  <c r="G2" i="24"/>
  <c r="G26" i="24" s="1"/>
  <c r="G35" i="24" s="1"/>
  <c r="H2" i="24"/>
  <c r="H16" i="24" s="1"/>
  <c r="I2" i="24"/>
  <c r="I26" i="24" s="1"/>
  <c r="I35" i="24" s="1"/>
  <c r="J2" i="24"/>
  <c r="K2" i="24"/>
  <c r="K16" i="24" s="1"/>
  <c r="L2" i="24"/>
  <c r="L16" i="24" s="1"/>
  <c r="M2" i="24"/>
  <c r="M16" i="24" s="1"/>
  <c r="N2" i="24"/>
  <c r="N16" i="24" s="1"/>
  <c r="O2" i="24"/>
  <c r="O26" i="24" s="1"/>
  <c r="O35" i="24" s="1"/>
  <c r="P2" i="24"/>
  <c r="P26" i="24" s="1"/>
  <c r="P35" i="24" s="1"/>
  <c r="Q2" i="24"/>
  <c r="Q26" i="24" s="1"/>
  <c r="Q35" i="24" s="1"/>
  <c r="R2" i="24"/>
  <c r="S2" i="24"/>
  <c r="S26" i="24" s="1"/>
  <c r="S35" i="24" s="1"/>
  <c r="T2" i="24"/>
  <c r="T16" i="24" s="1"/>
  <c r="U2" i="24"/>
  <c r="U16" i="24" s="1"/>
  <c r="V2" i="24"/>
  <c r="V16" i="24" s="1"/>
  <c r="W2" i="24"/>
  <c r="W26" i="24" s="1"/>
  <c r="W35" i="24" s="1"/>
  <c r="X2" i="24"/>
  <c r="Y2" i="24"/>
  <c r="Y26" i="24" s="1"/>
  <c r="Y35" i="24" s="1"/>
  <c r="Z2" i="24"/>
  <c r="Z16" i="24" s="1"/>
  <c r="AA2" i="24"/>
  <c r="AA16" i="24" s="1"/>
  <c r="AB2" i="24"/>
  <c r="AB26" i="24" s="1"/>
  <c r="AB35" i="24" s="1"/>
  <c r="AC2" i="24"/>
  <c r="AC16" i="24" s="1"/>
  <c r="AD2" i="24"/>
  <c r="AD16" i="24" s="1"/>
  <c r="AE2" i="24"/>
  <c r="AE26" i="24" s="1"/>
  <c r="AE35" i="24" s="1"/>
  <c r="AF2" i="24"/>
  <c r="AF16" i="24" s="1"/>
  <c r="AG2" i="24"/>
  <c r="AG26" i="24" s="1"/>
  <c r="AG35" i="24" s="1"/>
  <c r="AH2" i="24"/>
  <c r="AH16" i="24" s="1"/>
  <c r="AI2" i="24"/>
  <c r="AI26" i="24" s="1"/>
  <c r="AI35" i="24" s="1"/>
  <c r="AJ2" i="24"/>
  <c r="AJ26" i="24" s="1"/>
  <c r="AJ35" i="24" s="1"/>
  <c r="AK2" i="24"/>
  <c r="AK16" i="24" s="1"/>
  <c r="AL2" i="24"/>
  <c r="AM2" i="24"/>
  <c r="AM26" i="24" s="1"/>
  <c r="AM35" i="24" s="1"/>
  <c r="AN2" i="24"/>
  <c r="AN26" i="24" s="1"/>
  <c r="AN35" i="24" s="1"/>
  <c r="AO2" i="24"/>
  <c r="AO26" i="24" s="1"/>
  <c r="AO35" i="24" s="1"/>
  <c r="AP2" i="24"/>
  <c r="AP26" i="24" s="1"/>
  <c r="AP35" i="24" s="1"/>
  <c r="AQ2" i="24"/>
  <c r="AQ16" i="24" s="1"/>
  <c r="AR2" i="24"/>
  <c r="AR26" i="24" s="1"/>
  <c r="AR35" i="24" s="1"/>
  <c r="AS2" i="24"/>
  <c r="AS16" i="24" s="1"/>
  <c r="AT2" i="24"/>
  <c r="AT16" i="24" s="1"/>
  <c r="AU2" i="24"/>
  <c r="AV2" i="24"/>
  <c r="AV16" i="24" s="1"/>
  <c r="AW2" i="24"/>
  <c r="AW26" i="24" s="1"/>
  <c r="AW35" i="24" s="1"/>
  <c r="AX2" i="24"/>
  <c r="AY2" i="24"/>
  <c r="AY16" i="24" s="1"/>
  <c r="AZ2" i="24"/>
  <c r="AZ26" i="24" s="1"/>
  <c r="AZ35" i="24" s="1"/>
  <c r="BA2" i="24"/>
  <c r="BA16" i="24" s="1"/>
  <c r="BB2" i="24"/>
  <c r="BB16" i="24" s="1"/>
  <c r="BC2" i="24"/>
  <c r="BC26" i="24" s="1"/>
  <c r="BC35" i="24" s="1"/>
  <c r="BD2" i="24"/>
  <c r="BD26" i="24" s="1"/>
  <c r="BD35" i="24" s="1"/>
  <c r="BE2" i="24"/>
  <c r="BE26" i="24" s="1"/>
  <c r="BE35" i="24" s="1"/>
  <c r="BF2" i="24"/>
  <c r="BF16" i="24" s="1"/>
  <c r="BG2" i="24"/>
  <c r="BG16" i="24" s="1"/>
  <c r="BH2" i="24"/>
  <c r="BH16" i="24" s="1"/>
  <c r="BI2" i="24"/>
  <c r="BI16" i="24" s="1"/>
  <c r="BJ2" i="24"/>
  <c r="BJ16" i="24" s="1"/>
  <c r="BK2" i="24"/>
  <c r="BK26" i="24" s="1"/>
  <c r="BK35" i="24" s="1"/>
  <c r="BL2" i="24"/>
  <c r="BM2" i="24"/>
  <c r="BM26" i="24" s="1"/>
  <c r="BM35" i="24" s="1"/>
  <c r="BN2" i="24"/>
  <c r="BN26" i="24" s="1"/>
  <c r="BN35" i="24" s="1"/>
  <c r="BO2" i="24"/>
  <c r="BO16" i="24" s="1"/>
  <c r="BP2" i="24"/>
  <c r="BP16" i="24" s="1"/>
  <c r="BQ2" i="24"/>
  <c r="BQ16" i="24" s="1"/>
  <c r="BR2" i="24"/>
  <c r="BR16" i="24" s="1"/>
  <c r="BS2" i="24"/>
  <c r="BS26" i="24" s="1"/>
  <c r="BS35" i="24" s="1"/>
  <c r="BT2" i="24"/>
  <c r="BT26" i="24" s="1"/>
  <c r="BT35" i="24" s="1"/>
  <c r="BU2" i="24"/>
  <c r="BU26" i="24" s="1"/>
  <c r="BU35" i="24" s="1"/>
  <c r="BV2" i="24"/>
  <c r="BW2" i="24"/>
  <c r="BW26" i="24" s="1"/>
  <c r="BW35" i="24" s="1"/>
  <c r="BX2" i="24"/>
  <c r="BX26" i="24" s="1"/>
  <c r="BX35" i="24" s="1"/>
  <c r="BY2" i="24"/>
  <c r="BY16" i="24" s="1"/>
  <c r="BZ2" i="24"/>
  <c r="BZ16" i="24" s="1"/>
  <c r="CA2" i="24"/>
  <c r="CA26" i="24" s="1"/>
  <c r="CA35" i="24" s="1"/>
  <c r="CB2" i="24"/>
  <c r="CB26" i="24" s="1"/>
  <c r="CB35" i="24" s="1"/>
  <c r="CC2" i="24"/>
  <c r="CC26" i="24" s="1"/>
  <c r="CC35" i="24" s="1"/>
  <c r="CD2" i="24"/>
  <c r="CE2" i="24"/>
  <c r="CE26" i="24" s="1"/>
  <c r="CE35" i="24" s="1"/>
  <c r="CF2" i="24"/>
  <c r="CF26" i="24" s="1"/>
  <c r="CF35" i="24" s="1"/>
  <c r="CG2" i="24"/>
  <c r="CG16" i="24" s="1"/>
  <c r="CH2" i="24"/>
  <c r="CH16" i="24" s="1"/>
  <c r="CI2" i="24"/>
  <c r="CI26" i="24" s="1"/>
  <c r="CI35" i="24" s="1"/>
  <c r="CJ2" i="24"/>
  <c r="CK2" i="24"/>
  <c r="CK26" i="24" s="1"/>
  <c r="CK35" i="24" s="1"/>
  <c r="CL2" i="24"/>
  <c r="CL26" i="24" s="1"/>
  <c r="CL35" i="24" s="1"/>
  <c r="CM2" i="24"/>
  <c r="CM16" i="24" s="1"/>
  <c r="CN2" i="24"/>
  <c r="CN16" i="24" s="1"/>
  <c r="CO2" i="24"/>
  <c r="CO16" i="24" s="1"/>
  <c r="CP2" i="24"/>
  <c r="CP16" i="24" s="1"/>
  <c r="CQ2" i="24"/>
  <c r="CQ26" i="24" s="1"/>
  <c r="CQ35" i="24" s="1"/>
  <c r="CR2" i="24"/>
  <c r="CR16" i="24" s="1"/>
  <c r="CS2" i="24"/>
  <c r="CS26" i="24" s="1"/>
  <c r="CS35" i="24" s="1"/>
  <c r="CT2" i="24"/>
  <c r="CT16" i="24" s="1"/>
  <c r="CU2" i="24"/>
  <c r="CU16" i="24" s="1"/>
  <c r="CV2" i="24"/>
  <c r="CV16" i="24" s="1"/>
  <c r="CW2" i="24"/>
  <c r="CW16" i="24" s="1"/>
  <c r="CX2" i="24"/>
  <c r="CY2" i="24"/>
  <c r="CY26" i="24" s="1"/>
  <c r="CY35" i="24" s="1"/>
  <c r="B14" i="24"/>
  <c r="C14" i="24"/>
  <c r="C4" i="22" s="1"/>
  <c r="D14" i="24"/>
  <c r="E14" i="24"/>
  <c r="F14" i="24"/>
  <c r="G14" i="24"/>
  <c r="G4" i="22" s="1"/>
  <c r="H14" i="24"/>
  <c r="H4" i="22" s="1"/>
  <c r="I14" i="24"/>
  <c r="I4" i="22" s="1"/>
  <c r="J14" i="24"/>
  <c r="J4" i="22" s="1"/>
  <c r="K14" i="24"/>
  <c r="K4" i="22" s="1"/>
  <c r="L14" i="24"/>
  <c r="M14" i="24"/>
  <c r="N14" i="24"/>
  <c r="N4" i="22" s="1"/>
  <c r="O14" i="24"/>
  <c r="O4" i="22" s="1"/>
  <c r="P14" i="24"/>
  <c r="P4" i="22" s="1"/>
  <c r="Q14" i="24"/>
  <c r="Q4" i="22" s="1"/>
  <c r="R14" i="24"/>
  <c r="R4" i="22" s="1"/>
  <c r="S14" i="24"/>
  <c r="S4" i="22" s="1"/>
  <c r="T14" i="24"/>
  <c r="U14" i="24"/>
  <c r="V14" i="24"/>
  <c r="V4" i="22" s="1"/>
  <c r="W14" i="24"/>
  <c r="W4" i="22" s="1"/>
  <c r="X14" i="24"/>
  <c r="X4" i="22" s="1"/>
  <c r="Y14" i="24"/>
  <c r="Z14" i="24"/>
  <c r="Z4" i="22" s="1"/>
  <c r="AA14" i="24"/>
  <c r="AA4" i="22" s="1"/>
  <c r="AB14" i="24"/>
  <c r="AC14" i="24"/>
  <c r="AD14" i="24"/>
  <c r="AD4" i="22" s="1"/>
  <c r="AE14" i="24"/>
  <c r="AF14" i="24"/>
  <c r="AF4" i="22" s="1"/>
  <c r="AG14" i="24"/>
  <c r="AH14" i="24"/>
  <c r="AH4" i="22" s="1"/>
  <c r="AI14" i="24"/>
  <c r="AI4" i="22" s="1"/>
  <c r="AJ14" i="24"/>
  <c r="AK14" i="24"/>
  <c r="AL14" i="24"/>
  <c r="AL4" i="22" s="1"/>
  <c r="AM14" i="24"/>
  <c r="AM4" i="22" s="1"/>
  <c r="AN14" i="24"/>
  <c r="AN4" i="22" s="1"/>
  <c r="AO14" i="24"/>
  <c r="AO4" i="22" s="1"/>
  <c r="AP14" i="24"/>
  <c r="AQ14" i="24"/>
  <c r="AQ4" i="22" s="1"/>
  <c r="AR14" i="24"/>
  <c r="AS14" i="24"/>
  <c r="AT14" i="24"/>
  <c r="AT4" i="22" s="1"/>
  <c r="AU14" i="24"/>
  <c r="AU4" i="22" s="1"/>
  <c r="AV14" i="24"/>
  <c r="AV4" i="22" s="1"/>
  <c r="AW14" i="24"/>
  <c r="AW4" i="22" s="1"/>
  <c r="AX14" i="24"/>
  <c r="AX4" i="22" s="1"/>
  <c r="AY14" i="24"/>
  <c r="AY4" i="22" s="1"/>
  <c r="AZ14" i="24"/>
  <c r="BA14" i="24"/>
  <c r="BB14" i="24"/>
  <c r="BB4" i="22" s="1"/>
  <c r="BC14" i="24"/>
  <c r="BC4" i="22" s="1"/>
  <c r="BD14" i="24"/>
  <c r="BD4" i="22" s="1"/>
  <c r="BE14" i="24"/>
  <c r="BE4" i="22" s="1"/>
  <c r="BF14" i="24"/>
  <c r="BF4" i="22" s="1"/>
  <c r="BG14" i="24"/>
  <c r="BG4" i="22" s="1"/>
  <c r="BH14" i="24"/>
  <c r="BI14" i="24"/>
  <c r="BJ14" i="24"/>
  <c r="BJ4" i="22" s="1"/>
  <c r="BK14" i="24"/>
  <c r="BK4" i="22" s="1"/>
  <c r="BL14" i="24"/>
  <c r="BL4" i="22" s="1"/>
  <c r="BM14" i="24"/>
  <c r="BM4" i="22" s="1"/>
  <c r="BN14" i="24"/>
  <c r="BO14" i="24"/>
  <c r="BO4" i="22" s="1"/>
  <c r="BP14" i="24"/>
  <c r="BQ14" i="24"/>
  <c r="BR14" i="24"/>
  <c r="BS14" i="24"/>
  <c r="BS4" i="22" s="1"/>
  <c r="BT14" i="24"/>
  <c r="BT4" i="22" s="1"/>
  <c r="BU14" i="24"/>
  <c r="BU4" i="22" s="1"/>
  <c r="BV14" i="24"/>
  <c r="BV4" i="22" s="1"/>
  <c r="BW14" i="24"/>
  <c r="BW4" i="22" s="1"/>
  <c r="BX14" i="24"/>
  <c r="BY14" i="24"/>
  <c r="BZ14" i="24"/>
  <c r="BZ4" i="22" s="1"/>
  <c r="CA14" i="24"/>
  <c r="CA4" i="22" s="1"/>
  <c r="CB14" i="24"/>
  <c r="CB4" i="22" s="1"/>
  <c r="CC14" i="24"/>
  <c r="CC4" i="22" s="1"/>
  <c r="CD14" i="24"/>
  <c r="CD4" i="22" s="1"/>
  <c r="CE14" i="24"/>
  <c r="CE4" i="22" s="1"/>
  <c r="CF14" i="24"/>
  <c r="CG14" i="24"/>
  <c r="CH14" i="24"/>
  <c r="CH4" i="22" s="1"/>
  <c r="CI14" i="24"/>
  <c r="CJ14" i="24"/>
  <c r="CJ4" i="22" s="1"/>
  <c r="CK14" i="24"/>
  <c r="CL14" i="24"/>
  <c r="CL4" i="22" s="1"/>
  <c r="CM14" i="24"/>
  <c r="CM4" i="22" s="1"/>
  <c r="CN14" i="24"/>
  <c r="CO14" i="24"/>
  <c r="CP14" i="24"/>
  <c r="CQ14" i="24"/>
  <c r="CQ4" i="22" s="1"/>
  <c r="CR14" i="24"/>
  <c r="CR4" i="22" s="1"/>
  <c r="CS14" i="24"/>
  <c r="CT14" i="24"/>
  <c r="CU14" i="24"/>
  <c r="CU4" i="22" s="1"/>
  <c r="CV14" i="24"/>
  <c r="CW14" i="24"/>
  <c r="CX14" i="24"/>
  <c r="CY14" i="24"/>
  <c r="CY4" i="22" s="1"/>
  <c r="CZ4" i="22" s="1"/>
  <c r="DA4" i="22" s="1"/>
  <c r="DB4" i="22" s="1"/>
  <c r="DC4" i="22" s="1"/>
  <c r="DD4" i="22" s="1"/>
  <c r="DE4" i="22" s="1"/>
  <c r="O16" i="24"/>
  <c r="AB16" i="24"/>
  <c r="B24" i="24"/>
  <c r="C24" i="24"/>
  <c r="D24" i="24"/>
  <c r="E24" i="24"/>
  <c r="F24" i="24"/>
  <c r="G24" i="24"/>
  <c r="H24" i="24"/>
  <c r="I24" i="24"/>
  <c r="J24" i="24"/>
  <c r="K24" i="24"/>
  <c r="L24" i="24"/>
  <c r="M24" i="24"/>
  <c r="N24" i="24"/>
  <c r="O24" i="24"/>
  <c r="P24" i="24"/>
  <c r="Q24" i="24"/>
  <c r="R24" i="24"/>
  <c r="S24" i="24"/>
  <c r="T24" i="24"/>
  <c r="U24" i="24"/>
  <c r="V24" i="24"/>
  <c r="W24" i="24"/>
  <c r="X24" i="24"/>
  <c r="Y24" i="24"/>
  <c r="Z24" i="24"/>
  <c r="AA24" i="24"/>
  <c r="AB24" i="24"/>
  <c r="AC24" i="24"/>
  <c r="AD24" i="24"/>
  <c r="AE24" i="24"/>
  <c r="AF24" i="24"/>
  <c r="AG24" i="24"/>
  <c r="AH24" i="24"/>
  <c r="AI24" i="24"/>
  <c r="AJ24" i="24"/>
  <c r="AK24" i="24"/>
  <c r="AL24" i="24"/>
  <c r="AM24" i="24"/>
  <c r="AN24" i="24"/>
  <c r="AO24" i="24"/>
  <c r="AP24" i="24"/>
  <c r="AQ24" i="24"/>
  <c r="AR24" i="24"/>
  <c r="AS24" i="24"/>
  <c r="AT24" i="24"/>
  <c r="AU24" i="24"/>
  <c r="AV24" i="24"/>
  <c r="AW24" i="24"/>
  <c r="AX24" i="24"/>
  <c r="AY24" i="24"/>
  <c r="AZ24" i="24"/>
  <c r="BA24" i="24"/>
  <c r="BB24" i="24"/>
  <c r="BC24" i="24"/>
  <c r="BD24" i="24"/>
  <c r="BE24" i="24"/>
  <c r="BF24" i="24"/>
  <c r="BG24" i="24"/>
  <c r="BH24" i="24"/>
  <c r="BI24" i="24"/>
  <c r="BJ24" i="24"/>
  <c r="BK24" i="24"/>
  <c r="BL24" i="24"/>
  <c r="BM24" i="24"/>
  <c r="BN24" i="24"/>
  <c r="BO24" i="24"/>
  <c r="BP24" i="24"/>
  <c r="BQ24" i="24"/>
  <c r="BR24" i="24"/>
  <c r="BS24" i="24"/>
  <c r="BT24" i="24"/>
  <c r="BU24" i="24"/>
  <c r="BV24" i="24"/>
  <c r="BW24" i="24"/>
  <c r="BX24" i="24"/>
  <c r="BY24" i="24"/>
  <c r="BZ24" i="24"/>
  <c r="CA24" i="24"/>
  <c r="CB24" i="24"/>
  <c r="CC24" i="24"/>
  <c r="CD24" i="24"/>
  <c r="CE24" i="24"/>
  <c r="CF24" i="24"/>
  <c r="CG24" i="24"/>
  <c r="CH24" i="24"/>
  <c r="CI24" i="24"/>
  <c r="CJ24" i="24"/>
  <c r="CK24" i="24"/>
  <c r="CL24" i="24"/>
  <c r="CM24" i="24"/>
  <c r="CN24" i="24"/>
  <c r="CO24" i="24"/>
  <c r="CP24" i="24"/>
  <c r="CQ24" i="24"/>
  <c r="CR24" i="24"/>
  <c r="CS24" i="24"/>
  <c r="CT24" i="24"/>
  <c r="CU24" i="24"/>
  <c r="CV24" i="24"/>
  <c r="CW24" i="24"/>
  <c r="CX24" i="24"/>
  <c r="CY24" i="24"/>
  <c r="L26" i="24"/>
  <c r="L35" i="24" s="1"/>
  <c r="CN26" i="24"/>
  <c r="CN35" i="24" s="1"/>
  <c r="CP26" i="24"/>
  <c r="CP35" i="24" s="1"/>
  <c r="B33" i="24"/>
  <c r="C33" i="24"/>
  <c r="D33" i="24"/>
  <c r="E33" i="24"/>
  <c r="F33" i="24"/>
  <c r="G33" i="24"/>
  <c r="H33" i="24"/>
  <c r="I33" i="24"/>
  <c r="J33" i="24"/>
  <c r="K33" i="24"/>
  <c r="L33" i="24"/>
  <c r="M33" i="24"/>
  <c r="N33" i="24"/>
  <c r="O33" i="24"/>
  <c r="P33" i="24"/>
  <c r="Q33" i="24"/>
  <c r="R33" i="24"/>
  <c r="S33" i="24"/>
  <c r="T33" i="24"/>
  <c r="U33" i="24"/>
  <c r="V33" i="24"/>
  <c r="W33" i="24"/>
  <c r="X33" i="24"/>
  <c r="Y33" i="24"/>
  <c r="Z33" i="24"/>
  <c r="AA33" i="24"/>
  <c r="AB33" i="24"/>
  <c r="AC33" i="24"/>
  <c r="AD33" i="24"/>
  <c r="AE33" i="24"/>
  <c r="AF33" i="24"/>
  <c r="AG33" i="24"/>
  <c r="AH33" i="24"/>
  <c r="AI33" i="24"/>
  <c r="AJ33" i="24"/>
  <c r="AK33" i="24"/>
  <c r="AL33" i="24"/>
  <c r="AM33" i="24"/>
  <c r="AN33" i="24"/>
  <c r="AO33" i="24"/>
  <c r="AP33" i="24"/>
  <c r="AQ33" i="24"/>
  <c r="AR33" i="24"/>
  <c r="AS33" i="24"/>
  <c r="AT33" i="24"/>
  <c r="AU33" i="24"/>
  <c r="AV33" i="24"/>
  <c r="AW33" i="24"/>
  <c r="AX33" i="24"/>
  <c r="AY33" i="24"/>
  <c r="AZ33" i="24"/>
  <c r="BA33" i="24"/>
  <c r="BB33" i="24"/>
  <c r="BC33" i="24"/>
  <c r="BD33" i="24"/>
  <c r="BE33" i="24"/>
  <c r="BF33" i="24"/>
  <c r="BG33" i="24"/>
  <c r="BH33" i="24"/>
  <c r="BI33" i="24"/>
  <c r="BJ33" i="24"/>
  <c r="BK33" i="24"/>
  <c r="BL33" i="24"/>
  <c r="BM33" i="24"/>
  <c r="BN33" i="24"/>
  <c r="BO33" i="24"/>
  <c r="BP33" i="24"/>
  <c r="BQ33" i="24"/>
  <c r="BR33" i="24"/>
  <c r="BS33" i="24"/>
  <c r="BT33" i="24"/>
  <c r="BU33" i="24"/>
  <c r="BV33" i="24"/>
  <c r="BW33" i="24"/>
  <c r="BX33" i="24"/>
  <c r="BY33" i="24"/>
  <c r="BZ33" i="24"/>
  <c r="CA33" i="24"/>
  <c r="CB33" i="24"/>
  <c r="CC33" i="24"/>
  <c r="CD33" i="24"/>
  <c r="CE33" i="24"/>
  <c r="CF33" i="24"/>
  <c r="CG33" i="24"/>
  <c r="CH33" i="24"/>
  <c r="CI33" i="24"/>
  <c r="CJ33" i="24"/>
  <c r="CK33" i="24"/>
  <c r="CL33" i="24"/>
  <c r="CM33" i="24"/>
  <c r="CN33" i="24"/>
  <c r="CO33" i="24"/>
  <c r="CP33" i="24"/>
  <c r="CQ33" i="24"/>
  <c r="CR33" i="24"/>
  <c r="CS33" i="24"/>
  <c r="CT33" i="24"/>
  <c r="CU33" i="24"/>
  <c r="CV33" i="24"/>
  <c r="CW33" i="24"/>
  <c r="CX33" i="24"/>
  <c r="CY33" i="24"/>
  <c r="P39" i="24"/>
  <c r="P41" i="24" s="1"/>
  <c r="B41" i="24"/>
  <c r="C41" i="24"/>
  <c r="D41" i="24"/>
  <c r="E41" i="24"/>
  <c r="F41" i="24"/>
  <c r="G41" i="24"/>
  <c r="H41" i="24"/>
  <c r="I41" i="24"/>
  <c r="J41" i="24"/>
  <c r="K41" i="24"/>
  <c r="L41" i="24"/>
  <c r="M41" i="24"/>
  <c r="N41" i="24"/>
  <c r="O41" i="24"/>
  <c r="Q41" i="24"/>
  <c r="R41" i="24"/>
  <c r="S41" i="24"/>
  <c r="T41" i="24"/>
  <c r="U41" i="24"/>
  <c r="V41" i="24"/>
  <c r="W41" i="24"/>
  <c r="X41" i="24"/>
  <c r="Y41" i="24"/>
  <c r="Z41" i="24"/>
  <c r="AA41" i="24"/>
  <c r="AC41" i="24"/>
  <c r="AD41" i="24"/>
  <c r="AE41" i="24"/>
  <c r="AF41" i="24"/>
  <c r="AG41" i="24"/>
  <c r="AH41" i="24"/>
  <c r="AI41" i="24"/>
  <c r="AJ41" i="24"/>
  <c r="AK41" i="24"/>
  <c r="AL41" i="24"/>
  <c r="AM41" i="24"/>
  <c r="AO41" i="24"/>
  <c r="AP41" i="24"/>
  <c r="AQ41" i="24"/>
  <c r="AR41" i="24"/>
  <c r="AS41" i="24"/>
  <c r="AT41" i="24"/>
  <c r="AU41" i="24"/>
  <c r="AV41" i="24"/>
  <c r="AW41" i="24"/>
  <c r="AX41" i="24"/>
  <c r="AY41" i="24"/>
  <c r="BA41" i="24"/>
  <c r="BB41" i="24"/>
  <c r="BC41" i="24"/>
  <c r="BD41" i="24"/>
  <c r="BE41" i="24"/>
  <c r="BF41" i="24"/>
  <c r="BG41" i="24"/>
  <c r="BH41" i="24"/>
  <c r="BI41" i="24"/>
  <c r="BJ41" i="24"/>
  <c r="BK41" i="24"/>
  <c r="BM41" i="24"/>
  <c r="BN41" i="24"/>
  <c r="BO41" i="24"/>
  <c r="BP41" i="24"/>
  <c r="BQ41" i="24"/>
  <c r="BR41" i="24"/>
  <c r="BS41" i="24"/>
  <c r="BT41" i="24"/>
  <c r="BU41" i="24"/>
  <c r="BV41" i="24"/>
  <c r="BW41" i="24"/>
  <c r="BY41" i="24"/>
  <c r="BZ41" i="24"/>
  <c r="CA41" i="24"/>
  <c r="CB41" i="24"/>
  <c r="CC41" i="24"/>
  <c r="CD41" i="24"/>
  <c r="CE41" i="24"/>
  <c r="CF41" i="24"/>
  <c r="CG41" i="24"/>
  <c r="CH41" i="24"/>
  <c r="CI41" i="24"/>
  <c r="CK41" i="24"/>
  <c r="CL41" i="24"/>
  <c r="CM41" i="24"/>
  <c r="CN41" i="24"/>
  <c r="CO41" i="24"/>
  <c r="CP41" i="24"/>
  <c r="CQ41" i="24"/>
  <c r="CR41" i="24"/>
  <c r="CS41" i="24"/>
  <c r="CT41" i="24"/>
  <c r="CU41" i="24"/>
  <c r="CW41" i="24"/>
  <c r="CX41" i="24"/>
  <c r="CY41" i="24"/>
  <c r="A19" i="23"/>
  <c r="A29" i="23" s="1"/>
  <c r="A20" i="23"/>
  <c r="A30" i="23" s="1"/>
  <c r="A21" i="23"/>
  <c r="A31" i="23" s="1"/>
  <c r="A22" i="23"/>
  <c r="A32" i="23" s="1"/>
  <c r="A23" i="23"/>
  <c r="A24" i="23"/>
  <c r="A25" i="23"/>
  <c r="A33" i="23" s="1"/>
  <c r="A26" i="23"/>
  <c r="A34" i="23" s="1"/>
  <c r="A27" i="23"/>
  <c r="A35" i="23" s="1"/>
  <c r="E29" i="23"/>
  <c r="F29" i="23"/>
  <c r="G29" i="23"/>
  <c r="H29" i="23"/>
  <c r="I29" i="23"/>
  <c r="J29" i="23"/>
  <c r="K29" i="23"/>
  <c r="L29" i="23"/>
  <c r="M29" i="23"/>
  <c r="N29" i="23"/>
  <c r="O29" i="23"/>
  <c r="P29" i="23"/>
  <c r="Q29" i="23"/>
  <c r="R29" i="23"/>
  <c r="S29" i="23"/>
  <c r="T29" i="23"/>
  <c r="U29" i="23"/>
  <c r="V29" i="23"/>
  <c r="W29" i="23"/>
  <c r="X29" i="23"/>
  <c r="Y29" i="23"/>
  <c r="Z29" i="23"/>
  <c r="AA29" i="23"/>
  <c r="AB29" i="23"/>
  <c r="AC29" i="23"/>
  <c r="AD29" i="23"/>
  <c r="AE29" i="23"/>
  <c r="AF29" i="23"/>
  <c r="AG29" i="23"/>
  <c r="AH29" i="23"/>
  <c r="AI29" i="23"/>
  <c r="AJ29" i="23"/>
  <c r="AK29" i="23"/>
  <c r="AL29" i="23"/>
  <c r="AM29" i="23"/>
  <c r="AN29" i="23"/>
  <c r="AO29" i="23"/>
  <c r="AP29" i="23"/>
  <c r="AQ29" i="23"/>
  <c r="AR29" i="23"/>
  <c r="AS29" i="23"/>
  <c r="AT29" i="23"/>
  <c r="AU29" i="23"/>
  <c r="AV29" i="23"/>
  <c r="AW29" i="23"/>
  <c r="AX29" i="23"/>
  <c r="AY29" i="23"/>
  <c r="AZ29" i="23"/>
  <c r="BA29" i="23"/>
  <c r="BB29" i="23"/>
  <c r="BC29" i="23"/>
  <c r="BD29" i="23"/>
  <c r="BE29" i="23"/>
  <c r="BF29" i="23"/>
  <c r="BG29" i="23"/>
  <c r="BH29" i="23"/>
  <c r="BI29" i="23"/>
  <c r="BJ29" i="23"/>
  <c r="BK29" i="23"/>
  <c r="BL29" i="23"/>
  <c r="BM29" i="23"/>
  <c r="BN29" i="23"/>
  <c r="BO29" i="23"/>
  <c r="BP29" i="23"/>
  <c r="BQ29" i="23"/>
  <c r="BR29" i="23"/>
  <c r="BS29" i="23"/>
  <c r="BT29" i="23"/>
  <c r="BU29" i="23"/>
  <c r="BV29" i="23"/>
  <c r="BW29" i="23"/>
  <c r="BX29" i="23"/>
  <c r="BY29" i="23"/>
  <c r="BZ29" i="23"/>
  <c r="CA29" i="23"/>
  <c r="CB29" i="23"/>
  <c r="CC29" i="23"/>
  <c r="CD29" i="23"/>
  <c r="CE29" i="23"/>
  <c r="CF29" i="23"/>
  <c r="CG29" i="23"/>
  <c r="CH29" i="23"/>
  <c r="CI29" i="23"/>
  <c r="CJ29" i="23"/>
  <c r="CK29" i="23"/>
  <c r="CL29" i="23"/>
  <c r="CM29" i="23"/>
  <c r="CN29" i="23"/>
  <c r="CO29" i="23"/>
  <c r="CP29" i="23"/>
  <c r="CQ29" i="23"/>
  <c r="CR29" i="23"/>
  <c r="CS29" i="23"/>
  <c r="CT29" i="23"/>
  <c r="CU29" i="23"/>
  <c r="CV29" i="23"/>
  <c r="CW29" i="23"/>
  <c r="CX29" i="23"/>
  <c r="CY29" i="23"/>
  <c r="CZ29" i="23"/>
  <c r="DA29" i="23"/>
  <c r="DB29" i="23"/>
  <c r="E30" i="23"/>
  <c r="F30" i="23"/>
  <c r="G30" i="23"/>
  <c r="H30" i="23"/>
  <c r="I30" i="23"/>
  <c r="J30" i="23"/>
  <c r="K30" i="23"/>
  <c r="L30" i="23"/>
  <c r="M30" i="23"/>
  <c r="N30" i="23"/>
  <c r="O30" i="23"/>
  <c r="P30" i="23"/>
  <c r="Q30" i="23"/>
  <c r="R30" i="23"/>
  <c r="S30" i="23"/>
  <c r="T30" i="23"/>
  <c r="U30" i="23"/>
  <c r="V30" i="23"/>
  <c r="W30" i="23"/>
  <c r="X30" i="23"/>
  <c r="Y30" i="23"/>
  <c r="Z30" i="23"/>
  <c r="AA30" i="23"/>
  <c r="AB30" i="23"/>
  <c r="AC30" i="23"/>
  <c r="AD30" i="23"/>
  <c r="AE30" i="23"/>
  <c r="AF30" i="23"/>
  <c r="AG30" i="23"/>
  <c r="AH30" i="23"/>
  <c r="AI30" i="23"/>
  <c r="AJ30" i="23"/>
  <c r="AK30" i="23"/>
  <c r="AL30" i="23"/>
  <c r="AM30" i="23"/>
  <c r="AN30" i="23"/>
  <c r="AO30" i="23"/>
  <c r="AP30" i="23"/>
  <c r="AQ30" i="23"/>
  <c r="AR30" i="23"/>
  <c r="AS30" i="23"/>
  <c r="AT30" i="23"/>
  <c r="AU30" i="23"/>
  <c r="AV30" i="23"/>
  <c r="AW30" i="23"/>
  <c r="AX30" i="23"/>
  <c r="AY30" i="23"/>
  <c r="AZ30" i="23"/>
  <c r="BA30" i="23"/>
  <c r="BB30" i="23"/>
  <c r="BC30" i="23"/>
  <c r="BD30" i="23"/>
  <c r="BE30" i="23"/>
  <c r="BF30" i="23"/>
  <c r="BG30" i="23"/>
  <c r="BH30" i="23"/>
  <c r="BI30" i="23"/>
  <c r="BJ30" i="23"/>
  <c r="BK30" i="23"/>
  <c r="BL30" i="23"/>
  <c r="BM30" i="23"/>
  <c r="BN30" i="23"/>
  <c r="BO30" i="23"/>
  <c r="BP30" i="23"/>
  <c r="BQ30" i="23"/>
  <c r="BR30" i="23"/>
  <c r="BS30" i="23"/>
  <c r="BT30" i="23"/>
  <c r="BU30" i="23"/>
  <c r="BV30" i="23"/>
  <c r="BW30" i="23"/>
  <c r="BX30" i="23"/>
  <c r="BY30" i="23"/>
  <c r="BZ30" i="23"/>
  <c r="CA30" i="23"/>
  <c r="CB30" i="23"/>
  <c r="CC30" i="23"/>
  <c r="CD30" i="23"/>
  <c r="CE30" i="23"/>
  <c r="CF30" i="23"/>
  <c r="CG30" i="23"/>
  <c r="CH30" i="23"/>
  <c r="CI30" i="23"/>
  <c r="CJ30" i="23"/>
  <c r="CK30" i="23"/>
  <c r="CL30" i="23"/>
  <c r="CM30" i="23"/>
  <c r="CN30" i="23"/>
  <c r="CO30" i="23"/>
  <c r="CP30" i="23"/>
  <c r="CQ30" i="23"/>
  <c r="CR30" i="23"/>
  <c r="CS30" i="23"/>
  <c r="CT30" i="23"/>
  <c r="CU30" i="23"/>
  <c r="CV30" i="23"/>
  <c r="CW30" i="23"/>
  <c r="CX30" i="23"/>
  <c r="CY30" i="23"/>
  <c r="CZ30" i="23"/>
  <c r="DA30" i="23"/>
  <c r="DB30" i="23"/>
  <c r="E31" i="23"/>
  <c r="F31" i="23"/>
  <c r="G31" i="23"/>
  <c r="H31" i="23"/>
  <c r="I31" i="23"/>
  <c r="J31" i="23"/>
  <c r="K31" i="23"/>
  <c r="L31" i="23"/>
  <c r="M31" i="23"/>
  <c r="N31" i="23"/>
  <c r="O31" i="23"/>
  <c r="P31" i="23"/>
  <c r="Q31" i="23"/>
  <c r="R31" i="23"/>
  <c r="S31" i="23"/>
  <c r="T31" i="23"/>
  <c r="U31" i="23"/>
  <c r="V31" i="23"/>
  <c r="W31" i="23"/>
  <c r="X31" i="23"/>
  <c r="Y31" i="23"/>
  <c r="Z31" i="23"/>
  <c r="AA31" i="23"/>
  <c r="AB31" i="23"/>
  <c r="AC31" i="23"/>
  <c r="AD31" i="23"/>
  <c r="AE31" i="23"/>
  <c r="AF31" i="23"/>
  <c r="AG31" i="23"/>
  <c r="AH31" i="23"/>
  <c r="AI31" i="23"/>
  <c r="AJ31" i="23"/>
  <c r="AK31" i="23"/>
  <c r="AL31" i="23"/>
  <c r="AM31" i="23"/>
  <c r="AN31" i="23"/>
  <c r="AO31" i="23"/>
  <c r="AP31" i="23"/>
  <c r="AQ31" i="23"/>
  <c r="AR31" i="23"/>
  <c r="AS31" i="23"/>
  <c r="AT31" i="23"/>
  <c r="AU31" i="23"/>
  <c r="AV31" i="23"/>
  <c r="AW31" i="23"/>
  <c r="AX31" i="23"/>
  <c r="AY31" i="23"/>
  <c r="AZ31" i="23"/>
  <c r="BA31" i="23"/>
  <c r="BB31" i="23"/>
  <c r="BC31" i="23"/>
  <c r="BD31" i="23"/>
  <c r="BE31" i="23"/>
  <c r="BF31" i="23"/>
  <c r="BG31" i="23"/>
  <c r="BH31" i="23"/>
  <c r="BI31" i="23"/>
  <c r="BJ31" i="23"/>
  <c r="BK31" i="23"/>
  <c r="BL31" i="23"/>
  <c r="BM31" i="23"/>
  <c r="BN31" i="23"/>
  <c r="BO31" i="23"/>
  <c r="BP31" i="23"/>
  <c r="BQ31" i="23"/>
  <c r="BR31" i="23"/>
  <c r="BS31" i="23"/>
  <c r="BT31" i="23"/>
  <c r="BU31" i="23"/>
  <c r="BV31" i="23"/>
  <c r="BW31" i="23"/>
  <c r="BX31" i="23"/>
  <c r="BY31" i="23"/>
  <c r="BZ31" i="23"/>
  <c r="CA31" i="23"/>
  <c r="CB31" i="23"/>
  <c r="CC31" i="23"/>
  <c r="CD31" i="23"/>
  <c r="CE31" i="23"/>
  <c r="CF31" i="23"/>
  <c r="CG31" i="23"/>
  <c r="CH31" i="23"/>
  <c r="CI31" i="23"/>
  <c r="CJ31" i="23"/>
  <c r="CK31" i="23"/>
  <c r="CL31" i="23"/>
  <c r="CM31" i="23"/>
  <c r="CN31" i="23"/>
  <c r="CO31" i="23"/>
  <c r="CP31" i="23"/>
  <c r="CQ31" i="23"/>
  <c r="CR31" i="23"/>
  <c r="CS31" i="23"/>
  <c r="CT31" i="23"/>
  <c r="CU31" i="23"/>
  <c r="CV31" i="23"/>
  <c r="CW31" i="23"/>
  <c r="CX31" i="23"/>
  <c r="CY31" i="23"/>
  <c r="CZ31" i="23"/>
  <c r="DA31" i="23"/>
  <c r="DB31" i="23"/>
  <c r="E32" i="23"/>
  <c r="F32" i="23"/>
  <c r="G32" i="23"/>
  <c r="H32" i="23"/>
  <c r="I32" i="23"/>
  <c r="J32" i="23"/>
  <c r="K32" i="23"/>
  <c r="L32" i="23"/>
  <c r="M32" i="23"/>
  <c r="N32" i="23"/>
  <c r="O32" i="23"/>
  <c r="P32" i="23"/>
  <c r="Q32" i="23"/>
  <c r="R32" i="23"/>
  <c r="S32" i="23"/>
  <c r="T32" i="23"/>
  <c r="U32" i="23"/>
  <c r="V32" i="23"/>
  <c r="W32" i="23"/>
  <c r="X32" i="23"/>
  <c r="Y32" i="23"/>
  <c r="Z32" i="23"/>
  <c r="AA32" i="23"/>
  <c r="AB32" i="23"/>
  <c r="AC32" i="23"/>
  <c r="AD32" i="23"/>
  <c r="AE32" i="23"/>
  <c r="AF32" i="23"/>
  <c r="AG32" i="23"/>
  <c r="AH32" i="23"/>
  <c r="AI32" i="23"/>
  <c r="AJ32" i="23"/>
  <c r="AK32" i="23"/>
  <c r="AL32" i="23"/>
  <c r="AM32" i="23"/>
  <c r="AN32" i="23"/>
  <c r="AO32" i="23"/>
  <c r="AP32" i="23"/>
  <c r="AQ32" i="23"/>
  <c r="AR32" i="23"/>
  <c r="AS32" i="23"/>
  <c r="AT32" i="23"/>
  <c r="AU32" i="23"/>
  <c r="AV32" i="23"/>
  <c r="AW32" i="23"/>
  <c r="AX32" i="23"/>
  <c r="AY32" i="23"/>
  <c r="AZ32" i="23"/>
  <c r="BA32" i="23"/>
  <c r="BB32" i="23"/>
  <c r="BC32" i="23"/>
  <c r="BD32" i="23"/>
  <c r="BE32" i="23"/>
  <c r="BF32" i="23"/>
  <c r="BG32" i="23"/>
  <c r="BH32" i="23"/>
  <c r="BI32" i="23"/>
  <c r="BJ32" i="23"/>
  <c r="BK32" i="23"/>
  <c r="BL32" i="23"/>
  <c r="BM32" i="23"/>
  <c r="BN32" i="23"/>
  <c r="BO32" i="23"/>
  <c r="BP32" i="23"/>
  <c r="BQ32" i="23"/>
  <c r="BR32" i="23"/>
  <c r="BS32" i="23"/>
  <c r="BT32" i="23"/>
  <c r="BU32" i="23"/>
  <c r="BV32" i="23"/>
  <c r="BW32" i="23"/>
  <c r="BX32" i="23"/>
  <c r="BY32" i="23"/>
  <c r="BZ32" i="23"/>
  <c r="CA32" i="23"/>
  <c r="CB32" i="23"/>
  <c r="CC32" i="23"/>
  <c r="CD32" i="23"/>
  <c r="CE32" i="23"/>
  <c r="CF32" i="23"/>
  <c r="CG32" i="23"/>
  <c r="CH32" i="23"/>
  <c r="CI32" i="23"/>
  <c r="CJ32" i="23"/>
  <c r="CK32" i="23"/>
  <c r="CL32" i="23"/>
  <c r="CM32" i="23"/>
  <c r="CN32" i="23"/>
  <c r="CO32" i="23"/>
  <c r="CP32" i="23"/>
  <c r="CQ32" i="23"/>
  <c r="CR32" i="23"/>
  <c r="CS32" i="23"/>
  <c r="CT32" i="23"/>
  <c r="CU32" i="23"/>
  <c r="CV32" i="23"/>
  <c r="CW32" i="23"/>
  <c r="CX32" i="23"/>
  <c r="CY32" i="23"/>
  <c r="CZ32" i="23"/>
  <c r="DA32" i="23"/>
  <c r="DB32" i="23"/>
  <c r="E33" i="23"/>
  <c r="F33" i="23"/>
  <c r="G33" i="23"/>
  <c r="H33" i="23"/>
  <c r="I33" i="23"/>
  <c r="J33" i="23"/>
  <c r="K33" i="23"/>
  <c r="L33" i="23"/>
  <c r="M33" i="23"/>
  <c r="N33" i="23"/>
  <c r="O33" i="23"/>
  <c r="P33" i="23"/>
  <c r="Q33" i="23"/>
  <c r="R33" i="23"/>
  <c r="S33" i="23"/>
  <c r="T33" i="23"/>
  <c r="U33" i="23"/>
  <c r="V33" i="23"/>
  <c r="W33" i="23"/>
  <c r="X33" i="23"/>
  <c r="Y33" i="23"/>
  <c r="Z33" i="23"/>
  <c r="AA33" i="23"/>
  <c r="AB33" i="23"/>
  <c r="AC33" i="23"/>
  <c r="AD33" i="23"/>
  <c r="AE33" i="23"/>
  <c r="AF33" i="23"/>
  <c r="AG33" i="23"/>
  <c r="AH33" i="23"/>
  <c r="AI33" i="23"/>
  <c r="AJ33" i="23"/>
  <c r="AK33" i="23"/>
  <c r="AL33" i="23"/>
  <c r="AM33" i="23"/>
  <c r="AN33" i="23"/>
  <c r="AO33" i="23"/>
  <c r="AP33" i="23"/>
  <c r="AQ33" i="23"/>
  <c r="AR33" i="23"/>
  <c r="AS33" i="23"/>
  <c r="AT33" i="23"/>
  <c r="AU33" i="23"/>
  <c r="AV33" i="23"/>
  <c r="AW33" i="23"/>
  <c r="AX33" i="23"/>
  <c r="AY33" i="23"/>
  <c r="AZ33" i="23"/>
  <c r="BA33" i="23"/>
  <c r="BB33" i="23"/>
  <c r="BC33" i="23"/>
  <c r="BD33" i="23"/>
  <c r="BE33" i="23"/>
  <c r="BF33" i="23"/>
  <c r="BG33" i="23"/>
  <c r="BH33" i="23"/>
  <c r="BI33" i="23"/>
  <c r="BJ33" i="23"/>
  <c r="BK33" i="23"/>
  <c r="BL33" i="23"/>
  <c r="BM33" i="23"/>
  <c r="BN33" i="23"/>
  <c r="BO33" i="23"/>
  <c r="BP33" i="23"/>
  <c r="BQ33" i="23"/>
  <c r="BR33" i="23"/>
  <c r="BS33" i="23"/>
  <c r="BT33" i="23"/>
  <c r="BU33" i="23"/>
  <c r="BV33" i="23"/>
  <c r="BW33" i="23"/>
  <c r="BX33" i="23"/>
  <c r="BY33" i="23"/>
  <c r="BZ33" i="23"/>
  <c r="CA33" i="23"/>
  <c r="CB33" i="23"/>
  <c r="CC33" i="23"/>
  <c r="CD33" i="23"/>
  <c r="CE33" i="23"/>
  <c r="CF33" i="23"/>
  <c r="CG33" i="23"/>
  <c r="CH33" i="23"/>
  <c r="CI33" i="23"/>
  <c r="CJ33" i="23"/>
  <c r="CK33" i="23"/>
  <c r="CL33" i="23"/>
  <c r="CM33" i="23"/>
  <c r="CN33" i="23"/>
  <c r="CO33" i="23"/>
  <c r="CP33" i="23"/>
  <c r="CQ33" i="23"/>
  <c r="CR33" i="23"/>
  <c r="CS33" i="23"/>
  <c r="CT33" i="23"/>
  <c r="CU33" i="23"/>
  <c r="CV33" i="23"/>
  <c r="CW33" i="23"/>
  <c r="CX33" i="23"/>
  <c r="CY33" i="23"/>
  <c r="CZ33" i="23"/>
  <c r="DA33" i="23"/>
  <c r="DB33" i="23"/>
  <c r="E34" i="23"/>
  <c r="F34" i="23"/>
  <c r="G34" i="23"/>
  <c r="H34" i="23"/>
  <c r="I34" i="23"/>
  <c r="J34" i="23"/>
  <c r="K34" i="23"/>
  <c r="L34" i="23"/>
  <c r="M34" i="23"/>
  <c r="N34" i="23"/>
  <c r="O34" i="23"/>
  <c r="P34" i="23"/>
  <c r="Q34" i="23"/>
  <c r="R34" i="23"/>
  <c r="S34" i="23"/>
  <c r="T34" i="23"/>
  <c r="U34" i="23"/>
  <c r="V34" i="23"/>
  <c r="W34" i="23"/>
  <c r="X34" i="23"/>
  <c r="Y34" i="23"/>
  <c r="Z34" i="23"/>
  <c r="AA34" i="23"/>
  <c r="AB34" i="23"/>
  <c r="AC34" i="23"/>
  <c r="AD34" i="23"/>
  <c r="AE34" i="23"/>
  <c r="AF34" i="23"/>
  <c r="AG34" i="23"/>
  <c r="AH34" i="23"/>
  <c r="AI34" i="23"/>
  <c r="AJ34" i="23"/>
  <c r="AK34" i="23"/>
  <c r="AL34" i="23"/>
  <c r="AM34" i="23"/>
  <c r="AN34" i="23"/>
  <c r="AO34" i="23"/>
  <c r="AP34" i="23"/>
  <c r="AQ34" i="23"/>
  <c r="AR34" i="23"/>
  <c r="AS34" i="23"/>
  <c r="AT34" i="23"/>
  <c r="AU34" i="23"/>
  <c r="AV34" i="23"/>
  <c r="AW34" i="23"/>
  <c r="AX34" i="23"/>
  <c r="AY34" i="23"/>
  <c r="AZ34" i="23"/>
  <c r="BA34" i="23"/>
  <c r="BB34" i="23"/>
  <c r="BC34" i="23"/>
  <c r="BD34" i="23"/>
  <c r="BE34" i="23"/>
  <c r="BF34" i="23"/>
  <c r="BG34" i="23"/>
  <c r="BH34" i="23"/>
  <c r="BI34" i="23"/>
  <c r="BJ34" i="23"/>
  <c r="BK34" i="23"/>
  <c r="BL34" i="23"/>
  <c r="BM34" i="23"/>
  <c r="BN34" i="23"/>
  <c r="BO34" i="23"/>
  <c r="BP34" i="23"/>
  <c r="BQ34" i="23"/>
  <c r="BR34" i="23"/>
  <c r="BS34" i="23"/>
  <c r="BT34" i="23"/>
  <c r="BU34" i="23"/>
  <c r="BV34" i="23"/>
  <c r="BW34" i="23"/>
  <c r="BX34" i="23"/>
  <c r="BY34" i="23"/>
  <c r="BZ34" i="23"/>
  <c r="CA34" i="23"/>
  <c r="CB34" i="23"/>
  <c r="CC34" i="23"/>
  <c r="CD34" i="23"/>
  <c r="CE34" i="23"/>
  <c r="CF34" i="23"/>
  <c r="CG34" i="23"/>
  <c r="CH34" i="23"/>
  <c r="CI34" i="23"/>
  <c r="CJ34" i="23"/>
  <c r="CK34" i="23"/>
  <c r="CL34" i="23"/>
  <c r="CM34" i="23"/>
  <c r="CN34" i="23"/>
  <c r="CO34" i="23"/>
  <c r="CP34" i="23"/>
  <c r="CQ34" i="23"/>
  <c r="CR34" i="23"/>
  <c r="CS34" i="23"/>
  <c r="CT34" i="23"/>
  <c r="CU34" i="23"/>
  <c r="CV34" i="23"/>
  <c r="CW34" i="23"/>
  <c r="CX34" i="23"/>
  <c r="CY34" i="23"/>
  <c r="CZ34" i="23"/>
  <c r="DA34" i="23"/>
  <c r="DB34" i="23"/>
  <c r="E35" i="23"/>
  <c r="F35" i="23"/>
  <c r="G35" i="23"/>
  <c r="H35" i="23"/>
  <c r="I35" i="23"/>
  <c r="J35" i="23"/>
  <c r="K35" i="23"/>
  <c r="L35" i="23"/>
  <c r="M35" i="23"/>
  <c r="N35" i="23"/>
  <c r="O35" i="23"/>
  <c r="P35" i="23"/>
  <c r="Q35" i="23"/>
  <c r="R35" i="23"/>
  <c r="S35" i="23"/>
  <c r="T35" i="23"/>
  <c r="U35" i="23"/>
  <c r="V35" i="23"/>
  <c r="W35" i="23"/>
  <c r="X35" i="23"/>
  <c r="Y35" i="23"/>
  <c r="Z35" i="23"/>
  <c r="AA35" i="23"/>
  <c r="AB35" i="23"/>
  <c r="AC35" i="23"/>
  <c r="AD35" i="23"/>
  <c r="AE35" i="23"/>
  <c r="AF35" i="23"/>
  <c r="AG35" i="23"/>
  <c r="AH35" i="23"/>
  <c r="AI35" i="23"/>
  <c r="AJ35" i="23"/>
  <c r="AK35" i="23"/>
  <c r="AL35" i="23"/>
  <c r="AM35" i="23"/>
  <c r="AN35" i="23"/>
  <c r="AO35" i="23"/>
  <c r="AP35" i="23"/>
  <c r="AQ35" i="23"/>
  <c r="AR35" i="23"/>
  <c r="AS35" i="23"/>
  <c r="AT35" i="23"/>
  <c r="AU35" i="23"/>
  <c r="AV35" i="23"/>
  <c r="AW35" i="23"/>
  <c r="AX35" i="23"/>
  <c r="AY35" i="23"/>
  <c r="AZ35" i="23"/>
  <c r="BA35" i="23"/>
  <c r="BB35" i="23"/>
  <c r="BC35" i="23"/>
  <c r="BD35" i="23"/>
  <c r="BE35" i="23"/>
  <c r="BF35" i="23"/>
  <c r="BG35" i="23"/>
  <c r="BH35" i="23"/>
  <c r="BI35" i="23"/>
  <c r="BJ35" i="23"/>
  <c r="BK35" i="23"/>
  <c r="BL35" i="23"/>
  <c r="BM35" i="23"/>
  <c r="BN35" i="23"/>
  <c r="BO35" i="23"/>
  <c r="BP35" i="23"/>
  <c r="BQ35" i="23"/>
  <c r="BR35" i="23"/>
  <c r="BS35" i="23"/>
  <c r="BT35" i="23"/>
  <c r="BU35" i="23"/>
  <c r="BV35" i="23"/>
  <c r="BW35" i="23"/>
  <c r="BX35" i="23"/>
  <c r="BY35" i="23"/>
  <c r="BZ35" i="23"/>
  <c r="CA35" i="23"/>
  <c r="CB35" i="23"/>
  <c r="CC35" i="23"/>
  <c r="CD35" i="23"/>
  <c r="CE35" i="23"/>
  <c r="CF35" i="23"/>
  <c r="CG35" i="23"/>
  <c r="CH35" i="23"/>
  <c r="CI35" i="23"/>
  <c r="CJ35" i="23"/>
  <c r="CK35" i="23"/>
  <c r="CL35" i="23"/>
  <c r="CM35" i="23"/>
  <c r="CN35" i="23"/>
  <c r="CO35" i="23"/>
  <c r="CP35" i="23"/>
  <c r="CQ35" i="23"/>
  <c r="CR35" i="23"/>
  <c r="CS35" i="23"/>
  <c r="CT35" i="23"/>
  <c r="CU35" i="23"/>
  <c r="CV35" i="23"/>
  <c r="CW35" i="23"/>
  <c r="CX35" i="23"/>
  <c r="CY35" i="23"/>
  <c r="CZ35" i="23"/>
  <c r="DA35" i="23"/>
  <c r="DB35" i="23"/>
  <c r="B3" i="22"/>
  <c r="B4" i="22"/>
  <c r="D4" i="22"/>
  <c r="E4" i="22"/>
  <c r="F4" i="22"/>
  <c r="L4" i="22"/>
  <c r="M4" i="22"/>
  <c r="T4" i="22"/>
  <c r="U4" i="22"/>
  <c r="Y4" i="22"/>
  <c r="AB4" i="22"/>
  <c r="AC4" i="22"/>
  <c r="AE4" i="22"/>
  <c r="AG4" i="22"/>
  <c r="AJ4" i="22"/>
  <c r="AK4" i="22"/>
  <c r="AP4" i="22"/>
  <c r="AR4" i="22"/>
  <c r="AS4" i="22"/>
  <c r="AZ4" i="22"/>
  <c r="BA4" i="22"/>
  <c r="BH4" i="22"/>
  <c r="BI4" i="22"/>
  <c r="BN4" i="22"/>
  <c r="BP4" i="22"/>
  <c r="BQ4" i="22"/>
  <c r="BR4" i="22"/>
  <c r="BX4" i="22"/>
  <c r="BY4" i="22"/>
  <c r="CF4" i="22"/>
  <c r="CG4" i="22"/>
  <c r="CI4" i="22"/>
  <c r="CK4" i="22"/>
  <c r="CN4" i="22"/>
  <c r="CO4" i="22"/>
  <c r="CP4" i="22"/>
  <c r="CS4" i="22"/>
  <c r="CT4" i="22"/>
  <c r="CV4" i="22"/>
  <c r="CW4" i="22"/>
  <c r="CX4" i="22"/>
  <c r="G6" i="22"/>
  <c r="I6" i="22"/>
  <c r="Q6" i="22"/>
  <c r="W6" i="22"/>
  <c r="Y6" i="22"/>
  <c r="AG6" i="22"/>
  <c r="BE6" i="22"/>
  <c r="BU6" i="22"/>
  <c r="CK6" i="22"/>
  <c r="CS6" i="22"/>
  <c r="AQ36" i="23" l="1"/>
  <c r="AN5" i="22" s="1"/>
  <c r="AB39" i="24"/>
  <c r="AB41" i="24" s="1"/>
  <c r="BN16" i="24"/>
  <c r="F26" i="24"/>
  <c r="F35" i="24" s="1"/>
  <c r="B16" i="24"/>
  <c r="BF26" i="24"/>
  <c r="BF35" i="24" s="1"/>
  <c r="AH26" i="24"/>
  <c r="AH35" i="24" s="1"/>
  <c r="Z26" i="24"/>
  <c r="Z35" i="24" s="1"/>
  <c r="CT26" i="24"/>
  <c r="CT35" i="24" s="1"/>
  <c r="BO26" i="24"/>
  <c r="BO35" i="24" s="1"/>
  <c r="AI16" i="24"/>
  <c r="BG26" i="24"/>
  <c r="BG35" i="24" s="1"/>
  <c r="CM26" i="24"/>
  <c r="CM35" i="24" s="1"/>
  <c r="BD16" i="24"/>
  <c r="CV36" i="23"/>
  <c r="CS5" i="22" s="1"/>
  <c r="CN36" i="23"/>
  <c r="CK5" i="22" s="1"/>
  <c r="BX36" i="23"/>
  <c r="BU5" i="22" s="1"/>
  <c r="BP36" i="23"/>
  <c r="BM5" i="22" s="1"/>
  <c r="BH36" i="23"/>
  <c r="BE5" i="22" s="1"/>
  <c r="AR36" i="23"/>
  <c r="AO5" i="22" s="1"/>
  <c r="AJ36" i="23"/>
  <c r="AG5" i="22" s="1"/>
  <c r="AB36" i="23"/>
  <c r="Y5" i="22" s="1"/>
  <c r="L36" i="23"/>
  <c r="I5" i="22" s="1"/>
  <c r="BW36" i="23"/>
  <c r="BT5" i="22" s="1"/>
  <c r="K36" i="23"/>
  <c r="H5" i="22" s="1"/>
  <c r="I16" i="24"/>
  <c r="BP26" i="24"/>
  <c r="BP35" i="24" s="1"/>
  <c r="CF16" i="24"/>
  <c r="AZ16" i="24"/>
  <c r="CV26" i="24"/>
  <c r="CV35" i="24" s="1"/>
  <c r="CE16" i="24"/>
  <c r="AR16" i="24"/>
  <c r="D16" i="24"/>
  <c r="BH26" i="24"/>
  <c r="BH35" i="24" s="1"/>
  <c r="BX16" i="24"/>
  <c r="AJ16" i="24"/>
  <c r="AN39" i="24"/>
  <c r="T26" i="24"/>
  <c r="T35" i="24" s="1"/>
  <c r="CZ36" i="23"/>
  <c r="CW5" i="22" s="1"/>
  <c r="CR36" i="23"/>
  <c r="CO5" i="22" s="1"/>
  <c r="CJ36" i="23"/>
  <c r="CG5" i="22" s="1"/>
  <c r="CB36" i="23"/>
  <c r="BY5" i="22" s="1"/>
  <c r="BT36" i="23"/>
  <c r="BQ5" i="22" s="1"/>
  <c r="BL36" i="23"/>
  <c r="BI5" i="22" s="1"/>
  <c r="BD36" i="23"/>
  <c r="BA5" i="22" s="1"/>
  <c r="AV36" i="23"/>
  <c r="AS5" i="22" s="1"/>
  <c r="AN36" i="23"/>
  <c r="AK5" i="22" s="1"/>
  <c r="AF36" i="23"/>
  <c r="AC5" i="22" s="1"/>
  <c r="X36" i="23"/>
  <c r="U5" i="22" s="1"/>
  <c r="P36" i="23"/>
  <c r="M5" i="22" s="1"/>
  <c r="H36" i="23"/>
  <c r="E5" i="22" s="1"/>
  <c r="CF36" i="23"/>
  <c r="CC5" i="22" s="1"/>
  <c r="AZ36" i="23"/>
  <c r="AW5" i="22" s="1"/>
  <c r="T36" i="23"/>
  <c r="Q5" i="22" s="1"/>
  <c r="CU36" i="23"/>
  <c r="CR5" i="22" s="1"/>
  <c r="CM36" i="23"/>
  <c r="CJ5" i="22" s="1"/>
  <c r="CE36" i="23"/>
  <c r="CB5" i="22" s="1"/>
  <c r="BO36" i="23"/>
  <c r="BL5" i="22" s="1"/>
  <c r="BG36" i="23"/>
  <c r="BD5" i="22" s="1"/>
  <c r="AY36" i="23"/>
  <c r="AV5" i="22" s="1"/>
  <c r="AI36" i="23"/>
  <c r="AF5" i="22" s="1"/>
  <c r="AA36" i="23"/>
  <c r="X5" i="22" s="1"/>
  <c r="S36" i="23"/>
  <c r="P5" i="22" s="1"/>
  <c r="CL16" i="24"/>
  <c r="DB36" i="23"/>
  <c r="CY5" i="22" s="1"/>
  <c r="CZ5" i="22" s="1"/>
  <c r="DA5" i="22" s="1"/>
  <c r="DB5" i="22" s="1"/>
  <c r="DC5" i="22" s="1"/>
  <c r="DD5" i="22" s="1"/>
  <c r="DE5" i="22" s="1"/>
  <c r="CT36" i="23"/>
  <c r="CQ5" i="22" s="1"/>
  <c r="CL36" i="23"/>
  <c r="CI5" i="22" s="1"/>
  <c r="CD36" i="23"/>
  <c r="CA5" i="22" s="1"/>
  <c r="BV36" i="23"/>
  <c r="BS5" i="22" s="1"/>
  <c r="BN36" i="23"/>
  <c r="BK5" i="22" s="1"/>
  <c r="BF36" i="23"/>
  <c r="BC5" i="22" s="1"/>
  <c r="AX36" i="23"/>
  <c r="AU5" i="22" s="1"/>
  <c r="AP36" i="23"/>
  <c r="AM5" i="22" s="1"/>
  <c r="AH36" i="23"/>
  <c r="AE5" i="22" s="1"/>
  <c r="Z36" i="23"/>
  <c r="W5" i="22" s="1"/>
  <c r="R36" i="23"/>
  <c r="O5" i="22" s="1"/>
  <c r="J36" i="23"/>
  <c r="G5" i="22" s="1"/>
  <c r="AA26" i="24"/>
  <c r="AA35" i="24" s="1"/>
  <c r="BW16" i="24"/>
  <c r="C16" i="24"/>
  <c r="CU26" i="24"/>
  <c r="CU35" i="24" s="1"/>
  <c r="AY26" i="24"/>
  <c r="AY35" i="24" s="1"/>
  <c r="DA36" i="23"/>
  <c r="CX5" i="22" s="1"/>
  <c r="CS36" i="23"/>
  <c r="CP5" i="22" s="1"/>
  <c r="CK36" i="23"/>
  <c r="CH5" i="22" s="1"/>
  <c r="CC36" i="23"/>
  <c r="BZ5" i="22" s="1"/>
  <c r="BU36" i="23"/>
  <c r="BR5" i="22" s="1"/>
  <c r="BM36" i="23"/>
  <c r="BJ5" i="22" s="1"/>
  <c r="BE36" i="23"/>
  <c r="BB5" i="22" s="1"/>
  <c r="AW36" i="23"/>
  <c r="AT5" i="22" s="1"/>
  <c r="AO36" i="23"/>
  <c r="AL5" i="22" s="1"/>
  <c r="AG36" i="23"/>
  <c r="AD5" i="22" s="1"/>
  <c r="Y36" i="23"/>
  <c r="V5" i="22" s="1"/>
  <c r="Q36" i="23"/>
  <c r="N5" i="22" s="1"/>
  <c r="I36" i="23"/>
  <c r="F5" i="22" s="1"/>
  <c r="S16" i="24"/>
  <c r="CR26" i="24"/>
  <c r="CR35" i="24" s="1"/>
  <c r="AQ26" i="24"/>
  <c r="AQ35" i="24" s="1"/>
  <c r="AO16" i="24"/>
  <c r="K26" i="24"/>
  <c r="K35" i="24" s="1"/>
  <c r="CY36" i="23"/>
  <c r="CV5" i="22" s="1"/>
  <c r="CQ36" i="23"/>
  <c r="CN5" i="22" s="1"/>
  <c r="CI36" i="23"/>
  <c r="CF5" i="22" s="1"/>
  <c r="CA36" i="23"/>
  <c r="BX5" i="22" s="1"/>
  <c r="BS36" i="23"/>
  <c r="BP5" i="22" s="1"/>
  <c r="BK36" i="23"/>
  <c r="BH5" i="22" s="1"/>
  <c r="BC36" i="23"/>
  <c r="AZ5" i="22" s="1"/>
  <c r="AU36" i="23"/>
  <c r="AR5" i="22" s="1"/>
  <c r="AM36" i="23"/>
  <c r="AJ5" i="22" s="1"/>
  <c r="AE36" i="23"/>
  <c r="AB5" i="22" s="1"/>
  <c r="W36" i="23"/>
  <c r="T5" i="22" s="1"/>
  <c r="O36" i="23"/>
  <c r="L5" i="22" s="1"/>
  <c r="G36" i="23"/>
  <c r="D5" i="22" s="1"/>
  <c r="CX36" i="23"/>
  <c r="CU5" i="22" s="1"/>
  <c r="CP36" i="23"/>
  <c r="CM5" i="22" s="1"/>
  <c r="CH36" i="23"/>
  <c r="CE5" i="22" s="1"/>
  <c r="BZ36" i="23"/>
  <c r="BW5" i="22" s="1"/>
  <c r="BR36" i="23"/>
  <c r="BO5" i="22" s="1"/>
  <c r="BJ36" i="23"/>
  <c r="BG5" i="22" s="1"/>
  <c r="BB36" i="23"/>
  <c r="AY5" i="22" s="1"/>
  <c r="AT36" i="23"/>
  <c r="AQ5" i="22" s="1"/>
  <c r="AL36" i="23"/>
  <c r="AI5" i="22" s="1"/>
  <c r="AD36" i="23"/>
  <c r="AA5" i="22" s="1"/>
  <c r="V36" i="23"/>
  <c r="S5" i="22" s="1"/>
  <c r="N36" i="23"/>
  <c r="K5" i="22" s="1"/>
  <c r="F36" i="23"/>
  <c r="C5" i="22" s="1"/>
  <c r="CW36" i="23"/>
  <c r="CT5" i="22" s="1"/>
  <c r="CO36" i="23"/>
  <c r="CL5" i="22" s="1"/>
  <c r="CG36" i="23"/>
  <c r="CD5" i="22" s="1"/>
  <c r="BY36" i="23"/>
  <c r="BV5" i="22" s="1"/>
  <c r="BQ36" i="23"/>
  <c r="BN5" i="22" s="1"/>
  <c r="BI36" i="23"/>
  <c r="BF5" i="22" s="1"/>
  <c r="BA36" i="23"/>
  <c r="AX5" i="22" s="1"/>
  <c r="AS36" i="23"/>
  <c r="AP5" i="22" s="1"/>
  <c r="AK36" i="23"/>
  <c r="AH5" i="22" s="1"/>
  <c r="AC36" i="23"/>
  <c r="Z5" i="22" s="1"/>
  <c r="U36" i="23"/>
  <c r="R5" i="22" s="1"/>
  <c r="M36" i="23"/>
  <c r="J5" i="22" s="1"/>
  <c r="E36" i="23"/>
  <c r="B5" i="22" s="1"/>
  <c r="H26" i="24"/>
  <c r="H35" i="24" s="1"/>
  <c r="CO26" i="24"/>
  <c r="CO35" i="24" s="1"/>
  <c r="AG16" i="24"/>
  <c r="CG26" i="24"/>
  <c r="CG35" i="24" s="1"/>
  <c r="CS16" i="24"/>
  <c r="CK16" i="24"/>
  <c r="BM16" i="24"/>
  <c r="BE16" i="24"/>
  <c r="Y16" i="24"/>
  <c r="BI26" i="24"/>
  <c r="BI35" i="24" s="1"/>
  <c r="BA26" i="24"/>
  <c r="BA35" i="24" s="1"/>
  <c r="AC26" i="24"/>
  <c r="AC35" i="24" s="1"/>
  <c r="U26" i="24"/>
  <c r="U35" i="24" s="1"/>
  <c r="C42" i="26"/>
  <c r="C3" i="22" s="1"/>
  <c r="F42" i="26"/>
  <c r="F3" i="22" s="1"/>
  <c r="F7" i="22" s="1"/>
  <c r="E42" i="26"/>
  <c r="E3" i="22" s="1"/>
  <c r="E7" i="22" s="1"/>
  <c r="D42" i="26"/>
  <c r="D3" i="22" s="1"/>
  <c r="BJ26" i="24"/>
  <c r="BJ35" i="24" s="1"/>
  <c r="AV26" i="24"/>
  <c r="AV35" i="24" s="1"/>
  <c r="BT16" i="24"/>
  <c r="AN16" i="24"/>
  <c r="CJ16" i="24"/>
  <c r="CJ26" i="24"/>
  <c r="CJ35" i="24" s="1"/>
  <c r="BL16" i="24"/>
  <c r="BL26" i="24"/>
  <c r="BL35" i="24" s="1"/>
  <c r="X16" i="24"/>
  <c r="X26" i="24"/>
  <c r="X35" i="24" s="1"/>
  <c r="P16" i="24"/>
  <c r="AU26" i="24"/>
  <c r="AU35" i="24" s="1"/>
  <c r="AU16" i="24"/>
  <c r="AL16" i="24"/>
  <c r="AL26" i="24"/>
  <c r="AL35" i="24" s="1"/>
  <c r="CB16" i="24"/>
  <c r="BR26" i="24"/>
  <c r="BR35" i="24" s="1"/>
  <c r="CA16" i="24"/>
  <c r="CX16" i="24"/>
  <c r="CX26" i="24"/>
  <c r="CX35" i="24" s="1"/>
  <c r="AF26" i="24"/>
  <c r="AF35" i="24" s="1"/>
  <c r="AP16" i="24"/>
  <c r="AD26" i="24"/>
  <c r="AD35" i="24" s="1"/>
  <c r="CD26" i="24"/>
  <c r="CD35" i="24" s="1"/>
  <c r="CD16" i="24"/>
  <c r="BV16" i="24"/>
  <c r="BV26" i="24"/>
  <c r="BV35" i="24" s="1"/>
  <c r="AX16" i="24"/>
  <c r="AX26" i="24"/>
  <c r="AX35" i="24" s="1"/>
  <c r="R26" i="24"/>
  <c r="R35" i="24" s="1"/>
  <c r="R16" i="24"/>
  <c r="J16" i="24"/>
  <c r="J26" i="24"/>
  <c r="J35" i="24" s="1"/>
  <c r="BU16" i="24"/>
  <c r="CH26" i="24"/>
  <c r="CH35" i="24" s="1"/>
  <c r="BB26" i="24"/>
  <c r="BB35" i="24" s="1"/>
  <c r="V26" i="24"/>
  <c r="V35" i="24" s="1"/>
  <c r="CI16" i="24"/>
  <c r="BC16" i="24"/>
  <c r="W16" i="24"/>
  <c r="AN41" i="24"/>
  <c r="AZ39" i="24"/>
  <c r="CW26" i="24"/>
  <c r="CW35" i="24" s="1"/>
  <c r="BQ26" i="24"/>
  <c r="BQ35" i="24" s="1"/>
  <c r="AK26" i="24"/>
  <c r="AK35" i="24" s="1"/>
  <c r="E26" i="24"/>
  <c r="E35" i="24" s="1"/>
  <c r="CQ16" i="24"/>
  <c r="BK16" i="24"/>
  <c r="AE16" i="24"/>
  <c r="BZ26" i="24"/>
  <c r="BZ35" i="24" s="1"/>
  <c r="AT26" i="24"/>
  <c r="AT35" i="24" s="1"/>
  <c r="N26" i="24"/>
  <c r="N35" i="24" s="1"/>
  <c r="BY26" i="24"/>
  <c r="BY35" i="24" s="1"/>
  <c r="AS26" i="24"/>
  <c r="AS35" i="24" s="1"/>
  <c r="M26" i="24"/>
  <c r="M35" i="24" s="1"/>
  <c r="CY16" i="24"/>
  <c r="CC16" i="24"/>
  <c r="BS16" i="24"/>
  <c r="AW16" i="24"/>
  <c r="AM16" i="24"/>
  <c r="Q16" i="24"/>
  <c r="G16" i="24"/>
  <c r="B7" i="22"/>
  <c r="C7" i="22" l="1"/>
  <c r="D7" i="22"/>
  <c r="G42" i="26"/>
  <c r="G3" i="22" s="1"/>
  <c r="G7" i="22" s="1"/>
  <c r="BL39" i="24"/>
  <c r="AZ41" i="24"/>
  <c r="H42" i="26" l="1"/>
  <c r="H3" i="22" s="1"/>
  <c r="H7" i="22" s="1"/>
  <c r="BX39" i="24"/>
  <c r="BL41" i="24"/>
  <c r="I42" i="26" l="1"/>
  <c r="I3" i="22" s="1"/>
  <c r="I7" i="22" s="1"/>
  <c r="CJ39" i="24"/>
  <c r="BX41" i="24"/>
  <c r="J42" i="26" l="1"/>
  <c r="J3" i="22" s="1"/>
  <c r="J7" i="22" s="1"/>
  <c r="CJ41" i="24"/>
  <c r="CV39" i="24"/>
  <c r="CV41" i="24" s="1"/>
  <c r="K42" i="26" l="1"/>
  <c r="K3" i="22" s="1"/>
  <c r="K7" i="22" s="1"/>
  <c r="L42" i="26" l="1"/>
  <c r="L3" i="22" s="1"/>
  <c r="L7" i="22" s="1"/>
  <c r="M42" i="26" l="1"/>
  <c r="M3" i="22" s="1"/>
  <c r="M7" i="22" s="1"/>
  <c r="N42" i="26" l="1"/>
  <c r="N3" i="22" s="1"/>
  <c r="N7" i="22" s="1"/>
  <c r="L14" i="5" s="1"/>
  <c r="O42" i="26" l="1"/>
  <c r="O3" i="22" s="1"/>
  <c r="O7" i="22" s="1"/>
  <c r="M14" i="5" s="1"/>
  <c r="P42" i="26" l="1"/>
  <c r="P3" i="22" s="1"/>
  <c r="P7" i="22" s="1"/>
  <c r="N14" i="5" s="1"/>
  <c r="Q42" i="26" l="1"/>
  <c r="Q3" i="22" s="1"/>
  <c r="Q7" i="22" s="1"/>
  <c r="O14" i="5" s="1"/>
  <c r="R42" i="26" l="1"/>
  <c r="R3" i="22" s="1"/>
  <c r="R7" i="22" s="1"/>
  <c r="P14" i="5" s="1"/>
  <c r="S42" i="26" l="1"/>
  <c r="S3" i="22" s="1"/>
  <c r="S7" i="22" s="1"/>
  <c r="Q14" i="5" s="1"/>
  <c r="T42" i="26" l="1"/>
  <c r="T3" i="22" s="1"/>
  <c r="T7" i="22" s="1"/>
  <c r="R14" i="5" s="1"/>
  <c r="U42" i="26" l="1"/>
  <c r="U3" i="22" s="1"/>
  <c r="U7" i="22" s="1"/>
  <c r="S14" i="5" s="1"/>
  <c r="V42" i="26" l="1"/>
  <c r="V3" i="22" s="1"/>
  <c r="V7" i="22" s="1"/>
  <c r="T14" i="5" s="1"/>
  <c r="W42" i="26" l="1"/>
  <c r="W3" i="22" s="1"/>
  <c r="W7" i="22" s="1"/>
  <c r="U14" i="5" s="1"/>
  <c r="X42" i="26" l="1"/>
  <c r="X3" i="22" s="1"/>
  <c r="X7" i="22" s="1"/>
  <c r="V14" i="5" s="1"/>
  <c r="Y42" i="26" l="1"/>
  <c r="Y3" i="22" s="1"/>
  <c r="Y7" i="22" s="1"/>
  <c r="W14" i="5" s="1"/>
  <c r="Z42" i="26" l="1"/>
  <c r="Z3" i="22" s="1"/>
  <c r="Z7" i="22" s="1"/>
  <c r="X14" i="5" s="1"/>
  <c r="V20" i="6" l="1"/>
  <c r="AA42" i="26"/>
  <c r="AA3" i="22" s="1"/>
  <c r="AA7" i="22" s="1"/>
  <c r="Y14" i="5" s="1"/>
  <c r="W20" i="6" l="1"/>
  <c r="AB42" i="26"/>
  <c r="AB3" i="22" s="1"/>
  <c r="AB7" i="22" s="1"/>
  <c r="Z14" i="5" s="1"/>
  <c r="X20" i="6" l="1"/>
  <c r="AC42" i="26"/>
  <c r="AC3" i="22" s="1"/>
  <c r="AC7" i="22" s="1"/>
  <c r="AA14" i="5" s="1"/>
  <c r="AD42" i="26" l="1"/>
  <c r="AD3" i="22" s="1"/>
  <c r="AD7" i="22" s="1"/>
  <c r="AB14" i="5" s="1"/>
  <c r="AE42" i="26" l="1"/>
  <c r="AE3" i="22" s="1"/>
  <c r="AE7" i="22" s="1"/>
  <c r="AC14" i="5" s="1"/>
  <c r="AF42" i="26" l="1"/>
  <c r="AF3" i="22" s="1"/>
  <c r="AF7" i="22" s="1"/>
  <c r="AD14" i="5" s="1"/>
  <c r="AG42" i="26" l="1"/>
  <c r="AG3" i="22" s="1"/>
  <c r="AG7" i="22" s="1"/>
  <c r="AE14" i="5" s="1"/>
  <c r="AH42" i="26" l="1"/>
  <c r="AH3" i="22" s="1"/>
  <c r="AH7" i="22" s="1"/>
  <c r="AF14" i="5" s="1"/>
  <c r="AI42" i="26" l="1"/>
  <c r="AI3" i="22" s="1"/>
  <c r="AI7" i="22" s="1"/>
  <c r="AG14" i="5" s="1"/>
  <c r="AJ42" i="26" l="1"/>
  <c r="AJ3" i="22" s="1"/>
  <c r="AJ7" i="22" s="1"/>
  <c r="AH14" i="5" s="1"/>
  <c r="AK42" i="26" l="1"/>
  <c r="AK3" i="22" s="1"/>
  <c r="AK7" i="22" s="1"/>
  <c r="AI14" i="5" s="1"/>
  <c r="AL42" i="26" l="1"/>
  <c r="AL3" i="22" s="1"/>
  <c r="AL7" i="22" s="1"/>
  <c r="AJ14" i="5" s="1"/>
  <c r="AM42" i="26" l="1"/>
  <c r="AM3" i="22" s="1"/>
  <c r="AM7" i="22" s="1"/>
  <c r="AK14" i="5" s="1"/>
  <c r="AN42" i="26" l="1"/>
  <c r="AN3" i="22" s="1"/>
  <c r="AN7" i="22" s="1"/>
  <c r="AL14" i="5" s="1"/>
  <c r="AO42" i="26" l="1"/>
  <c r="AO3" i="22" s="1"/>
  <c r="AO7" i="22" s="1"/>
  <c r="AM14" i="5" s="1"/>
  <c r="AP42" i="26" l="1"/>
  <c r="AP3" i="22" s="1"/>
  <c r="AP7" i="22" s="1"/>
  <c r="AN14" i="5" s="1"/>
  <c r="AQ42" i="26" l="1"/>
  <c r="AQ3" i="22" s="1"/>
  <c r="AQ7" i="22" s="1"/>
  <c r="AO14" i="5" s="1"/>
  <c r="AR42" i="26" l="1"/>
  <c r="AR3" i="22" s="1"/>
  <c r="AR7" i="22" s="1"/>
  <c r="AP14" i="5" s="1"/>
  <c r="AS42" i="26" l="1"/>
  <c r="AS3" i="22" s="1"/>
  <c r="AS7" i="22" s="1"/>
  <c r="AQ14" i="5" s="1"/>
  <c r="AT42" i="26" l="1"/>
  <c r="AT3" i="22" s="1"/>
  <c r="AT7" i="22" s="1"/>
  <c r="AR14" i="5" s="1"/>
  <c r="AU42" i="26" l="1"/>
  <c r="AU3" i="22" s="1"/>
  <c r="AU7" i="22" s="1"/>
  <c r="AS14" i="5" s="1"/>
  <c r="AV42" i="26" l="1"/>
  <c r="AV3" i="22" s="1"/>
  <c r="AV7" i="22" s="1"/>
  <c r="AT14" i="5" s="1"/>
  <c r="AW42" i="26" l="1"/>
  <c r="AW3" i="22" s="1"/>
  <c r="AW7" i="22" s="1"/>
  <c r="AU14" i="5" s="1"/>
  <c r="AX42" i="26" l="1"/>
  <c r="AX3" i="22" s="1"/>
  <c r="AX7" i="22" s="1"/>
  <c r="AV14" i="5" s="1"/>
  <c r="AY42" i="26" l="1"/>
  <c r="AY3" i="22" s="1"/>
  <c r="AY7" i="22" s="1"/>
  <c r="AW14" i="5" s="1"/>
  <c r="AZ42" i="26" l="1"/>
  <c r="AZ3" i="22" s="1"/>
  <c r="AZ7" i="22" s="1"/>
  <c r="AX14" i="5" s="1"/>
  <c r="BA42" i="26" l="1"/>
  <c r="BA3" i="22" s="1"/>
  <c r="BA7" i="22" s="1"/>
  <c r="AY14" i="5" s="1"/>
  <c r="BB42" i="26" l="1"/>
  <c r="BB3" i="22" s="1"/>
  <c r="BB7" i="22" s="1"/>
  <c r="AZ14" i="5" s="1"/>
  <c r="BC42" i="26" l="1"/>
  <c r="BC3" i="22" s="1"/>
  <c r="BC7" i="22" s="1"/>
  <c r="BA14" i="5" s="1"/>
  <c r="BD42" i="26" l="1"/>
  <c r="BD3" i="22" s="1"/>
  <c r="BD7" i="22" s="1"/>
  <c r="BB14" i="5" s="1"/>
  <c r="BE42" i="26" l="1"/>
  <c r="BE3" i="22" s="1"/>
  <c r="BE7" i="22" s="1"/>
  <c r="BC14" i="5" s="1"/>
  <c r="BF42" i="26" l="1"/>
  <c r="BF3" i="22" s="1"/>
  <c r="BF7" i="22" s="1"/>
  <c r="BD14" i="5" s="1"/>
  <c r="BG42" i="26" l="1"/>
  <c r="BG3" i="22" s="1"/>
  <c r="BG7" i="22" s="1"/>
  <c r="BE14" i="5" s="1"/>
  <c r="BH42" i="26" l="1"/>
  <c r="BH3" i="22" s="1"/>
  <c r="BH7" i="22" s="1"/>
  <c r="BF14" i="5" s="1"/>
  <c r="BI42" i="26" l="1"/>
  <c r="BI3" i="22" s="1"/>
  <c r="BI7" i="22" s="1"/>
  <c r="BG14" i="5" s="1"/>
  <c r="BJ42" i="26" l="1"/>
  <c r="BJ3" i="22" s="1"/>
  <c r="BJ7" i="22" s="1"/>
  <c r="BH14" i="5" s="1"/>
  <c r="BK42" i="26" l="1"/>
  <c r="BK3" i="22" s="1"/>
  <c r="BK7" i="22" s="1"/>
  <c r="BI14" i="5" s="1"/>
  <c r="BL42" i="26" l="1"/>
  <c r="BL3" i="22" s="1"/>
  <c r="BL7" i="22" s="1"/>
  <c r="BJ14" i="5" s="1"/>
  <c r="BM42" i="26" l="1"/>
  <c r="BM3" i="22" s="1"/>
  <c r="BM7" i="22" s="1"/>
  <c r="BK14" i="5" s="1"/>
  <c r="BN42" i="26" l="1"/>
  <c r="BN3" i="22" s="1"/>
  <c r="BN7" i="22" s="1"/>
  <c r="BL14" i="5" s="1"/>
  <c r="BO42" i="26" l="1"/>
  <c r="BO3" i="22" s="1"/>
  <c r="BO7" i="22" s="1"/>
  <c r="BM14" i="5" s="1"/>
  <c r="BP42" i="26" l="1"/>
  <c r="BP3" i="22" s="1"/>
  <c r="BP7" i="22" s="1"/>
  <c r="BN14" i="5" s="1"/>
  <c r="BQ42" i="26" l="1"/>
  <c r="BQ3" i="22" s="1"/>
  <c r="BQ7" i="22" s="1"/>
  <c r="BO14" i="5" s="1"/>
  <c r="BR42" i="26" l="1"/>
  <c r="BR3" i="22" s="1"/>
  <c r="BR7" i="22" s="1"/>
  <c r="BP14" i="5" s="1"/>
  <c r="BS42" i="26" l="1"/>
  <c r="BS3" i="22" s="1"/>
  <c r="BS7" i="22" s="1"/>
  <c r="BQ14" i="5" s="1"/>
  <c r="BT42" i="26" l="1"/>
  <c r="BT3" i="22" s="1"/>
  <c r="BT7" i="22" s="1"/>
  <c r="BR14" i="5" s="1"/>
  <c r="BU42" i="26" l="1"/>
  <c r="BU3" i="22" s="1"/>
  <c r="BU7" i="22" s="1"/>
  <c r="BS14" i="5" s="1"/>
  <c r="BV42" i="26" l="1"/>
  <c r="BV3" i="22" s="1"/>
  <c r="BV7" i="22" s="1"/>
  <c r="BT14" i="5" s="1"/>
  <c r="BW42" i="26" l="1"/>
  <c r="BW3" i="22" s="1"/>
  <c r="BW7" i="22" s="1"/>
  <c r="BU14" i="5" s="1"/>
  <c r="BX42" i="26" l="1"/>
  <c r="BX3" i="22" s="1"/>
  <c r="BX7" i="22" s="1"/>
  <c r="BV14" i="5" s="1"/>
  <c r="BY42" i="26" l="1"/>
  <c r="BY3" i="22" s="1"/>
  <c r="BY7" i="22" s="1"/>
  <c r="BW14" i="5" s="1"/>
  <c r="BZ42" i="26" l="1"/>
  <c r="BZ3" i="22" s="1"/>
  <c r="BZ7" i="22" s="1"/>
  <c r="BX14" i="5" s="1"/>
  <c r="CA42" i="26" l="1"/>
  <c r="CA3" i="22" s="1"/>
  <c r="CA7" i="22" s="1"/>
  <c r="BY14" i="5" s="1"/>
  <c r="CB42" i="26" l="1"/>
  <c r="CB3" i="22" s="1"/>
  <c r="CB7" i="22" s="1"/>
  <c r="BZ14" i="5" s="1"/>
  <c r="CC42" i="26" l="1"/>
  <c r="CC3" i="22" s="1"/>
  <c r="CC7" i="22" s="1"/>
  <c r="CA14" i="5" s="1"/>
  <c r="CD42" i="26" l="1"/>
  <c r="CD3" i="22" s="1"/>
  <c r="CD7" i="22" s="1"/>
  <c r="CB14" i="5" s="1"/>
  <c r="CE42" i="26" l="1"/>
  <c r="CE3" i="22" s="1"/>
  <c r="CE7" i="22" s="1"/>
  <c r="CC14" i="5" s="1"/>
  <c r="CF42" i="26" l="1"/>
  <c r="CF3" i="22" s="1"/>
  <c r="CF7" i="22" s="1"/>
  <c r="CD14" i="5" s="1"/>
  <c r="CG42" i="26" l="1"/>
  <c r="CG3" i="22" s="1"/>
  <c r="CG7" i="22" s="1"/>
  <c r="CE14" i="5" s="1"/>
  <c r="CH42" i="26" l="1"/>
  <c r="CH3" i="22" s="1"/>
  <c r="CH7" i="22" s="1"/>
  <c r="CF14" i="5" s="1"/>
  <c r="CI42" i="26" l="1"/>
  <c r="CI3" i="22" s="1"/>
  <c r="CI7" i="22" s="1"/>
  <c r="CG14" i="5" s="1"/>
  <c r="CJ42" i="26" l="1"/>
  <c r="CJ3" i="22" s="1"/>
  <c r="CJ7" i="22" s="1"/>
  <c r="CH14" i="5" s="1"/>
  <c r="CK42" i="26" l="1"/>
  <c r="CK3" i="22" s="1"/>
  <c r="CK7" i="22" s="1"/>
  <c r="CI14" i="5" s="1"/>
  <c r="CL42" i="26" l="1"/>
  <c r="CL3" i="22" s="1"/>
  <c r="CL7" i="22" s="1"/>
  <c r="CJ14" i="5" s="1"/>
  <c r="CM42" i="26" l="1"/>
  <c r="CM3" i="22" s="1"/>
  <c r="CM7" i="22" s="1"/>
  <c r="CK14" i="5" s="1"/>
  <c r="CN42" i="26" l="1"/>
  <c r="CN3" i="22" s="1"/>
  <c r="CN7" i="22" s="1"/>
  <c r="CL14" i="5" s="1"/>
  <c r="CO42" i="26" l="1"/>
  <c r="CO3" i="22" s="1"/>
  <c r="CO7" i="22" s="1"/>
  <c r="CM14" i="5" s="1"/>
  <c r="CP42" i="26" l="1"/>
  <c r="CP3" i="22" s="1"/>
  <c r="CP7" i="22" s="1"/>
  <c r="CN14" i="5" s="1"/>
  <c r="CQ42" i="26" l="1"/>
  <c r="CQ3" i="22" s="1"/>
  <c r="CQ7" i="22" s="1"/>
  <c r="CO14" i="5" s="1"/>
  <c r="CR42" i="26" l="1"/>
  <c r="CR3" i="22" s="1"/>
  <c r="CR7" i="22" s="1"/>
  <c r="CP14" i="5" s="1"/>
  <c r="CS42" i="26" l="1"/>
  <c r="CS3" i="22" s="1"/>
  <c r="CS7" i="22" s="1"/>
  <c r="CQ14" i="5" s="1"/>
  <c r="CT42" i="26" l="1"/>
  <c r="CT3" i="22" s="1"/>
  <c r="CT7" i="22" s="1"/>
  <c r="CR14" i="5" s="1"/>
  <c r="CU42" i="26" l="1"/>
  <c r="CU3" i="22" s="1"/>
  <c r="CU7" i="22" s="1"/>
  <c r="CS14" i="5" s="1"/>
  <c r="CV42" i="26" l="1"/>
  <c r="CV3" i="22" s="1"/>
  <c r="CV7" i="22" s="1"/>
  <c r="CT14" i="5" s="1"/>
  <c r="CW42" i="26" l="1"/>
  <c r="CW3" i="22" s="1"/>
  <c r="CW7" i="22" s="1"/>
  <c r="CU14" i="5" s="1"/>
  <c r="CY42" i="26" l="1"/>
  <c r="CY3" i="22" s="1"/>
  <c r="CX42" i="26"/>
  <c r="CX3" i="22" s="1"/>
  <c r="CX7" i="22" s="1"/>
  <c r="CV14" i="5" s="1"/>
  <c r="CZ3" i="22" l="1"/>
  <c r="CY7" i="22"/>
  <c r="CW14" i="5" s="1"/>
  <c r="DA3" i="22" l="1"/>
  <c r="CZ7" i="22"/>
  <c r="DB3" i="22" l="1"/>
  <c r="DA7" i="22"/>
  <c r="DC3" i="22" l="1"/>
  <c r="DB7" i="22"/>
  <c r="DD3" i="22" l="1"/>
  <c r="DC7" i="22"/>
  <c r="DD7" i="22" l="1"/>
  <c r="DE3" i="22"/>
  <c r="DE7" i="22" s="1"/>
  <c r="F2" i="23" l="1"/>
  <c r="H2" i="23"/>
  <c r="J2" i="23"/>
  <c r="K2" i="23"/>
  <c r="L2" i="23"/>
  <c r="N2" i="23"/>
  <c r="P2" i="23"/>
  <c r="R2" i="23"/>
  <c r="T2" i="23"/>
  <c r="V2" i="23"/>
  <c r="X2" i="23"/>
  <c r="Z2" i="23"/>
  <c r="AA2" i="23"/>
  <c r="AB2" i="23"/>
  <c r="AD2" i="23"/>
  <c r="AF2" i="23"/>
  <c r="AH2" i="23"/>
  <c r="AI2" i="23"/>
  <c r="AJ2" i="23"/>
  <c r="AL2" i="23"/>
  <c r="AN2" i="23"/>
  <c r="AP2" i="23"/>
  <c r="AR2" i="23"/>
  <c r="AT2" i="23"/>
  <c r="AV2" i="23"/>
  <c r="AX2" i="23"/>
  <c r="AY2" i="23"/>
  <c r="AZ2" i="23"/>
  <c r="BB2" i="23"/>
  <c r="BD2" i="23"/>
  <c r="BF2" i="23"/>
  <c r="BG2" i="23"/>
  <c r="BH2" i="23"/>
  <c r="BJ2" i="23"/>
  <c r="BL2" i="23"/>
  <c r="BN2" i="23"/>
  <c r="BO2" i="23"/>
  <c r="BP2" i="23"/>
  <c r="BR2" i="23"/>
  <c r="BT2" i="23"/>
  <c r="BV2" i="23"/>
  <c r="BW2" i="23"/>
  <c r="BX2" i="23"/>
  <c r="BZ2" i="23"/>
  <c r="CB2" i="23"/>
  <c r="CD2" i="23"/>
  <c r="CF2" i="23"/>
  <c r="CH2" i="23"/>
  <c r="CJ2" i="23"/>
  <c r="CL2" i="23"/>
  <c r="CM2" i="23"/>
  <c r="CN2" i="23"/>
  <c r="CP2" i="23"/>
  <c r="CR2" i="23"/>
  <c r="CT2" i="23"/>
  <c r="CU2" i="23"/>
  <c r="CV2" i="23"/>
  <c r="CX2" i="23"/>
  <c r="CZ2" i="23"/>
  <c r="DB2" i="23"/>
  <c r="CY2" i="23" l="1"/>
  <c r="CQ2" i="23"/>
  <c r="CI2" i="23"/>
  <c r="CE2" i="23"/>
  <c r="CA2" i="23"/>
  <c r="BS2" i="23"/>
  <c r="BK2" i="23"/>
  <c r="BC2" i="23"/>
  <c r="AU2" i="23"/>
  <c r="AQ2" i="23"/>
  <c r="AM2" i="23"/>
  <c r="AE2" i="23"/>
  <c r="W2" i="23"/>
  <c r="S2" i="23"/>
  <c r="O2" i="23"/>
  <c r="G2" i="23"/>
  <c r="DA2" i="23"/>
  <c r="CW2" i="23"/>
  <c r="CS2" i="23"/>
  <c r="CO2" i="23"/>
  <c r="CK2" i="23"/>
  <c r="CG2" i="23"/>
  <c r="CC2" i="23"/>
  <c r="BY2" i="23"/>
  <c r="BU2" i="23"/>
  <c r="BQ2" i="23"/>
  <c r="BM2" i="23"/>
  <c r="BI2" i="23"/>
  <c r="BE2" i="23"/>
  <c r="BA2" i="23"/>
  <c r="AW2" i="23"/>
  <c r="AS2" i="23"/>
  <c r="AO2" i="23"/>
  <c r="AK2" i="23"/>
  <c r="AG2" i="23"/>
  <c r="AC2" i="23"/>
  <c r="Y2" i="23"/>
  <c r="U2" i="23"/>
  <c r="Q2" i="23"/>
  <c r="M2" i="23"/>
  <c r="I2" i="23"/>
  <c r="E2" i="23"/>
  <c r="F52" i="10" l="1"/>
  <c r="F49" i="10"/>
  <c r="F48" i="10"/>
  <c r="F47" i="10"/>
  <c r="F46" i="10"/>
  <c r="F45" i="10"/>
  <c r="F44" i="10"/>
  <c r="F43" i="10"/>
  <c r="E50" i="10"/>
  <c r="E54" i="10" s="1"/>
  <c r="D50" i="10"/>
  <c r="D54" i="10" s="1"/>
  <c r="C50" i="10"/>
  <c r="C54" i="10" s="1"/>
  <c r="B50" i="10"/>
  <c r="B54" i="10" s="1"/>
  <c r="C28" i="10" l="1"/>
  <c r="C29" i="10"/>
  <c r="C27" i="10"/>
  <c r="F50" i="10"/>
  <c r="F54" i="10" s="1"/>
  <c r="J80" i="21"/>
  <c r="F80" i="21"/>
  <c r="B80" i="21"/>
  <c r="B21" i="18" s="1"/>
  <c r="L79" i="21"/>
  <c r="K80" i="21"/>
  <c r="K21" i="18" s="1"/>
  <c r="H80" i="21"/>
  <c r="G80" i="21"/>
  <c r="G21" i="18" s="1"/>
  <c r="H21" i="19" s="1"/>
  <c r="D80" i="21"/>
  <c r="D21" i="18" s="1"/>
  <c r="E21" i="19" s="1"/>
  <c r="C80" i="21"/>
  <c r="C21" i="18" s="1"/>
  <c r="D21" i="19" s="1"/>
  <c r="L77" i="21"/>
  <c r="I75" i="21"/>
  <c r="I10" i="18" s="1"/>
  <c r="J10" i="19" s="1"/>
  <c r="W34" i="5" s="1"/>
  <c r="E75" i="21"/>
  <c r="L74" i="21"/>
  <c r="K75" i="21"/>
  <c r="J75" i="21"/>
  <c r="J10" i="18" s="1"/>
  <c r="H75" i="21"/>
  <c r="G75" i="21"/>
  <c r="G10" i="18" s="1"/>
  <c r="F75" i="21"/>
  <c r="F10" i="18" s="1"/>
  <c r="D75" i="21"/>
  <c r="C75" i="21"/>
  <c r="C10" i="18" s="1"/>
  <c r="D10" i="19" s="1"/>
  <c r="Q34" i="5" s="1"/>
  <c r="B75" i="21"/>
  <c r="B10" i="18" s="1"/>
  <c r="K69" i="21"/>
  <c r="K20" i="18" s="1"/>
  <c r="G69" i="21"/>
  <c r="G20" i="18" s="1"/>
  <c r="C69" i="21"/>
  <c r="C20" i="18" s="1"/>
  <c r="L68" i="21"/>
  <c r="A68" i="21"/>
  <c r="L67" i="21"/>
  <c r="A67" i="21"/>
  <c r="L66" i="21"/>
  <c r="A66" i="21"/>
  <c r="L65" i="21"/>
  <c r="A65" i="21"/>
  <c r="L64" i="21"/>
  <c r="A64" i="21"/>
  <c r="L63" i="21"/>
  <c r="A63" i="21"/>
  <c r="L62" i="21"/>
  <c r="A62" i="21"/>
  <c r="L61" i="21"/>
  <c r="A61" i="21"/>
  <c r="L60" i="21"/>
  <c r="A60" i="21"/>
  <c r="L59" i="21"/>
  <c r="A59" i="21"/>
  <c r="L58" i="21"/>
  <c r="A58" i="21"/>
  <c r="L57" i="21"/>
  <c r="A57" i="21"/>
  <c r="L56" i="21"/>
  <c r="A56" i="21"/>
  <c r="L55" i="21"/>
  <c r="A55" i="21"/>
  <c r="L54" i="21"/>
  <c r="A54" i="21"/>
  <c r="L53" i="21"/>
  <c r="A53" i="21"/>
  <c r="L52" i="21"/>
  <c r="A52" i="21"/>
  <c r="L51" i="21"/>
  <c r="A51" i="21"/>
  <c r="J69" i="21"/>
  <c r="J20" i="18" s="1"/>
  <c r="I69" i="21"/>
  <c r="H69" i="21"/>
  <c r="H20" i="18" s="1"/>
  <c r="F69" i="21"/>
  <c r="F20" i="18" s="1"/>
  <c r="E69" i="21"/>
  <c r="E20" i="18" s="1"/>
  <c r="D69" i="21"/>
  <c r="D20" i="18" s="1"/>
  <c r="A50" i="21"/>
  <c r="C47" i="21"/>
  <c r="C9" i="18" s="1"/>
  <c r="L45" i="21"/>
  <c r="L43" i="21"/>
  <c r="L41" i="21"/>
  <c r="L39" i="21"/>
  <c r="L37" i="21"/>
  <c r="L35" i="21"/>
  <c r="L33" i="21"/>
  <c r="L30" i="21"/>
  <c r="L29" i="21"/>
  <c r="L28" i="21"/>
  <c r="I23" i="21"/>
  <c r="I19" i="18" s="1"/>
  <c r="J19" i="19" s="1"/>
  <c r="E23" i="21"/>
  <c r="I22" i="20"/>
  <c r="E22" i="20"/>
  <c r="E23" i="20" s="1"/>
  <c r="J23" i="21"/>
  <c r="H23" i="21"/>
  <c r="F23" i="21"/>
  <c r="F19" i="18" s="1"/>
  <c r="G19" i="19" s="1"/>
  <c r="D23" i="21"/>
  <c r="D19" i="18" s="1"/>
  <c r="E19" i="19" s="1"/>
  <c r="L21" i="21"/>
  <c r="G18" i="21"/>
  <c r="G8" i="18" s="1"/>
  <c r="E18" i="21"/>
  <c r="L17" i="21"/>
  <c r="J18" i="21"/>
  <c r="J8" i="18" s="1"/>
  <c r="L16" i="21"/>
  <c r="K18" i="21"/>
  <c r="K8" i="18" s="1"/>
  <c r="I18" i="21"/>
  <c r="H18" i="21"/>
  <c r="F18" i="21"/>
  <c r="D18" i="21"/>
  <c r="D8" i="18" s="1"/>
  <c r="E8" i="19" s="1"/>
  <c r="C18" i="21"/>
  <c r="H11" i="21"/>
  <c r="H18" i="18" s="1"/>
  <c r="L10" i="21"/>
  <c r="K11" i="21"/>
  <c r="K18" i="18" s="1"/>
  <c r="J11" i="21"/>
  <c r="J18" i="18" s="1"/>
  <c r="I11" i="21"/>
  <c r="I18" i="18" s="1"/>
  <c r="G11" i="21"/>
  <c r="G18" i="18" s="1"/>
  <c r="F11" i="21"/>
  <c r="F18" i="18" s="1"/>
  <c r="E11" i="21"/>
  <c r="D11" i="21"/>
  <c r="D18" i="18" s="1"/>
  <c r="C11" i="21"/>
  <c r="L9" i="21"/>
  <c r="L8" i="21"/>
  <c r="L14" i="21" s="1"/>
  <c r="L20" i="21" s="1"/>
  <c r="J8" i="21"/>
  <c r="J26" i="21" s="1"/>
  <c r="J49" i="21" s="1"/>
  <c r="J72" i="21" s="1"/>
  <c r="J77" i="21" s="1"/>
  <c r="H8" i="21"/>
  <c r="F8" i="21"/>
  <c r="F26" i="21" s="1"/>
  <c r="F49" i="21" s="1"/>
  <c r="F72" i="21" s="1"/>
  <c r="F77" i="21" s="1"/>
  <c r="D8" i="21"/>
  <c r="B8" i="21"/>
  <c r="B26" i="21" s="1"/>
  <c r="B49" i="21" s="1"/>
  <c r="B72" i="21" s="1"/>
  <c r="B77" i="21" s="1"/>
  <c r="F6" i="21"/>
  <c r="L4" i="21"/>
  <c r="K6" i="21"/>
  <c r="K7" i="18" s="1"/>
  <c r="J6" i="21"/>
  <c r="I6" i="21"/>
  <c r="I7" i="18" s="1"/>
  <c r="H6" i="21"/>
  <c r="G6" i="21"/>
  <c r="E6" i="21"/>
  <c r="E7" i="18" s="1"/>
  <c r="D6" i="21"/>
  <c r="C6" i="21"/>
  <c r="C7" i="18" s="1"/>
  <c r="B6" i="21"/>
  <c r="K8" i="21"/>
  <c r="K14" i="21" s="1"/>
  <c r="K20" i="21" s="1"/>
  <c r="I8" i="21"/>
  <c r="G8" i="21"/>
  <c r="E8" i="21"/>
  <c r="C8" i="21"/>
  <c r="C14" i="21" s="1"/>
  <c r="C20" i="21" s="1"/>
  <c r="C1" i="21"/>
  <c r="D1" i="21" s="1"/>
  <c r="D80" i="20"/>
  <c r="C80" i="20"/>
  <c r="B80" i="20"/>
  <c r="K79" i="20"/>
  <c r="J79" i="20"/>
  <c r="I79" i="20"/>
  <c r="H79" i="20"/>
  <c r="G79" i="20"/>
  <c r="F79" i="20"/>
  <c r="E79" i="20"/>
  <c r="J78" i="20"/>
  <c r="I78" i="20"/>
  <c r="H78" i="20"/>
  <c r="F78" i="20"/>
  <c r="E78" i="20"/>
  <c r="L77" i="20"/>
  <c r="D75" i="20"/>
  <c r="C75" i="20"/>
  <c r="K74" i="20"/>
  <c r="J74" i="20"/>
  <c r="I74" i="20"/>
  <c r="H74" i="20"/>
  <c r="G74" i="20"/>
  <c r="F74" i="20"/>
  <c r="E74" i="20"/>
  <c r="B74" i="20"/>
  <c r="K73" i="20"/>
  <c r="J73" i="20"/>
  <c r="I73" i="20"/>
  <c r="H73" i="20"/>
  <c r="G73" i="20"/>
  <c r="F73" i="20"/>
  <c r="E73" i="20"/>
  <c r="B73" i="20"/>
  <c r="C69" i="20"/>
  <c r="C20" i="19" s="1"/>
  <c r="K68" i="20"/>
  <c r="J68" i="20"/>
  <c r="I68" i="20"/>
  <c r="H68" i="20"/>
  <c r="G68" i="20"/>
  <c r="F68" i="20"/>
  <c r="E68" i="20"/>
  <c r="D68" i="20"/>
  <c r="B68" i="20"/>
  <c r="K67" i="20"/>
  <c r="J67" i="20"/>
  <c r="I67" i="20"/>
  <c r="H67" i="20"/>
  <c r="G67" i="20"/>
  <c r="F67" i="20"/>
  <c r="B67" i="20"/>
  <c r="K66" i="20"/>
  <c r="J66" i="20"/>
  <c r="I66" i="20"/>
  <c r="H66" i="20"/>
  <c r="G66" i="20"/>
  <c r="F66" i="20"/>
  <c r="E66" i="20"/>
  <c r="B66" i="20"/>
  <c r="K65" i="20"/>
  <c r="J65" i="20"/>
  <c r="I65" i="20"/>
  <c r="H65" i="20"/>
  <c r="G65" i="20"/>
  <c r="F65" i="20"/>
  <c r="B65" i="20"/>
  <c r="K64" i="20"/>
  <c r="J64" i="20"/>
  <c r="I64" i="20"/>
  <c r="H64" i="20"/>
  <c r="G64" i="20"/>
  <c r="F64" i="20"/>
  <c r="E64" i="20"/>
  <c r="B64" i="20"/>
  <c r="K63" i="20"/>
  <c r="J63" i="20"/>
  <c r="I63" i="20"/>
  <c r="H63" i="20"/>
  <c r="G63" i="20"/>
  <c r="F63" i="20"/>
  <c r="B63" i="20"/>
  <c r="K62" i="20"/>
  <c r="J62" i="20"/>
  <c r="I62" i="20"/>
  <c r="H62" i="20"/>
  <c r="G62" i="20"/>
  <c r="F62" i="20"/>
  <c r="E62" i="20"/>
  <c r="D62" i="20"/>
  <c r="B62" i="20"/>
  <c r="K61" i="20"/>
  <c r="J61" i="20"/>
  <c r="I61" i="20"/>
  <c r="H61" i="20"/>
  <c r="G61" i="20"/>
  <c r="F61" i="20"/>
  <c r="B61" i="20"/>
  <c r="K60" i="20"/>
  <c r="J60" i="20"/>
  <c r="I60" i="20"/>
  <c r="H60" i="20"/>
  <c r="G60" i="20"/>
  <c r="F60" i="20"/>
  <c r="B60" i="20"/>
  <c r="K59" i="20"/>
  <c r="J59" i="20"/>
  <c r="I59" i="20"/>
  <c r="H59" i="20"/>
  <c r="G59" i="20"/>
  <c r="F59" i="20"/>
  <c r="B59" i="20"/>
  <c r="K58" i="20"/>
  <c r="J58" i="20"/>
  <c r="I58" i="20"/>
  <c r="H58" i="20"/>
  <c r="G58" i="20"/>
  <c r="F58" i="20"/>
  <c r="B58" i="20"/>
  <c r="K57" i="20"/>
  <c r="J57" i="20"/>
  <c r="I57" i="20"/>
  <c r="H57" i="20"/>
  <c r="G57" i="20"/>
  <c r="F57" i="20"/>
  <c r="B57" i="20"/>
  <c r="K56" i="20"/>
  <c r="J56" i="20"/>
  <c r="I56" i="20"/>
  <c r="H56" i="20"/>
  <c r="G56" i="20"/>
  <c r="F56" i="20"/>
  <c r="E56" i="20"/>
  <c r="B56" i="20"/>
  <c r="K55" i="20"/>
  <c r="J55" i="20"/>
  <c r="I55" i="20"/>
  <c r="H55" i="20"/>
  <c r="G55" i="20"/>
  <c r="F55" i="20"/>
  <c r="E55" i="20"/>
  <c r="D55" i="20"/>
  <c r="B55" i="20"/>
  <c r="K54" i="20"/>
  <c r="J54" i="20"/>
  <c r="I54" i="20"/>
  <c r="H54" i="20"/>
  <c r="G54" i="20"/>
  <c r="F54" i="20"/>
  <c r="B54" i="20"/>
  <c r="K53" i="20"/>
  <c r="J53" i="20"/>
  <c r="I53" i="20"/>
  <c r="H53" i="20"/>
  <c r="G53" i="20"/>
  <c r="F53" i="20"/>
  <c r="E53" i="20"/>
  <c r="D53" i="20"/>
  <c r="B53" i="20"/>
  <c r="K52" i="20"/>
  <c r="J52" i="20"/>
  <c r="I52" i="20"/>
  <c r="H52" i="20"/>
  <c r="G52" i="20"/>
  <c r="F52" i="20"/>
  <c r="E52" i="20"/>
  <c r="D52" i="20"/>
  <c r="B52" i="20"/>
  <c r="K51" i="20"/>
  <c r="J51" i="20"/>
  <c r="I51" i="20"/>
  <c r="H51" i="20"/>
  <c r="G51" i="20"/>
  <c r="F51" i="20"/>
  <c r="B51" i="20"/>
  <c r="K50" i="20"/>
  <c r="J50" i="20"/>
  <c r="I50" i="20"/>
  <c r="H50" i="20"/>
  <c r="G50" i="20"/>
  <c r="F50" i="20"/>
  <c r="B50" i="20"/>
  <c r="C47" i="20"/>
  <c r="G46" i="20"/>
  <c r="F46" i="20"/>
  <c r="E46" i="20"/>
  <c r="D46" i="20"/>
  <c r="B46" i="20"/>
  <c r="K45" i="20"/>
  <c r="J45" i="20"/>
  <c r="I45" i="20"/>
  <c r="H45" i="20"/>
  <c r="G45" i="20"/>
  <c r="F45" i="20"/>
  <c r="E45" i="20"/>
  <c r="B45" i="20"/>
  <c r="K44" i="20"/>
  <c r="J44" i="20"/>
  <c r="I44" i="20"/>
  <c r="H44" i="20"/>
  <c r="G44" i="20"/>
  <c r="F44" i="20"/>
  <c r="E44" i="20"/>
  <c r="B44" i="20"/>
  <c r="K43" i="20"/>
  <c r="J43" i="20"/>
  <c r="I43" i="20"/>
  <c r="H43" i="20"/>
  <c r="G43" i="20"/>
  <c r="F43" i="20"/>
  <c r="E43" i="20"/>
  <c r="B43" i="20"/>
  <c r="K42" i="20"/>
  <c r="J42" i="20"/>
  <c r="I42" i="20"/>
  <c r="H42" i="20"/>
  <c r="G42" i="20"/>
  <c r="F42" i="20"/>
  <c r="E42" i="20"/>
  <c r="D42" i="20"/>
  <c r="B42" i="20"/>
  <c r="K41" i="20"/>
  <c r="J41" i="20"/>
  <c r="I41" i="20"/>
  <c r="H41" i="20"/>
  <c r="G41" i="20"/>
  <c r="F41" i="20"/>
  <c r="B41" i="20"/>
  <c r="K40" i="20"/>
  <c r="J40" i="20"/>
  <c r="I40" i="20"/>
  <c r="H40" i="20"/>
  <c r="G40" i="20"/>
  <c r="F40" i="20"/>
  <c r="E40" i="20"/>
  <c r="D40" i="20"/>
  <c r="B40" i="20"/>
  <c r="K39" i="20"/>
  <c r="J39" i="20"/>
  <c r="I39" i="20"/>
  <c r="H39" i="20"/>
  <c r="G39" i="20"/>
  <c r="F39" i="20"/>
  <c r="B39" i="20"/>
  <c r="K38" i="20"/>
  <c r="J38" i="20"/>
  <c r="I38" i="20"/>
  <c r="H38" i="20"/>
  <c r="G38" i="20"/>
  <c r="F38" i="20"/>
  <c r="E38" i="20"/>
  <c r="D38" i="20"/>
  <c r="B38" i="20"/>
  <c r="K37" i="20"/>
  <c r="J37" i="20"/>
  <c r="I37" i="20"/>
  <c r="H37" i="20"/>
  <c r="G37" i="20"/>
  <c r="F37" i="20"/>
  <c r="B37" i="20"/>
  <c r="K36" i="20"/>
  <c r="J36" i="20"/>
  <c r="I36" i="20"/>
  <c r="H36" i="20"/>
  <c r="G36" i="20"/>
  <c r="F36" i="20"/>
  <c r="B36" i="20"/>
  <c r="K35" i="20"/>
  <c r="J35" i="20"/>
  <c r="I35" i="20"/>
  <c r="H35" i="20"/>
  <c r="G35" i="20"/>
  <c r="F35" i="20"/>
  <c r="B35" i="20"/>
  <c r="K34" i="20"/>
  <c r="J34" i="20"/>
  <c r="I34" i="20"/>
  <c r="H34" i="20"/>
  <c r="G34" i="20"/>
  <c r="F34" i="20"/>
  <c r="E34" i="20"/>
  <c r="D34" i="20"/>
  <c r="B34" i="20"/>
  <c r="K33" i="20"/>
  <c r="J33" i="20"/>
  <c r="I33" i="20"/>
  <c r="H33" i="20"/>
  <c r="G33" i="20"/>
  <c r="F33" i="20"/>
  <c r="B33" i="20"/>
  <c r="K32" i="20"/>
  <c r="J32" i="20"/>
  <c r="I32" i="20"/>
  <c r="H32" i="20"/>
  <c r="G32" i="20"/>
  <c r="F32" i="20"/>
  <c r="E32" i="20"/>
  <c r="B32" i="20"/>
  <c r="K31" i="20"/>
  <c r="J31" i="20"/>
  <c r="I31" i="20"/>
  <c r="H31" i="20"/>
  <c r="G31" i="20"/>
  <c r="F31" i="20"/>
  <c r="E31" i="20"/>
  <c r="D31" i="20"/>
  <c r="B31" i="20"/>
  <c r="K30" i="20"/>
  <c r="J30" i="20"/>
  <c r="I30" i="20"/>
  <c r="H30" i="20"/>
  <c r="G30" i="20"/>
  <c r="F30" i="20"/>
  <c r="B30" i="20"/>
  <c r="K29" i="20"/>
  <c r="J29" i="20"/>
  <c r="I29" i="20"/>
  <c r="H29" i="20"/>
  <c r="G29" i="20"/>
  <c r="F29" i="20"/>
  <c r="E29" i="20"/>
  <c r="B29" i="20"/>
  <c r="K28" i="20"/>
  <c r="J28" i="20"/>
  <c r="I28" i="20"/>
  <c r="H28" i="20"/>
  <c r="G28" i="20"/>
  <c r="F28" i="20"/>
  <c r="E28" i="20"/>
  <c r="D28" i="20"/>
  <c r="B28" i="20"/>
  <c r="K27" i="20"/>
  <c r="J27" i="20"/>
  <c r="I27" i="20"/>
  <c r="H27" i="20"/>
  <c r="G27" i="20"/>
  <c r="F27" i="20"/>
  <c r="E27" i="20"/>
  <c r="B27" i="20"/>
  <c r="D23" i="20"/>
  <c r="C23" i="20"/>
  <c r="K22" i="20"/>
  <c r="J22" i="20"/>
  <c r="H22" i="20"/>
  <c r="G22" i="20"/>
  <c r="F22" i="20"/>
  <c r="B22" i="20"/>
  <c r="K21" i="20"/>
  <c r="J21" i="20"/>
  <c r="I21" i="20"/>
  <c r="H21" i="20"/>
  <c r="G21" i="20"/>
  <c r="F21" i="20"/>
  <c r="B21" i="20"/>
  <c r="C18" i="20"/>
  <c r="K17" i="20"/>
  <c r="J17" i="20"/>
  <c r="I17" i="20"/>
  <c r="H17" i="20"/>
  <c r="G17" i="20"/>
  <c r="F17" i="20"/>
  <c r="E17" i="20"/>
  <c r="D17" i="20"/>
  <c r="B17" i="20"/>
  <c r="K16" i="20"/>
  <c r="J16" i="20"/>
  <c r="I16" i="20"/>
  <c r="H16" i="20"/>
  <c r="G16" i="20"/>
  <c r="F16" i="20"/>
  <c r="E16" i="20"/>
  <c r="D16" i="20"/>
  <c r="B16" i="20"/>
  <c r="K15" i="20"/>
  <c r="J15" i="20"/>
  <c r="I15" i="20"/>
  <c r="H15" i="20"/>
  <c r="G15" i="20"/>
  <c r="F15" i="20"/>
  <c r="E15" i="20"/>
  <c r="D15" i="20"/>
  <c r="B15" i="20"/>
  <c r="D11" i="20"/>
  <c r="D18" i="19" s="1"/>
  <c r="C11" i="20"/>
  <c r="C18" i="19" s="1"/>
  <c r="K10" i="20"/>
  <c r="J10" i="20"/>
  <c r="I10" i="20"/>
  <c r="H10" i="20"/>
  <c r="G10" i="20"/>
  <c r="F10" i="20"/>
  <c r="E10" i="20"/>
  <c r="E11" i="20" s="1"/>
  <c r="B10" i="20"/>
  <c r="K9" i="20"/>
  <c r="J9" i="20"/>
  <c r="I9" i="20"/>
  <c r="H9" i="20"/>
  <c r="G9" i="20"/>
  <c r="F9" i="20"/>
  <c r="B9" i="20"/>
  <c r="C6" i="20"/>
  <c r="C7" i="19" s="1"/>
  <c r="AB46" i="8"/>
  <c r="K5" i="20"/>
  <c r="J5" i="20"/>
  <c r="I5" i="20"/>
  <c r="H5" i="20"/>
  <c r="G5" i="20"/>
  <c r="F5" i="20"/>
  <c r="E5" i="20"/>
  <c r="D5" i="20"/>
  <c r="B5" i="20"/>
  <c r="K4" i="20"/>
  <c r="J4" i="20"/>
  <c r="I4" i="20"/>
  <c r="H4" i="20"/>
  <c r="G4" i="20"/>
  <c r="F4" i="20"/>
  <c r="E4" i="20"/>
  <c r="B4" i="20"/>
  <c r="K3" i="20"/>
  <c r="J3" i="20"/>
  <c r="I3" i="20"/>
  <c r="H3" i="20"/>
  <c r="G3" i="20"/>
  <c r="F3" i="20"/>
  <c r="E3" i="20"/>
  <c r="D3" i="20"/>
  <c r="B3" i="20"/>
  <c r="L2" i="20"/>
  <c r="L8" i="20" s="1"/>
  <c r="K8" i="20"/>
  <c r="J8" i="20"/>
  <c r="I8" i="20"/>
  <c r="I14" i="20" s="1"/>
  <c r="I20" i="20" s="1"/>
  <c r="H8" i="20"/>
  <c r="H26" i="20" s="1"/>
  <c r="H49" i="20" s="1"/>
  <c r="H72" i="20" s="1"/>
  <c r="H77" i="20" s="1"/>
  <c r="G8" i="20"/>
  <c r="F8" i="20"/>
  <c r="E8" i="20"/>
  <c r="D8" i="20"/>
  <c r="D26" i="20" s="1"/>
  <c r="D49" i="20" s="1"/>
  <c r="D72" i="20" s="1"/>
  <c r="D77" i="20" s="1"/>
  <c r="C2" i="20"/>
  <c r="C8" i="20" s="1"/>
  <c r="B2" i="20"/>
  <c r="B8" i="20" s="1"/>
  <c r="B14" i="20" s="1"/>
  <c r="B20" i="20" s="1"/>
  <c r="C39" i="19"/>
  <c r="C32" i="19"/>
  <c r="C30" i="19"/>
  <c r="C28" i="19"/>
  <c r="C27" i="19"/>
  <c r="C26" i="19"/>
  <c r="C25" i="19"/>
  <c r="B21" i="19"/>
  <c r="E18" i="19"/>
  <c r="J17" i="19"/>
  <c r="F14" i="19"/>
  <c r="K6" i="19"/>
  <c r="J6" i="19"/>
  <c r="B6" i="19"/>
  <c r="G5" i="19"/>
  <c r="B4" i="19"/>
  <c r="G3" i="19"/>
  <c r="F3" i="19"/>
  <c r="K2" i="19"/>
  <c r="K13" i="19" s="1"/>
  <c r="K24" i="19" s="1"/>
  <c r="J2" i="19"/>
  <c r="J13" i="19" s="1"/>
  <c r="J24" i="19" s="1"/>
  <c r="I2" i="19"/>
  <c r="I13" i="19" s="1"/>
  <c r="I24" i="19" s="1"/>
  <c r="H2" i="19"/>
  <c r="H13" i="19" s="1"/>
  <c r="H24" i="19" s="1"/>
  <c r="G2" i="19"/>
  <c r="G13" i="19" s="1"/>
  <c r="G24" i="19" s="1"/>
  <c r="F2" i="19"/>
  <c r="F13" i="19" s="1"/>
  <c r="F24" i="19" s="1"/>
  <c r="E2" i="19"/>
  <c r="E13" i="19" s="1"/>
  <c r="E24" i="19" s="1"/>
  <c r="D2" i="19"/>
  <c r="D13" i="19" s="1"/>
  <c r="D24" i="19" s="1"/>
  <c r="C2" i="19"/>
  <c r="C13" i="19" s="1"/>
  <c r="C24" i="19" s="1"/>
  <c r="B2" i="19"/>
  <c r="B13" i="19" s="1"/>
  <c r="B24" i="19" s="1"/>
  <c r="F39" i="18"/>
  <c r="E39" i="18"/>
  <c r="D39" i="18"/>
  <c r="C39" i="18"/>
  <c r="B39" i="18"/>
  <c r="B30" i="18"/>
  <c r="B29" i="18"/>
  <c r="J28" i="18"/>
  <c r="I28" i="18"/>
  <c r="B28" i="18"/>
  <c r="G27" i="18"/>
  <c r="F27" i="18"/>
  <c r="K26" i="18"/>
  <c r="D26" i="18"/>
  <c r="C26" i="18"/>
  <c r="I25" i="18"/>
  <c r="H25" i="18"/>
  <c r="J21" i="18"/>
  <c r="K21" i="19" s="1"/>
  <c r="H21" i="18"/>
  <c r="I21" i="19" s="1"/>
  <c r="F21" i="18"/>
  <c r="G21" i="19" s="1"/>
  <c r="I20" i="18"/>
  <c r="J19" i="18"/>
  <c r="K19" i="19" s="1"/>
  <c r="H19" i="18"/>
  <c r="I19" i="19" s="1"/>
  <c r="E19" i="18"/>
  <c r="F19" i="19" s="1"/>
  <c r="E18" i="18"/>
  <c r="C18" i="18"/>
  <c r="K17" i="19"/>
  <c r="I17" i="19"/>
  <c r="H17" i="19"/>
  <c r="G17" i="19"/>
  <c r="F17" i="19"/>
  <c r="E17" i="19"/>
  <c r="D17" i="19"/>
  <c r="B17" i="19"/>
  <c r="K16" i="19"/>
  <c r="J16" i="19"/>
  <c r="I16" i="19"/>
  <c r="H16" i="19"/>
  <c r="G16" i="19"/>
  <c r="F16" i="19"/>
  <c r="E16" i="19"/>
  <c r="D16" i="19"/>
  <c r="B16" i="19"/>
  <c r="K15" i="19"/>
  <c r="J15" i="19"/>
  <c r="I15" i="19"/>
  <c r="H15" i="19"/>
  <c r="G15" i="19"/>
  <c r="F15" i="19"/>
  <c r="E15" i="19"/>
  <c r="D15" i="19"/>
  <c r="B15" i="19"/>
  <c r="D14" i="19"/>
  <c r="B14" i="19"/>
  <c r="K10" i="18"/>
  <c r="H10" i="18"/>
  <c r="E10" i="18"/>
  <c r="D10" i="18"/>
  <c r="I8" i="18"/>
  <c r="H8" i="18"/>
  <c r="F8" i="18"/>
  <c r="E8" i="18"/>
  <c r="C8" i="18"/>
  <c r="J7" i="18"/>
  <c r="H7" i="18"/>
  <c r="G7" i="18"/>
  <c r="F7" i="18"/>
  <c r="D7" i="18"/>
  <c r="G6" i="19"/>
  <c r="F6" i="19"/>
  <c r="K5" i="19"/>
  <c r="H5" i="19"/>
  <c r="E27" i="18"/>
  <c r="D5" i="19"/>
  <c r="B5" i="19"/>
  <c r="J26" i="18"/>
  <c r="J4" i="19"/>
  <c r="I4" i="19"/>
  <c r="H4" i="19"/>
  <c r="E4" i="19"/>
  <c r="D4" i="19"/>
  <c r="B26" i="18"/>
  <c r="J3" i="19"/>
  <c r="I3" i="19"/>
  <c r="E25" i="18"/>
  <c r="E3" i="19"/>
  <c r="K2" i="18"/>
  <c r="K13" i="18" s="1"/>
  <c r="K24" i="18" s="1"/>
  <c r="J2" i="18"/>
  <c r="J13" i="18" s="1"/>
  <c r="J24" i="18" s="1"/>
  <c r="I2" i="18"/>
  <c r="I13" i="18" s="1"/>
  <c r="I24" i="18" s="1"/>
  <c r="H2" i="18"/>
  <c r="H13" i="18" s="1"/>
  <c r="H24" i="18" s="1"/>
  <c r="G2" i="18"/>
  <c r="G13" i="18" s="1"/>
  <c r="G24" i="18" s="1"/>
  <c r="F2" i="18"/>
  <c r="F13" i="18" s="1"/>
  <c r="F24" i="18" s="1"/>
  <c r="E2" i="18"/>
  <c r="E13" i="18" s="1"/>
  <c r="E24" i="18" s="1"/>
  <c r="D2" i="18"/>
  <c r="D13" i="18" s="1"/>
  <c r="D24" i="18" s="1"/>
  <c r="C2" i="18"/>
  <c r="C13" i="18" s="1"/>
  <c r="C24" i="18" s="1"/>
  <c r="B13" i="18"/>
  <c r="B24" i="18" s="1"/>
  <c r="CY86" i="17"/>
  <c r="CX86" i="17"/>
  <c r="CW86" i="17"/>
  <c r="CV86" i="17"/>
  <c r="CU86" i="17"/>
  <c r="CT86" i="17"/>
  <c r="CS86" i="17"/>
  <c r="CR86" i="17"/>
  <c r="CQ86" i="17"/>
  <c r="CP86" i="17"/>
  <c r="CO86" i="17"/>
  <c r="CN86" i="17"/>
  <c r="CM86" i="17"/>
  <c r="CL86" i="17"/>
  <c r="CK86" i="17"/>
  <c r="CJ86" i="17"/>
  <c r="CI86" i="17"/>
  <c r="CH86" i="17"/>
  <c r="CG86" i="17"/>
  <c r="CF86" i="17"/>
  <c r="CE86" i="17"/>
  <c r="CD86" i="17"/>
  <c r="CC86" i="17"/>
  <c r="CB86" i="17"/>
  <c r="CA86" i="17"/>
  <c r="BZ86" i="17"/>
  <c r="BY86" i="17"/>
  <c r="BX86" i="17"/>
  <c r="BW86" i="17"/>
  <c r="BV86" i="17"/>
  <c r="BU86" i="17"/>
  <c r="BT86" i="17"/>
  <c r="BS86" i="17"/>
  <c r="BR86" i="17"/>
  <c r="BQ86" i="17"/>
  <c r="BP86" i="17"/>
  <c r="BO86" i="17"/>
  <c r="BN86" i="17"/>
  <c r="BM86" i="17"/>
  <c r="BL86" i="17"/>
  <c r="BK86" i="17"/>
  <c r="BJ86" i="17"/>
  <c r="BI86" i="17"/>
  <c r="BH86" i="17"/>
  <c r="BG86" i="17"/>
  <c r="BF86" i="17"/>
  <c r="BE86" i="17"/>
  <c r="BD86" i="17"/>
  <c r="BC86" i="17"/>
  <c r="BB86" i="17"/>
  <c r="BA86" i="17"/>
  <c r="AZ86" i="17"/>
  <c r="AY86" i="17"/>
  <c r="AX86" i="17"/>
  <c r="AW86" i="17"/>
  <c r="AV86" i="17"/>
  <c r="AU86" i="17"/>
  <c r="AT86" i="17"/>
  <c r="AS86" i="17"/>
  <c r="AR86" i="17"/>
  <c r="AQ86" i="17"/>
  <c r="AP86" i="17"/>
  <c r="AO86" i="17"/>
  <c r="AN86" i="17"/>
  <c r="AM86" i="17"/>
  <c r="AL86" i="17"/>
  <c r="AK86" i="17"/>
  <c r="AJ86" i="17"/>
  <c r="AI86" i="17"/>
  <c r="AH86" i="17"/>
  <c r="AG86" i="17"/>
  <c r="AF86" i="17"/>
  <c r="AE86" i="17"/>
  <c r="AD86" i="17"/>
  <c r="AC86" i="17"/>
  <c r="AB86" i="17"/>
  <c r="AA86" i="17"/>
  <c r="Z86" i="17"/>
  <c r="Y86" i="17"/>
  <c r="X86" i="17"/>
  <c r="W86" i="17"/>
  <c r="V86" i="17"/>
  <c r="U86" i="17"/>
  <c r="T86" i="17"/>
  <c r="S86" i="17"/>
  <c r="R86" i="17"/>
  <c r="Q86" i="17"/>
  <c r="P86" i="17"/>
  <c r="O86" i="17"/>
  <c r="N86" i="17"/>
  <c r="M86" i="17"/>
  <c r="L86" i="17"/>
  <c r="K86" i="17"/>
  <c r="J86" i="17"/>
  <c r="I86" i="17"/>
  <c r="H86" i="17"/>
  <c r="G86" i="17"/>
  <c r="F86" i="17"/>
  <c r="E86" i="17"/>
  <c r="D86" i="17"/>
  <c r="E85" i="17"/>
  <c r="AB84" i="17"/>
  <c r="AA84" i="17"/>
  <c r="Z84" i="17"/>
  <c r="Y84" i="17"/>
  <c r="X84" i="17"/>
  <c r="W84" i="17"/>
  <c r="V84" i="17"/>
  <c r="U84" i="17"/>
  <c r="T84" i="17"/>
  <c r="S84" i="17"/>
  <c r="R84" i="17"/>
  <c r="Q84" i="17"/>
  <c r="P84" i="17"/>
  <c r="O84" i="17"/>
  <c r="N84" i="17"/>
  <c r="M84" i="17"/>
  <c r="L84" i="17"/>
  <c r="K84" i="17"/>
  <c r="J84" i="17"/>
  <c r="I84" i="17"/>
  <c r="H84" i="17"/>
  <c r="G84" i="17"/>
  <c r="F84" i="17"/>
  <c r="E84" i="17"/>
  <c r="D84" i="17"/>
  <c r="CY83" i="17"/>
  <c r="CX83" i="17"/>
  <c r="CW83" i="17"/>
  <c r="CV83" i="17"/>
  <c r="CU83" i="17"/>
  <c r="CT83" i="17"/>
  <c r="CS83" i="17"/>
  <c r="CR83" i="17"/>
  <c r="CQ83" i="17"/>
  <c r="CP83" i="17"/>
  <c r="CO83" i="17"/>
  <c r="CN83" i="17"/>
  <c r="CM83" i="17"/>
  <c r="CL83" i="17"/>
  <c r="CK83" i="17"/>
  <c r="CJ83" i="17"/>
  <c r="CI83" i="17"/>
  <c r="CH83" i="17"/>
  <c r="CG83" i="17"/>
  <c r="CF83" i="17"/>
  <c r="CE83" i="17"/>
  <c r="CD83" i="17"/>
  <c r="CC83" i="17"/>
  <c r="CB83" i="17"/>
  <c r="CA83" i="17"/>
  <c r="BZ83" i="17"/>
  <c r="BY83" i="17"/>
  <c r="BX83" i="17"/>
  <c r="BW83" i="17"/>
  <c r="BV83" i="17"/>
  <c r="BU83" i="17"/>
  <c r="BT83" i="17"/>
  <c r="BS83" i="17"/>
  <c r="BR83" i="17"/>
  <c r="BQ83" i="17"/>
  <c r="BP83" i="17"/>
  <c r="BO83" i="17"/>
  <c r="BN83" i="17"/>
  <c r="BM83" i="17"/>
  <c r="BL83" i="17"/>
  <c r="BK83" i="17"/>
  <c r="BJ83" i="17"/>
  <c r="BI83" i="17"/>
  <c r="BH83" i="17"/>
  <c r="BG83" i="17"/>
  <c r="BF83" i="17"/>
  <c r="BE83" i="17"/>
  <c r="BD83" i="17"/>
  <c r="BC83" i="17"/>
  <c r="BB83" i="17"/>
  <c r="BA83" i="17"/>
  <c r="AZ83" i="17"/>
  <c r="AY83" i="17"/>
  <c r="AX83" i="17"/>
  <c r="AW83" i="17"/>
  <c r="AV83" i="17"/>
  <c r="AU83" i="17"/>
  <c r="AT83" i="17"/>
  <c r="AS83" i="17"/>
  <c r="AR83" i="17"/>
  <c r="AQ83" i="17"/>
  <c r="AP83" i="17"/>
  <c r="AO83" i="17"/>
  <c r="AN83" i="17"/>
  <c r="AM83" i="17"/>
  <c r="AL83" i="17"/>
  <c r="AK83" i="17"/>
  <c r="AJ83" i="17"/>
  <c r="AI83" i="17"/>
  <c r="AH83" i="17"/>
  <c r="AG83" i="17"/>
  <c r="AF83" i="17"/>
  <c r="AE83" i="17"/>
  <c r="AD83" i="17"/>
  <c r="AC83" i="17"/>
  <c r="AB83" i="17"/>
  <c r="AA83" i="17"/>
  <c r="Z83" i="17"/>
  <c r="Y83" i="17"/>
  <c r="X83" i="17"/>
  <c r="W83" i="17"/>
  <c r="V83" i="17"/>
  <c r="U83" i="17"/>
  <c r="T83" i="17"/>
  <c r="S83" i="17"/>
  <c r="R83" i="17"/>
  <c r="Q83" i="17"/>
  <c r="P83" i="17"/>
  <c r="O83" i="17"/>
  <c r="N83" i="17"/>
  <c r="M83" i="17"/>
  <c r="L83" i="17"/>
  <c r="K83" i="17"/>
  <c r="J83" i="17"/>
  <c r="I83" i="17"/>
  <c r="H83" i="17"/>
  <c r="G83" i="17"/>
  <c r="F83" i="17"/>
  <c r="E83" i="17"/>
  <c r="D83" i="17"/>
  <c r="E82" i="17"/>
  <c r="M81" i="17"/>
  <c r="L81" i="17"/>
  <c r="K81" i="17"/>
  <c r="J81" i="17"/>
  <c r="I81" i="17"/>
  <c r="H81" i="17"/>
  <c r="G81" i="17"/>
  <c r="F81" i="17"/>
  <c r="E81" i="17"/>
  <c r="D81" i="17"/>
  <c r="E78" i="17"/>
  <c r="D78" i="17"/>
  <c r="CY77" i="17"/>
  <c r="CX77" i="17"/>
  <c r="CW77" i="17"/>
  <c r="CV77" i="17"/>
  <c r="CU77" i="17"/>
  <c r="CT77" i="17"/>
  <c r="CS77" i="17"/>
  <c r="CR77" i="17"/>
  <c r="CQ77" i="17"/>
  <c r="CP77" i="17"/>
  <c r="CO77" i="17"/>
  <c r="CN77" i="17"/>
  <c r="CM77" i="17"/>
  <c r="CL77" i="17"/>
  <c r="CK77" i="17"/>
  <c r="CJ77" i="17"/>
  <c r="CI77" i="17"/>
  <c r="CH77" i="17"/>
  <c r="CG77" i="17"/>
  <c r="CF77" i="17"/>
  <c r="CE77" i="17"/>
  <c r="CD77" i="17"/>
  <c r="CC77" i="17"/>
  <c r="CB77" i="17"/>
  <c r="CA77" i="17"/>
  <c r="BZ77" i="17"/>
  <c r="BY77" i="17"/>
  <c r="BX77" i="17"/>
  <c r="BW77" i="17"/>
  <c r="BV77" i="17"/>
  <c r="BU77" i="17"/>
  <c r="BT77" i="17"/>
  <c r="BS77" i="17"/>
  <c r="BR77" i="17"/>
  <c r="BQ77" i="17"/>
  <c r="BP77" i="17"/>
  <c r="BO77" i="17"/>
  <c r="BN77" i="17"/>
  <c r="BM77" i="17"/>
  <c r="BL77" i="17"/>
  <c r="BK77" i="17"/>
  <c r="BJ77" i="17"/>
  <c r="BI77" i="17"/>
  <c r="BH77" i="17"/>
  <c r="BG77" i="17"/>
  <c r="BF77" i="17"/>
  <c r="BE77" i="17"/>
  <c r="BD77" i="17"/>
  <c r="BC77" i="17"/>
  <c r="BB77" i="17"/>
  <c r="BA77" i="17"/>
  <c r="AZ77" i="17"/>
  <c r="AY77" i="17"/>
  <c r="AX77" i="17"/>
  <c r="AW77" i="17"/>
  <c r="AV77" i="17"/>
  <c r="AU77" i="17"/>
  <c r="AT77" i="17"/>
  <c r="AS77" i="17"/>
  <c r="AR77" i="17"/>
  <c r="AQ77" i="17"/>
  <c r="AP77" i="17"/>
  <c r="AO77" i="17"/>
  <c r="AN77" i="17"/>
  <c r="AM77" i="17"/>
  <c r="AL77" i="17"/>
  <c r="AK77" i="17"/>
  <c r="AJ77" i="17"/>
  <c r="AI77" i="17"/>
  <c r="AH77" i="17"/>
  <c r="AG77" i="17"/>
  <c r="AF77" i="17"/>
  <c r="AE77" i="17"/>
  <c r="AD77" i="17"/>
  <c r="AC77" i="17"/>
  <c r="AB77" i="17"/>
  <c r="AA77" i="17"/>
  <c r="Z77" i="17"/>
  <c r="Y77" i="17"/>
  <c r="X77" i="17"/>
  <c r="W77" i="17"/>
  <c r="V77" i="17"/>
  <c r="U77" i="17"/>
  <c r="T77" i="17"/>
  <c r="S77" i="17"/>
  <c r="R77" i="17"/>
  <c r="Q77" i="17"/>
  <c r="P77" i="17"/>
  <c r="O77" i="17"/>
  <c r="N77" i="17"/>
  <c r="E77" i="17"/>
  <c r="D77" i="17"/>
  <c r="CY74" i="17"/>
  <c r="CX74" i="17"/>
  <c r="CW74" i="17"/>
  <c r="CV74" i="17"/>
  <c r="CU74" i="17"/>
  <c r="CT74" i="17"/>
  <c r="CS74" i="17"/>
  <c r="CR74" i="17"/>
  <c r="CQ74" i="17"/>
  <c r="CP74" i="17"/>
  <c r="CO74" i="17"/>
  <c r="CN74" i="17"/>
  <c r="CM74" i="17"/>
  <c r="CL74" i="17"/>
  <c r="CK74" i="17"/>
  <c r="CJ74" i="17"/>
  <c r="CI74" i="17"/>
  <c r="CH74" i="17"/>
  <c r="CG74" i="17"/>
  <c r="CF74" i="17"/>
  <c r="CE74" i="17"/>
  <c r="CD74" i="17"/>
  <c r="CC74" i="17"/>
  <c r="CB74" i="17"/>
  <c r="CA74" i="17"/>
  <c r="BZ74" i="17"/>
  <c r="BY74" i="17"/>
  <c r="BX74" i="17"/>
  <c r="BW74" i="17"/>
  <c r="BV74" i="17"/>
  <c r="BU74" i="17"/>
  <c r="BT74" i="17"/>
  <c r="BS74" i="17"/>
  <c r="BR74" i="17"/>
  <c r="BQ74" i="17"/>
  <c r="BP74" i="17"/>
  <c r="BO74" i="17"/>
  <c r="BN74" i="17"/>
  <c r="BM74" i="17"/>
  <c r="BL74" i="17"/>
  <c r="BK74" i="17"/>
  <c r="BJ74" i="17"/>
  <c r="BI74" i="17"/>
  <c r="BH74" i="17"/>
  <c r="BG74" i="17"/>
  <c r="BF74" i="17"/>
  <c r="BE74" i="17"/>
  <c r="BD74" i="17"/>
  <c r="BC74" i="17"/>
  <c r="BB74" i="17"/>
  <c r="BA74" i="17"/>
  <c r="AZ74" i="17"/>
  <c r="AY74" i="17"/>
  <c r="AX74" i="17"/>
  <c r="AW74" i="17"/>
  <c r="AV74" i="17"/>
  <c r="AU74" i="17"/>
  <c r="AT74" i="17"/>
  <c r="AS74" i="17"/>
  <c r="AR74" i="17"/>
  <c r="AQ74" i="17"/>
  <c r="AP74" i="17"/>
  <c r="AO74" i="17"/>
  <c r="AN74" i="17"/>
  <c r="AM74" i="17"/>
  <c r="AL74" i="17"/>
  <c r="AK74" i="17"/>
  <c r="AJ74" i="17"/>
  <c r="AI74" i="17"/>
  <c r="AH74" i="17"/>
  <c r="AG74" i="17"/>
  <c r="AF74" i="17"/>
  <c r="AE74" i="17"/>
  <c r="AD74" i="17"/>
  <c r="AC74" i="17"/>
  <c r="AB74" i="17"/>
  <c r="AA74" i="17"/>
  <c r="Z74" i="17"/>
  <c r="Y74" i="17"/>
  <c r="X74" i="17"/>
  <c r="W74" i="17"/>
  <c r="V74" i="17"/>
  <c r="U74" i="17"/>
  <c r="T74" i="17"/>
  <c r="S74" i="17"/>
  <c r="R74" i="17"/>
  <c r="Q74" i="17"/>
  <c r="P74" i="17"/>
  <c r="O74" i="17"/>
  <c r="N74" i="17"/>
  <c r="M74" i="17"/>
  <c r="L74" i="17"/>
  <c r="K74" i="17"/>
  <c r="DE38" i="16"/>
  <c r="DD38" i="16"/>
  <c r="DC38" i="16"/>
  <c r="DB38" i="16"/>
  <c r="DA38" i="16"/>
  <c r="CZ38" i="16"/>
  <c r="CY38" i="16"/>
  <c r="CX38" i="16"/>
  <c r="CW38" i="16"/>
  <c r="CV38" i="16"/>
  <c r="CU38" i="16"/>
  <c r="CT38" i="16"/>
  <c r="CS38" i="16"/>
  <c r="CR38" i="16"/>
  <c r="CQ38" i="16"/>
  <c r="CP38" i="16"/>
  <c r="CO38" i="16"/>
  <c r="CN38" i="16"/>
  <c r="CM38" i="16"/>
  <c r="CL38" i="16"/>
  <c r="CK38" i="16"/>
  <c r="CJ38" i="16"/>
  <c r="CI38" i="16"/>
  <c r="CH38" i="16"/>
  <c r="CG38" i="16"/>
  <c r="CF38" i="16"/>
  <c r="CE38" i="16"/>
  <c r="CD38" i="16"/>
  <c r="CC38" i="16"/>
  <c r="CB38" i="16"/>
  <c r="CA38" i="16"/>
  <c r="BZ38" i="16"/>
  <c r="BY38" i="16"/>
  <c r="BX38" i="16"/>
  <c r="BW38" i="16"/>
  <c r="BV38" i="16"/>
  <c r="BU38" i="16"/>
  <c r="BT38" i="16"/>
  <c r="BS38" i="16"/>
  <c r="BR38" i="16"/>
  <c r="BQ38" i="16"/>
  <c r="BP38" i="16"/>
  <c r="BO38" i="16"/>
  <c r="BN38" i="16"/>
  <c r="BM38" i="16"/>
  <c r="BL38" i="16"/>
  <c r="BK38" i="16"/>
  <c r="BJ38" i="16"/>
  <c r="BI38" i="16"/>
  <c r="BH38" i="16"/>
  <c r="BG38" i="16"/>
  <c r="BF38" i="16"/>
  <c r="BE38" i="16"/>
  <c r="BD38" i="16"/>
  <c r="BC38" i="16"/>
  <c r="BB38" i="16"/>
  <c r="BA38" i="16"/>
  <c r="AZ38" i="16"/>
  <c r="AY38" i="16"/>
  <c r="AX38" i="16"/>
  <c r="AW38" i="16"/>
  <c r="AV38" i="16"/>
  <c r="AU38" i="16"/>
  <c r="AT38" i="16"/>
  <c r="AS38" i="16"/>
  <c r="AR38" i="16"/>
  <c r="AQ38" i="16"/>
  <c r="AP38" i="16"/>
  <c r="AO38" i="16"/>
  <c r="AN38" i="16"/>
  <c r="AM38" i="16"/>
  <c r="AL38" i="16"/>
  <c r="AK38" i="16"/>
  <c r="AJ38" i="16"/>
  <c r="AI38" i="16"/>
  <c r="AH38" i="16"/>
  <c r="AG38" i="16"/>
  <c r="AF38" i="16"/>
  <c r="AE38" i="16"/>
  <c r="AD38" i="16"/>
  <c r="AC38" i="16"/>
  <c r="AB38" i="16"/>
  <c r="AA38" i="16"/>
  <c r="Z38" i="16"/>
  <c r="Y38" i="16"/>
  <c r="X38" i="16"/>
  <c r="W38" i="16"/>
  <c r="V38" i="16"/>
  <c r="U38" i="16"/>
  <c r="T38" i="16"/>
  <c r="S38" i="16"/>
  <c r="R38" i="16"/>
  <c r="Q38" i="16"/>
  <c r="P38" i="16"/>
  <c r="O38" i="16"/>
  <c r="N38" i="16"/>
  <c r="M38" i="16"/>
  <c r="L38" i="16"/>
  <c r="K38" i="16"/>
  <c r="J38" i="16"/>
  <c r="I38" i="16"/>
  <c r="H38" i="16"/>
  <c r="G38" i="16"/>
  <c r="F38" i="16"/>
  <c r="E38" i="16"/>
  <c r="D38" i="16"/>
  <c r="C38" i="16"/>
  <c r="B38" i="16"/>
  <c r="DE25" i="16"/>
  <c r="DD25" i="16"/>
  <c r="DC25" i="16"/>
  <c r="DB25" i="16"/>
  <c r="DA25" i="16"/>
  <c r="CZ25" i="16"/>
  <c r="CY25" i="16"/>
  <c r="CX25" i="16"/>
  <c r="CW25" i="16"/>
  <c r="CV25" i="16"/>
  <c r="CU25" i="16"/>
  <c r="CT25" i="16"/>
  <c r="CS25" i="16"/>
  <c r="CR25" i="16"/>
  <c r="CQ25" i="16"/>
  <c r="CP25" i="16"/>
  <c r="CO25" i="16"/>
  <c r="CN25" i="16"/>
  <c r="CM25" i="16"/>
  <c r="CL25" i="16"/>
  <c r="CK25" i="16"/>
  <c r="CJ25" i="16"/>
  <c r="CI25" i="16"/>
  <c r="CH25" i="16"/>
  <c r="CG25" i="16"/>
  <c r="CF25" i="16"/>
  <c r="CE25" i="16"/>
  <c r="CD25" i="16"/>
  <c r="CC25" i="16"/>
  <c r="CB25" i="16"/>
  <c r="CA25" i="16"/>
  <c r="BZ25" i="16"/>
  <c r="BY25" i="16"/>
  <c r="BX25" i="16"/>
  <c r="BW25" i="16"/>
  <c r="BV25" i="16"/>
  <c r="BU25" i="16"/>
  <c r="BT25" i="16"/>
  <c r="BS25" i="16"/>
  <c r="BR25" i="16"/>
  <c r="BQ25" i="16"/>
  <c r="BP25" i="16"/>
  <c r="BO25" i="16"/>
  <c r="BN25" i="16"/>
  <c r="BM25" i="16"/>
  <c r="BL25" i="16"/>
  <c r="BK25" i="16"/>
  <c r="BJ25" i="16"/>
  <c r="BI25" i="16"/>
  <c r="BH25" i="16"/>
  <c r="BG25" i="16"/>
  <c r="BF25" i="16"/>
  <c r="BE25" i="16"/>
  <c r="BD25" i="16"/>
  <c r="BC25" i="16"/>
  <c r="BB25" i="16"/>
  <c r="BA25" i="16"/>
  <c r="AZ25" i="16"/>
  <c r="AY25" i="16"/>
  <c r="AX25" i="16"/>
  <c r="AW25" i="16"/>
  <c r="AV25" i="16"/>
  <c r="AU25" i="16"/>
  <c r="AT25" i="16"/>
  <c r="AS25" i="16"/>
  <c r="AR25" i="16"/>
  <c r="AQ25" i="16"/>
  <c r="AP25" i="16"/>
  <c r="AO25" i="16"/>
  <c r="AN25" i="16"/>
  <c r="AM25" i="16"/>
  <c r="AL25" i="16"/>
  <c r="AK25" i="16"/>
  <c r="AJ25" i="16"/>
  <c r="AI25" i="16"/>
  <c r="AH25" i="16"/>
  <c r="AG25" i="16"/>
  <c r="AF25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S25" i="16"/>
  <c r="R25" i="16"/>
  <c r="Q25" i="16"/>
  <c r="P25" i="16"/>
  <c r="O25" i="16"/>
  <c r="N25" i="16"/>
  <c r="M25" i="16"/>
  <c r="L25" i="16"/>
  <c r="K25" i="16"/>
  <c r="J25" i="16"/>
  <c r="I25" i="16"/>
  <c r="H25" i="16"/>
  <c r="G25" i="16"/>
  <c r="F25" i="16"/>
  <c r="E25" i="16"/>
  <c r="D25" i="16"/>
  <c r="C25" i="16"/>
  <c r="B25" i="16"/>
  <c r="DE12" i="16"/>
  <c r="DD12" i="16"/>
  <c r="DC12" i="16"/>
  <c r="DB12" i="16"/>
  <c r="DA12" i="16"/>
  <c r="CZ12" i="16"/>
  <c r="CY12" i="16"/>
  <c r="CX12" i="16"/>
  <c r="CW12" i="16"/>
  <c r="CV12" i="16"/>
  <c r="CU12" i="16"/>
  <c r="CT12" i="16"/>
  <c r="CS12" i="16"/>
  <c r="CR12" i="16"/>
  <c r="CQ12" i="16"/>
  <c r="CP12" i="16"/>
  <c r="CO12" i="16"/>
  <c r="CN12" i="16"/>
  <c r="CM12" i="16"/>
  <c r="CL12" i="16"/>
  <c r="CK12" i="16"/>
  <c r="CJ12" i="16"/>
  <c r="CI12" i="16"/>
  <c r="CH12" i="16"/>
  <c r="CG12" i="16"/>
  <c r="CF12" i="16"/>
  <c r="CE12" i="16"/>
  <c r="CD12" i="16"/>
  <c r="CC12" i="16"/>
  <c r="CB12" i="16"/>
  <c r="CA12" i="16"/>
  <c r="BZ12" i="16"/>
  <c r="BY12" i="16"/>
  <c r="BX12" i="16"/>
  <c r="BW12" i="16"/>
  <c r="BV12" i="16"/>
  <c r="BU12" i="16"/>
  <c r="BT12" i="16"/>
  <c r="BS12" i="16"/>
  <c r="BR12" i="16"/>
  <c r="BQ12" i="16"/>
  <c r="BP12" i="16"/>
  <c r="BO12" i="16"/>
  <c r="BN12" i="16"/>
  <c r="BM12" i="16"/>
  <c r="BL12" i="16"/>
  <c r="BK12" i="16"/>
  <c r="BJ12" i="16"/>
  <c r="BI12" i="16"/>
  <c r="BH12" i="16"/>
  <c r="BG12" i="16"/>
  <c r="BF12" i="16"/>
  <c r="BE12" i="16"/>
  <c r="BD12" i="16"/>
  <c r="BC12" i="16"/>
  <c r="BB12" i="16"/>
  <c r="BA12" i="16"/>
  <c r="AZ12" i="16"/>
  <c r="AY12" i="16"/>
  <c r="AX12" i="16"/>
  <c r="AW12" i="16"/>
  <c r="AV12" i="16"/>
  <c r="AU12" i="16"/>
  <c r="AT12" i="16"/>
  <c r="AS12" i="16"/>
  <c r="AR12" i="16"/>
  <c r="AQ12" i="16"/>
  <c r="AP12" i="16"/>
  <c r="AO12" i="16"/>
  <c r="AN12" i="16"/>
  <c r="AM12" i="16"/>
  <c r="AL12" i="16"/>
  <c r="AK12" i="16"/>
  <c r="AJ12" i="16"/>
  <c r="AI12" i="16"/>
  <c r="AH12" i="16"/>
  <c r="AG12" i="16"/>
  <c r="AF12" i="16"/>
  <c r="AE12" i="16"/>
  <c r="AD12" i="16"/>
  <c r="AC12" i="16"/>
  <c r="AB12" i="16"/>
  <c r="AA12" i="16"/>
  <c r="Z12" i="16"/>
  <c r="Y12" i="16"/>
  <c r="X12" i="16"/>
  <c r="W12" i="16"/>
  <c r="V12" i="16"/>
  <c r="U12" i="16"/>
  <c r="T12" i="16"/>
  <c r="S12" i="16"/>
  <c r="R12" i="16"/>
  <c r="Q12" i="16"/>
  <c r="P12" i="16"/>
  <c r="O12" i="16"/>
  <c r="N12" i="16"/>
  <c r="M12" i="16"/>
  <c r="L12" i="16"/>
  <c r="K12" i="16"/>
  <c r="J12" i="16"/>
  <c r="I12" i="16"/>
  <c r="H12" i="16"/>
  <c r="G12" i="16"/>
  <c r="F12" i="16"/>
  <c r="E12" i="16"/>
  <c r="D12" i="16"/>
  <c r="C12" i="16"/>
  <c r="B12" i="16"/>
  <c r="DE14" i="16"/>
  <c r="DE27" i="16" s="1"/>
  <c r="DD14" i="16"/>
  <c r="DD27" i="16" s="1"/>
  <c r="DC14" i="16"/>
  <c r="DC27" i="16" s="1"/>
  <c r="DB14" i="16"/>
  <c r="DB27" i="16" s="1"/>
  <c r="DA14" i="16"/>
  <c r="DA27" i="16" s="1"/>
  <c r="CZ14" i="16"/>
  <c r="CZ27" i="16" s="1"/>
  <c r="CY14" i="16"/>
  <c r="CY27" i="16" s="1"/>
  <c r="CX14" i="16"/>
  <c r="CX27" i="16" s="1"/>
  <c r="CW14" i="16"/>
  <c r="CW27" i="16" s="1"/>
  <c r="CV14" i="16"/>
  <c r="CV27" i="16" s="1"/>
  <c r="CU14" i="16"/>
  <c r="CU27" i="16" s="1"/>
  <c r="CT14" i="16"/>
  <c r="CT27" i="16" s="1"/>
  <c r="CS14" i="16"/>
  <c r="CS27" i="16" s="1"/>
  <c r="CR14" i="16"/>
  <c r="CR27" i="16" s="1"/>
  <c r="CQ14" i="16"/>
  <c r="CQ27" i="16" s="1"/>
  <c r="CP14" i="16"/>
  <c r="CP27" i="16" s="1"/>
  <c r="CO14" i="16"/>
  <c r="CO27" i="16" s="1"/>
  <c r="CN14" i="16"/>
  <c r="CN27" i="16" s="1"/>
  <c r="CM14" i="16"/>
  <c r="CM27" i="16" s="1"/>
  <c r="CL14" i="16"/>
  <c r="CL27" i="16" s="1"/>
  <c r="CK14" i="16"/>
  <c r="CK27" i="16" s="1"/>
  <c r="CJ14" i="16"/>
  <c r="CJ27" i="16" s="1"/>
  <c r="CI14" i="16"/>
  <c r="CI27" i="16" s="1"/>
  <c r="CH14" i="16"/>
  <c r="CH27" i="16" s="1"/>
  <c r="CG14" i="16"/>
  <c r="CG27" i="16" s="1"/>
  <c r="CF14" i="16"/>
  <c r="CF27" i="16" s="1"/>
  <c r="CE14" i="16"/>
  <c r="CE27" i="16" s="1"/>
  <c r="CD14" i="16"/>
  <c r="CD27" i="16" s="1"/>
  <c r="CC14" i="16"/>
  <c r="CC27" i="16" s="1"/>
  <c r="CB14" i="16"/>
  <c r="CB27" i="16" s="1"/>
  <c r="CA14" i="16"/>
  <c r="CA27" i="16" s="1"/>
  <c r="BZ14" i="16"/>
  <c r="BZ27" i="16" s="1"/>
  <c r="BY14" i="16"/>
  <c r="BY27" i="16" s="1"/>
  <c r="BX14" i="16"/>
  <c r="BX27" i="16" s="1"/>
  <c r="BW14" i="16"/>
  <c r="BW27" i="16" s="1"/>
  <c r="BV14" i="16"/>
  <c r="BV27" i="16" s="1"/>
  <c r="BU14" i="16"/>
  <c r="BU27" i="16" s="1"/>
  <c r="BT14" i="16"/>
  <c r="BT27" i="16" s="1"/>
  <c r="BS14" i="16"/>
  <c r="BS27" i="16" s="1"/>
  <c r="BR14" i="16"/>
  <c r="BR27" i="16" s="1"/>
  <c r="BQ14" i="16"/>
  <c r="BQ27" i="16" s="1"/>
  <c r="BP14" i="16"/>
  <c r="BP27" i="16" s="1"/>
  <c r="BO14" i="16"/>
  <c r="BO27" i="16" s="1"/>
  <c r="BN14" i="16"/>
  <c r="BN27" i="16" s="1"/>
  <c r="BM14" i="16"/>
  <c r="BM27" i="16" s="1"/>
  <c r="BL14" i="16"/>
  <c r="BL27" i="16" s="1"/>
  <c r="BK14" i="16"/>
  <c r="BK27" i="16" s="1"/>
  <c r="BJ14" i="16"/>
  <c r="BJ27" i="16" s="1"/>
  <c r="BI14" i="16"/>
  <c r="BI27" i="16" s="1"/>
  <c r="BH14" i="16"/>
  <c r="BH27" i="16" s="1"/>
  <c r="BG14" i="16"/>
  <c r="BG27" i="16" s="1"/>
  <c r="BF14" i="16"/>
  <c r="BF27" i="16" s="1"/>
  <c r="BE14" i="16"/>
  <c r="BE27" i="16" s="1"/>
  <c r="BD14" i="16"/>
  <c r="BD27" i="16" s="1"/>
  <c r="BC14" i="16"/>
  <c r="BC27" i="16" s="1"/>
  <c r="BB14" i="16"/>
  <c r="BB27" i="16" s="1"/>
  <c r="BA14" i="16"/>
  <c r="BA27" i="16" s="1"/>
  <c r="AZ14" i="16"/>
  <c r="AZ27" i="16" s="1"/>
  <c r="AY14" i="16"/>
  <c r="AY27" i="16" s="1"/>
  <c r="AX14" i="16"/>
  <c r="AX27" i="16" s="1"/>
  <c r="AW14" i="16"/>
  <c r="AW27" i="16" s="1"/>
  <c r="AV14" i="16"/>
  <c r="AV27" i="16" s="1"/>
  <c r="AU14" i="16"/>
  <c r="AU27" i="16" s="1"/>
  <c r="AT14" i="16"/>
  <c r="AT27" i="16" s="1"/>
  <c r="AS14" i="16"/>
  <c r="AS27" i="16" s="1"/>
  <c r="AR14" i="16"/>
  <c r="AR27" i="16" s="1"/>
  <c r="AQ14" i="16"/>
  <c r="AQ27" i="16" s="1"/>
  <c r="AP14" i="16"/>
  <c r="AP27" i="16" s="1"/>
  <c r="AO14" i="16"/>
  <c r="AO27" i="16" s="1"/>
  <c r="AN14" i="16"/>
  <c r="AN27" i="16" s="1"/>
  <c r="AM14" i="16"/>
  <c r="AM27" i="16" s="1"/>
  <c r="AL14" i="16"/>
  <c r="AL27" i="16" s="1"/>
  <c r="AK14" i="16"/>
  <c r="AK27" i="16" s="1"/>
  <c r="AJ14" i="16"/>
  <c r="AJ27" i="16" s="1"/>
  <c r="AI14" i="16"/>
  <c r="AI27" i="16" s="1"/>
  <c r="AH14" i="16"/>
  <c r="AH27" i="16" s="1"/>
  <c r="AG14" i="16"/>
  <c r="AG27" i="16" s="1"/>
  <c r="AF14" i="16"/>
  <c r="AF27" i="16" s="1"/>
  <c r="AE14" i="16"/>
  <c r="AE27" i="16" s="1"/>
  <c r="AD14" i="16"/>
  <c r="AD27" i="16" s="1"/>
  <c r="AC14" i="16"/>
  <c r="AC27" i="16" s="1"/>
  <c r="AB14" i="16"/>
  <c r="AB27" i="16" s="1"/>
  <c r="AA14" i="16"/>
  <c r="AA27" i="16" s="1"/>
  <c r="Z14" i="16"/>
  <c r="Z27" i="16" s="1"/>
  <c r="Y14" i="16"/>
  <c r="Y27" i="16" s="1"/>
  <c r="X14" i="16"/>
  <c r="X27" i="16" s="1"/>
  <c r="W14" i="16"/>
  <c r="W27" i="16" s="1"/>
  <c r="V14" i="16"/>
  <c r="V27" i="16" s="1"/>
  <c r="U14" i="16"/>
  <c r="U27" i="16" s="1"/>
  <c r="T14" i="16"/>
  <c r="T27" i="16" s="1"/>
  <c r="S14" i="16"/>
  <c r="S27" i="16" s="1"/>
  <c r="R14" i="16"/>
  <c r="R27" i="16" s="1"/>
  <c r="Q14" i="16"/>
  <c r="Q27" i="16" s="1"/>
  <c r="P14" i="16"/>
  <c r="P27" i="16" s="1"/>
  <c r="O14" i="16"/>
  <c r="O27" i="16" s="1"/>
  <c r="N14" i="16"/>
  <c r="N27" i="16" s="1"/>
  <c r="M14" i="16"/>
  <c r="M27" i="16" s="1"/>
  <c r="L14" i="16"/>
  <c r="L27" i="16" s="1"/>
  <c r="K14" i="16"/>
  <c r="K27" i="16" s="1"/>
  <c r="J14" i="16"/>
  <c r="J27" i="16" s="1"/>
  <c r="I14" i="16"/>
  <c r="I27" i="16" s="1"/>
  <c r="H14" i="16"/>
  <c r="H27" i="16" s="1"/>
  <c r="G14" i="16"/>
  <c r="G27" i="16" s="1"/>
  <c r="F14" i="16"/>
  <c r="F27" i="16" s="1"/>
  <c r="E14" i="16"/>
  <c r="E27" i="16" s="1"/>
  <c r="D14" i="16"/>
  <c r="D27" i="16" s="1"/>
  <c r="C14" i="16"/>
  <c r="C27" i="16" s="1"/>
  <c r="B14" i="16"/>
  <c r="B27" i="16" s="1"/>
  <c r="DE38" i="15"/>
  <c r="DD38" i="15"/>
  <c r="DC38" i="15"/>
  <c r="DB38" i="15"/>
  <c r="DA38" i="15"/>
  <c r="CZ38" i="15"/>
  <c r="CY38" i="15"/>
  <c r="CX38" i="15"/>
  <c r="CW38" i="15"/>
  <c r="CV38" i="15"/>
  <c r="CU38" i="15"/>
  <c r="CT38" i="15"/>
  <c r="CS38" i="15"/>
  <c r="CR38" i="15"/>
  <c r="CQ38" i="15"/>
  <c r="CP38" i="15"/>
  <c r="CO38" i="15"/>
  <c r="CN38" i="15"/>
  <c r="CM38" i="15"/>
  <c r="CL38" i="15"/>
  <c r="CK38" i="15"/>
  <c r="CJ38" i="15"/>
  <c r="CI38" i="15"/>
  <c r="CH38" i="15"/>
  <c r="CG38" i="15"/>
  <c r="CF38" i="15"/>
  <c r="CE38" i="15"/>
  <c r="CD38" i="15"/>
  <c r="CC38" i="15"/>
  <c r="CB38" i="15"/>
  <c r="CA38" i="15"/>
  <c r="BZ38" i="15"/>
  <c r="BY38" i="15"/>
  <c r="BX38" i="15"/>
  <c r="BW38" i="15"/>
  <c r="BV38" i="15"/>
  <c r="BU38" i="15"/>
  <c r="BT38" i="15"/>
  <c r="BS38" i="15"/>
  <c r="BR38" i="15"/>
  <c r="BQ38" i="15"/>
  <c r="BP38" i="15"/>
  <c r="BO38" i="15"/>
  <c r="BN38" i="15"/>
  <c r="BM38" i="15"/>
  <c r="BL38" i="15"/>
  <c r="BK38" i="15"/>
  <c r="BJ38" i="15"/>
  <c r="BI38" i="15"/>
  <c r="BH38" i="15"/>
  <c r="BG38" i="15"/>
  <c r="BF38" i="15"/>
  <c r="BE38" i="15"/>
  <c r="BD38" i="15"/>
  <c r="BC38" i="15"/>
  <c r="BB38" i="15"/>
  <c r="BA38" i="15"/>
  <c r="AZ38" i="15"/>
  <c r="AY38" i="15"/>
  <c r="AX38" i="15"/>
  <c r="AW38" i="15"/>
  <c r="AV38" i="15"/>
  <c r="AU38" i="15"/>
  <c r="AT38" i="15"/>
  <c r="AS38" i="15"/>
  <c r="AR38" i="15"/>
  <c r="AQ38" i="15"/>
  <c r="AP38" i="15"/>
  <c r="AO38" i="15"/>
  <c r="AN38" i="15"/>
  <c r="AM38" i="15"/>
  <c r="AL38" i="15"/>
  <c r="AK38" i="15"/>
  <c r="AJ38" i="15"/>
  <c r="AI38" i="15"/>
  <c r="AH38" i="15"/>
  <c r="AG38" i="15"/>
  <c r="AF38" i="15"/>
  <c r="AE38" i="15"/>
  <c r="AD38" i="15"/>
  <c r="AC38" i="15"/>
  <c r="AB38" i="15"/>
  <c r="AA38" i="15"/>
  <c r="Z38" i="15"/>
  <c r="Y38" i="15"/>
  <c r="X38" i="15"/>
  <c r="W38" i="15"/>
  <c r="V38" i="15"/>
  <c r="U38" i="15"/>
  <c r="T38" i="15"/>
  <c r="S38" i="15"/>
  <c r="R38" i="15"/>
  <c r="Q38" i="15"/>
  <c r="P38" i="15"/>
  <c r="O38" i="15"/>
  <c r="N38" i="15"/>
  <c r="M38" i="15"/>
  <c r="L38" i="15"/>
  <c r="K38" i="15"/>
  <c r="J38" i="15"/>
  <c r="I38" i="15"/>
  <c r="H38" i="15"/>
  <c r="G38" i="15"/>
  <c r="F38" i="15"/>
  <c r="E38" i="15"/>
  <c r="D38" i="15"/>
  <c r="C38" i="15"/>
  <c r="B38" i="15"/>
  <c r="DE25" i="15"/>
  <c r="DD25" i="15"/>
  <c r="DC25" i="15"/>
  <c r="DB25" i="15"/>
  <c r="DA25" i="15"/>
  <c r="CZ25" i="15"/>
  <c r="CY25" i="15"/>
  <c r="CX25" i="15"/>
  <c r="CW25" i="15"/>
  <c r="CV25" i="15"/>
  <c r="CU25" i="15"/>
  <c r="CT25" i="15"/>
  <c r="CS25" i="15"/>
  <c r="CR25" i="15"/>
  <c r="CQ25" i="15"/>
  <c r="CP25" i="15"/>
  <c r="CO25" i="15"/>
  <c r="CN25" i="15"/>
  <c r="CM25" i="15"/>
  <c r="CL25" i="15"/>
  <c r="CK25" i="15"/>
  <c r="CJ25" i="15"/>
  <c r="CI25" i="15"/>
  <c r="CH25" i="15"/>
  <c r="CG25" i="15"/>
  <c r="CF25" i="15"/>
  <c r="CE25" i="15"/>
  <c r="CD25" i="15"/>
  <c r="CC25" i="15"/>
  <c r="CB25" i="15"/>
  <c r="CA25" i="15"/>
  <c r="BZ25" i="15"/>
  <c r="BY25" i="15"/>
  <c r="BX25" i="15"/>
  <c r="BW25" i="15"/>
  <c r="BV25" i="15"/>
  <c r="BU25" i="15"/>
  <c r="BT25" i="15"/>
  <c r="BS25" i="15"/>
  <c r="BR25" i="15"/>
  <c r="BQ25" i="15"/>
  <c r="BP25" i="15"/>
  <c r="BO25" i="15"/>
  <c r="BN25" i="15"/>
  <c r="BM25" i="15"/>
  <c r="BL25" i="15"/>
  <c r="BK25" i="15"/>
  <c r="BJ25" i="15"/>
  <c r="BI25" i="15"/>
  <c r="BH25" i="15"/>
  <c r="BG25" i="15"/>
  <c r="BF25" i="15"/>
  <c r="BE25" i="15"/>
  <c r="BD25" i="15"/>
  <c r="BC25" i="15"/>
  <c r="BB25" i="15"/>
  <c r="BA25" i="15"/>
  <c r="AZ25" i="15"/>
  <c r="AY25" i="15"/>
  <c r="AX25" i="15"/>
  <c r="AW25" i="15"/>
  <c r="AV25" i="15"/>
  <c r="AU25" i="15"/>
  <c r="AT25" i="15"/>
  <c r="AS25" i="15"/>
  <c r="AR25" i="15"/>
  <c r="AQ25" i="15"/>
  <c r="AP25" i="15"/>
  <c r="AO25" i="15"/>
  <c r="AN25" i="15"/>
  <c r="AM25" i="15"/>
  <c r="AL25" i="15"/>
  <c r="AK25" i="15"/>
  <c r="AJ25" i="15"/>
  <c r="AI25" i="15"/>
  <c r="AH25" i="15"/>
  <c r="AG25" i="15"/>
  <c r="AF25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Q25" i="15"/>
  <c r="P25" i="15"/>
  <c r="O25" i="15"/>
  <c r="N25" i="15"/>
  <c r="M25" i="15"/>
  <c r="L25" i="15"/>
  <c r="K25" i="15"/>
  <c r="J25" i="15"/>
  <c r="I25" i="15"/>
  <c r="H25" i="15"/>
  <c r="G25" i="15"/>
  <c r="F25" i="15"/>
  <c r="E25" i="15"/>
  <c r="D25" i="15"/>
  <c r="C25" i="15"/>
  <c r="B25" i="15"/>
  <c r="DC14" i="15"/>
  <c r="DC27" i="15" s="1"/>
  <c r="CX14" i="15"/>
  <c r="CX27" i="15" s="1"/>
  <c r="CM14" i="15"/>
  <c r="CM27" i="15" s="1"/>
  <c r="CH14" i="15"/>
  <c r="CH27" i="15" s="1"/>
  <c r="BW14" i="15"/>
  <c r="BW27" i="15" s="1"/>
  <c r="BR14" i="15"/>
  <c r="BR27" i="15" s="1"/>
  <c r="BG14" i="15"/>
  <c r="BG27" i="15" s="1"/>
  <c r="BB14" i="15"/>
  <c r="BB27" i="15" s="1"/>
  <c r="AQ14" i="15"/>
  <c r="AQ27" i="15" s="1"/>
  <c r="AL14" i="15"/>
  <c r="AL27" i="15" s="1"/>
  <c r="AA14" i="15"/>
  <c r="AA27" i="15" s="1"/>
  <c r="V14" i="15"/>
  <c r="V27" i="15" s="1"/>
  <c r="K14" i="15"/>
  <c r="K27" i="15" s="1"/>
  <c r="F14" i="15"/>
  <c r="F27" i="15" s="1"/>
  <c r="DE12" i="15"/>
  <c r="DD12" i="15"/>
  <c r="DC12" i="15"/>
  <c r="DB12" i="15"/>
  <c r="DA12" i="15"/>
  <c r="CZ12" i="15"/>
  <c r="CY12" i="15"/>
  <c r="CX12" i="15"/>
  <c r="CW12" i="15"/>
  <c r="CV12" i="15"/>
  <c r="CU12" i="15"/>
  <c r="CT12" i="15"/>
  <c r="CS12" i="15"/>
  <c r="CR12" i="15"/>
  <c r="CQ12" i="15"/>
  <c r="CP12" i="15"/>
  <c r="CO12" i="15"/>
  <c r="CN12" i="15"/>
  <c r="CM12" i="15"/>
  <c r="CL12" i="15"/>
  <c r="CK12" i="15"/>
  <c r="CJ12" i="15"/>
  <c r="CI12" i="15"/>
  <c r="CH12" i="15"/>
  <c r="CG12" i="15"/>
  <c r="CF12" i="15"/>
  <c r="CE12" i="15"/>
  <c r="CD12" i="15"/>
  <c r="CC12" i="15"/>
  <c r="CB12" i="15"/>
  <c r="CA12" i="15"/>
  <c r="BZ12" i="15"/>
  <c r="BY12" i="15"/>
  <c r="BX12" i="15"/>
  <c r="BW12" i="15"/>
  <c r="BV12" i="15"/>
  <c r="BU12" i="15"/>
  <c r="BT12" i="15"/>
  <c r="BS12" i="15"/>
  <c r="BR12" i="15"/>
  <c r="BQ12" i="15"/>
  <c r="BP12" i="15"/>
  <c r="BO12" i="15"/>
  <c r="BN12" i="15"/>
  <c r="BM12" i="15"/>
  <c r="BL12" i="15"/>
  <c r="BK12" i="15"/>
  <c r="BJ12" i="15"/>
  <c r="BI12" i="15"/>
  <c r="BH12" i="15"/>
  <c r="BG12" i="15"/>
  <c r="BF12" i="15"/>
  <c r="BE12" i="15"/>
  <c r="BD12" i="15"/>
  <c r="BC12" i="15"/>
  <c r="BB12" i="15"/>
  <c r="BA12" i="15"/>
  <c r="AZ12" i="15"/>
  <c r="AY12" i="15"/>
  <c r="AX12" i="15"/>
  <c r="AW12" i="15"/>
  <c r="AV12" i="15"/>
  <c r="AU12" i="15"/>
  <c r="AT12" i="15"/>
  <c r="AS12" i="15"/>
  <c r="AR12" i="15"/>
  <c r="AQ12" i="15"/>
  <c r="AP12" i="15"/>
  <c r="AO12" i="15"/>
  <c r="AN12" i="15"/>
  <c r="AM12" i="15"/>
  <c r="AL12" i="15"/>
  <c r="AK12" i="15"/>
  <c r="AJ12" i="15"/>
  <c r="AI12" i="15"/>
  <c r="AH12" i="15"/>
  <c r="AG12" i="15"/>
  <c r="AF12" i="15"/>
  <c r="AE12" i="15"/>
  <c r="AD12" i="15"/>
  <c r="AC12" i="15"/>
  <c r="AB12" i="15"/>
  <c r="AA12" i="15"/>
  <c r="Z12" i="15"/>
  <c r="Y12" i="15"/>
  <c r="X12" i="15"/>
  <c r="W12" i="15"/>
  <c r="V12" i="15"/>
  <c r="U12" i="15"/>
  <c r="T12" i="15"/>
  <c r="S12" i="15"/>
  <c r="R12" i="15"/>
  <c r="Q12" i="15"/>
  <c r="P12" i="15"/>
  <c r="O12" i="15"/>
  <c r="N12" i="15"/>
  <c r="M12" i="15"/>
  <c r="L12" i="15"/>
  <c r="K12" i="15"/>
  <c r="J12" i="15"/>
  <c r="I12" i="15"/>
  <c r="H12" i="15"/>
  <c r="G12" i="15"/>
  <c r="F12" i="15"/>
  <c r="E12" i="15"/>
  <c r="D12" i="15"/>
  <c r="C12" i="15"/>
  <c r="B12" i="15"/>
  <c r="DE14" i="15"/>
  <c r="DE27" i="15" s="1"/>
  <c r="DD14" i="15"/>
  <c r="DD27" i="15" s="1"/>
  <c r="DB14" i="15"/>
  <c r="DB27" i="15" s="1"/>
  <c r="DA14" i="15"/>
  <c r="DA27" i="15" s="1"/>
  <c r="CZ14" i="15"/>
  <c r="CZ27" i="15" s="1"/>
  <c r="CY14" i="15"/>
  <c r="CY27" i="15" s="1"/>
  <c r="CW14" i="15"/>
  <c r="CW27" i="15" s="1"/>
  <c r="CV14" i="15"/>
  <c r="CV27" i="15" s="1"/>
  <c r="CU14" i="15"/>
  <c r="CU27" i="15" s="1"/>
  <c r="CT14" i="15"/>
  <c r="CT27" i="15" s="1"/>
  <c r="CS14" i="15"/>
  <c r="CS27" i="15" s="1"/>
  <c r="CR14" i="15"/>
  <c r="CR27" i="15" s="1"/>
  <c r="CQ14" i="15"/>
  <c r="CQ27" i="15" s="1"/>
  <c r="CP14" i="15"/>
  <c r="CP27" i="15" s="1"/>
  <c r="CO14" i="15"/>
  <c r="CO27" i="15" s="1"/>
  <c r="CN14" i="15"/>
  <c r="CN27" i="15" s="1"/>
  <c r="CL14" i="15"/>
  <c r="CL27" i="15" s="1"/>
  <c r="CK14" i="15"/>
  <c r="CK27" i="15" s="1"/>
  <c r="CJ14" i="15"/>
  <c r="CJ27" i="15" s="1"/>
  <c r="CI14" i="15"/>
  <c r="CI27" i="15" s="1"/>
  <c r="CG14" i="15"/>
  <c r="CG27" i="15" s="1"/>
  <c r="CF14" i="15"/>
  <c r="CF27" i="15" s="1"/>
  <c r="CE14" i="15"/>
  <c r="CE27" i="15" s="1"/>
  <c r="CD14" i="15"/>
  <c r="CD27" i="15" s="1"/>
  <c r="CC14" i="15"/>
  <c r="CC27" i="15" s="1"/>
  <c r="CB14" i="15"/>
  <c r="CB27" i="15" s="1"/>
  <c r="CA14" i="15"/>
  <c r="CA27" i="15" s="1"/>
  <c r="BZ14" i="15"/>
  <c r="BZ27" i="15" s="1"/>
  <c r="BY14" i="15"/>
  <c r="BY27" i="15" s="1"/>
  <c r="BX14" i="15"/>
  <c r="BX27" i="15" s="1"/>
  <c r="BV14" i="15"/>
  <c r="BV27" i="15" s="1"/>
  <c r="BU14" i="15"/>
  <c r="BU27" i="15" s="1"/>
  <c r="BT14" i="15"/>
  <c r="BT27" i="15" s="1"/>
  <c r="BS14" i="15"/>
  <c r="BS27" i="15" s="1"/>
  <c r="BQ14" i="15"/>
  <c r="BQ27" i="15" s="1"/>
  <c r="BP14" i="15"/>
  <c r="BP27" i="15" s="1"/>
  <c r="BO14" i="15"/>
  <c r="BO27" i="15" s="1"/>
  <c r="BN14" i="15"/>
  <c r="BN27" i="15" s="1"/>
  <c r="BM14" i="15"/>
  <c r="BM27" i="15" s="1"/>
  <c r="BL14" i="15"/>
  <c r="BL27" i="15" s="1"/>
  <c r="BK14" i="15"/>
  <c r="BK27" i="15" s="1"/>
  <c r="BJ14" i="15"/>
  <c r="BJ27" i="15" s="1"/>
  <c r="BI14" i="15"/>
  <c r="BI27" i="15" s="1"/>
  <c r="BH14" i="15"/>
  <c r="BH27" i="15" s="1"/>
  <c r="BF14" i="15"/>
  <c r="BF27" i="15" s="1"/>
  <c r="BE14" i="15"/>
  <c r="BE27" i="15" s="1"/>
  <c r="BD14" i="15"/>
  <c r="BD27" i="15" s="1"/>
  <c r="BC14" i="15"/>
  <c r="BC27" i="15" s="1"/>
  <c r="BA14" i="15"/>
  <c r="BA27" i="15" s="1"/>
  <c r="AZ14" i="15"/>
  <c r="AZ27" i="15" s="1"/>
  <c r="AY14" i="15"/>
  <c r="AY27" i="15" s="1"/>
  <c r="AX14" i="15"/>
  <c r="AX27" i="15" s="1"/>
  <c r="AW14" i="15"/>
  <c r="AW27" i="15" s="1"/>
  <c r="AV14" i="15"/>
  <c r="AV27" i="15" s="1"/>
  <c r="AU14" i="15"/>
  <c r="AU27" i="15" s="1"/>
  <c r="AT14" i="15"/>
  <c r="AT27" i="15" s="1"/>
  <c r="AS14" i="15"/>
  <c r="AS27" i="15" s="1"/>
  <c r="AR14" i="15"/>
  <c r="AR27" i="15" s="1"/>
  <c r="AP14" i="15"/>
  <c r="AP27" i="15" s="1"/>
  <c r="AO14" i="15"/>
  <c r="AO27" i="15" s="1"/>
  <c r="AN14" i="15"/>
  <c r="AN27" i="15" s="1"/>
  <c r="AM14" i="15"/>
  <c r="AM27" i="15" s="1"/>
  <c r="AK14" i="15"/>
  <c r="AK27" i="15" s="1"/>
  <c r="AJ14" i="15"/>
  <c r="AJ27" i="15" s="1"/>
  <c r="AI14" i="15"/>
  <c r="AI27" i="15" s="1"/>
  <c r="AH14" i="15"/>
  <c r="AH27" i="15" s="1"/>
  <c r="AG14" i="15"/>
  <c r="AG27" i="15" s="1"/>
  <c r="AF14" i="15"/>
  <c r="AF27" i="15" s="1"/>
  <c r="AE14" i="15"/>
  <c r="AE27" i="15" s="1"/>
  <c r="AD14" i="15"/>
  <c r="AD27" i="15" s="1"/>
  <c r="AC14" i="15"/>
  <c r="AC27" i="15" s="1"/>
  <c r="AB14" i="15"/>
  <c r="AB27" i="15" s="1"/>
  <c r="Z14" i="15"/>
  <c r="Z27" i="15" s="1"/>
  <c r="Y14" i="15"/>
  <c r="Y27" i="15" s="1"/>
  <c r="X14" i="15"/>
  <c r="X27" i="15" s="1"/>
  <c r="W14" i="15"/>
  <c r="W27" i="15" s="1"/>
  <c r="U14" i="15"/>
  <c r="U27" i="15" s="1"/>
  <c r="T14" i="15"/>
  <c r="T27" i="15" s="1"/>
  <c r="S14" i="15"/>
  <c r="S27" i="15" s="1"/>
  <c r="R14" i="15"/>
  <c r="R27" i="15" s="1"/>
  <c r="Q14" i="15"/>
  <c r="Q27" i="15" s="1"/>
  <c r="P14" i="15"/>
  <c r="P27" i="15" s="1"/>
  <c r="O14" i="15"/>
  <c r="O27" i="15" s="1"/>
  <c r="N14" i="15"/>
  <c r="N27" i="15" s="1"/>
  <c r="M14" i="15"/>
  <c r="M27" i="15" s="1"/>
  <c r="L14" i="15"/>
  <c r="L27" i="15" s="1"/>
  <c r="J14" i="15"/>
  <c r="J27" i="15" s="1"/>
  <c r="I14" i="15"/>
  <c r="I27" i="15" s="1"/>
  <c r="H14" i="15"/>
  <c r="H27" i="15" s="1"/>
  <c r="G14" i="15"/>
  <c r="G27" i="15" s="1"/>
  <c r="E14" i="15"/>
  <c r="E27" i="15" s="1"/>
  <c r="D14" i="15"/>
  <c r="D27" i="15" s="1"/>
  <c r="C14" i="15"/>
  <c r="C27" i="15" s="1"/>
  <c r="B14" i="15"/>
  <c r="B27" i="15" s="1"/>
  <c r="I6" i="14"/>
  <c r="H6" i="14"/>
  <c r="G6" i="14"/>
  <c r="F6" i="14"/>
  <c r="E6" i="14"/>
  <c r="D6" i="14"/>
  <c r="C6" i="14"/>
  <c r="B6" i="14"/>
  <c r="I4" i="14"/>
  <c r="H4" i="14"/>
  <c r="G4" i="14"/>
  <c r="F4" i="14"/>
  <c r="E4" i="14"/>
  <c r="D4" i="14"/>
  <c r="C4" i="14"/>
  <c r="B4" i="14"/>
  <c r="B3" i="14"/>
  <c r="C3" i="14" s="1"/>
  <c r="C9" i="14" s="1"/>
  <c r="D14" i="13"/>
  <c r="E14" i="13" s="1"/>
  <c r="F14" i="13" s="1"/>
  <c r="G14" i="13" s="1"/>
  <c r="H14" i="13" s="1"/>
  <c r="I14" i="13" s="1"/>
  <c r="J14" i="13" s="1"/>
  <c r="K14" i="13" s="1"/>
  <c r="L14" i="13" s="1"/>
  <c r="M14" i="13" s="1"/>
  <c r="N14" i="13" s="1"/>
  <c r="O14" i="13" s="1"/>
  <c r="P14" i="13" s="1"/>
  <c r="Q14" i="13" s="1"/>
  <c r="R14" i="13" s="1"/>
  <c r="S14" i="13" s="1"/>
  <c r="T14" i="13" s="1"/>
  <c r="U14" i="13" s="1"/>
  <c r="V14" i="13" s="1"/>
  <c r="W14" i="13" s="1"/>
  <c r="X14" i="13" s="1"/>
  <c r="Y14" i="13" s="1"/>
  <c r="Z14" i="13" s="1"/>
  <c r="AA14" i="13" s="1"/>
  <c r="AB14" i="13" s="1"/>
  <c r="AC14" i="13" s="1"/>
  <c r="AD14" i="13" s="1"/>
  <c r="AE14" i="13" s="1"/>
  <c r="AF14" i="13" s="1"/>
  <c r="AG14" i="13" s="1"/>
  <c r="AH14" i="13" s="1"/>
  <c r="AI14" i="13" s="1"/>
  <c r="AJ14" i="13" s="1"/>
  <c r="AK14" i="13" s="1"/>
  <c r="AL14" i="13" s="1"/>
  <c r="AM14" i="13" s="1"/>
  <c r="AN14" i="13" s="1"/>
  <c r="AO14" i="13" s="1"/>
  <c r="AP14" i="13" s="1"/>
  <c r="AQ14" i="13" s="1"/>
  <c r="AR14" i="13" s="1"/>
  <c r="AS14" i="13" s="1"/>
  <c r="AT14" i="13" s="1"/>
  <c r="AU14" i="13" s="1"/>
  <c r="AV14" i="13" s="1"/>
  <c r="AW14" i="13" s="1"/>
  <c r="AX14" i="13" s="1"/>
  <c r="AY14" i="13" s="1"/>
  <c r="AZ14" i="13" s="1"/>
  <c r="BA14" i="13" s="1"/>
  <c r="BB14" i="13" s="1"/>
  <c r="BC14" i="13" s="1"/>
  <c r="BD14" i="13" s="1"/>
  <c r="BE14" i="13" s="1"/>
  <c r="BF14" i="13" s="1"/>
  <c r="BG14" i="13" s="1"/>
  <c r="BH14" i="13" s="1"/>
  <c r="BI14" i="13" s="1"/>
  <c r="BJ14" i="13" s="1"/>
  <c r="BK14" i="13" s="1"/>
  <c r="BL14" i="13" s="1"/>
  <c r="BM14" i="13" s="1"/>
  <c r="BN14" i="13" s="1"/>
  <c r="BO14" i="13" s="1"/>
  <c r="BP14" i="13" s="1"/>
  <c r="BQ14" i="13" s="1"/>
  <c r="BR14" i="13" s="1"/>
  <c r="BS14" i="13" s="1"/>
  <c r="BT14" i="13" s="1"/>
  <c r="BU14" i="13" s="1"/>
  <c r="BV14" i="13" s="1"/>
  <c r="BW14" i="13" s="1"/>
  <c r="BX14" i="13" s="1"/>
  <c r="BY14" i="13" s="1"/>
  <c r="BZ14" i="13" s="1"/>
  <c r="CA14" i="13" s="1"/>
  <c r="CB14" i="13" s="1"/>
  <c r="CC14" i="13" s="1"/>
  <c r="CD14" i="13" s="1"/>
  <c r="CE14" i="13" s="1"/>
  <c r="CF14" i="13" s="1"/>
  <c r="CG14" i="13" s="1"/>
  <c r="CH14" i="13" s="1"/>
  <c r="CI14" i="13" s="1"/>
  <c r="CJ14" i="13" s="1"/>
  <c r="CK14" i="13" s="1"/>
  <c r="CL14" i="13" s="1"/>
  <c r="CM14" i="13" s="1"/>
  <c r="CN14" i="13" s="1"/>
  <c r="CO14" i="13" s="1"/>
  <c r="CP14" i="13" s="1"/>
  <c r="CQ14" i="13" s="1"/>
  <c r="CR14" i="13" s="1"/>
  <c r="CS14" i="13" s="1"/>
  <c r="CT14" i="13" s="1"/>
  <c r="CU14" i="13" s="1"/>
  <c r="CV14" i="13" s="1"/>
  <c r="CW14" i="13" s="1"/>
  <c r="CX14" i="13" s="1"/>
  <c r="CY14" i="13" s="1"/>
  <c r="CZ14" i="13" s="1"/>
  <c r="DA14" i="13" s="1"/>
  <c r="DB14" i="13" s="1"/>
  <c r="DC14" i="13" s="1"/>
  <c r="DD14" i="13" s="1"/>
  <c r="DE14" i="13" s="1"/>
  <c r="DF14" i="13" s="1"/>
  <c r="D12" i="13"/>
  <c r="E12" i="13" s="1"/>
  <c r="F12" i="13" s="1"/>
  <c r="G12" i="13" s="1"/>
  <c r="H12" i="13" s="1"/>
  <c r="I12" i="13" s="1"/>
  <c r="J12" i="13" s="1"/>
  <c r="K12" i="13" s="1"/>
  <c r="L12" i="13" s="1"/>
  <c r="M12" i="13" s="1"/>
  <c r="N12" i="13" s="1"/>
  <c r="D11" i="13"/>
  <c r="E11" i="13" s="1"/>
  <c r="F11" i="13" s="1"/>
  <c r="G11" i="13" s="1"/>
  <c r="H11" i="13" s="1"/>
  <c r="I11" i="13" s="1"/>
  <c r="J11" i="13" s="1"/>
  <c r="K11" i="13" s="1"/>
  <c r="L11" i="13" s="1"/>
  <c r="M11" i="13" s="1"/>
  <c r="N11" i="13" s="1"/>
  <c r="Z9" i="13"/>
  <c r="AL9" i="13" s="1"/>
  <c r="AX9" i="13" s="1"/>
  <c r="BJ9" i="13" s="1"/>
  <c r="BV9" i="13" s="1"/>
  <c r="CH9" i="13" s="1"/>
  <c r="CT9" i="13" s="1"/>
  <c r="DF9" i="13" s="1"/>
  <c r="Y9" i="13"/>
  <c r="AK9" i="13" s="1"/>
  <c r="AW9" i="13" s="1"/>
  <c r="BI9" i="13" s="1"/>
  <c r="BU9" i="13" s="1"/>
  <c r="CG9" i="13" s="1"/>
  <c r="CS9" i="13" s="1"/>
  <c r="DE9" i="13" s="1"/>
  <c r="X9" i="13"/>
  <c r="AJ9" i="13" s="1"/>
  <c r="AV9" i="13" s="1"/>
  <c r="BH9" i="13" s="1"/>
  <c r="BT9" i="13" s="1"/>
  <c r="CF9" i="13" s="1"/>
  <c r="CR9" i="13" s="1"/>
  <c r="DD9" i="13" s="1"/>
  <c r="W9" i="13"/>
  <c r="AI9" i="13" s="1"/>
  <c r="AU9" i="13" s="1"/>
  <c r="BG9" i="13" s="1"/>
  <c r="BS9" i="13" s="1"/>
  <c r="CE9" i="13" s="1"/>
  <c r="CQ9" i="13" s="1"/>
  <c r="DC9" i="13" s="1"/>
  <c r="V9" i="13"/>
  <c r="AH9" i="13" s="1"/>
  <c r="AT9" i="13" s="1"/>
  <c r="BF9" i="13" s="1"/>
  <c r="BR9" i="13" s="1"/>
  <c r="CD9" i="13" s="1"/>
  <c r="CP9" i="13" s="1"/>
  <c r="DB9" i="13" s="1"/>
  <c r="U9" i="13"/>
  <c r="AG9" i="13" s="1"/>
  <c r="AS9" i="13" s="1"/>
  <c r="BE9" i="13" s="1"/>
  <c r="BQ9" i="13" s="1"/>
  <c r="CC9" i="13" s="1"/>
  <c r="CO9" i="13" s="1"/>
  <c r="DA9" i="13" s="1"/>
  <c r="T9" i="13"/>
  <c r="AF9" i="13" s="1"/>
  <c r="AR9" i="13" s="1"/>
  <c r="BD9" i="13" s="1"/>
  <c r="BP9" i="13" s="1"/>
  <c r="CB9" i="13" s="1"/>
  <c r="CN9" i="13" s="1"/>
  <c r="CZ9" i="13" s="1"/>
  <c r="S9" i="13"/>
  <c r="AE9" i="13" s="1"/>
  <c r="AQ9" i="13" s="1"/>
  <c r="BC9" i="13" s="1"/>
  <c r="BO9" i="13" s="1"/>
  <c r="CA9" i="13" s="1"/>
  <c r="CM9" i="13" s="1"/>
  <c r="CY9" i="13" s="1"/>
  <c r="R9" i="13"/>
  <c r="AD9" i="13" s="1"/>
  <c r="AP9" i="13" s="1"/>
  <c r="BB9" i="13" s="1"/>
  <c r="BN9" i="13" s="1"/>
  <c r="BZ9" i="13" s="1"/>
  <c r="CL9" i="13" s="1"/>
  <c r="CX9" i="13" s="1"/>
  <c r="Q9" i="13"/>
  <c r="AC9" i="13" s="1"/>
  <c r="AO9" i="13" s="1"/>
  <c r="BA9" i="13" s="1"/>
  <c r="BM9" i="13" s="1"/>
  <c r="BY9" i="13" s="1"/>
  <c r="CK9" i="13" s="1"/>
  <c r="CW9" i="13" s="1"/>
  <c r="P9" i="13"/>
  <c r="P11" i="13" s="1"/>
  <c r="O9" i="13"/>
  <c r="AA9" i="13" s="1"/>
  <c r="AM9" i="13" s="1"/>
  <c r="AY9" i="13" s="1"/>
  <c r="BK9" i="13" s="1"/>
  <c r="BW9" i="13" s="1"/>
  <c r="CI9" i="13" s="1"/>
  <c r="CU9" i="13" s="1"/>
  <c r="DF6" i="13"/>
  <c r="DE6" i="13"/>
  <c r="DD6" i="13"/>
  <c r="DC6" i="13"/>
  <c r="DB6" i="13"/>
  <c r="DA6" i="13"/>
  <c r="CZ6" i="13"/>
  <c r="CY6" i="13"/>
  <c r="CX6" i="13"/>
  <c r="CW6" i="13"/>
  <c r="CV6" i="13"/>
  <c r="CU6" i="13"/>
  <c r="CT6" i="13"/>
  <c r="CS6" i="13"/>
  <c r="CR6" i="13"/>
  <c r="CQ6" i="13"/>
  <c r="CP6" i="13"/>
  <c r="CO6" i="13"/>
  <c r="CN6" i="13"/>
  <c r="CM6" i="13"/>
  <c r="CL6" i="13"/>
  <c r="CK6" i="13"/>
  <c r="CJ6" i="13"/>
  <c r="CI6" i="13"/>
  <c r="CH6" i="13"/>
  <c r="CG6" i="13"/>
  <c r="CF6" i="13"/>
  <c r="CE6" i="13"/>
  <c r="CD6" i="13"/>
  <c r="CC6" i="13"/>
  <c r="CB6" i="13"/>
  <c r="CA6" i="13"/>
  <c r="BZ6" i="13"/>
  <c r="BY6" i="13"/>
  <c r="BX6" i="13"/>
  <c r="BW6" i="13"/>
  <c r="BV6" i="13"/>
  <c r="BU6" i="13"/>
  <c r="BT6" i="13"/>
  <c r="BS6" i="13"/>
  <c r="BR6" i="13"/>
  <c r="BQ6" i="13"/>
  <c r="BP6" i="13"/>
  <c r="BO6" i="13"/>
  <c r="BN6" i="13"/>
  <c r="BM6" i="13"/>
  <c r="BL6" i="13"/>
  <c r="BK6" i="13"/>
  <c r="BJ6" i="13"/>
  <c r="BI6" i="13"/>
  <c r="BH6" i="13"/>
  <c r="BG6" i="13"/>
  <c r="BF6" i="13"/>
  <c r="BE6" i="13"/>
  <c r="BD6" i="13"/>
  <c r="BC6" i="13"/>
  <c r="BB6" i="13"/>
  <c r="BA6" i="13"/>
  <c r="AZ6" i="13"/>
  <c r="AY6" i="13"/>
  <c r="AX6" i="13"/>
  <c r="AW6" i="13"/>
  <c r="AV6" i="13"/>
  <c r="AU6" i="13"/>
  <c r="AT6" i="13"/>
  <c r="AS6" i="13"/>
  <c r="AR6" i="13"/>
  <c r="AQ6" i="13"/>
  <c r="AP6" i="13"/>
  <c r="AO6" i="13"/>
  <c r="AN6" i="13"/>
  <c r="AM6" i="13"/>
  <c r="AL6" i="13"/>
  <c r="AK6" i="13"/>
  <c r="AJ6" i="13"/>
  <c r="AI6" i="13"/>
  <c r="AH6" i="13"/>
  <c r="AG6" i="13"/>
  <c r="AF6" i="13"/>
  <c r="AE6" i="13"/>
  <c r="AD6" i="13"/>
  <c r="AC6" i="13"/>
  <c r="AB6" i="13"/>
  <c r="AA6" i="13"/>
  <c r="Z6" i="13"/>
  <c r="Y6" i="13"/>
  <c r="X6" i="13"/>
  <c r="W6" i="13"/>
  <c r="V6" i="13"/>
  <c r="U6" i="13"/>
  <c r="T6" i="13"/>
  <c r="S6" i="13"/>
  <c r="R6" i="13"/>
  <c r="Q6" i="13"/>
  <c r="P6" i="13"/>
  <c r="O6" i="13"/>
  <c r="N6" i="13"/>
  <c r="M6" i="13"/>
  <c r="L6" i="13"/>
  <c r="K6" i="13"/>
  <c r="J6" i="13"/>
  <c r="I6" i="13"/>
  <c r="H6" i="13"/>
  <c r="G6" i="13"/>
  <c r="F6" i="13"/>
  <c r="E6" i="13"/>
  <c r="D6" i="13"/>
  <c r="C6" i="13"/>
  <c r="DF4" i="13"/>
  <c r="DF15" i="13" s="1"/>
  <c r="DE4" i="13"/>
  <c r="DE15" i="13" s="1"/>
  <c r="DD4" i="13"/>
  <c r="DD15" i="13" s="1"/>
  <c r="DC4" i="13"/>
  <c r="DC15" i="13" s="1"/>
  <c r="DB4" i="13"/>
  <c r="DB15" i="13" s="1"/>
  <c r="DA4" i="13"/>
  <c r="DA15" i="13" s="1"/>
  <c r="CZ4" i="13"/>
  <c r="CZ15" i="13" s="1"/>
  <c r="CY4" i="13"/>
  <c r="CY15" i="13" s="1"/>
  <c r="CX4" i="13"/>
  <c r="CX15" i="13" s="1"/>
  <c r="CW4" i="13"/>
  <c r="CW15" i="13" s="1"/>
  <c r="CV4" i="13"/>
  <c r="CV15" i="13" s="1"/>
  <c r="CU4" i="13"/>
  <c r="CT4" i="13"/>
  <c r="CT15" i="13" s="1"/>
  <c r="CS4" i="13"/>
  <c r="CS15" i="13" s="1"/>
  <c r="CR4" i="13"/>
  <c r="CR15" i="13" s="1"/>
  <c r="CQ4" i="13"/>
  <c r="CQ15" i="13" s="1"/>
  <c r="CP4" i="13"/>
  <c r="CP15" i="13" s="1"/>
  <c r="CO4" i="13"/>
  <c r="CO15" i="13" s="1"/>
  <c r="CN4" i="13"/>
  <c r="CN15" i="13" s="1"/>
  <c r="CM4" i="13"/>
  <c r="CM15" i="13" s="1"/>
  <c r="CL4" i="13"/>
  <c r="CL15" i="13" s="1"/>
  <c r="CK4" i="13"/>
  <c r="CK15" i="13" s="1"/>
  <c r="CJ4" i="13"/>
  <c r="CJ15" i="13" s="1"/>
  <c r="CI4" i="13"/>
  <c r="CH4" i="13"/>
  <c r="CH15" i="13" s="1"/>
  <c r="CG4" i="13"/>
  <c r="CG15" i="13" s="1"/>
  <c r="CF4" i="13"/>
  <c r="CF15" i="13" s="1"/>
  <c r="CE4" i="13"/>
  <c r="CE15" i="13" s="1"/>
  <c r="CD4" i="13"/>
  <c r="CD15" i="13" s="1"/>
  <c r="CC4" i="13"/>
  <c r="CC15" i="13" s="1"/>
  <c r="CB4" i="13"/>
  <c r="CB15" i="13" s="1"/>
  <c r="CA4" i="13"/>
  <c r="CA15" i="13" s="1"/>
  <c r="BZ4" i="13"/>
  <c r="BZ15" i="13" s="1"/>
  <c r="BY4" i="13"/>
  <c r="BY15" i="13" s="1"/>
  <c r="BX4" i="13"/>
  <c r="BX15" i="13" s="1"/>
  <c r="BW4" i="13"/>
  <c r="BV4" i="13"/>
  <c r="BV15" i="13" s="1"/>
  <c r="BU4" i="13"/>
  <c r="BU15" i="13" s="1"/>
  <c r="BT4" i="13"/>
  <c r="BT15" i="13" s="1"/>
  <c r="BS4" i="13"/>
  <c r="BS15" i="13" s="1"/>
  <c r="BR4" i="13"/>
  <c r="BR15" i="13" s="1"/>
  <c r="BQ4" i="13"/>
  <c r="BQ15" i="13" s="1"/>
  <c r="BP4" i="13"/>
  <c r="BP15" i="13" s="1"/>
  <c r="BO4" i="13"/>
  <c r="BO15" i="13" s="1"/>
  <c r="BN4" i="13"/>
  <c r="BN15" i="13" s="1"/>
  <c r="BM4" i="13"/>
  <c r="BM15" i="13" s="1"/>
  <c r="BL4" i="13"/>
  <c r="BL15" i="13" s="1"/>
  <c r="BK4" i="13"/>
  <c r="BJ4" i="13"/>
  <c r="BJ15" i="13" s="1"/>
  <c r="BI4" i="13"/>
  <c r="BI15" i="13" s="1"/>
  <c r="BH4" i="13"/>
  <c r="BH15" i="13" s="1"/>
  <c r="BG4" i="13"/>
  <c r="BG15" i="13" s="1"/>
  <c r="BF4" i="13"/>
  <c r="BF15" i="13" s="1"/>
  <c r="BE4" i="13"/>
  <c r="BE15" i="13" s="1"/>
  <c r="BD4" i="13"/>
  <c r="BD15" i="13" s="1"/>
  <c r="BC4" i="13"/>
  <c r="BC15" i="13" s="1"/>
  <c r="BB4" i="13"/>
  <c r="BB15" i="13" s="1"/>
  <c r="BA4" i="13"/>
  <c r="BA15" i="13" s="1"/>
  <c r="AZ4" i="13"/>
  <c r="AZ15" i="13" s="1"/>
  <c r="AY4" i="13"/>
  <c r="AX4" i="13"/>
  <c r="AX15" i="13" s="1"/>
  <c r="AW4" i="13"/>
  <c r="AW15" i="13" s="1"/>
  <c r="AV4" i="13"/>
  <c r="AV15" i="13" s="1"/>
  <c r="AU4" i="13"/>
  <c r="AU15" i="13" s="1"/>
  <c r="AT4" i="13"/>
  <c r="AT15" i="13" s="1"/>
  <c r="AS4" i="13"/>
  <c r="AS15" i="13" s="1"/>
  <c r="AR4" i="13"/>
  <c r="AR15" i="13" s="1"/>
  <c r="AQ4" i="13"/>
  <c r="AQ15" i="13" s="1"/>
  <c r="AP4" i="13"/>
  <c r="AP15" i="13" s="1"/>
  <c r="AO4" i="13"/>
  <c r="AO15" i="13" s="1"/>
  <c r="AN4" i="13"/>
  <c r="AN15" i="13" s="1"/>
  <c r="AM4" i="13"/>
  <c r="AL4" i="13"/>
  <c r="AL15" i="13" s="1"/>
  <c r="AK4" i="13"/>
  <c r="AK15" i="13" s="1"/>
  <c r="AJ4" i="13"/>
  <c r="AJ15" i="13" s="1"/>
  <c r="AI4" i="13"/>
  <c r="AI15" i="13" s="1"/>
  <c r="AH4" i="13"/>
  <c r="AH15" i="13" s="1"/>
  <c r="AG4" i="13"/>
  <c r="AG15" i="13" s="1"/>
  <c r="AF4" i="13"/>
  <c r="AF15" i="13" s="1"/>
  <c r="AE4" i="13"/>
  <c r="AE15" i="13" s="1"/>
  <c r="AD4" i="13"/>
  <c r="AD15" i="13" s="1"/>
  <c r="AC4" i="13"/>
  <c r="AC15" i="13" s="1"/>
  <c r="AB4" i="13"/>
  <c r="AB15" i="13" s="1"/>
  <c r="AA4" i="13"/>
  <c r="Z4" i="13"/>
  <c r="Z15" i="13" s="1"/>
  <c r="Y4" i="13"/>
  <c r="Y15" i="13" s="1"/>
  <c r="X4" i="13"/>
  <c r="X15" i="13" s="1"/>
  <c r="W4" i="13"/>
  <c r="W15" i="13" s="1"/>
  <c r="V4" i="13"/>
  <c r="V15" i="13" s="1"/>
  <c r="U4" i="13"/>
  <c r="U15" i="13" s="1"/>
  <c r="T4" i="13"/>
  <c r="T15" i="13" s="1"/>
  <c r="S4" i="13"/>
  <c r="S15" i="13" s="1"/>
  <c r="R4" i="13"/>
  <c r="R15" i="13" s="1"/>
  <c r="Q4" i="13"/>
  <c r="Q15" i="13" s="1"/>
  <c r="P4" i="13"/>
  <c r="P15" i="13" s="1"/>
  <c r="O4" i="13"/>
  <c r="N4" i="13"/>
  <c r="N15" i="13" s="1"/>
  <c r="M4" i="13"/>
  <c r="M15" i="13" s="1"/>
  <c r="L4" i="13"/>
  <c r="L15" i="13" s="1"/>
  <c r="K4" i="13"/>
  <c r="K15" i="13" s="1"/>
  <c r="J4" i="13"/>
  <c r="J15" i="13" s="1"/>
  <c r="I4" i="13"/>
  <c r="I15" i="13" s="1"/>
  <c r="C4" i="13"/>
  <c r="C15" i="13" s="1"/>
  <c r="CY2" i="13"/>
  <c r="CY7" i="13" s="1"/>
  <c r="CT2" i="13"/>
  <c r="CT7" i="13" s="1"/>
  <c r="CI2" i="13"/>
  <c r="CI7" i="13" s="1"/>
  <c r="BS2" i="13"/>
  <c r="BS7" i="13" s="1"/>
  <c r="BC2" i="13"/>
  <c r="BC7" i="13" s="1"/>
  <c r="AM2" i="13"/>
  <c r="AM7" i="13" s="1"/>
  <c r="AH2" i="13"/>
  <c r="AH7" i="13" s="1"/>
  <c r="W2" i="13"/>
  <c r="W7" i="13" s="1"/>
  <c r="G2" i="13"/>
  <c r="G7" i="13" s="1"/>
  <c r="CP21" i="12"/>
  <c r="CQ21" i="12" s="1"/>
  <c r="CR21" i="12" s="1"/>
  <c r="CS21" i="12" s="1"/>
  <c r="CT21" i="12" s="1"/>
  <c r="CU21" i="12" s="1"/>
  <c r="CV21" i="12" s="1"/>
  <c r="CW21" i="12" s="1"/>
  <c r="CX21" i="12" s="1"/>
  <c r="CY21" i="12" s="1"/>
  <c r="CZ21" i="12" s="1"/>
  <c r="DA21" i="12" s="1"/>
  <c r="DB21" i="12" s="1"/>
  <c r="DC21" i="12" s="1"/>
  <c r="DD21" i="12" s="1"/>
  <c r="DE21" i="12" s="1"/>
  <c r="DF21" i="12" s="1"/>
  <c r="CD21" i="12"/>
  <c r="CE21" i="12" s="1"/>
  <c r="CF21" i="12" s="1"/>
  <c r="CG21" i="12" s="1"/>
  <c r="CH21" i="12" s="1"/>
  <c r="CI21" i="12" s="1"/>
  <c r="CJ21" i="12" s="1"/>
  <c r="CK21" i="12" s="1"/>
  <c r="CL21" i="12" s="1"/>
  <c r="CM21" i="12" s="1"/>
  <c r="CN21" i="12" s="1"/>
  <c r="BR21" i="12"/>
  <c r="BS21" i="12" s="1"/>
  <c r="BT21" i="12" s="1"/>
  <c r="BU21" i="12" s="1"/>
  <c r="BV21" i="12" s="1"/>
  <c r="BW21" i="12" s="1"/>
  <c r="BX21" i="12" s="1"/>
  <c r="BY21" i="12" s="1"/>
  <c r="BZ21" i="12" s="1"/>
  <c r="CA21" i="12" s="1"/>
  <c r="CB21" i="12" s="1"/>
  <c r="BF21" i="12"/>
  <c r="BG21" i="12" s="1"/>
  <c r="BH21" i="12" s="1"/>
  <c r="BI21" i="12" s="1"/>
  <c r="BJ21" i="12" s="1"/>
  <c r="BK21" i="12" s="1"/>
  <c r="BL21" i="12" s="1"/>
  <c r="BM21" i="12" s="1"/>
  <c r="BN21" i="12" s="1"/>
  <c r="BO21" i="12" s="1"/>
  <c r="BP21" i="12" s="1"/>
  <c r="AT21" i="12"/>
  <c r="AU21" i="12" s="1"/>
  <c r="AV21" i="12" s="1"/>
  <c r="AW21" i="12" s="1"/>
  <c r="AX21" i="12" s="1"/>
  <c r="AY21" i="12" s="1"/>
  <c r="AZ21" i="12" s="1"/>
  <c r="BA21" i="12" s="1"/>
  <c r="BB21" i="12" s="1"/>
  <c r="BC21" i="12" s="1"/>
  <c r="BD21" i="12" s="1"/>
  <c r="AH21" i="12"/>
  <c r="AI21" i="12" s="1"/>
  <c r="AJ21" i="12" s="1"/>
  <c r="AK21" i="12" s="1"/>
  <c r="AL21" i="12" s="1"/>
  <c r="AM21" i="12" s="1"/>
  <c r="AN21" i="12" s="1"/>
  <c r="AO21" i="12" s="1"/>
  <c r="AP21" i="12" s="1"/>
  <c r="AQ21" i="12" s="1"/>
  <c r="AR21" i="12" s="1"/>
  <c r="V21" i="12"/>
  <c r="W21" i="12" s="1"/>
  <c r="X21" i="12" s="1"/>
  <c r="Y21" i="12" s="1"/>
  <c r="Z21" i="12" s="1"/>
  <c r="AA21" i="12" s="1"/>
  <c r="AB21" i="12" s="1"/>
  <c r="AC21" i="12" s="1"/>
  <c r="AD21" i="12" s="1"/>
  <c r="AE21" i="12" s="1"/>
  <c r="AF21" i="12" s="1"/>
  <c r="J21" i="12"/>
  <c r="K21" i="12" s="1"/>
  <c r="L21" i="12" s="1"/>
  <c r="M21" i="12" s="1"/>
  <c r="N21" i="12" s="1"/>
  <c r="O21" i="12" s="1"/>
  <c r="P21" i="12" s="1"/>
  <c r="Q21" i="12" s="1"/>
  <c r="R21" i="12" s="1"/>
  <c r="S21" i="12" s="1"/>
  <c r="T21" i="12" s="1"/>
  <c r="DF25" i="12"/>
  <c r="DC25" i="12"/>
  <c r="DA25" i="12"/>
  <c r="CY25" i="12"/>
  <c r="CU25" i="12"/>
  <c r="CQ25" i="12"/>
  <c r="CP25" i="12"/>
  <c r="CM25" i="12"/>
  <c r="CK25" i="12"/>
  <c r="CI25" i="12"/>
  <c r="CE25" i="12"/>
  <c r="CA25" i="12"/>
  <c r="BZ25" i="12"/>
  <c r="BW25" i="12"/>
  <c r="BU25" i="12"/>
  <c r="BS25" i="12"/>
  <c r="BO25" i="12"/>
  <c r="BK25" i="12"/>
  <c r="BJ25" i="12"/>
  <c r="BG25" i="12"/>
  <c r="BE25" i="12"/>
  <c r="BC25" i="12"/>
  <c r="AY25" i="12"/>
  <c r="AU25" i="12"/>
  <c r="AT25" i="12"/>
  <c r="AQ25" i="12"/>
  <c r="AO25" i="12"/>
  <c r="AM25" i="12"/>
  <c r="AI25" i="12"/>
  <c r="AE25" i="12"/>
  <c r="AD25" i="12"/>
  <c r="AA25" i="12"/>
  <c r="Y17" i="12"/>
  <c r="Y25" i="12" s="1"/>
  <c r="W17" i="12"/>
  <c r="W25" i="12" s="1"/>
  <c r="S17" i="12"/>
  <c r="S25" i="12" s="1"/>
  <c r="O17" i="12"/>
  <c r="O25" i="12" s="1"/>
  <c r="N17" i="12"/>
  <c r="N25" i="12" s="1"/>
  <c r="K17" i="12"/>
  <c r="K25" i="12" s="1"/>
  <c r="I17" i="12"/>
  <c r="I25" i="12" s="1"/>
  <c r="G17" i="12"/>
  <c r="G25" i="12" s="1"/>
  <c r="C17" i="12"/>
  <c r="C25" i="12" s="1"/>
  <c r="Z14" i="12"/>
  <c r="Y14" i="12"/>
  <c r="X14" i="12"/>
  <c r="W14" i="12"/>
  <c r="V14" i="12"/>
  <c r="U14" i="12"/>
  <c r="T14" i="12"/>
  <c r="S14" i="12"/>
  <c r="R14" i="12"/>
  <c r="Q14" i="12"/>
  <c r="P14" i="12"/>
  <c r="O14" i="12"/>
  <c r="N14" i="12"/>
  <c r="M14" i="12"/>
  <c r="L14" i="12"/>
  <c r="K14" i="12"/>
  <c r="J14" i="12"/>
  <c r="I14" i="12"/>
  <c r="C14" i="12"/>
  <c r="D13" i="12"/>
  <c r="D14" i="12" s="1"/>
  <c r="O11" i="12"/>
  <c r="O15" i="12" s="1"/>
  <c r="C11" i="12"/>
  <c r="Y5" i="12"/>
  <c r="Z5" i="12" s="1"/>
  <c r="Z4" i="12"/>
  <c r="Y4" i="12"/>
  <c r="X4" i="12"/>
  <c r="X6" i="12" s="1"/>
  <c r="Y3" i="12"/>
  <c r="Y2" i="12" s="1"/>
  <c r="DF2" i="13"/>
  <c r="DF7" i="13" s="1"/>
  <c r="DE2" i="13"/>
  <c r="DE7" i="13" s="1"/>
  <c r="DC2" i="13"/>
  <c r="DC7" i="13" s="1"/>
  <c r="DB2" i="13"/>
  <c r="DB7" i="13" s="1"/>
  <c r="DA2" i="13"/>
  <c r="DA7" i="13" s="1"/>
  <c r="CX2" i="13"/>
  <c r="CX7" i="13" s="1"/>
  <c r="CW2" i="13"/>
  <c r="CW7" i="13" s="1"/>
  <c r="CU2" i="13"/>
  <c r="CU7" i="13" s="1"/>
  <c r="CT25" i="12"/>
  <c r="CS2" i="13"/>
  <c r="CS7" i="13" s="1"/>
  <c r="CQ2" i="13"/>
  <c r="CQ7" i="13" s="1"/>
  <c r="CP2" i="13"/>
  <c r="CP7" i="13" s="1"/>
  <c r="CO2" i="13"/>
  <c r="CO7" i="13" s="1"/>
  <c r="CM2" i="13"/>
  <c r="CM7" i="13" s="1"/>
  <c r="CL2" i="13"/>
  <c r="CL7" i="13" s="1"/>
  <c r="CK2" i="13"/>
  <c r="CK7" i="13" s="1"/>
  <c r="CH2" i="13"/>
  <c r="CH7" i="13" s="1"/>
  <c r="CG2" i="13"/>
  <c r="CG7" i="13" s="1"/>
  <c r="CE2" i="13"/>
  <c r="CE7" i="13" s="1"/>
  <c r="CD2" i="13"/>
  <c r="CD7" i="13" s="1"/>
  <c r="CC2" i="13"/>
  <c r="CC7" i="13" s="1"/>
  <c r="CA2" i="13"/>
  <c r="CA7" i="13" s="1"/>
  <c r="BZ2" i="13"/>
  <c r="BZ7" i="13" s="1"/>
  <c r="BY2" i="13"/>
  <c r="BY7" i="13" s="1"/>
  <c r="BW2" i="13"/>
  <c r="BW7" i="13" s="1"/>
  <c r="BV2" i="13"/>
  <c r="BV7" i="13" s="1"/>
  <c r="BU2" i="13"/>
  <c r="BU7" i="13" s="1"/>
  <c r="BR2" i="13"/>
  <c r="BR7" i="13" s="1"/>
  <c r="BQ2" i="13"/>
  <c r="BQ7" i="13" s="1"/>
  <c r="BO2" i="13"/>
  <c r="BO7" i="13" s="1"/>
  <c r="BN25" i="12"/>
  <c r="BM2" i="13"/>
  <c r="BM7" i="13" s="1"/>
  <c r="BK2" i="13"/>
  <c r="BK7" i="13" s="1"/>
  <c r="BJ2" i="13"/>
  <c r="BJ7" i="13" s="1"/>
  <c r="BI2" i="13"/>
  <c r="BI7" i="13" s="1"/>
  <c r="BG2" i="13"/>
  <c r="BG7" i="13" s="1"/>
  <c r="BF2" i="13"/>
  <c r="BF7" i="13" s="1"/>
  <c r="BE2" i="13"/>
  <c r="BE7" i="13" s="1"/>
  <c r="BB2" i="13"/>
  <c r="BB7" i="13" s="1"/>
  <c r="BA2" i="13"/>
  <c r="BA7" i="13" s="1"/>
  <c r="AY2" i="13"/>
  <c r="AY7" i="13" s="1"/>
  <c r="AX2" i="13"/>
  <c r="AX7" i="13" s="1"/>
  <c r="AW2" i="13"/>
  <c r="AW7" i="13" s="1"/>
  <c r="AU2" i="13"/>
  <c r="AU7" i="13" s="1"/>
  <c r="AT2" i="13"/>
  <c r="AT7" i="13" s="1"/>
  <c r="AS2" i="13"/>
  <c r="AS7" i="13" s="1"/>
  <c r="AQ2" i="13"/>
  <c r="AQ7" i="13" s="1"/>
  <c r="AP2" i="13"/>
  <c r="AP7" i="13" s="1"/>
  <c r="AO2" i="13"/>
  <c r="AO7" i="13" s="1"/>
  <c r="AL2" i="13"/>
  <c r="AL7" i="13" s="1"/>
  <c r="AK2" i="13"/>
  <c r="AK7" i="13" s="1"/>
  <c r="AI2" i="13"/>
  <c r="AI7" i="13" s="1"/>
  <c r="AH25" i="12"/>
  <c r="AG2" i="13"/>
  <c r="AG7" i="13" s="1"/>
  <c r="AE2" i="13"/>
  <c r="AE7" i="13" s="1"/>
  <c r="AD2" i="13"/>
  <c r="AD7" i="13" s="1"/>
  <c r="AC2" i="13"/>
  <c r="AC7" i="13" s="1"/>
  <c r="AA2" i="13"/>
  <c r="AA7" i="13" s="1"/>
  <c r="Z2" i="13"/>
  <c r="Z7" i="13" s="1"/>
  <c r="Y2" i="13"/>
  <c r="Y7" i="13" s="1"/>
  <c r="V2" i="13"/>
  <c r="V7" i="13" s="1"/>
  <c r="U2" i="13"/>
  <c r="U7" i="13" s="1"/>
  <c r="S2" i="13"/>
  <c r="S7" i="13" s="1"/>
  <c r="R2" i="13"/>
  <c r="R7" i="13" s="1"/>
  <c r="Q2" i="13"/>
  <c r="Q7" i="13" s="1"/>
  <c r="O2" i="13"/>
  <c r="O7" i="13" s="1"/>
  <c r="N2" i="13"/>
  <c r="N7" i="13" s="1"/>
  <c r="M2" i="13"/>
  <c r="M7" i="13" s="1"/>
  <c r="K2" i="13"/>
  <c r="K7" i="13" s="1"/>
  <c r="J2" i="13"/>
  <c r="J7" i="13" s="1"/>
  <c r="I2" i="13"/>
  <c r="I7" i="13" s="1"/>
  <c r="F2" i="13"/>
  <c r="F7" i="13" s="1"/>
  <c r="E2" i="13"/>
  <c r="E7" i="13" s="1"/>
  <c r="C2" i="13"/>
  <c r="C7" i="13" s="1"/>
  <c r="S21" i="11"/>
  <c r="G21" i="11"/>
  <c r="B20" i="11"/>
  <c r="B22" i="11" s="1"/>
  <c r="B15" i="11"/>
  <c r="C4" i="11" s="1"/>
  <c r="N5" i="11"/>
  <c r="M5" i="11"/>
  <c r="L5" i="11"/>
  <c r="K5" i="11"/>
  <c r="A2" i="11"/>
  <c r="C1" i="11"/>
  <c r="D1" i="11" s="1"/>
  <c r="E1" i="11" s="1"/>
  <c r="F1" i="11" s="1"/>
  <c r="G1" i="11" s="1"/>
  <c r="H1" i="11" s="1"/>
  <c r="I1" i="11" s="1"/>
  <c r="J1" i="11" s="1"/>
  <c r="K1" i="11" s="1"/>
  <c r="L1" i="11" s="1"/>
  <c r="M1" i="11" s="1"/>
  <c r="N1" i="11" s="1"/>
  <c r="O1" i="11" s="1"/>
  <c r="P1" i="11" s="1"/>
  <c r="Q1" i="11" s="1"/>
  <c r="R1" i="11" s="1"/>
  <c r="S1" i="11" s="1"/>
  <c r="T1" i="11" s="1"/>
  <c r="U1" i="11" s="1"/>
  <c r="V1" i="11" s="1"/>
  <c r="D29" i="10"/>
  <c r="D27" i="10"/>
  <c r="C12" i="10"/>
  <c r="C13" i="10" s="1"/>
  <c r="C7" i="10"/>
  <c r="B7" i="10"/>
  <c r="C6" i="10"/>
  <c r="B6" i="10"/>
  <c r="D5" i="10"/>
  <c r="C4" i="10"/>
  <c r="B4" i="10"/>
  <c r="C3" i="10"/>
  <c r="B3" i="10"/>
  <c r="E37" i="9"/>
  <c r="D37" i="9"/>
  <c r="C37" i="9"/>
  <c r="B37" i="9"/>
  <c r="I36" i="9"/>
  <c r="H36" i="9"/>
  <c r="G36" i="9"/>
  <c r="F36" i="9"/>
  <c r="E36" i="9"/>
  <c r="D36" i="9"/>
  <c r="D38" i="9" s="1"/>
  <c r="C36" i="9"/>
  <c r="C38" i="9" s="1"/>
  <c r="B36" i="9"/>
  <c r="B38" i="9" s="1"/>
  <c r="O31" i="9"/>
  <c r="G31" i="9"/>
  <c r="C31" i="9"/>
  <c r="B31" i="9"/>
  <c r="N31" i="9"/>
  <c r="F31" i="9"/>
  <c r="E31" i="9"/>
  <c r="Q7" i="9"/>
  <c r="Q16" i="9" s="1"/>
  <c r="Q22" i="9" s="1"/>
  <c r="Q30" i="9" s="1"/>
  <c r="Q35" i="9" s="1"/>
  <c r="P7" i="9"/>
  <c r="P16" i="9" s="1"/>
  <c r="P22" i="9" s="1"/>
  <c r="P30" i="9" s="1"/>
  <c r="P35" i="9" s="1"/>
  <c r="O7" i="9"/>
  <c r="O16" i="9" s="1"/>
  <c r="O22" i="9" s="1"/>
  <c r="O30" i="9" s="1"/>
  <c r="O35" i="9" s="1"/>
  <c r="N7" i="9"/>
  <c r="N16" i="9" s="1"/>
  <c r="N22" i="9" s="1"/>
  <c r="N30" i="9" s="1"/>
  <c r="N35" i="9" s="1"/>
  <c r="M7" i="9"/>
  <c r="M16" i="9" s="1"/>
  <c r="M22" i="9" s="1"/>
  <c r="M30" i="9" s="1"/>
  <c r="M35" i="9" s="1"/>
  <c r="L7" i="9"/>
  <c r="L16" i="9" s="1"/>
  <c r="L22" i="9" s="1"/>
  <c r="L30" i="9" s="1"/>
  <c r="L35" i="9" s="1"/>
  <c r="K7" i="9"/>
  <c r="K16" i="9" s="1"/>
  <c r="K22" i="9" s="1"/>
  <c r="K30" i="9" s="1"/>
  <c r="K35" i="9" s="1"/>
  <c r="J7" i="9"/>
  <c r="J16" i="9" s="1"/>
  <c r="J22" i="9" s="1"/>
  <c r="J30" i="9" s="1"/>
  <c r="J35" i="9" s="1"/>
  <c r="I7" i="9"/>
  <c r="I16" i="9" s="1"/>
  <c r="I22" i="9" s="1"/>
  <c r="I30" i="9" s="1"/>
  <c r="I35" i="9" s="1"/>
  <c r="H7" i="9"/>
  <c r="H16" i="9" s="1"/>
  <c r="G7" i="9"/>
  <c r="G16" i="9" s="1"/>
  <c r="F7" i="9"/>
  <c r="F16" i="9" s="1"/>
  <c r="E7" i="9"/>
  <c r="E16" i="9" s="1"/>
  <c r="E22" i="9" s="1"/>
  <c r="E30" i="9" s="1"/>
  <c r="E35" i="9" s="1"/>
  <c r="D7" i="9"/>
  <c r="D16" i="9" s="1"/>
  <c r="D22" i="9" s="1"/>
  <c r="D30" i="9" s="1"/>
  <c r="D35" i="9" s="1"/>
  <c r="C7" i="9"/>
  <c r="C16" i="9" s="1"/>
  <c r="C22" i="9" s="1"/>
  <c r="C30" i="9" s="1"/>
  <c r="C35" i="9" s="1"/>
  <c r="B7" i="9"/>
  <c r="B16" i="9" s="1"/>
  <c r="B22" i="9" s="1"/>
  <c r="B30" i="9" s="1"/>
  <c r="B35" i="9" s="1"/>
  <c r="O46" i="8"/>
  <c r="B41" i="8"/>
  <c r="N38" i="8"/>
  <c r="N28" i="8" s="1"/>
  <c r="M38" i="8"/>
  <c r="M28" i="8" s="1"/>
  <c r="L38" i="8"/>
  <c r="L28" i="8" s="1"/>
  <c r="K38" i="8"/>
  <c r="K28" i="8" s="1"/>
  <c r="J28" i="8"/>
  <c r="I28" i="8"/>
  <c r="H28" i="8"/>
  <c r="G28" i="8"/>
  <c r="F28" i="8"/>
  <c r="E28" i="8"/>
  <c r="D28" i="8"/>
  <c r="C28" i="8"/>
  <c r="B28" i="8"/>
  <c r="B19" i="4" s="1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B15" i="8"/>
  <c r="AB30" i="8" s="1"/>
  <c r="AB35" i="8" s="1"/>
  <c r="AA15" i="8"/>
  <c r="AA30" i="8" s="1"/>
  <c r="AA35" i="8" s="1"/>
  <c r="Z15" i="8"/>
  <c r="Z30" i="8" s="1"/>
  <c r="Z35" i="8" s="1"/>
  <c r="Y15" i="8"/>
  <c r="Y30" i="8" s="1"/>
  <c r="Y35" i="8" s="1"/>
  <c r="X15" i="8"/>
  <c r="X30" i="8" s="1"/>
  <c r="X35" i="8" s="1"/>
  <c r="W15" i="8"/>
  <c r="W30" i="8" s="1"/>
  <c r="W35" i="8" s="1"/>
  <c r="V15" i="8"/>
  <c r="V30" i="8" s="1"/>
  <c r="V35" i="8" s="1"/>
  <c r="U15" i="8"/>
  <c r="U30" i="8" s="1"/>
  <c r="U35" i="8" s="1"/>
  <c r="T15" i="8"/>
  <c r="T30" i="8" s="1"/>
  <c r="T35" i="8" s="1"/>
  <c r="S15" i="8"/>
  <c r="S30" i="8" s="1"/>
  <c r="S35" i="8" s="1"/>
  <c r="R15" i="8"/>
  <c r="R30" i="8" s="1"/>
  <c r="R35" i="8" s="1"/>
  <c r="Q15" i="8"/>
  <c r="Q30" i="8" s="1"/>
  <c r="Q35" i="8" s="1"/>
  <c r="P15" i="8"/>
  <c r="P30" i="8" s="1"/>
  <c r="P35" i="8" s="1"/>
  <c r="O15" i="8"/>
  <c r="O30" i="8" s="1"/>
  <c r="O35" i="8" s="1"/>
  <c r="N15" i="8"/>
  <c r="N30" i="8" s="1"/>
  <c r="N35" i="8" s="1"/>
  <c r="M15" i="8"/>
  <c r="M30" i="8" s="1"/>
  <c r="M35" i="8" s="1"/>
  <c r="L15" i="8"/>
  <c r="L30" i="8" s="1"/>
  <c r="L35" i="8" s="1"/>
  <c r="K15" i="8"/>
  <c r="K30" i="8" s="1"/>
  <c r="K35" i="8" s="1"/>
  <c r="J15" i="8"/>
  <c r="J30" i="8" s="1"/>
  <c r="J35" i="8" s="1"/>
  <c r="I15" i="8"/>
  <c r="I30" i="8" s="1"/>
  <c r="I35" i="8" s="1"/>
  <c r="H15" i="8"/>
  <c r="H30" i="8" s="1"/>
  <c r="H35" i="8" s="1"/>
  <c r="G15" i="8"/>
  <c r="G30" i="8" s="1"/>
  <c r="G35" i="8" s="1"/>
  <c r="F15" i="8"/>
  <c r="F30" i="8" s="1"/>
  <c r="F35" i="8" s="1"/>
  <c r="E15" i="8"/>
  <c r="E30" i="8" s="1"/>
  <c r="E35" i="8" s="1"/>
  <c r="D15" i="8"/>
  <c r="D30" i="8" s="1"/>
  <c r="D35" i="8" s="1"/>
  <c r="C15" i="8"/>
  <c r="C30" i="8" s="1"/>
  <c r="C35" i="8" s="1"/>
  <c r="B15" i="8"/>
  <c r="B30" i="8" s="1"/>
  <c r="B35" i="8" s="1"/>
  <c r="J13" i="8"/>
  <c r="I13" i="8"/>
  <c r="H13" i="8"/>
  <c r="G13" i="8"/>
  <c r="F13" i="8"/>
  <c r="F26" i="8" s="1"/>
  <c r="F32" i="8" s="1"/>
  <c r="E13" i="8"/>
  <c r="D13" i="8"/>
  <c r="C13" i="8"/>
  <c r="AB4" i="8"/>
  <c r="AA4" i="8"/>
  <c r="Z4" i="8"/>
  <c r="Y4" i="8"/>
  <c r="X4" i="8"/>
  <c r="N4" i="8"/>
  <c r="N13" i="8" s="1"/>
  <c r="M4" i="8"/>
  <c r="N33" i="5" s="1"/>
  <c r="L4" i="8"/>
  <c r="L13" i="8" s="1"/>
  <c r="K4" i="8"/>
  <c r="K13" i="8" s="1"/>
  <c r="B38" i="7"/>
  <c r="A34" i="7"/>
  <c r="A33" i="7"/>
  <c r="A32" i="7"/>
  <c r="A30" i="7"/>
  <c r="A29" i="7"/>
  <c r="A28" i="7"/>
  <c r="A27" i="7"/>
  <c r="A26" i="7"/>
  <c r="A25" i="7"/>
  <c r="A24" i="7"/>
  <c r="A23" i="7"/>
  <c r="A20" i="7"/>
  <c r="A19" i="7"/>
  <c r="J18" i="7"/>
  <c r="I18" i="7"/>
  <c r="H18" i="7"/>
  <c r="G18" i="7"/>
  <c r="F18" i="7"/>
  <c r="E18" i="7"/>
  <c r="D18" i="7"/>
  <c r="C18" i="7"/>
  <c r="B18" i="7"/>
  <c r="A15" i="7"/>
  <c r="A12" i="7"/>
  <c r="A11" i="7"/>
  <c r="A10" i="7"/>
  <c r="A9" i="7"/>
  <c r="A8" i="7"/>
  <c r="A7" i="7"/>
  <c r="A6" i="7"/>
  <c r="A5" i="7"/>
  <c r="A4" i="7"/>
  <c r="A3" i="7"/>
  <c r="P37" i="6"/>
  <c r="O37" i="6"/>
  <c r="N37" i="6"/>
  <c r="M37" i="6"/>
  <c r="L37" i="6"/>
  <c r="K37" i="6"/>
  <c r="J37" i="6"/>
  <c r="I37" i="6"/>
  <c r="H37" i="6"/>
  <c r="G37" i="6"/>
  <c r="F37" i="6"/>
  <c r="E37" i="6"/>
  <c r="D37" i="6"/>
  <c r="C37" i="6"/>
  <c r="B37" i="6"/>
  <c r="DA33" i="6"/>
  <c r="CZ33" i="6"/>
  <c r="CY33" i="6"/>
  <c r="CX33" i="6"/>
  <c r="CW33" i="6"/>
  <c r="CV33" i="6"/>
  <c r="CZ31" i="6"/>
  <c r="CY31" i="6"/>
  <c r="CX31" i="6"/>
  <c r="CW31" i="6"/>
  <c r="CV31" i="6"/>
  <c r="CU31" i="6"/>
  <c r="CT31" i="6"/>
  <c r="CS31" i="6"/>
  <c r="CR31" i="6"/>
  <c r="CQ31" i="6"/>
  <c r="CP31" i="6"/>
  <c r="CN31" i="6"/>
  <c r="CM31" i="6"/>
  <c r="CL31" i="6"/>
  <c r="CK31" i="6"/>
  <c r="CJ31" i="6"/>
  <c r="CI31" i="6"/>
  <c r="CH31" i="6"/>
  <c r="CG31" i="6"/>
  <c r="CF31" i="6"/>
  <c r="CE31" i="6"/>
  <c r="CD31" i="6"/>
  <c r="CB31" i="6"/>
  <c r="CA31" i="6"/>
  <c r="BZ31" i="6"/>
  <c r="BY31" i="6"/>
  <c r="BX31" i="6"/>
  <c r="BW31" i="6"/>
  <c r="BV31" i="6"/>
  <c r="BU31" i="6"/>
  <c r="BT31" i="6"/>
  <c r="BS31" i="6"/>
  <c r="BR31" i="6"/>
  <c r="BP31" i="6"/>
  <c r="BO31" i="6"/>
  <c r="BN31" i="6"/>
  <c r="BM31" i="6"/>
  <c r="BL31" i="6"/>
  <c r="BK31" i="6"/>
  <c r="BJ31" i="6"/>
  <c r="BI31" i="6"/>
  <c r="BH31" i="6"/>
  <c r="BG31" i="6"/>
  <c r="BF31" i="6"/>
  <c r="BD31" i="6"/>
  <c r="BC31" i="6"/>
  <c r="BB31" i="6"/>
  <c r="BA31" i="6"/>
  <c r="AZ31" i="6"/>
  <c r="AY31" i="6"/>
  <c r="AX31" i="6"/>
  <c r="AW31" i="6"/>
  <c r="AV31" i="6"/>
  <c r="AU31" i="6"/>
  <c r="AT31" i="6"/>
  <c r="AR31" i="6"/>
  <c r="AQ31" i="6"/>
  <c r="AP31" i="6"/>
  <c r="AO31" i="6"/>
  <c r="AN31" i="6"/>
  <c r="AM31" i="6"/>
  <c r="AL31" i="6"/>
  <c r="AK31" i="6"/>
  <c r="AJ31" i="6"/>
  <c r="AI31" i="6"/>
  <c r="AH31" i="6"/>
  <c r="AF31" i="6"/>
  <c r="AE31" i="6"/>
  <c r="AD31" i="6"/>
  <c r="AC31" i="6"/>
  <c r="AB31" i="6"/>
  <c r="AA31" i="6"/>
  <c r="Z31" i="6"/>
  <c r="Y31" i="6"/>
  <c r="CZ29" i="6"/>
  <c r="CY29" i="6"/>
  <c r="CX29" i="6"/>
  <c r="CW29" i="6"/>
  <c r="CV29" i="6"/>
  <c r="CT29" i="6"/>
  <c r="CS29" i="6"/>
  <c r="CR29" i="6"/>
  <c r="CQ29" i="6"/>
  <c r="CP29" i="6"/>
  <c r="CN29" i="6"/>
  <c r="CM29" i="6"/>
  <c r="CL29" i="6"/>
  <c r="CK29" i="6"/>
  <c r="CJ29" i="6"/>
  <c r="CI29" i="6"/>
  <c r="CH29" i="6"/>
  <c r="CG29" i="6"/>
  <c r="CF29" i="6"/>
  <c r="CE29" i="6"/>
  <c r="CD29" i="6"/>
  <c r="CC29" i="6"/>
  <c r="CB29" i="6"/>
  <c r="CA29" i="6"/>
  <c r="BZ29" i="6"/>
  <c r="BY29" i="6"/>
  <c r="BX29" i="6"/>
  <c r="BW29" i="6"/>
  <c r="BV29" i="6"/>
  <c r="BU29" i="6"/>
  <c r="BT29" i="6"/>
  <c r="BS29" i="6"/>
  <c r="BR29" i="6"/>
  <c r="BQ29" i="6"/>
  <c r="BP29" i="6"/>
  <c r="BO29" i="6"/>
  <c r="BN29" i="6"/>
  <c r="BM29" i="6"/>
  <c r="BL29" i="6"/>
  <c r="BK29" i="6"/>
  <c r="BJ29" i="6"/>
  <c r="BI29" i="6"/>
  <c r="BH29" i="6"/>
  <c r="BG29" i="6"/>
  <c r="BF29" i="6"/>
  <c r="BE29" i="6"/>
  <c r="BD29" i="6"/>
  <c r="BC29" i="6"/>
  <c r="BB29" i="6"/>
  <c r="BA29" i="6"/>
  <c r="AZ29" i="6"/>
  <c r="AY29" i="6"/>
  <c r="AX29" i="6"/>
  <c r="AW29" i="6"/>
  <c r="AV29" i="6"/>
  <c r="AU29" i="6"/>
  <c r="AT29" i="6"/>
  <c r="AS29" i="6"/>
  <c r="AR29" i="6"/>
  <c r="AQ29" i="6"/>
  <c r="AP29" i="6"/>
  <c r="AO29" i="6"/>
  <c r="AN29" i="6"/>
  <c r="AM29" i="6"/>
  <c r="AL29" i="6"/>
  <c r="AK29" i="6"/>
  <c r="AJ29" i="6"/>
  <c r="AI29" i="6"/>
  <c r="AH29" i="6"/>
  <c r="AG29" i="6"/>
  <c r="AF29" i="6"/>
  <c r="AE29" i="6"/>
  <c r="AD29" i="6"/>
  <c r="AC29" i="6"/>
  <c r="AB29" i="6"/>
  <c r="AA29" i="6"/>
  <c r="Z29" i="6"/>
  <c r="Y29" i="6"/>
  <c r="CP21" i="6"/>
  <c r="BT21" i="6"/>
  <c r="AY21" i="6"/>
  <c r="CI20" i="6"/>
  <c r="BS20" i="6"/>
  <c r="BC20" i="6"/>
  <c r="AM20" i="6"/>
  <c r="DA19" i="6"/>
  <c r="CZ19" i="6"/>
  <c r="CW19" i="6"/>
  <c r="CV19" i="6"/>
  <c r="CS19" i="6"/>
  <c r="CR19" i="6"/>
  <c r="CO19" i="6"/>
  <c r="CN19" i="6"/>
  <c r="CK19" i="6"/>
  <c r="CJ19" i="6"/>
  <c r="CG19" i="6"/>
  <c r="CF19" i="6"/>
  <c r="CC19" i="6"/>
  <c r="CB19" i="6"/>
  <c r="BY19" i="6"/>
  <c r="BX19" i="6"/>
  <c r="BU19" i="6"/>
  <c r="BT19" i="6"/>
  <c r="BQ19" i="6"/>
  <c r="BP19" i="6"/>
  <c r="BM19" i="6"/>
  <c r="BL19" i="6"/>
  <c r="BI19" i="6"/>
  <c r="BH19" i="6"/>
  <c r="BE19" i="6"/>
  <c r="BD19" i="6"/>
  <c r="BA19" i="6"/>
  <c r="AZ19" i="6"/>
  <c r="AW19" i="6"/>
  <c r="AV19" i="6"/>
  <c r="AS19" i="6"/>
  <c r="AR19" i="6"/>
  <c r="AO19" i="6"/>
  <c r="AN19" i="6"/>
  <c r="AK19" i="6"/>
  <c r="AJ19" i="6"/>
  <c r="AG19" i="6"/>
  <c r="AF19" i="6"/>
  <c r="AC19" i="6"/>
  <c r="AB19" i="6"/>
  <c r="Y19" i="6"/>
  <c r="X19" i="6"/>
  <c r="U19" i="6"/>
  <c r="T19" i="6"/>
  <c r="Q19" i="6"/>
  <c r="P19" i="6"/>
  <c r="M19" i="6"/>
  <c r="L19" i="6"/>
  <c r="I19" i="6"/>
  <c r="H19" i="6"/>
  <c r="E19" i="6"/>
  <c r="D19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B17" i="6"/>
  <c r="DA9" i="6"/>
  <c r="CZ9" i="6"/>
  <c r="CY9" i="6"/>
  <c r="CX9" i="6"/>
  <c r="CW9" i="6"/>
  <c r="CV9" i="6"/>
  <c r="CU9" i="6"/>
  <c r="CT9" i="6"/>
  <c r="CS9" i="6"/>
  <c r="CR9" i="6"/>
  <c r="CQ9" i="6"/>
  <c r="CP9" i="6"/>
  <c r="CO9" i="6"/>
  <c r="CN9" i="6"/>
  <c r="CM9" i="6"/>
  <c r="CL9" i="6"/>
  <c r="CK9" i="6"/>
  <c r="CJ9" i="6"/>
  <c r="CI9" i="6"/>
  <c r="CH9" i="6"/>
  <c r="CG9" i="6"/>
  <c r="CF9" i="6"/>
  <c r="CE9" i="6"/>
  <c r="CD9" i="6"/>
  <c r="CC9" i="6"/>
  <c r="CB9" i="6"/>
  <c r="CA9" i="6"/>
  <c r="BZ9" i="6"/>
  <c r="BY9" i="6"/>
  <c r="BX9" i="6"/>
  <c r="BW9" i="6"/>
  <c r="BV9" i="6"/>
  <c r="BU9" i="6"/>
  <c r="BT9" i="6"/>
  <c r="BS9" i="6"/>
  <c r="BR9" i="6"/>
  <c r="BQ9" i="6"/>
  <c r="BP9" i="6"/>
  <c r="BO9" i="6"/>
  <c r="BN9" i="6"/>
  <c r="BM9" i="6"/>
  <c r="BL9" i="6"/>
  <c r="BK9" i="6"/>
  <c r="BJ9" i="6"/>
  <c r="BI9" i="6"/>
  <c r="BH9" i="6"/>
  <c r="BG9" i="6"/>
  <c r="BF9" i="6"/>
  <c r="BE9" i="6"/>
  <c r="BD9" i="6"/>
  <c r="BC9" i="6"/>
  <c r="BB9" i="6"/>
  <c r="BA9" i="6"/>
  <c r="AZ9" i="6"/>
  <c r="AY9" i="6"/>
  <c r="AX9" i="6"/>
  <c r="AW9" i="6"/>
  <c r="AV9" i="6"/>
  <c r="AU9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F9" i="6"/>
  <c r="AE9" i="6"/>
  <c r="AC9" i="6"/>
  <c r="AB9" i="6"/>
  <c r="AA9" i="6"/>
  <c r="Z9" i="6"/>
  <c r="Y9" i="6"/>
  <c r="CL8" i="6"/>
  <c r="BV8" i="6"/>
  <c r="BF8" i="6"/>
  <c r="AP8" i="6"/>
  <c r="Z8" i="6"/>
  <c r="Y7" i="6"/>
  <c r="CT6" i="6"/>
  <c r="CS6" i="6"/>
  <c r="CR6" i="6"/>
  <c r="CQ6" i="6"/>
  <c r="CP6" i="6"/>
  <c r="CO6" i="6"/>
  <c r="CN6" i="6"/>
  <c r="CM6" i="6"/>
  <c r="CL6" i="6"/>
  <c r="CK6" i="6"/>
  <c r="CJ6" i="6"/>
  <c r="CI6" i="6"/>
  <c r="CH6" i="6"/>
  <c r="CG6" i="6"/>
  <c r="CF6" i="6"/>
  <c r="CE6" i="6"/>
  <c r="CD6" i="6"/>
  <c r="CC6" i="6"/>
  <c r="CB6" i="6"/>
  <c r="CA6" i="6"/>
  <c r="BZ6" i="6"/>
  <c r="BY6" i="6"/>
  <c r="BX6" i="6"/>
  <c r="BW6" i="6"/>
  <c r="BV6" i="6"/>
  <c r="BU6" i="6"/>
  <c r="BT6" i="6"/>
  <c r="BS6" i="6"/>
  <c r="BR6" i="6"/>
  <c r="BQ6" i="6"/>
  <c r="BP6" i="6"/>
  <c r="BO6" i="6"/>
  <c r="BN6" i="6"/>
  <c r="BM6" i="6"/>
  <c r="BL6" i="6"/>
  <c r="BK6" i="6"/>
  <c r="BJ6" i="6"/>
  <c r="BI6" i="6"/>
  <c r="BH6" i="6"/>
  <c r="BG6" i="6"/>
  <c r="BF6" i="6"/>
  <c r="BE6" i="6"/>
  <c r="BD6" i="6"/>
  <c r="BC6" i="6"/>
  <c r="BB6" i="6"/>
  <c r="BA6" i="6"/>
  <c r="AZ6" i="6"/>
  <c r="AY6" i="6"/>
  <c r="AX6" i="6"/>
  <c r="AW6" i="6"/>
  <c r="AV6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AG5" i="6"/>
  <c r="AF5" i="6"/>
  <c r="AE5" i="6"/>
  <c r="AD5" i="6"/>
  <c r="AC5" i="6"/>
  <c r="AB5" i="6"/>
  <c r="AA5" i="6"/>
  <c r="Z5" i="6"/>
  <c r="Y5" i="6"/>
  <c r="CY19" i="6"/>
  <c r="CX19" i="6"/>
  <c r="CU19" i="6"/>
  <c r="CT19" i="6"/>
  <c r="CQ19" i="6"/>
  <c r="CP19" i="6"/>
  <c r="CM19" i="6"/>
  <c r="CL19" i="6"/>
  <c r="CI19" i="6"/>
  <c r="CH19" i="6"/>
  <c r="CE19" i="6"/>
  <c r="CD19" i="6"/>
  <c r="CA19" i="6"/>
  <c r="BZ19" i="6"/>
  <c r="BW19" i="6"/>
  <c r="BV19" i="6"/>
  <c r="BS19" i="6"/>
  <c r="BR19" i="6"/>
  <c r="BO19" i="6"/>
  <c r="BN19" i="6"/>
  <c r="BK19" i="6"/>
  <c r="BJ19" i="6"/>
  <c r="BG19" i="6"/>
  <c r="BF19" i="6"/>
  <c r="BC19" i="6"/>
  <c r="BB19" i="6"/>
  <c r="AY19" i="6"/>
  <c r="AX19" i="6"/>
  <c r="AU19" i="6"/>
  <c r="AT19" i="6"/>
  <c r="AQ19" i="6"/>
  <c r="AP19" i="6"/>
  <c r="AM19" i="6"/>
  <c r="AL19" i="6"/>
  <c r="AI19" i="6"/>
  <c r="AH19" i="6"/>
  <c r="AE19" i="6"/>
  <c r="AD19" i="6"/>
  <c r="AA19" i="6"/>
  <c r="Z19" i="6"/>
  <c r="W19" i="6"/>
  <c r="V19" i="6"/>
  <c r="S19" i="6"/>
  <c r="R19" i="6"/>
  <c r="O19" i="6"/>
  <c r="N19" i="6"/>
  <c r="K19" i="6"/>
  <c r="J19" i="6"/>
  <c r="G19" i="6"/>
  <c r="F19" i="6"/>
  <c r="C19" i="6"/>
  <c r="B19" i="6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E34" i="5"/>
  <c r="AD34" i="5"/>
  <c r="P34" i="5"/>
  <c r="O34" i="5"/>
  <c r="N34" i="5"/>
  <c r="M34" i="5"/>
  <c r="L34" i="5"/>
  <c r="K34" i="5"/>
  <c r="J34" i="5"/>
  <c r="I34" i="5"/>
  <c r="H34" i="5"/>
  <c r="G34" i="5"/>
  <c r="F34" i="5"/>
  <c r="E34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E33" i="5"/>
  <c r="AD33" i="5"/>
  <c r="K33" i="5"/>
  <c r="J33" i="5"/>
  <c r="I33" i="5"/>
  <c r="H33" i="5"/>
  <c r="G33" i="5"/>
  <c r="F33" i="5"/>
  <c r="E33" i="5"/>
  <c r="C28" i="5"/>
  <c r="E74" i="17" s="1"/>
  <c r="B28" i="5"/>
  <c r="D74" i="17" s="1"/>
  <c r="T27" i="5"/>
  <c r="K27" i="5"/>
  <c r="M78" i="17" s="1"/>
  <c r="CO29" i="6"/>
  <c r="K26" i="5"/>
  <c r="U25" i="5"/>
  <c r="T25" i="5"/>
  <c r="S25" i="5"/>
  <c r="R25" i="5"/>
  <c r="Q25" i="5"/>
  <c r="P25" i="5"/>
  <c r="O25" i="5"/>
  <c r="N25" i="5"/>
  <c r="M25" i="5"/>
  <c r="L25" i="5"/>
  <c r="DC24" i="5"/>
  <c r="DA26" i="6" s="1"/>
  <c r="DB24" i="5"/>
  <c r="CZ26" i="6" s="1"/>
  <c r="DA24" i="5"/>
  <c r="CY26" i="6" s="1"/>
  <c r="CZ24" i="5"/>
  <c r="CX26" i="6" s="1"/>
  <c r="CY24" i="5"/>
  <c r="CW26" i="6" s="1"/>
  <c r="CX24" i="5"/>
  <c r="CV26" i="6" s="1"/>
  <c r="K23" i="5"/>
  <c r="M77" i="17" s="1"/>
  <c r="J23" i="5"/>
  <c r="L77" i="17" s="1"/>
  <c r="I23" i="5"/>
  <c r="K77" i="17" s="1"/>
  <c r="H23" i="5"/>
  <c r="J77" i="17" s="1"/>
  <c r="G23" i="5"/>
  <c r="I77" i="17" s="1"/>
  <c r="F23" i="5"/>
  <c r="H77" i="17" s="1"/>
  <c r="E23" i="5"/>
  <c r="G77" i="17" s="1"/>
  <c r="D23" i="5"/>
  <c r="F77" i="17" s="1"/>
  <c r="D19" i="5"/>
  <c r="F80" i="17" s="1"/>
  <c r="C19" i="5"/>
  <c r="E80" i="17" s="1"/>
  <c r="B19" i="5"/>
  <c r="D80" i="17" s="1"/>
  <c r="CU21" i="6"/>
  <c r="CT21" i="6"/>
  <c r="CS21" i="6"/>
  <c r="CR21" i="6"/>
  <c r="CQ21" i="6"/>
  <c r="CO21" i="6"/>
  <c r="CN21" i="6"/>
  <c r="CM21" i="6"/>
  <c r="CL21" i="6"/>
  <c r="CK21" i="6"/>
  <c r="CJ21" i="6"/>
  <c r="CI21" i="6"/>
  <c r="CH21" i="6"/>
  <c r="CG21" i="6"/>
  <c r="CF21" i="6"/>
  <c r="CE21" i="6"/>
  <c r="CD21" i="6"/>
  <c r="CC21" i="6"/>
  <c r="CB21" i="6"/>
  <c r="CA21" i="6"/>
  <c r="BZ21" i="6"/>
  <c r="BY21" i="6"/>
  <c r="BX21" i="6"/>
  <c r="BW21" i="6"/>
  <c r="BV21" i="6"/>
  <c r="BU21" i="6"/>
  <c r="BS21" i="6"/>
  <c r="BR21" i="6"/>
  <c r="BQ21" i="6"/>
  <c r="BP21" i="6"/>
  <c r="BO21" i="6"/>
  <c r="BN21" i="6"/>
  <c r="BM21" i="6"/>
  <c r="BL21" i="6"/>
  <c r="BK21" i="6"/>
  <c r="BJ21" i="6"/>
  <c r="BI21" i="6"/>
  <c r="BH21" i="6"/>
  <c r="BG21" i="6"/>
  <c r="BF21" i="6"/>
  <c r="BE21" i="6"/>
  <c r="BD21" i="6"/>
  <c r="BC21" i="6"/>
  <c r="BB21" i="6"/>
  <c r="BA21" i="6"/>
  <c r="AZ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CS20" i="6"/>
  <c r="CO20" i="6"/>
  <c r="CK20" i="6"/>
  <c r="CG20" i="6"/>
  <c r="CC20" i="6"/>
  <c r="BY20" i="6"/>
  <c r="BU20" i="6"/>
  <c r="BQ20" i="6"/>
  <c r="BM20" i="6"/>
  <c r="BI20" i="6"/>
  <c r="BE20" i="6"/>
  <c r="BA20" i="6"/>
  <c r="AW20" i="6"/>
  <c r="AS20" i="6"/>
  <c r="AR20" i="6"/>
  <c r="AO20" i="6"/>
  <c r="AN20" i="6"/>
  <c r="AK20" i="6"/>
  <c r="AJ20" i="6"/>
  <c r="AG20" i="6"/>
  <c r="AF20" i="6"/>
  <c r="AC20" i="6"/>
  <c r="AB20" i="6"/>
  <c r="Y20" i="6"/>
  <c r="C11" i="5"/>
  <c r="C18" i="5" s="1"/>
  <c r="DA8" i="6"/>
  <c r="CZ8" i="6"/>
  <c r="CY8" i="6"/>
  <c r="CX8" i="6"/>
  <c r="CW8" i="6"/>
  <c r="CW85" i="17"/>
  <c r="CS85" i="17"/>
  <c r="CO85" i="17"/>
  <c r="CK85" i="17"/>
  <c r="CG85" i="17"/>
  <c r="CC85" i="17"/>
  <c r="BY85" i="17"/>
  <c r="BU85" i="17"/>
  <c r="BQ85" i="17"/>
  <c r="BM85" i="17"/>
  <c r="BI85" i="17"/>
  <c r="BE85" i="17"/>
  <c r="BA85" i="17"/>
  <c r="AW85" i="17"/>
  <c r="AS85" i="17"/>
  <c r="AO85" i="17"/>
  <c r="AK85" i="17"/>
  <c r="AG85" i="17"/>
  <c r="AC85" i="17"/>
  <c r="Y85" i="17"/>
  <c r="U85" i="17"/>
  <c r="S85" i="17"/>
  <c r="R85" i="17"/>
  <c r="Q85" i="17"/>
  <c r="P85" i="17"/>
  <c r="O85" i="17"/>
  <c r="M85" i="17"/>
  <c r="L85" i="17"/>
  <c r="K85" i="17"/>
  <c r="J85" i="17"/>
  <c r="I85" i="17"/>
  <c r="H85" i="17"/>
  <c r="G85" i="17"/>
  <c r="B8" i="5"/>
  <c r="D85" i="17" s="1"/>
  <c r="B4" i="5"/>
  <c r="D82" i="17" s="1"/>
  <c r="DC13" i="5"/>
  <c r="DB13" i="5"/>
  <c r="DA13" i="5"/>
  <c r="CZ13" i="5"/>
  <c r="CY13" i="5"/>
  <c r="CX13" i="5"/>
  <c r="CV3" i="11"/>
  <c r="CU3" i="11"/>
  <c r="CT3" i="11"/>
  <c r="CS3" i="11"/>
  <c r="CR3" i="11"/>
  <c r="CQ3" i="11"/>
  <c r="CP3" i="11"/>
  <c r="CO3" i="11"/>
  <c r="CN3" i="11"/>
  <c r="CM3" i="11"/>
  <c r="CL3" i="11"/>
  <c r="CK3" i="11"/>
  <c r="CJ3" i="11"/>
  <c r="CI3" i="11"/>
  <c r="CH3" i="11"/>
  <c r="CG3" i="11"/>
  <c r="CF3" i="11"/>
  <c r="CE3" i="11"/>
  <c r="CD3" i="11"/>
  <c r="CC3" i="11"/>
  <c r="CB3" i="11"/>
  <c r="CA3" i="11"/>
  <c r="BZ3" i="11"/>
  <c r="BY3" i="11"/>
  <c r="BX3" i="11"/>
  <c r="BW3" i="11"/>
  <c r="BV3" i="11"/>
  <c r="BU3" i="11"/>
  <c r="BT3" i="11"/>
  <c r="BS3" i="11"/>
  <c r="BR3" i="11"/>
  <c r="BQ3" i="11"/>
  <c r="BP3" i="11"/>
  <c r="BO3" i="11"/>
  <c r="BN3" i="11"/>
  <c r="BM3" i="11"/>
  <c r="BL3" i="11"/>
  <c r="BK3" i="11"/>
  <c r="BJ3" i="11"/>
  <c r="BI3" i="11"/>
  <c r="BH3" i="11"/>
  <c r="BG3" i="11"/>
  <c r="BF3" i="11"/>
  <c r="BE3" i="11"/>
  <c r="BD3" i="11"/>
  <c r="BC3" i="11"/>
  <c r="BB3" i="11"/>
  <c r="BA3" i="11"/>
  <c r="AZ3" i="11"/>
  <c r="AY3" i="11"/>
  <c r="AX3" i="11"/>
  <c r="AW3" i="11"/>
  <c r="AV3" i="11"/>
  <c r="AU3" i="11"/>
  <c r="AT3" i="11"/>
  <c r="AS3" i="11"/>
  <c r="AR3" i="11"/>
  <c r="AQ3" i="11"/>
  <c r="AP3" i="11"/>
  <c r="AO3" i="11"/>
  <c r="AN3" i="11"/>
  <c r="AM3" i="11"/>
  <c r="AL3" i="11"/>
  <c r="AK3" i="11"/>
  <c r="AJ3" i="11"/>
  <c r="AI3" i="11"/>
  <c r="AH3" i="11"/>
  <c r="AG3" i="11"/>
  <c r="AF3" i="11"/>
  <c r="AE3" i="11"/>
  <c r="AD3" i="11"/>
  <c r="AC3" i="11"/>
  <c r="AB3" i="11"/>
  <c r="AA3" i="11"/>
  <c r="Z3" i="11"/>
  <c r="Y3" i="11"/>
  <c r="X3" i="11"/>
  <c r="W3" i="11"/>
  <c r="V3" i="11"/>
  <c r="U3" i="11"/>
  <c r="T3" i="11"/>
  <c r="S3" i="11"/>
  <c r="R3" i="11"/>
  <c r="Q3" i="11"/>
  <c r="P3" i="11"/>
  <c r="O3" i="11"/>
  <c r="N3" i="11"/>
  <c r="M3" i="11"/>
  <c r="L3" i="11"/>
  <c r="K3" i="11"/>
  <c r="J3" i="11"/>
  <c r="I3" i="11"/>
  <c r="H3" i="11"/>
  <c r="G3" i="11"/>
  <c r="F3" i="11"/>
  <c r="E3" i="11"/>
  <c r="D3" i="11"/>
  <c r="C3" i="11"/>
  <c r="B3" i="11"/>
  <c r="B13" i="5"/>
  <c r="DC2" i="5"/>
  <c r="DA2" i="6" s="1"/>
  <c r="DB2" i="5"/>
  <c r="CZ2" i="6" s="1"/>
  <c r="DA2" i="5"/>
  <c r="CY2" i="6" s="1"/>
  <c r="CZ2" i="5"/>
  <c r="CX2" i="6" s="1"/>
  <c r="CY2" i="5"/>
  <c r="CW2" i="6" s="1"/>
  <c r="CX2" i="5"/>
  <c r="CV2" i="6" s="1"/>
  <c r="CW2" i="5"/>
  <c r="CV2" i="11" s="1"/>
  <c r="CV2" i="5"/>
  <c r="CU2" i="5"/>
  <c r="CT2" i="5"/>
  <c r="CS2" i="5"/>
  <c r="CR2" i="11" s="1"/>
  <c r="CR2" i="5"/>
  <c r="CQ2" i="5"/>
  <c r="CP2" i="5"/>
  <c r="CO2" i="5"/>
  <c r="CN2" i="11" s="1"/>
  <c r="CN2" i="5"/>
  <c r="CM2" i="5"/>
  <c r="CL2" i="5"/>
  <c r="CK2" i="5"/>
  <c r="CJ2" i="11" s="1"/>
  <c r="CJ2" i="5"/>
  <c r="CI2" i="5"/>
  <c r="CH2" i="5"/>
  <c r="CG2" i="5"/>
  <c r="CF2" i="11" s="1"/>
  <c r="CF2" i="5"/>
  <c r="CE2" i="5"/>
  <c r="CD2" i="5"/>
  <c r="CC2" i="5"/>
  <c r="CB2" i="11" s="1"/>
  <c r="CB2" i="5"/>
  <c r="CA2" i="5"/>
  <c r="BZ2" i="5"/>
  <c r="BY2" i="5"/>
  <c r="BX2" i="11" s="1"/>
  <c r="BX2" i="5"/>
  <c r="BW2" i="5"/>
  <c r="BV2" i="5"/>
  <c r="BU2" i="5"/>
  <c r="BT2" i="11" s="1"/>
  <c r="BT2" i="5"/>
  <c r="BS2" i="5"/>
  <c r="BR2" i="5"/>
  <c r="BQ2" i="5"/>
  <c r="BP2" i="11" s="1"/>
  <c r="BP2" i="5"/>
  <c r="BO2" i="5"/>
  <c r="BN2" i="5"/>
  <c r="BM2" i="5"/>
  <c r="BL2" i="11" s="1"/>
  <c r="BL2" i="5"/>
  <c r="BK2" i="5"/>
  <c r="BJ2" i="5"/>
  <c r="BI2" i="5"/>
  <c r="BH2" i="11" s="1"/>
  <c r="BH2" i="5"/>
  <c r="BG2" i="5"/>
  <c r="BF2" i="5"/>
  <c r="BE2" i="5"/>
  <c r="BD2" i="11" s="1"/>
  <c r="BD2" i="5"/>
  <c r="BC2" i="5"/>
  <c r="BB2" i="5"/>
  <c r="BA2" i="5"/>
  <c r="AZ2" i="11" s="1"/>
  <c r="AZ2" i="5"/>
  <c r="AY2" i="5"/>
  <c r="AX2" i="5"/>
  <c r="AW2" i="5"/>
  <c r="AV2" i="11" s="1"/>
  <c r="AV2" i="5"/>
  <c r="AU2" i="5"/>
  <c r="AT2" i="5"/>
  <c r="AS2" i="5"/>
  <c r="AR2" i="11" s="1"/>
  <c r="AR2" i="5"/>
  <c r="AQ2" i="5"/>
  <c r="AP2" i="5"/>
  <c r="AO2" i="5"/>
  <c r="AN2" i="11" s="1"/>
  <c r="AN2" i="5"/>
  <c r="AM2" i="5"/>
  <c r="AL2" i="5"/>
  <c r="AK2" i="5"/>
  <c r="AJ2" i="11" s="1"/>
  <c r="AJ2" i="5"/>
  <c r="AI2" i="5"/>
  <c r="AH2" i="5"/>
  <c r="AG2" i="5"/>
  <c r="AF2" i="11" s="1"/>
  <c r="AF2" i="5"/>
  <c r="AE2" i="5"/>
  <c r="AD2" i="5"/>
  <c r="AC2" i="5"/>
  <c r="AB2" i="11" s="1"/>
  <c r="AB2" i="5"/>
  <c r="AA2" i="5"/>
  <c r="Z2" i="5"/>
  <c r="Y2" i="5"/>
  <c r="X2" i="11" s="1"/>
  <c r="X2" i="5"/>
  <c r="W2" i="5"/>
  <c r="V2" i="5"/>
  <c r="U2" i="5"/>
  <c r="T2" i="11" s="1"/>
  <c r="T2" i="5"/>
  <c r="S2" i="5"/>
  <c r="R2" i="5"/>
  <c r="Q2" i="5"/>
  <c r="P2" i="11" s="1"/>
  <c r="P2" i="5"/>
  <c r="O2" i="5"/>
  <c r="N2" i="5"/>
  <c r="M2" i="5"/>
  <c r="L2" i="11" s="1"/>
  <c r="L2" i="5"/>
  <c r="K2" i="5"/>
  <c r="J2" i="5"/>
  <c r="I2" i="5"/>
  <c r="H2" i="11" s="1"/>
  <c r="H2" i="5"/>
  <c r="G2" i="5"/>
  <c r="F2" i="5"/>
  <c r="E2" i="5"/>
  <c r="D2" i="11" s="1"/>
  <c r="D2" i="5"/>
  <c r="C2" i="5"/>
  <c r="B30" i="4"/>
  <c r="K25" i="4"/>
  <c r="L25" i="4" s="1"/>
  <c r="M25" i="4" s="1"/>
  <c r="N25" i="4" s="1"/>
  <c r="O25" i="4" s="1"/>
  <c r="B25" i="4"/>
  <c r="C25" i="4" s="1"/>
  <c r="D25" i="4" s="1"/>
  <c r="E25" i="4" s="1"/>
  <c r="F25" i="4" s="1"/>
  <c r="G25" i="4" s="1"/>
  <c r="H25" i="4" s="1"/>
  <c r="I25" i="4" s="1"/>
  <c r="B23" i="4"/>
  <c r="C22" i="4"/>
  <c r="D22" i="4" s="1"/>
  <c r="E22" i="4" s="1"/>
  <c r="F22" i="4" s="1"/>
  <c r="G22" i="4" s="1"/>
  <c r="H22" i="4" s="1"/>
  <c r="I22" i="4" s="1"/>
  <c r="J22" i="4" s="1"/>
  <c r="K20" i="4"/>
  <c r="L20" i="4" s="1"/>
  <c r="M20" i="4" s="1"/>
  <c r="N20" i="4" s="1"/>
  <c r="O20" i="4" s="1"/>
  <c r="P20" i="4" s="1"/>
  <c r="Q20" i="4" s="1"/>
  <c r="B20" i="4"/>
  <c r="J19" i="4"/>
  <c r="J21" i="4" s="1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T15" i="4"/>
  <c r="U27" i="5" s="1"/>
  <c r="K15" i="4"/>
  <c r="L27" i="5" s="1"/>
  <c r="N78" i="17" s="1"/>
  <c r="B15" i="4"/>
  <c r="K13" i="4"/>
  <c r="L13" i="4" s="1"/>
  <c r="M13" i="4" s="1"/>
  <c r="N13" i="4" s="1"/>
  <c r="O13" i="4" s="1"/>
  <c r="P13" i="4" s="1"/>
  <c r="Q13" i="4" s="1"/>
  <c r="R13" i="4" s="1"/>
  <c r="S13" i="4" s="1"/>
  <c r="T13" i="4" s="1"/>
  <c r="U13" i="4" s="1"/>
  <c r="V13" i="4" s="1"/>
  <c r="C13" i="4"/>
  <c r="D13" i="4" s="1"/>
  <c r="E13" i="4" s="1"/>
  <c r="F13" i="4" s="1"/>
  <c r="G13" i="4" s="1"/>
  <c r="H13" i="4" s="1"/>
  <c r="I13" i="4" s="1"/>
  <c r="R11" i="4"/>
  <c r="S11" i="4" s="1"/>
  <c r="T11" i="4" s="1"/>
  <c r="U11" i="4" s="1"/>
  <c r="K11" i="4"/>
  <c r="L11" i="4" s="1"/>
  <c r="M11" i="4" s="1"/>
  <c r="N11" i="4" s="1"/>
  <c r="O11" i="4" s="1"/>
  <c r="P11" i="4" s="1"/>
  <c r="B11" i="4"/>
  <c r="C11" i="4" s="1"/>
  <c r="D11" i="4" s="1"/>
  <c r="E11" i="4" s="1"/>
  <c r="F11" i="4" s="1"/>
  <c r="G11" i="4" s="1"/>
  <c r="H11" i="4" s="1"/>
  <c r="I11" i="4" s="1"/>
  <c r="T10" i="4"/>
  <c r="U10" i="4" s="1"/>
  <c r="V10" i="4" s="1"/>
  <c r="C10" i="4"/>
  <c r="D10" i="4" s="1"/>
  <c r="T9" i="4"/>
  <c r="V25" i="5" s="1"/>
  <c r="C8" i="4"/>
  <c r="D8" i="4" s="1"/>
  <c r="E8" i="4" s="1"/>
  <c r="F8" i="4" s="1"/>
  <c r="G8" i="4" s="1"/>
  <c r="H8" i="4" s="1"/>
  <c r="I8" i="4" s="1"/>
  <c r="J8" i="4" s="1"/>
  <c r="DB7" i="4"/>
  <c r="Q6" i="2" s="1"/>
  <c r="DA7" i="4"/>
  <c r="CZ7" i="4"/>
  <c r="CY7" i="4"/>
  <c r="CX7" i="4"/>
  <c r="CW7" i="4"/>
  <c r="C5" i="4"/>
  <c r="D5" i="4" s="1"/>
  <c r="E5" i="4" s="1"/>
  <c r="F5" i="4" s="1"/>
  <c r="G5" i="4" s="1"/>
  <c r="H5" i="4" s="1"/>
  <c r="I5" i="4" s="1"/>
  <c r="J5" i="4" s="1"/>
  <c r="K5" i="4" s="1"/>
  <c r="L5" i="4" s="1"/>
  <c r="M5" i="4" s="1"/>
  <c r="N5" i="4" s="1"/>
  <c r="O5" i="4" s="1"/>
  <c r="P5" i="4" s="1"/>
  <c r="Q5" i="4" s="1"/>
  <c r="R5" i="4" s="1"/>
  <c r="S5" i="4" s="1"/>
  <c r="T5" i="4" s="1"/>
  <c r="C4" i="4"/>
  <c r="B50" i="3"/>
  <c r="C50" i="3" s="1"/>
  <c r="D50" i="3" s="1"/>
  <c r="E50" i="3" s="1"/>
  <c r="F50" i="3" s="1"/>
  <c r="I40" i="3"/>
  <c r="I42" i="3" s="1"/>
  <c r="H40" i="3"/>
  <c r="H42" i="3" s="1"/>
  <c r="G40" i="3"/>
  <c r="G42" i="3" s="1"/>
  <c r="F40" i="3"/>
  <c r="F42" i="3" s="1"/>
  <c r="E40" i="3"/>
  <c r="E42" i="3" s="1"/>
  <c r="D40" i="3"/>
  <c r="D42" i="3" s="1"/>
  <c r="C40" i="3"/>
  <c r="C42" i="3" s="1"/>
  <c r="B40" i="3"/>
  <c r="B42" i="3" s="1"/>
  <c r="I28" i="3"/>
  <c r="H28" i="3"/>
  <c r="G28" i="3"/>
  <c r="F28" i="3"/>
  <c r="E28" i="3"/>
  <c r="D28" i="3"/>
  <c r="C28" i="3"/>
  <c r="B28" i="3"/>
  <c r="F24" i="3"/>
  <c r="E24" i="3"/>
  <c r="D24" i="3"/>
  <c r="C24" i="3"/>
  <c r="B24" i="3"/>
  <c r="V18" i="3"/>
  <c r="U18" i="3"/>
  <c r="T18" i="3"/>
  <c r="S18" i="3"/>
  <c r="R17" i="3"/>
  <c r="A15" i="3"/>
  <c r="I14" i="3"/>
  <c r="S12" i="3"/>
  <c r="R12" i="3"/>
  <c r="Q12" i="3"/>
  <c r="P12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V10" i="3"/>
  <c r="U10" i="3"/>
  <c r="T10" i="3"/>
  <c r="S10" i="3"/>
  <c r="A8" i="3"/>
  <c r="A7" i="3"/>
  <c r="A6" i="3"/>
  <c r="A5" i="3"/>
  <c r="A4" i="3"/>
  <c r="A3" i="3"/>
  <c r="H32" i="2"/>
  <c r="G32" i="2"/>
  <c r="F32" i="2"/>
  <c r="E32" i="2"/>
  <c r="D32" i="2"/>
  <c r="C32" i="2"/>
  <c r="B33" i="2"/>
  <c r="B9" i="9" s="1"/>
  <c r="B19" i="9" s="1"/>
  <c r="H29" i="2"/>
  <c r="G29" i="2"/>
  <c r="F29" i="2"/>
  <c r="E29" i="2"/>
  <c r="D29" i="2"/>
  <c r="C29" i="2"/>
  <c r="B29" i="2"/>
  <c r="B30" i="2" s="1"/>
  <c r="B3" i="9" s="1"/>
  <c r="B5" i="9" s="1"/>
  <c r="B23" i="9" s="1"/>
  <c r="B25" i="9" s="1"/>
  <c r="G27" i="2"/>
  <c r="F27" i="2"/>
  <c r="E27" i="2"/>
  <c r="D27" i="2"/>
  <c r="C27" i="2"/>
  <c r="B27" i="2"/>
  <c r="I23" i="2"/>
  <c r="I21" i="2"/>
  <c r="A20" i="2"/>
  <c r="I19" i="2"/>
  <c r="H19" i="2"/>
  <c r="H24" i="2" s="1"/>
  <c r="H37" i="2" s="1"/>
  <c r="H38" i="2" s="1"/>
  <c r="G19" i="2"/>
  <c r="G24" i="2" s="1"/>
  <c r="G37" i="2" s="1"/>
  <c r="G38" i="2" s="1"/>
  <c r="F19" i="2"/>
  <c r="F24" i="2" s="1"/>
  <c r="F37" i="2" s="1"/>
  <c r="F38" i="2" s="1"/>
  <c r="E19" i="2"/>
  <c r="E24" i="2" s="1"/>
  <c r="E37" i="2" s="1"/>
  <c r="E38" i="2" s="1"/>
  <c r="D19" i="2"/>
  <c r="D24" i="2" s="1"/>
  <c r="D37" i="2" s="1"/>
  <c r="D38" i="2" s="1"/>
  <c r="C19" i="2"/>
  <c r="C24" i="2" s="1"/>
  <c r="C37" i="2" s="1"/>
  <c r="C38" i="2" s="1"/>
  <c r="B19" i="2"/>
  <c r="B24" i="2" s="1"/>
  <c r="B37" i="2" s="1"/>
  <c r="B38" i="2" s="1"/>
  <c r="A19" i="2"/>
  <c r="A18" i="2"/>
  <c r="A17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G14" i="2"/>
  <c r="F14" i="2"/>
  <c r="E14" i="2"/>
  <c r="D14" i="2"/>
  <c r="C14" i="2"/>
  <c r="B14" i="2"/>
  <c r="I13" i="2"/>
  <c r="I8" i="33" s="1"/>
  <c r="A13" i="2"/>
  <c r="I9" i="2"/>
  <c r="H9" i="2"/>
  <c r="H27" i="2" s="1"/>
  <c r="Q8" i="2"/>
  <c r="P8" i="2"/>
  <c r="O8" i="2"/>
  <c r="N8" i="2"/>
  <c r="M8" i="2"/>
  <c r="L8" i="2"/>
  <c r="K8" i="2"/>
  <c r="A8" i="2"/>
  <c r="A7" i="2"/>
  <c r="A6" i="2"/>
  <c r="A5" i="2"/>
  <c r="A4" i="2"/>
  <c r="A3" i="2"/>
  <c r="L7" i="33" l="1"/>
  <c r="P7" i="33"/>
  <c r="G16" i="3"/>
  <c r="G18" i="3" s="1"/>
  <c r="G3" i="33" s="1"/>
  <c r="G9" i="33" s="1"/>
  <c r="G16" i="33" s="1"/>
  <c r="G18" i="33" s="1"/>
  <c r="H17" i="33" s="1"/>
  <c r="J16" i="3"/>
  <c r="F16" i="3"/>
  <c r="F18" i="3" s="1"/>
  <c r="F3" i="33" s="1"/>
  <c r="F9" i="33" s="1"/>
  <c r="F16" i="33" s="1"/>
  <c r="F18" i="33" s="1"/>
  <c r="G17" i="33" s="1"/>
  <c r="B16" i="3"/>
  <c r="B18" i="3" s="1"/>
  <c r="B3" i="33" s="1"/>
  <c r="B9" i="33" s="1"/>
  <c r="B16" i="33" s="1"/>
  <c r="B18" i="33" s="1"/>
  <c r="C17" i="33" s="1"/>
  <c r="D16" i="3"/>
  <c r="D18" i="3" s="1"/>
  <c r="D3" i="33" s="1"/>
  <c r="D9" i="33" s="1"/>
  <c r="D16" i="33" s="1"/>
  <c r="D18" i="33" s="1"/>
  <c r="E17" i="33" s="1"/>
  <c r="I16" i="3"/>
  <c r="I18" i="3" s="1"/>
  <c r="E16" i="3"/>
  <c r="E18" i="3" s="1"/>
  <c r="E3" i="33" s="1"/>
  <c r="E9" i="33" s="1"/>
  <c r="E16" i="33" s="1"/>
  <c r="E18" i="33" s="1"/>
  <c r="F17" i="33" s="1"/>
  <c r="H16" i="3"/>
  <c r="H18" i="3" s="1"/>
  <c r="H3" i="33" s="1"/>
  <c r="H9" i="33" s="1"/>
  <c r="H16" i="33" s="1"/>
  <c r="H18" i="33" s="1"/>
  <c r="I17" i="33" s="1"/>
  <c r="C16" i="3"/>
  <c r="C18" i="3" s="1"/>
  <c r="C3" i="33" s="1"/>
  <c r="C9" i="33" s="1"/>
  <c r="C16" i="33" s="1"/>
  <c r="C18" i="33" s="1"/>
  <c r="D17" i="33" s="1"/>
  <c r="C36" i="8"/>
  <c r="C41" i="8" s="1"/>
  <c r="C24" i="4" s="1"/>
  <c r="B38" i="6"/>
  <c r="B40" i="6" s="1"/>
  <c r="C23" i="4" s="1"/>
  <c r="F38" i="6"/>
  <c r="J38" i="6"/>
  <c r="N38" i="6"/>
  <c r="L26" i="8"/>
  <c r="L32" i="8" s="1"/>
  <c r="M33" i="5"/>
  <c r="M19" i="5" s="1"/>
  <c r="O80" i="17" s="1"/>
  <c r="Y6" i="12"/>
  <c r="G38" i="6"/>
  <c r="O38" i="6"/>
  <c r="H19" i="5"/>
  <c r="J80" i="17" s="1"/>
  <c r="AQ80" i="17"/>
  <c r="AY80" i="17"/>
  <c r="BG80" i="17"/>
  <c r="BO80" i="17"/>
  <c r="BW80" i="17"/>
  <c r="CA25" i="6"/>
  <c r="AT80" i="17"/>
  <c r="AT25" i="6"/>
  <c r="BB80" i="17"/>
  <c r="BJ80" i="17"/>
  <c r="BJ25" i="6"/>
  <c r="BR80" i="17"/>
  <c r="BZ80" i="17"/>
  <c r="BZ25" i="6"/>
  <c r="CD25" i="6"/>
  <c r="CL25" i="6"/>
  <c r="CP25" i="6"/>
  <c r="CT25" i="6"/>
  <c r="C10" i="14"/>
  <c r="C12" i="14"/>
  <c r="Q7" i="33"/>
  <c r="N7" i="33"/>
  <c r="M7" i="33"/>
  <c r="O7" i="33"/>
  <c r="W13" i="4"/>
  <c r="X13" i="4" s="1"/>
  <c r="Y13" i="4" s="1"/>
  <c r="Z13" i="4" s="1"/>
  <c r="AA13" i="4" s="1"/>
  <c r="AB13" i="4" s="1"/>
  <c r="AC13" i="4" s="1"/>
  <c r="AD13" i="4" s="1"/>
  <c r="AE13" i="4" s="1"/>
  <c r="AF13" i="4" s="1"/>
  <c r="AG13" i="4" s="1"/>
  <c r="AH13" i="4" s="1"/>
  <c r="J10" i="2"/>
  <c r="E38" i="9"/>
  <c r="AC33" i="5"/>
  <c r="Z33" i="5"/>
  <c r="E39" i="19"/>
  <c r="F39" i="19"/>
  <c r="K11" i="20"/>
  <c r="K18" i="19" s="1"/>
  <c r="F11" i="20"/>
  <c r="F18" i="19" s="1"/>
  <c r="E38" i="6"/>
  <c r="I38" i="6"/>
  <c r="M38" i="6"/>
  <c r="B75" i="20"/>
  <c r="B10" i="19" s="1"/>
  <c r="B32" i="19" s="1"/>
  <c r="B11" i="20"/>
  <c r="B18" i="19" s="1"/>
  <c r="B29" i="19" s="1"/>
  <c r="D18" i="20"/>
  <c r="G23" i="20"/>
  <c r="D39" i="19"/>
  <c r="U5" i="4"/>
  <c r="V5" i="4" s="1"/>
  <c r="D38" i="6"/>
  <c r="H38" i="6"/>
  <c r="L38" i="6"/>
  <c r="P38" i="6"/>
  <c r="M14" i="3"/>
  <c r="AN25" i="6"/>
  <c r="AZ80" i="17"/>
  <c r="BD25" i="6"/>
  <c r="BP80" i="17"/>
  <c r="BT25" i="6"/>
  <c r="CF80" i="17"/>
  <c r="CN80" i="17"/>
  <c r="CV80" i="17"/>
  <c r="L33" i="5"/>
  <c r="L19" i="5" s="1"/>
  <c r="N80" i="17" s="1"/>
  <c r="H29" i="18"/>
  <c r="K26" i="8"/>
  <c r="K32" i="8" s="1"/>
  <c r="C33" i="2"/>
  <c r="C9" i="9" s="1"/>
  <c r="C19" i="9" s="1"/>
  <c r="AR25" i="6"/>
  <c r="AZ25" i="6"/>
  <c r="BH25" i="6"/>
  <c r="BT80" i="17"/>
  <c r="CB80" i="17"/>
  <c r="CF25" i="6"/>
  <c r="CR80" i="17"/>
  <c r="N26" i="8"/>
  <c r="N32" i="8" s="1"/>
  <c r="E75" i="20"/>
  <c r="CM80" i="17"/>
  <c r="CQ25" i="6"/>
  <c r="K6" i="20"/>
  <c r="K7" i="19" s="1"/>
  <c r="H23" i="20"/>
  <c r="I29" i="18"/>
  <c r="CQ2" i="6"/>
  <c r="H26" i="19"/>
  <c r="K19" i="5"/>
  <c r="M80" i="17" s="1"/>
  <c r="K75" i="20"/>
  <c r="V20" i="3"/>
  <c r="V23" i="3" s="1"/>
  <c r="V25" i="3" s="1"/>
  <c r="V26" i="3" s="1"/>
  <c r="D6" i="20"/>
  <c r="D7" i="19" s="1"/>
  <c r="D29" i="19" s="1"/>
  <c r="F14" i="21"/>
  <c r="F20" i="21" s="1"/>
  <c r="G26" i="8"/>
  <c r="G32" i="8" s="1"/>
  <c r="C26" i="8"/>
  <c r="C32" i="8" s="1"/>
  <c r="G26" i="2"/>
  <c r="AU80" i="17"/>
  <c r="BC80" i="17"/>
  <c r="BK80" i="17"/>
  <c r="BS80" i="17"/>
  <c r="CA80" i="17"/>
  <c r="CE25" i="6"/>
  <c r="CQ80" i="17"/>
  <c r="CY80" i="17"/>
  <c r="D26" i="19"/>
  <c r="P12" i="13"/>
  <c r="Q12" i="13" s="1"/>
  <c r="R12" i="13" s="1"/>
  <c r="S12" i="13" s="1"/>
  <c r="F26" i="2"/>
  <c r="G19" i="5"/>
  <c r="I80" i="17" s="1"/>
  <c r="I26" i="8"/>
  <c r="I32" i="8" s="1"/>
  <c r="D4" i="13"/>
  <c r="D15" i="13" s="1"/>
  <c r="H27" i="19"/>
  <c r="E30" i="19"/>
  <c r="I19" i="5"/>
  <c r="K80" i="17" s="1"/>
  <c r="H6" i="20"/>
  <c r="H7" i="19" s="1"/>
  <c r="E29" i="18"/>
  <c r="Q21" i="3"/>
  <c r="I80" i="20"/>
  <c r="I75" i="20"/>
  <c r="O15" i="13"/>
  <c r="B3" i="27"/>
  <c r="AA15" i="13"/>
  <c r="C3" i="27"/>
  <c r="AM15" i="13"/>
  <c r="D3" i="27"/>
  <c r="AY15" i="13"/>
  <c r="E3" i="27"/>
  <c r="BK15" i="13"/>
  <c r="F3" i="27"/>
  <c r="BW15" i="13"/>
  <c r="G3" i="27"/>
  <c r="CI15" i="13"/>
  <c r="H3" i="27"/>
  <c r="CU15" i="13"/>
  <c r="I3" i="27"/>
  <c r="M7" i="3"/>
  <c r="F19" i="5"/>
  <c r="H80" i="17" s="1"/>
  <c r="AE2" i="6"/>
  <c r="N19" i="5"/>
  <c r="P80" i="17" s="1"/>
  <c r="B4" i="27"/>
  <c r="C4" i="27"/>
  <c r="D4" i="27"/>
  <c r="E4" i="27"/>
  <c r="F4" i="27"/>
  <c r="G4" i="27"/>
  <c r="H4" i="27"/>
  <c r="I4" i="27"/>
  <c r="F10" i="14"/>
  <c r="D29" i="18"/>
  <c r="K23" i="20"/>
  <c r="L28" i="20"/>
  <c r="M28" i="20" s="1"/>
  <c r="O2" i="6"/>
  <c r="K28" i="19"/>
  <c r="G39" i="19"/>
  <c r="B18" i="20"/>
  <c r="K18" i="20"/>
  <c r="I18" i="20"/>
  <c r="F23" i="20"/>
  <c r="J23" i="20"/>
  <c r="AS80" i="17"/>
  <c r="AW80" i="17"/>
  <c r="BA80" i="17"/>
  <c r="BA25" i="6"/>
  <c r="BI80" i="17"/>
  <c r="BI25" i="6"/>
  <c r="BQ80" i="17"/>
  <c r="BU80" i="17"/>
  <c r="BY80" i="17"/>
  <c r="CC80" i="17"/>
  <c r="CG80" i="17"/>
  <c r="CG25" i="6"/>
  <c r="CK25" i="6"/>
  <c r="CO25" i="6"/>
  <c r="CW80" i="17"/>
  <c r="B21" i="4"/>
  <c r="B27" i="4" s="1"/>
  <c r="D10" i="14"/>
  <c r="K27" i="19"/>
  <c r="G28" i="19"/>
  <c r="J28" i="19"/>
  <c r="G11" i="20"/>
  <c r="G18" i="19" s="1"/>
  <c r="L35" i="20"/>
  <c r="M35" i="20" s="1"/>
  <c r="L41" i="20"/>
  <c r="M41" i="20" s="1"/>
  <c r="L43" i="20"/>
  <c r="M43" i="20" s="1"/>
  <c r="J75" i="20"/>
  <c r="E80" i="20"/>
  <c r="D12" i="14"/>
  <c r="F12" i="14"/>
  <c r="D3" i="10"/>
  <c r="D28" i="10"/>
  <c r="D7" i="10"/>
  <c r="K5" i="3"/>
  <c r="K7" i="3"/>
  <c r="Q8" i="3"/>
  <c r="K14" i="3"/>
  <c r="B16" i="4"/>
  <c r="J19" i="5"/>
  <c r="L80" i="17" s="1"/>
  <c r="T12" i="13"/>
  <c r="U12" i="13" s="1"/>
  <c r="V12" i="13" s="1"/>
  <c r="W12" i="13" s="1"/>
  <c r="X12" i="13" s="1"/>
  <c r="Y12" i="13" s="1"/>
  <c r="Z12" i="13" s="1"/>
  <c r="AA12" i="13" s="1"/>
  <c r="K32" i="18"/>
  <c r="J30" i="18"/>
  <c r="D26" i="8"/>
  <c r="D32" i="8" s="1"/>
  <c r="M13" i="8"/>
  <c r="M26" i="8" s="1"/>
  <c r="Z3" i="12"/>
  <c r="G10" i="14"/>
  <c r="G12" i="14"/>
  <c r="O14" i="3"/>
  <c r="Q7" i="3"/>
  <c r="H10" i="14"/>
  <c r="H12" i="14"/>
  <c r="C30" i="2"/>
  <c r="C3" i="9" s="1"/>
  <c r="C5" i="9" s="1"/>
  <c r="C23" i="9" s="1"/>
  <c r="C25" i="9" s="1"/>
  <c r="D30" i="2"/>
  <c r="D3" i="9" s="1"/>
  <c r="D5" i="9" s="1"/>
  <c r="D23" i="9" s="1"/>
  <c r="D25" i="9" s="1"/>
  <c r="T20" i="3"/>
  <c r="T23" i="3" s="1"/>
  <c r="T25" i="3" s="1"/>
  <c r="T26" i="3" s="1"/>
  <c r="O5" i="3"/>
  <c r="M21" i="3"/>
  <c r="U9" i="4"/>
  <c r="W25" i="5" s="1"/>
  <c r="E19" i="5"/>
  <c r="G80" i="17" s="1"/>
  <c r="AU2" i="6"/>
  <c r="I10" i="14"/>
  <c r="K10" i="19"/>
  <c r="J32" i="18"/>
  <c r="D33" i="2"/>
  <c r="D9" i="9" s="1"/>
  <c r="D19" i="9" s="1"/>
  <c r="M5" i="3"/>
  <c r="Q14" i="3"/>
  <c r="F33" i="2"/>
  <c r="F9" i="9" s="1"/>
  <c r="F19" i="9" s="1"/>
  <c r="K21" i="3"/>
  <c r="E26" i="8"/>
  <c r="E32" i="8" s="1"/>
  <c r="B26" i="2"/>
  <c r="F30" i="2"/>
  <c r="F3" i="9" s="1"/>
  <c r="F5" i="9" s="1"/>
  <c r="F23" i="9" s="1"/>
  <c r="G33" i="2"/>
  <c r="G9" i="9" s="1"/>
  <c r="G19" i="9" s="1"/>
  <c r="Q5" i="3"/>
  <c r="K8" i="3"/>
  <c r="C26" i="2"/>
  <c r="G30" i="2"/>
  <c r="G3" i="9" s="1"/>
  <c r="G5" i="9" s="1"/>
  <c r="G23" i="9" s="1"/>
  <c r="H33" i="2"/>
  <c r="H9" i="9" s="1"/>
  <c r="H19" i="9" s="1"/>
  <c r="M8" i="3"/>
  <c r="O21" i="3"/>
  <c r="BK2" i="6"/>
  <c r="O7" i="3"/>
  <c r="E33" i="2"/>
  <c r="E9" i="9" s="1"/>
  <c r="E19" i="9" s="1"/>
  <c r="E30" i="2"/>
  <c r="E3" i="9" s="1"/>
  <c r="E5" i="9" s="1"/>
  <c r="E23" i="9" s="1"/>
  <c r="E25" i="9" s="1"/>
  <c r="D26" i="2"/>
  <c r="H30" i="2"/>
  <c r="H3" i="9" s="1"/>
  <c r="H5" i="9" s="1"/>
  <c r="H23" i="9" s="1"/>
  <c r="O8" i="3"/>
  <c r="O33" i="5"/>
  <c r="O19" i="5" s="1"/>
  <c r="Q80" i="17" s="1"/>
  <c r="CA2" i="6"/>
  <c r="C38" i="6"/>
  <c r="K38" i="6"/>
  <c r="B4" i="8"/>
  <c r="B13" i="8" s="1"/>
  <c r="B26" i="8" s="1"/>
  <c r="B32" i="8" s="1"/>
  <c r="C31" i="8" s="1"/>
  <c r="J26" i="8"/>
  <c r="J32" i="8" s="1"/>
  <c r="O3" i="13"/>
  <c r="P9" i="12"/>
  <c r="P11" i="12" s="1"/>
  <c r="F29" i="18"/>
  <c r="L17" i="20"/>
  <c r="M17" i="20" s="1"/>
  <c r="B23" i="20"/>
  <c r="B19" i="19" s="1"/>
  <c r="B30" i="19" s="1"/>
  <c r="L58" i="20"/>
  <c r="M58" i="20" s="1"/>
  <c r="H75" i="20"/>
  <c r="D30" i="18"/>
  <c r="L29" i="20"/>
  <c r="M29" i="20" s="1"/>
  <c r="L11" i="21"/>
  <c r="C22" i="19"/>
  <c r="C36" i="19" s="1"/>
  <c r="L32" i="20"/>
  <c r="L36" i="20"/>
  <c r="L42" i="20"/>
  <c r="L51" i="20"/>
  <c r="M51" i="20" s="1"/>
  <c r="L59" i="20"/>
  <c r="M59" i="20" s="1"/>
  <c r="L63" i="20"/>
  <c r="M63" i="20" s="1"/>
  <c r="F30" i="18"/>
  <c r="F6" i="20"/>
  <c r="F7" i="19" s="1"/>
  <c r="J11" i="20"/>
  <c r="J18" i="19" s="1"/>
  <c r="J18" i="20"/>
  <c r="L22" i="20"/>
  <c r="L52" i="20"/>
  <c r="M52" i="20" s="1"/>
  <c r="H26" i="8"/>
  <c r="H32" i="8" s="1"/>
  <c r="Q11" i="13"/>
  <c r="R11" i="13" s="1"/>
  <c r="S11" i="13" s="1"/>
  <c r="T11" i="13" s="1"/>
  <c r="U11" i="13" s="1"/>
  <c r="V11" i="13" s="1"/>
  <c r="W11" i="13" s="1"/>
  <c r="X11" i="13" s="1"/>
  <c r="Y11" i="13" s="1"/>
  <c r="Z11" i="13" s="1"/>
  <c r="B27" i="19"/>
  <c r="J29" i="18"/>
  <c r="G32" i="18"/>
  <c r="L33" i="20"/>
  <c r="M33" i="20" s="1"/>
  <c r="L37" i="20"/>
  <c r="M37" i="20" s="1"/>
  <c r="L39" i="20"/>
  <c r="M39" i="20" s="1"/>
  <c r="L40" i="20"/>
  <c r="L45" i="20"/>
  <c r="M45" i="20" s="1"/>
  <c r="L54" i="20"/>
  <c r="M54" i="20" s="1"/>
  <c r="L56" i="20"/>
  <c r="M56" i="20" s="1"/>
  <c r="L60" i="20"/>
  <c r="M60" i="20" s="1"/>
  <c r="L64" i="20"/>
  <c r="M64" i="20" s="1"/>
  <c r="D27" i="19"/>
  <c r="G27" i="19"/>
  <c r="L9" i="20"/>
  <c r="M9" i="20" s="1"/>
  <c r="L66" i="20"/>
  <c r="M66" i="20" s="1"/>
  <c r="H11" i="20"/>
  <c r="H18" i="19" s="1"/>
  <c r="H29" i="19" s="1"/>
  <c r="G18" i="20"/>
  <c r="G47" i="20"/>
  <c r="L38" i="20"/>
  <c r="D69" i="20"/>
  <c r="D20" i="19" s="1"/>
  <c r="L57" i="20"/>
  <c r="M57" i="20" s="1"/>
  <c r="L61" i="20"/>
  <c r="M61" i="20" s="1"/>
  <c r="F75" i="20"/>
  <c r="H80" i="20"/>
  <c r="L26" i="21"/>
  <c r="L49" i="21" s="1"/>
  <c r="D4" i="10"/>
  <c r="AB9" i="13"/>
  <c r="AN9" i="13" s="1"/>
  <c r="AZ9" i="13" s="1"/>
  <c r="BL9" i="13" s="1"/>
  <c r="BX9" i="13" s="1"/>
  <c r="CJ9" i="13" s="1"/>
  <c r="CV9" i="13" s="1"/>
  <c r="E10" i="14"/>
  <c r="E26" i="19"/>
  <c r="F28" i="19"/>
  <c r="B32" i="18"/>
  <c r="B28" i="19"/>
  <c r="G8" i="19"/>
  <c r="G30" i="19" s="1"/>
  <c r="J6" i="20"/>
  <c r="J7" i="19" s="1"/>
  <c r="G6" i="20"/>
  <c r="G7" i="19" s="1"/>
  <c r="G29" i="19" s="1"/>
  <c r="B39" i="19"/>
  <c r="I11" i="20"/>
  <c r="I18" i="19" s="1"/>
  <c r="H18" i="20"/>
  <c r="F18" i="20"/>
  <c r="B47" i="20"/>
  <c r="B9" i="19" s="1"/>
  <c r="B69" i="20"/>
  <c r="B20" i="19" s="1"/>
  <c r="L67" i="20"/>
  <c r="M67" i="20" s="1"/>
  <c r="L68" i="20"/>
  <c r="M68" i="20" s="1"/>
  <c r="G75" i="20"/>
  <c r="L74" i="20"/>
  <c r="M74" i="20" s="1"/>
  <c r="B14" i="21"/>
  <c r="B20" i="21" s="1"/>
  <c r="K8" i="4"/>
  <c r="L8" i="4" s="1"/>
  <c r="M8" i="4" s="1"/>
  <c r="N8" i="4" s="1"/>
  <c r="O8" i="4" s="1"/>
  <c r="P8" i="4" s="1"/>
  <c r="Q8" i="4" s="1"/>
  <c r="R8" i="4" s="1"/>
  <c r="S8" i="4" s="1"/>
  <c r="T8" i="4" s="1"/>
  <c r="I7" i="2"/>
  <c r="V21" i="11"/>
  <c r="J8" i="2"/>
  <c r="K7" i="33" s="1"/>
  <c r="W10" i="4"/>
  <c r="X10" i="4" s="1"/>
  <c r="D21" i="11"/>
  <c r="E10" i="4"/>
  <c r="F10" i="4" s="1"/>
  <c r="G10" i="4" s="1"/>
  <c r="H10" i="4" s="1"/>
  <c r="I10" i="4" s="1"/>
  <c r="J10" i="4" s="1"/>
  <c r="Q21" i="4"/>
  <c r="R20" i="4"/>
  <c r="S20" i="4" s="1"/>
  <c r="T20" i="4" s="1"/>
  <c r="U20" i="4" s="1"/>
  <c r="V20" i="4" s="1"/>
  <c r="E26" i="2"/>
  <c r="J27" i="4"/>
  <c r="I20" i="2"/>
  <c r="I29" i="2" s="1"/>
  <c r="I30" i="2" s="1"/>
  <c r="I3" i="9" s="1"/>
  <c r="I5" i="9" s="1"/>
  <c r="I23" i="9" s="1"/>
  <c r="K22" i="4"/>
  <c r="L22" i="4" s="1"/>
  <c r="M22" i="4" s="1"/>
  <c r="N22" i="4" s="1"/>
  <c r="O22" i="4" s="1"/>
  <c r="P22" i="4" s="1"/>
  <c r="Q22" i="4" s="1"/>
  <c r="R22" i="4" s="1"/>
  <c r="S22" i="4" s="1"/>
  <c r="T22" i="4" s="1"/>
  <c r="U22" i="4" s="1"/>
  <c r="V22" i="4" s="1"/>
  <c r="I32" i="2"/>
  <c r="I33" i="2" s="1"/>
  <c r="I9" i="9" s="1"/>
  <c r="I19" i="9" s="1"/>
  <c r="J5" i="3"/>
  <c r="N5" i="3"/>
  <c r="J7" i="3"/>
  <c r="N7" i="3"/>
  <c r="L8" i="3"/>
  <c r="P8" i="3"/>
  <c r="N14" i="3"/>
  <c r="U20" i="3"/>
  <c r="U23" i="3" s="1"/>
  <c r="U25" i="3" s="1"/>
  <c r="L21" i="3"/>
  <c r="P21" i="3"/>
  <c r="D4" i="4"/>
  <c r="C15" i="4"/>
  <c r="L15" i="4"/>
  <c r="U15" i="4"/>
  <c r="C19" i="4"/>
  <c r="K19" i="4"/>
  <c r="C20" i="4"/>
  <c r="D20" i="4" s="1"/>
  <c r="E20" i="4" s="1"/>
  <c r="F20" i="4" s="1"/>
  <c r="G20" i="4" s="1"/>
  <c r="H20" i="4" s="1"/>
  <c r="I20" i="4" s="1"/>
  <c r="P13" i="5"/>
  <c r="AF13" i="5"/>
  <c r="AV13" i="5"/>
  <c r="BL13" i="5"/>
  <c r="CB13" i="5"/>
  <c r="CR13" i="5"/>
  <c r="BK25" i="6"/>
  <c r="CE80" i="17"/>
  <c r="H14" i="2"/>
  <c r="H26" i="2" s="1"/>
  <c r="F85" i="17"/>
  <c r="N85" i="17"/>
  <c r="V85" i="17"/>
  <c r="Z85" i="17"/>
  <c r="AD85" i="17"/>
  <c r="AA8" i="6"/>
  <c r="AH85" i="17"/>
  <c r="AE8" i="6"/>
  <c r="AL85" i="17"/>
  <c r="AI8" i="6"/>
  <c r="AP85" i="17"/>
  <c r="AM8" i="6"/>
  <c r="AT85" i="17"/>
  <c r="AQ8" i="6"/>
  <c r="AX85" i="17"/>
  <c r="AU8" i="6"/>
  <c r="BB85" i="17"/>
  <c r="AY8" i="6"/>
  <c r="BF85" i="17"/>
  <c r="BC8" i="6"/>
  <c r="BJ85" i="17"/>
  <c r="BG8" i="6"/>
  <c r="BN85" i="17"/>
  <c r="BK8" i="6"/>
  <c r="BR85" i="17"/>
  <c r="BO8" i="6"/>
  <c r="BV85" i="17"/>
  <c r="BS8" i="6"/>
  <c r="BZ85" i="17"/>
  <c r="BW8" i="6"/>
  <c r="CD85" i="17"/>
  <c r="CA8" i="6"/>
  <c r="CH85" i="17"/>
  <c r="CE8" i="6"/>
  <c r="CL85" i="17"/>
  <c r="CI8" i="6"/>
  <c r="CP85" i="17"/>
  <c r="CM8" i="6"/>
  <c r="CT85" i="17"/>
  <c r="CQ8" i="6"/>
  <c r="CX85" i="17"/>
  <c r="CU8" i="6"/>
  <c r="B11" i="5"/>
  <c r="D13" i="5"/>
  <c r="T13" i="5"/>
  <c r="AJ13" i="5"/>
  <c r="AZ13" i="5"/>
  <c r="BP13" i="5"/>
  <c r="CF13" i="5"/>
  <c r="CV13" i="5"/>
  <c r="AP80" i="17"/>
  <c r="AL25" i="6"/>
  <c r="J4" i="3"/>
  <c r="L5" i="3"/>
  <c r="P5" i="3"/>
  <c r="J6" i="3"/>
  <c r="L7" i="3"/>
  <c r="P7" i="3"/>
  <c r="J8" i="3"/>
  <c r="N8" i="3"/>
  <c r="L14" i="3"/>
  <c r="P14" i="3"/>
  <c r="J15" i="3"/>
  <c r="S20" i="3"/>
  <c r="S23" i="3" s="1"/>
  <c r="S25" i="3" s="1"/>
  <c r="N21" i="3"/>
  <c r="H13" i="5"/>
  <c r="X13" i="5"/>
  <c r="AN13" i="5"/>
  <c r="BD13" i="5"/>
  <c r="BT13" i="5"/>
  <c r="CJ13" i="5"/>
  <c r="BF80" i="17"/>
  <c r="BB25" i="6"/>
  <c r="W78" i="17"/>
  <c r="E2" i="11"/>
  <c r="D2" i="6"/>
  <c r="I2" i="11"/>
  <c r="H2" i="6"/>
  <c r="M2" i="11"/>
  <c r="L2" i="6"/>
  <c r="Q2" i="11"/>
  <c r="P2" i="6"/>
  <c r="U2" i="11"/>
  <c r="T2" i="6"/>
  <c r="Y2" i="11"/>
  <c r="X2" i="6"/>
  <c r="AB2" i="6"/>
  <c r="AC2" i="11"/>
  <c r="AG2" i="11"/>
  <c r="AF2" i="6"/>
  <c r="AK2" i="11"/>
  <c r="AJ2" i="6"/>
  <c r="AO2" i="11"/>
  <c r="AN2" i="6"/>
  <c r="AR2" i="6"/>
  <c r="AS2" i="11"/>
  <c r="AW2" i="11"/>
  <c r="AV2" i="6"/>
  <c r="BA2" i="11"/>
  <c r="AZ2" i="6"/>
  <c r="BE2" i="11"/>
  <c r="BD2" i="6"/>
  <c r="BH2" i="6"/>
  <c r="BI2" i="11"/>
  <c r="BM2" i="11"/>
  <c r="BL2" i="6"/>
  <c r="BQ2" i="11"/>
  <c r="BP2" i="6"/>
  <c r="BU2" i="11"/>
  <c r="BT2" i="6"/>
  <c r="BY2" i="11"/>
  <c r="BX2" i="6"/>
  <c r="CC2" i="11"/>
  <c r="CB2" i="6"/>
  <c r="CG2" i="11"/>
  <c r="CF2" i="6"/>
  <c r="CK2" i="11"/>
  <c r="CJ2" i="6"/>
  <c r="CN2" i="6"/>
  <c r="CO2" i="11"/>
  <c r="CS2" i="11"/>
  <c r="CR2" i="6"/>
  <c r="L13" i="5"/>
  <c r="AB13" i="5"/>
  <c r="AR13" i="5"/>
  <c r="BH13" i="5"/>
  <c r="BX13" i="5"/>
  <c r="CN13" i="5"/>
  <c r="Z20" i="6"/>
  <c r="AD20" i="6"/>
  <c r="AH20" i="6"/>
  <c r="AL20" i="6"/>
  <c r="AP20" i="6"/>
  <c r="AT20" i="6"/>
  <c r="AX20" i="6"/>
  <c r="BB20" i="6"/>
  <c r="BF20" i="6"/>
  <c r="BJ20" i="6"/>
  <c r="BN20" i="6"/>
  <c r="BR20" i="6"/>
  <c r="BV20" i="6"/>
  <c r="BZ20" i="6"/>
  <c r="CD20" i="6"/>
  <c r="CH20" i="6"/>
  <c r="CL20" i="6"/>
  <c r="CP20" i="6"/>
  <c r="CT20" i="6"/>
  <c r="E79" i="17"/>
  <c r="E87" i="17" s="1"/>
  <c r="C20" i="5"/>
  <c r="C22" i="5" s="1"/>
  <c r="C29" i="5" s="1"/>
  <c r="BV80" i="17"/>
  <c r="BR25" i="6"/>
  <c r="CL80" i="17"/>
  <c r="CH25" i="6"/>
  <c r="F2" i="11"/>
  <c r="E2" i="6"/>
  <c r="J2" i="11"/>
  <c r="I2" i="6"/>
  <c r="N2" i="11"/>
  <c r="M2" i="6"/>
  <c r="R2" i="11"/>
  <c r="Q2" i="6"/>
  <c r="V2" i="11"/>
  <c r="U2" i="6"/>
  <c r="Z2" i="11"/>
  <c r="Y2" i="6"/>
  <c r="AD2" i="11"/>
  <c r="AC2" i="6"/>
  <c r="AH2" i="11"/>
  <c r="AG2" i="6"/>
  <c r="AL2" i="11"/>
  <c r="AK2" i="6"/>
  <c r="AP2" i="11"/>
  <c r="AO2" i="6"/>
  <c r="AT2" i="11"/>
  <c r="AS2" i="6"/>
  <c r="AX2" i="11"/>
  <c r="AW2" i="6"/>
  <c r="BB2" i="11"/>
  <c r="BA2" i="6"/>
  <c r="BF2" i="11"/>
  <c r="BE2" i="6"/>
  <c r="BJ2" i="11"/>
  <c r="BI2" i="6"/>
  <c r="BN2" i="11"/>
  <c r="BM2" i="6"/>
  <c r="BR2" i="11"/>
  <c r="BQ2" i="6"/>
  <c r="BV2" i="11"/>
  <c r="BU2" i="6"/>
  <c r="BZ2" i="11"/>
  <c r="BY2" i="6"/>
  <c r="CD2" i="11"/>
  <c r="CC2" i="6"/>
  <c r="CH2" i="11"/>
  <c r="CG2" i="6"/>
  <c r="CL2" i="11"/>
  <c r="CK2" i="6"/>
  <c r="CP2" i="11"/>
  <c r="CO2" i="6"/>
  <c r="CT2" i="11"/>
  <c r="CS2" i="6"/>
  <c r="W85" i="17"/>
  <c r="AA85" i="17"/>
  <c r="AE85" i="17"/>
  <c r="AB8" i="6"/>
  <c r="AI85" i="17"/>
  <c r="AF8" i="6"/>
  <c r="AM85" i="17"/>
  <c r="AJ8" i="6"/>
  <c r="AQ85" i="17"/>
  <c r="AN8" i="6"/>
  <c r="AU85" i="17"/>
  <c r="AR8" i="6"/>
  <c r="AY85" i="17"/>
  <c r="AV8" i="6"/>
  <c r="BC85" i="17"/>
  <c r="AZ8" i="6"/>
  <c r="BG85" i="17"/>
  <c r="BD8" i="6"/>
  <c r="BK85" i="17"/>
  <c r="BH8" i="6"/>
  <c r="BO85" i="17"/>
  <c r="BL8" i="6"/>
  <c r="BS85" i="17"/>
  <c r="BP8" i="6"/>
  <c r="BW85" i="17"/>
  <c r="BT8" i="6"/>
  <c r="CA85" i="17"/>
  <c r="BX8" i="6"/>
  <c r="CE85" i="17"/>
  <c r="CB8" i="6"/>
  <c r="CI85" i="17"/>
  <c r="CF8" i="6"/>
  <c r="CM85" i="17"/>
  <c r="CJ8" i="6"/>
  <c r="CQ85" i="17"/>
  <c r="CN8" i="6"/>
  <c r="CU85" i="17"/>
  <c r="CR8" i="6"/>
  <c r="CY85" i="17"/>
  <c r="CV8" i="6"/>
  <c r="E13" i="5"/>
  <c r="I13" i="5"/>
  <c r="M13" i="5"/>
  <c r="Q13" i="5"/>
  <c r="U13" i="5"/>
  <c r="Y13" i="5"/>
  <c r="AC13" i="5"/>
  <c r="AG13" i="5"/>
  <c r="AK13" i="5"/>
  <c r="AO13" i="5"/>
  <c r="AS13" i="5"/>
  <c r="AW13" i="5"/>
  <c r="BA13" i="5"/>
  <c r="BE13" i="5"/>
  <c r="BI13" i="5"/>
  <c r="BM13" i="5"/>
  <c r="BQ13" i="5"/>
  <c r="BU13" i="5"/>
  <c r="BY13" i="5"/>
  <c r="CC13" i="5"/>
  <c r="CG13" i="5"/>
  <c r="CK13" i="5"/>
  <c r="CO13" i="5"/>
  <c r="CS13" i="5"/>
  <c r="CW13" i="5"/>
  <c r="BL80" i="17"/>
  <c r="C2" i="6"/>
  <c r="S2" i="6"/>
  <c r="AI2" i="6"/>
  <c r="AY2" i="6"/>
  <c r="BO2" i="6"/>
  <c r="CE2" i="6"/>
  <c r="CU2" i="6"/>
  <c r="AD8" i="6"/>
  <c r="AT8" i="6"/>
  <c r="BJ8" i="6"/>
  <c r="BZ8" i="6"/>
  <c r="CP8" i="6"/>
  <c r="AA20" i="6"/>
  <c r="AQ20" i="6"/>
  <c r="BG20" i="6"/>
  <c r="BW20" i="6"/>
  <c r="CM20" i="6"/>
  <c r="F22" i="9"/>
  <c r="F30" i="9" s="1"/>
  <c r="F35" i="9" s="1"/>
  <c r="C2" i="11"/>
  <c r="B2" i="6"/>
  <c r="G2" i="11"/>
  <c r="F2" i="6"/>
  <c r="K2" i="11"/>
  <c r="J2" i="6"/>
  <c r="O2" i="11"/>
  <c r="N2" i="6"/>
  <c r="S2" i="11"/>
  <c r="R2" i="6"/>
  <c r="W2" i="11"/>
  <c r="V2" i="6"/>
  <c r="AA2" i="11"/>
  <c r="Z2" i="6"/>
  <c r="AE2" i="11"/>
  <c r="AD2" i="6"/>
  <c r="AI2" i="11"/>
  <c r="AH2" i="6"/>
  <c r="AM2" i="11"/>
  <c r="AL2" i="6"/>
  <c r="AQ2" i="11"/>
  <c r="AP2" i="6"/>
  <c r="AU2" i="11"/>
  <c r="AT2" i="6"/>
  <c r="AY2" i="11"/>
  <c r="AX2" i="6"/>
  <c r="BC2" i="11"/>
  <c r="BB2" i="6"/>
  <c r="BG2" i="11"/>
  <c r="BF2" i="6"/>
  <c r="BK2" i="11"/>
  <c r="BJ2" i="6"/>
  <c r="BO2" i="11"/>
  <c r="BN2" i="6"/>
  <c r="BS2" i="11"/>
  <c r="BR2" i="6"/>
  <c r="BW2" i="11"/>
  <c r="BV2" i="6"/>
  <c r="CA2" i="11"/>
  <c r="BZ2" i="6"/>
  <c r="CE2" i="11"/>
  <c r="CD2" i="6"/>
  <c r="CI2" i="11"/>
  <c r="CH2" i="6"/>
  <c r="CM2" i="11"/>
  <c r="CL2" i="6"/>
  <c r="CQ2" i="11"/>
  <c r="CP2" i="6"/>
  <c r="CU2" i="11"/>
  <c r="CT2" i="6"/>
  <c r="T85" i="17"/>
  <c r="X85" i="17"/>
  <c r="AB85" i="17"/>
  <c r="Y8" i="6"/>
  <c r="AF85" i="17"/>
  <c r="AC8" i="6"/>
  <c r="AJ85" i="17"/>
  <c r="AG8" i="6"/>
  <c r="AN85" i="17"/>
  <c r="AK8" i="6"/>
  <c r="AR85" i="17"/>
  <c r="AO8" i="6"/>
  <c r="AV85" i="17"/>
  <c r="AS8" i="6"/>
  <c r="AZ85" i="17"/>
  <c r="AW8" i="6"/>
  <c r="BD85" i="17"/>
  <c r="BA8" i="6"/>
  <c r="BH85" i="17"/>
  <c r="BE8" i="6"/>
  <c r="BL85" i="17"/>
  <c r="BI8" i="6"/>
  <c r="BP85" i="17"/>
  <c r="BM8" i="6"/>
  <c r="BT85" i="17"/>
  <c r="BQ8" i="6"/>
  <c r="BX85" i="17"/>
  <c r="BU8" i="6"/>
  <c r="CB85" i="17"/>
  <c r="BY8" i="6"/>
  <c r="CF85" i="17"/>
  <c r="CC8" i="6"/>
  <c r="CJ85" i="17"/>
  <c r="CG8" i="6"/>
  <c r="CN85" i="17"/>
  <c r="CK8" i="6"/>
  <c r="CR85" i="17"/>
  <c r="CO8" i="6"/>
  <c r="CV85" i="17"/>
  <c r="CS8" i="6"/>
  <c r="F13" i="5"/>
  <c r="J13" i="5"/>
  <c r="N13" i="5"/>
  <c r="R13" i="5"/>
  <c r="V13" i="5"/>
  <c r="Z13" i="5"/>
  <c r="AD13" i="5"/>
  <c r="AH13" i="5"/>
  <c r="AL13" i="5"/>
  <c r="AP13" i="5"/>
  <c r="AT13" i="5"/>
  <c r="AX13" i="5"/>
  <c r="BB13" i="5"/>
  <c r="BF13" i="5"/>
  <c r="BJ13" i="5"/>
  <c r="BN13" i="5"/>
  <c r="BR13" i="5"/>
  <c r="BV13" i="5"/>
  <c r="BZ13" i="5"/>
  <c r="CD13" i="5"/>
  <c r="CH13" i="5"/>
  <c r="CL13" i="5"/>
  <c r="CP13" i="5"/>
  <c r="CT13" i="5"/>
  <c r="AV20" i="6"/>
  <c r="AZ20" i="6"/>
  <c r="BD20" i="6"/>
  <c r="BH20" i="6"/>
  <c r="BL20" i="6"/>
  <c r="BP20" i="6"/>
  <c r="BT20" i="6"/>
  <c r="BX20" i="6"/>
  <c r="CB20" i="6"/>
  <c r="CF20" i="6"/>
  <c r="CJ20" i="6"/>
  <c r="CN20" i="6"/>
  <c r="CR20" i="6"/>
  <c r="BH80" i="17"/>
  <c r="CP80" i="17"/>
  <c r="CB25" i="6"/>
  <c r="G2" i="6"/>
  <c r="W2" i="6"/>
  <c r="AM2" i="6"/>
  <c r="BC2" i="6"/>
  <c r="BS2" i="6"/>
  <c r="CI2" i="6"/>
  <c r="AH8" i="6"/>
  <c r="AX8" i="6"/>
  <c r="BN8" i="6"/>
  <c r="CD8" i="6"/>
  <c r="CT8" i="6"/>
  <c r="AE20" i="6"/>
  <c r="AU20" i="6"/>
  <c r="BK20" i="6"/>
  <c r="CA20" i="6"/>
  <c r="CQ20" i="6"/>
  <c r="C13" i="5"/>
  <c r="G13" i="5"/>
  <c r="K13" i="5"/>
  <c r="O13" i="5"/>
  <c r="S13" i="5"/>
  <c r="W13" i="5"/>
  <c r="AA13" i="5"/>
  <c r="AE13" i="5"/>
  <c r="AI13" i="5"/>
  <c r="AM13" i="5"/>
  <c r="AQ13" i="5"/>
  <c r="AU13" i="5"/>
  <c r="AY13" i="5"/>
  <c r="BC13" i="5"/>
  <c r="BG13" i="5"/>
  <c r="BK13" i="5"/>
  <c r="BO13" i="5"/>
  <c r="BS13" i="5"/>
  <c r="BW13" i="5"/>
  <c r="CA13" i="5"/>
  <c r="CE13" i="5"/>
  <c r="CI13" i="5"/>
  <c r="CM13" i="5"/>
  <c r="CQ13" i="5"/>
  <c r="CU13" i="5"/>
  <c r="BF25" i="6"/>
  <c r="BM80" i="17"/>
  <c r="BY25" i="6"/>
  <c r="K2" i="6"/>
  <c r="AA2" i="6"/>
  <c r="AQ2" i="6"/>
  <c r="BG2" i="6"/>
  <c r="BW2" i="6"/>
  <c r="CM2" i="6"/>
  <c r="AL8" i="6"/>
  <c r="BB8" i="6"/>
  <c r="BR8" i="6"/>
  <c r="CH8" i="6"/>
  <c r="AI20" i="6"/>
  <c r="AY20" i="6"/>
  <c r="BO20" i="6"/>
  <c r="CE20" i="6"/>
  <c r="CU20" i="6"/>
  <c r="V78" i="17"/>
  <c r="H22" i="9"/>
  <c r="H30" i="9" s="1"/>
  <c r="H35" i="9" s="1"/>
  <c r="M31" i="9"/>
  <c r="Q31" i="9"/>
  <c r="P15" i="12"/>
  <c r="Q9" i="12"/>
  <c r="Q11" i="12" s="1"/>
  <c r="P3" i="13"/>
  <c r="O27" i="12"/>
  <c r="O18" i="12"/>
  <c r="O24" i="12" s="1"/>
  <c r="O26" i="12" s="1"/>
  <c r="D17" i="12"/>
  <c r="D25" i="12" s="1"/>
  <c r="D2" i="13"/>
  <c r="D7" i="13" s="1"/>
  <c r="H2" i="13"/>
  <c r="H7" i="13" s="1"/>
  <c r="H17" i="12"/>
  <c r="H25" i="12" s="1"/>
  <c r="L17" i="12"/>
  <c r="L25" i="12" s="1"/>
  <c r="L2" i="13"/>
  <c r="L7" i="13" s="1"/>
  <c r="P17" i="12"/>
  <c r="P25" i="12" s="1"/>
  <c r="P2" i="13"/>
  <c r="P7" i="13" s="1"/>
  <c r="T17" i="12"/>
  <c r="T25" i="12" s="1"/>
  <c r="T2" i="13"/>
  <c r="T7" i="13" s="1"/>
  <c r="X2" i="13"/>
  <c r="X7" i="13" s="1"/>
  <c r="X17" i="12"/>
  <c r="X25" i="12" s="1"/>
  <c r="AB25" i="12"/>
  <c r="AB2" i="13"/>
  <c r="AB7" i="13" s="1"/>
  <c r="AF25" i="12"/>
  <c r="AF2" i="13"/>
  <c r="AF7" i="13" s="1"/>
  <c r="AJ25" i="12"/>
  <c r="AJ2" i="13"/>
  <c r="AJ7" i="13" s="1"/>
  <c r="AN2" i="13"/>
  <c r="AN7" i="13" s="1"/>
  <c r="AN25" i="12"/>
  <c r="AR25" i="12"/>
  <c r="AR2" i="13"/>
  <c r="AR7" i="13" s="1"/>
  <c r="AV25" i="12"/>
  <c r="AV2" i="13"/>
  <c r="AV7" i="13" s="1"/>
  <c r="AZ25" i="12"/>
  <c r="AZ2" i="13"/>
  <c r="AZ7" i="13" s="1"/>
  <c r="BD2" i="13"/>
  <c r="BD7" i="13" s="1"/>
  <c r="BD25" i="12"/>
  <c r="BH25" i="12"/>
  <c r="BH2" i="13"/>
  <c r="BH7" i="13" s="1"/>
  <c r="BL25" i="12"/>
  <c r="BL2" i="13"/>
  <c r="BL7" i="13" s="1"/>
  <c r="BP25" i="12"/>
  <c r="BP2" i="13"/>
  <c r="BP7" i="13" s="1"/>
  <c r="BT2" i="13"/>
  <c r="BT7" i="13" s="1"/>
  <c r="BT25" i="12"/>
  <c r="BX25" i="12"/>
  <c r="BX2" i="13"/>
  <c r="BX7" i="13" s="1"/>
  <c r="CB25" i="12"/>
  <c r="CB2" i="13"/>
  <c r="CB7" i="13" s="1"/>
  <c r="CF25" i="12"/>
  <c r="CF2" i="13"/>
  <c r="CF7" i="13" s="1"/>
  <c r="CJ2" i="13"/>
  <c r="CJ7" i="13" s="1"/>
  <c r="CJ25" i="12"/>
  <c r="CN25" i="12"/>
  <c r="CN2" i="13"/>
  <c r="CN7" i="13" s="1"/>
  <c r="CR25" i="12"/>
  <c r="CR2" i="13"/>
  <c r="CR7" i="13" s="1"/>
  <c r="CV25" i="12"/>
  <c r="CV2" i="13"/>
  <c r="CV7" i="13" s="1"/>
  <c r="CZ2" i="13"/>
  <c r="CZ7" i="13" s="1"/>
  <c r="CZ25" i="12"/>
  <c r="DD25" i="12"/>
  <c r="DD2" i="13"/>
  <c r="DD7" i="13" s="1"/>
  <c r="Z2" i="12"/>
  <c r="G22" i="9"/>
  <c r="G30" i="9" s="1"/>
  <c r="G35" i="9" s="1"/>
  <c r="D31" i="9"/>
  <c r="H31" i="9"/>
  <c r="L31" i="9"/>
  <c r="P31" i="9"/>
  <c r="C15" i="11"/>
  <c r="C14" i="11"/>
  <c r="C8" i="10"/>
  <c r="D6" i="10"/>
  <c r="D9" i="12"/>
  <c r="D11" i="12" s="1"/>
  <c r="C3" i="13"/>
  <c r="C15" i="12"/>
  <c r="E13" i="12"/>
  <c r="F17" i="12"/>
  <c r="F25" i="12" s="1"/>
  <c r="Q17" i="12"/>
  <c r="Q25" i="12" s="1"/>
  <c r="V17" i="12"/>
  <c r="V25" i="12" s="1"/>
  <c r="AG25" i="12"/>
  <c r="AL25" i="12"/>
  <c r="AW25" i="12"/>
  <c r="BB25" i="12"/>
  <c r="BM25" i="12"/>
  <c r="BR25" i="12"/>
  <c r="CC25" i="12"/>
  <c r="CH25" i="12"/>
  <c r="CS25" i="12"/>
  <c r="CX25" i="12"/>
  <c r="BN2" i="13"/>
  <c r="BN7" i="13" s="1"/>
  <c r="M17" i="12"/>
  <c r="M25" i="12" s="1"/>
  <c r="R17" i="12"/>
  <c r="R25" i="12" s="1"/>
  <c r="AC25" i="12"/>
  <c r="AS25" i="12"/>
  <c r="AX25" i="12"/>
  <c r="BI25" i="12"/>
  <c r="BY25" i="12"/>
  <c r="CD25" i="12"/>
  <c r="CO25" i="12"/>
  <c r="DE25" i="12"/>
  <c r="E17" i="12"/>
  <c r="E25" i="12" s="1"/>
  <c r="J17" i="12"/>
  <c r="J25" i="12" s="1"/>
  <c r="U17" i="12"/>
  <c r="U25" i="12" s="1"/>
  <c r="Z17" i="12"/>
  <c r="Z25" i="12" s="1"/>
  <c r="AK25" i="12"/>
  <c r="AP25" i="12"/>
  <c r="BA25" i="12"/>
  <c r="BF25" i="12"/>
  <c r="BQ25" i="12"/>
  <c r="BV25" i="12"/>
  <c r="CG25" i="12"/>
  <c r="CL25" i="12"/>
  <c r="CW25" i="12"/>
  <c r="DB25" i="12"/>
  <c r="E12" i="14"/>
  <c r="I12" i="14"/>
  <c r="D3" i="14"/>
  <c r="G14" i="19"/>
  <c r="F22" i="18"/>
  <c r="F36" i="18" s="1"/>
  <c r="K14" i="19"/>
  <c r="J22" i="18"/>
  <c r="J36" i="18" s="1"/>
  <c r="J26" i="19"/>
  <c r="B26" i="19"/>
  <c r="H14" i="19"/>
  <c r="F5" i="19"/>
  <c r="F27" i="19" s="1"/>
  <c r="B25" i="18"/>
  <c r="B3" i="19"/>
  <c r="F25" i="18"/>
  <c r="J25" i="18"/>
  <c r="K3" i="19"/>
  <c r="E26" i="18"/>
  <c r="F4" i="19"/>
  <c r="F26" i="19" s="1"/>
  <c r="I26" i="18"/>
  <c r="E5" i="19"/>
  <c r="E27" i="19" s="1"/>
  <c r="D27" i="18"/>
  <c r="I5" i="19"/>
  <c r="I27" i="19" s="1"/>
  <c r="H27" i="18"/>
  <c r="D6" i="19"/>
  <c r="D28" i="19" s="1"/>
  <c r="C28" i="18"/>
  <c r="H6" i="19"/>
  <c r="H28" i="19" s="1"/>
  <c r="G28" i="18"/>
  <c r="K28" i="18"/>
  <c r="C29" i="18"/>
  <c r="G29" i="18"/>
  <c r="K29" i="18"/>
  <c r="H8" i="19"/>
  <c r="F10" i="19"/>
  <c r="K4" i="19"/>
  <c r="K26" i="19" s="1"/>
  <c r="D8" i="19"/>
  <c r="C25" i="18"/>
  <c r="D3" i="19"/>
  <c r="C11" i="18"/>
  <c r="C35" i="18" s="1"/>
  <c r="G25" i="18"/>
  <c r="H3" i="19"/>
  <c r="K25" i="18"/>
  <c r="F26" i="18"/>
  <c r="G4" i="19"/>
  <c r="G26" i="19" s="1"/>
  <c r="I27" i="18"/>
  <c r="J5" i="19"/>
  <c r="J27" i="19" s="1"/>
  <c r="E6" i="19"/>
  <c r="E28" i="19" s="1"/>
  <c r="D28" i="18"/>
  <c r="I6" i="19"/>
  <c r="I28" i="19" s="1"/>
  <c r="H28" i="18"/>
  <c r="I8" i="19"/>
  <c r="I30" i="19" s="1"/>
  <c r="H30" i="18"/>
  <c r="C31" i="18"/>
  <c r="D9" i="19"/>
  <c r="G10" i="19"/>
  <c r="F32" i="18"/>
  <c r="F25" i="19"/>
  <c r="D32" i="19"/>
  <c r="E26" i="20"/>
  <c r="E49" i="20" s="1"/>
  <c r="E72" i="20" s="1"/>
  <c r="E77" i="20" s="1"/>
  <c r="E14" i="20"/>
  <c r="E20" i="20" s="1"/>
  <c r="F8" i="19"/>
  <c r="F30" i="19" s="1"/>
  <c r="E30" i="18"/>
  <c r="J8" i="19"/>
  <c r="J30" i="19" s="1"/>
  <c r="I30" i="18"/>
  <c r="C32" i="18"/>
  <c r="E14" i="19"/>
  <c r="D22" i="18"/>
  <c r="D36" i="18" s="1"/>
  <c r="I14" i="19"/>
  <c r="I25" i="19" s="1"/>
  <c r="H22" i="18"/>
  <c r="H36" i="18" s="1"/>
  <c r="D25" i="18"/>
  <c r="G26" i="18"/>
  <c r="B27" i="18"/>
  <c r="J27" i="18"/>
  <c r="E28" i="18"/>
  <c r="H10" i="19"/>
  <c r="I26" i="19"/>
  <c r="D32" i="18"/>
  <c r="E10" i="19"/>
  <c r="H32" i="18"/>
  <c r="I10" i="19"/>
  <c r="J14" i="19"/>
  <c r="H26" i="18"/>
  <c r="C27" i="18"/>
  <c r="K27" i="18"/>
  <c r="F28" i="18"/>
  <c r="C29" i="19"/>
  <c r="C11" i="19"/>
  <c r="K8" i="19"/>
  <c r="K30" i="19" s="1"/>
  <c r="F26" i="20"/>
  <c r="F49" i="20" s="1"/>
  <c r="F72" i="20" s="1"/>
  <c r="F77" i="20" s="1"/>
  <c r="F14" i="20"/>
  <c r="F20" i="20" s="1"/>
  <c r="J26" i="20"/>
  <c r="J49" i="20" s="1"/>
  <c r="J72" i="20" s="1"/>
  <c r="J77" i="20" s="1"/>
  <c r="J14" i="20"/>
  <c r="J20" i="20" s="1"/>
  <c r="E6" i="20"/>
  <c r="E7" i="19" s="1"/>
  <c r="E29" i="19" s="1"/>
  <c r="I6" i="20"/>
  <c r="I7" i="19" s="1"/>
  <c r="I29" i="19" s="1"/>
  <c r="E18" i="20"/>
  <c r="B26" i="20"/>
  <c r="B49" i="20" s="1"/>
  <c r="B72" i="20" s="1"/>
  <c r="B77" i="20" s="1"/>
  <c r="L14" i="20"/>
  <c r="L20" i="20" s="1"/>
  <c r="L26" i="20"/>
  <c r="L49" i="20" s="1"/>
  <c r="C14" i="20"/>
  <c r="C20" i="20" s="1"/>
  <c r="C26" i="20"/>
  <c r="C49" i="20" s="1"/>
  <c r="C72" i="20" s="1"/>
  <c r="C77" i="20" s="1"/>
  <c r="L21" i="20"/>
  <c r="C31" i="19"/>
  <c r="G14" i="20"/>
  <c r="G20" i="20" s="1"/>
  <c r="G26" i="20"/>
  <c r="G49" i="20" s="1"/>
  <c r="G72" i="20" s="1"/>
  <c r="G77" i="20" s="1"/>
  <c r="K14" i="20"/>
  <c r="K20" i="20" s="1"/>
  <c r="K26" i="20"/>
  <c r="K49" i="20" s="1"/>
  <c r="K72" i="20" s="1"/>
  <c r="K77" i="20" s="1"/>
  <c r="L10" i="20"/>
  <c r="I26" i="20"/>
  <c r="I49" i="20" s="1"/>
  <c r="I72" i="20" s="1"/>
  <c r="I77" i="20" s="1"/>
  <c r="D47" i="20"/>
  <c r="L22" i="21"/>
  <c r="M22" i="20" s="1"/>
  <c r="L3" i="20"/>
  <c r="B6" i="20"/>
  <c r="L4" i="20"/>
  <c r="M4" i="20" s="1"/>
  <c r="E47" i="20"/>
  <c r="L27" i="20"/>
  <c r="E80" i="21"/>
  <c r="E21" i="18" s="1"/>
  <c r="F21" i="19" s="1"/>
  <c r="G78" i="20"/>
  <c r="G80" i="20" s="1"/>
  <c r="I80" i="21"/>
  <c r="I21" i="18" s="1"/>
  <c r="J21" i="19" s="1"/>
  <c r="K78" i="20"/>
  <c r="K80" i="20" s="1"/>
  <c r="F69" i="20"/>
  <c r="F20" i="19" s="1"/>
  <c r="L50" i="20"/>
  <c r="J69" i="20"/>
  <c r="J20" i="19" s="1"/>
  <c r="L53" i="20"/>
  <c r="M53" i="20" s="1"/>
  <c r="L65" i="20"/>
  <c r="M65" i="20" s="1"/>
  <c r="L73" i="20"/>
  <c r="H14" i="20"/>
  <c r="H20" i="20" s="1"/>
  <c r="L16" i="20"/>
  <c r="M16" i="20" s="1"/>
  <c r="F47" i="20"/>
  <c r="L30" i="20"/>
  <c r="M30" i="20" s="1"/>
  <c r="G47" i="21"/>
  <c r="G9" i="18" s="1"/>
  <c r="E1" i="21"/>
  <c r="H26" i="21"/>
  <c r="H49" i="21" s="1"/>
  <c r="H72" i="21" s="1"/>
  <c r="H77" i="21" s="1"/>
  <c r="H14" i="21"/>
  <c r="H20" i="21" s="1"/>
  <c r="D14" i="20"/>
  <c r="D20" i="20" s="1"/>
  <c r="I23" i="20"/>
  <c r="L31" i="20"/>
  <c r="L34" i="20"/>
  <c r="L44" i="20"/>
  <c r="H69" i="20"/>
  <c r="H20" i="19" s="1"/>
  <c r="L55" i="20"/>
  <c r="M55" i="20" s="1"/>
  <c r="L62" i="20"/>
  <c r="M62" i="20" s="1"/>
  <c r="J80" i="20"/>
  <c r="G69" i="20"/>
  <c r="G20" i="19" s="1"/>
  <c r="K69" i="20"/>
  <c r="K20" i="19" s="1"/>
  <c r="E69" i="20"/>
  <c r="E20" i="19" s="1"/>
  <c r="F80" i="20"/>
  <c r="E26" i="21"/>
  <c r="E49" i="21" s="1"/>
  <c r="E72" i="21" s="1"/>
  <c r="E77" i="21" s="1"/>
  <c r="E14" i="21"/>
  <c r="E20" i="21" s="1"/>
  <c r="I26" i="21"/>
  <c r="I49" i="21" s="1"/>
  <c r="I72" i="21" s="1"/>
  <c r="I77" i="21" s="1"/>
  <c r="I14" i="21"/>
  <c r="I20" i="21" s="1"/>
  <c r="L50" i="21"/>
  <c r="B69" i="21"/>
  <c r="B20" i="18" s="1"/>
  <c r="B22" i="18" s="1"/>
  <c r="B36" i="18" s="1"/>
  <c r="D14" i="21"/>
  <c r="D20" i="21" s="1"/>
  <c r="D26" i="21"/>
  <c r="D49" i="21" s="1"/>
  <c r="D72" i="21" s="1"/>
  <c r="D77" i="21" s="1"/>
  <c r="J14" i="21"/>
  <c r="J20" i="21" s="1"/>
  <c r="L15" i="21"/>
  <c r="L18" i="21" s="1"/>
  <c r="C26" i="21"/>
  <c r="C49" i="21" s="1"/>
  <c r="C72" i="21" s="1"/>
  <c r="C77" i="21" s="1"/>
  <c r="I69" i="20"/>
  <c r="I20" i="19" s="1"/>
  <c r="L79" i="20"/>
  <c r="M79" i="20" s="1"/>
  <c r="G26" i="21"/>
  <c r="G49" i="21" s="1"/>
  <c r="G72" i="21" s="1"/>
  <c r="G77" i="21" s="1"/>
  <c r="G14" i="21"/>
  <c r="G20" i="21" s="1"/>
  <c r="L3" i="21"/>
  <c r="K26" i="21"/>
  <c r="K49" i="21" s="1"/>
  <c r="K72" i="21" s="1"/>
  <c r="K77" i="21" s="1"/>
  <c r="B23" i="21"/>
  <c r="D47" i="21"/>
  <c r="D9" i="18" s="1"/>
  <c r="L31" i="21"/>
  <c r="L34" i="21"/>
  <c r="L38" i="21"/>
  <c r="L42" i="21"/>
  <c r="L78" i="21"/>
  <c r="L80" i="21" s="1"/>
  <c r="B11" i="21"/>
  <c r="B18" i="21"/>
  <c r="E47" i="21"/>
  <c r="E9" i="18" s="1"/>
  <c r="C23" i="21"/>
  <c r="C19" i="18" s="1"/>
  <c r="D19" i="19" s="1"/>
  <c r="G23" i="21"/>
  <c r="G19" i="18" s="1"/>
  <c r="H19" i="19" s="1"/>
  <c r="K23" i="21"/>
  <c r="K19" i="18" s="1"/>
  <c r="L27" i="21"/>
  <c r="B47" i="21"/>
  <c r="B9" i="18" s="1"/>
  <c r="F47" i="21"/>
  <c r="F9" i="18" s="1"/>
  <c r="L32" i="21"/>
  <c r="L36" i="21"/>
  <c r="L40" i="21"/>
  <c r="L44" i="21"/>
  <c r="L73" i="21"/>
  <c r="L75" i="21" s="1"/>
  <c r="E14" i="7" l="1"/>
  <c r="H20" i="3"/>
  <c r="H23" i="3" s="1"/>
  <c r="H39" i="3" s="1"/>
  <c r="H41" i="3" s="1"/>
  <c r="H43" i="3" s="1"/>
  <c r="G20" i="3"/>
  <c r="G23" i="3" s="1"/>
  <c r="E20" i="3"/>
  <c r="E8" i="9" s="1"/>
  <c r="E10" i="9" s="1"/>
  <c r="E11" i="9" s="1"/>
  <c r="E32" i="9" s="1"/>
  <c r="E33" i="9" s="1"/>
  <c r="E39" i="9" s="1"/>
  <c r="F20" i="3"/>
  <c r="F23" i="3" s="1"/>
  <c r="D20" i="3"/>
  <c r="D8" i="9" s="1"/>
  <c r="D10" i="9" s="1"/>
  <c r="D11" i="9" s="1"/>
  <c r="D32" i="9" s="1"/>
  <c r="D33" i="9" s="1"/>
  <c r="D39" i="9" s="1"/>
  <c r="I3" i="33"/>
  <c r="I9" i="33" s="1"/>
  <c r="I16" i="33" s="1"/>
  <c r="I18" i="33" s="1"/>
  <c r="J17" i="33" s="1"/>
  <c r="I20" i="3"/>
  <c r="J35" i="7"/>
  <c r="F35" i="7"/>
  <c r="I35" i="7"/>
  <c r="E35" i="7"/>
  <c r="H35" i="7"/>
  <c r="D35" i="7"/>
  <c r="G35" i="7"/>
  <c r="C20" i="3"/>
  <c r="B20" i="3"/>
  <c r="B23" i="3" s="1"/>
  <c r="B25" i="3" s="1"/>
  <c r="B23" i="33" s="1"/>
  <c r="B25" i="33" s="1"/>
  <c r="M32" i="8"/>
  <c r="W19" i="4"/>
  <c r="X19" i="4" s="1"/>
  <c r="D36" i="8"/>
  <c r="D41" i="8" s="1"/>
  <c r="E36" i="8" s="1"/>
  <c r="E41" i="8" s="1"/>
  <c r="E24" i="4" s="1"/>
  <c r="C39" i="6"/>
  <c r="C17" i="11"/>
  <c r="BQ25" i="6"/>
  <c r="CN25" i="6"/>
  <c r="J10" i="3"/>
  <c r="AU25" i="6"/>
  <c r="CK80" i="17"/>
  <c r="B33" i="8"/>
  <c r="CR25" i="6"/>
  <c r="CS25" i="6"/>
  <c r="AS25" i="6"/>
  <c r="AV80" i="17"/>
  <c r="CS80" i="17"/>
  <c r="AP25" i="6"/>
  <c r="BX25" i="6"/>
  <c r="BV25" i="6"/>
  <c r="AV25" i="6"/>
  <c r="CT80" i="17"/>
  <c r="BW25" i="6"/>
  <c r="BC25" i="6"/>
  <c r="AQ25" i="6"/>
  <c r="CC25" i="6"/>
  <c r="CJ25" i="6"/>
  <c r="AW25" i="6"/>
  <c r="BM25" i="6"/>
  <c r="BP25" i="6"/>
  <c r="BX80" i="17"/>
  <c r="AX25" i="6"/>
  <c r="CX80" i="17"/>
  <c r="AR80" i="17"/>
  <c r="BN25" i="6"/>
  <c r="CM25" i="6"/>
  <c r="CH80" i="17"/>
  <c r="CI25" i="6"/>
  <c r="CU25" i="6"/>
  <c r="BU25" i="6"/>
  <c r="BS25" i="6"/>
  <c r="AM25" i="6"/>
  <c r="F1" i="21"/>
  <c r="G1" i="21" s="1"/>
  <c r="H46" i="21"/>
  <c r="F36" i="8"/>
  <c r="F41" i="8" s="1"/>
  <c r="Q46" i="8"/>
  <c r="C6" i="7"/>
  <c r="C10" i="7"/>
  <c r="C14" i="7"/>
  <c r="C8" i="7"/>
  <c r="C3" i="7"/>
  <c r="C11" i="7"/>
  <c r="C5" i="7"/>
  <c r="C9" i="7"/>
  <c r="C4" i="7"/>
  <c r="C12" i="7"/>
  <c r="C7" i="7"/>
  <c r="C15" i="7"/>
  <c r="CO80" i="17"/>
  <c r="BD80" i="17"/>
  <c r="BN80" i="17"/>
  <c r="AX80" i="17"/>
  <c r="CU80" i="17"/>
  <c r="BL25" i="6"/>
  <c r="K29" i="19"/>
  <c r="CJ80" i="17"/>
  <c r="AY25" i="6"/>
  <c r="CD80" i="17"/>
  <c r="D31" i="19"/>
  <c r="CI80" i="17"/>
  <c r="Q40" i="3"/>
  <c r="Q42" i="3" s="1"/>
  <c r="I6" i="33"/>
  <c r="K40" i="3"/>
  <c r="K42" i="3" s="1"/>
  <c r="AI13" i="4"/>
  <c r="AJ13" i="4" s="1"/>
  <c r="AK13" i="4" s="1"/>
  <c r="AL13" i="4" s="1"/>
  <c r="AM13" i="4" s="1"/>
  <c r="AN13" i="4" s="1"/>
  <c r="AO13" i="4" s="1"/>
  <c r="AP13" i="4" s="1"/>
  <c r="AQ13" i="4" s="1"/>
  <c r="AR13" i="4" s="1"/>
  <c r="AS13" i="4" s="1"/>
  <c r="AT13" i="4" s="1"/>
  <c r="AU13" i="4" s="1"/>
  <c r="AV13" i="4" s="1"/>
  <c r="AW13" i="4" s="1"/>
  <c r="AX13" i="4" s="1"/>
  <c r="AY13" i="4" s="1"/>
  <c r="AZ13" i="4" s="1"/>
  <c r="BA13" i="4" s="1"/>
  <c r="BB13" i="4" s="1"/>
  <c r="BC13" i="4" s="1"/>
  <c r="BD13" i="4" s="1"/>
  <c r="BE13" i="4" s="1"/>
  <c r="BF13" i="4" s="1"/>
  <c r="BG13" i="4" s="1"/>
  <c r="BH13" i="4" s="1"/>
  <c r="BI13" i="4" s="1"/>
  <c r="BJ13" i="4" s="1"/>
  <c r="BK13" i="4" s="1"/>
  <c r="BL13" i="4" s="1"/>
  <c r="BM13" i="4" s="1"/>
  <c r="BN13" i="4" s="1"/>
  <c r="BO13" i="4" s="1"/>
  <c r="BP13" i="4" s="1"/>
  <c r="BQ13" i="4" s="1"/>
  <c r="BR13" i="4" s="1"/>
  <c r="BS13" i="4" s="1"/>
  <c r="BT13" i="4" s="1"/>
  <c r="BU13" i="4" s="1"/>
  <c r="BV13" i="4" s="1"/>
  <c r="BW13" i="4" s="1"/>
  <c r="BX13" i="4" s="1"/>
  <c r="BY13" i="4" s="1"/>
  <c r="BZ13" i="4" s="1"/>
  <c r="CA13" i="4" s="1"/>
  <c r="CB13" i="4" s="1"/>
  <c r="CC13" i="4" s="1"/>
  <c r="CD13" i="4" s="1"/>
  <c r="CE13" i="4" s="1"/>
  <c r="CF13" i="4" s="1"/>
  <c r="CG13" i="4" s="1"/>
  <c r="CH13" i="4" s="1"/>
  <c r="CI13" i="4" s="1"/>
  <c r="CJ13" i="4" s="1"/>
  <c r="CK13" i="4" s="1"/>
  <c r="CL13" i="4" s="1"/>
  <c r="CM13" i="4" s="1"/>
  <c r="CN13" i="4" s="1"/>
  <c r="CO13" i="4" s="1"/>
  <c r="CP13" i="4" s="1"/>
  <c r="CQ13" i="4" s="1"/>
  <c r="CR13" i="4" s="1"/>
  <c r="CS13" i="4" s="1"/>
  <c r="CT13" i="4" s="1"/>
  <c r="CU13" i="4" s="1"/>
  <c r="CV13" i="4" s="1"/>
  <c r="CW13" i="4" s="1"/>
  <c r="CX13" i="4" s="1"/>
  <c r="CY13" i="4" s="1"/>
  <c r="CZ13" i="4" s="1"/>
  <c r="DA13" i="4" s="1"/>
  <c r="DB13" i="4" s="1"/>
  <c r="K10" i="2"/>
  <c r="O40" i="3"/>
  <c r="O42" i="3" s="1"/>
  <c r="M40" i="3"/>
  <c r="M42" i="3" s="1"/>
  <c r="L10" i="2"/>
  <c r="M40" i="20"/>
  <c r="M36" i="20"/>
  <c r="F22" i="19"/>
  <c r="F29" i="19"/>
  <c r="R46" i="8"/>
  <c r="P46" i="8"/>
  <c r="B31" i="19"/>
  <c r="J4" i="2"/>
  <c r="W5" i="4"/>
  <c r="X5" i="4" s="1"/>
  <c r="Y5" i="4" s="1"/>
  <c r="Z5" i="4" s="1"/>
  <c r="AA5" i="4" s="1"/>
  <c r="U8" i="4"/>
  <c r="V8" i="4" s="1"/>
  <c r="M42" i="20"/>
  <c r="I32" i="18"/>
  <c r="M32" i="20"/>
  <c r="BO25" i="6"/>
  <c r="AB12" i="13"/>
  <c r="AC12" i="13" s="1"/>
  <c r="AD12" i="13" s="1"/>
  <c r="AE12" i="13" s="1"/>
  <c r="AF12" i="13" s="1"/>
  <c r="AG12" i="13" s="1"/>
  <c r="AH12" i="13" s="1"/>
  <c r="AI12" i="13" s="1"/>
  <c r="AJ12" i="13" s="1"/>
  <c r="AK12" i="13" s="1"/>
  <c r="AL12" i="13" s="1"/>
  <c r="AM12" i="13" s="1"/>
  <c r="AN12" i="13" s="1"/>
  <c r="AO12" i="13" s="1"/>
  <c r="AP12" i="13" s="1"/>
  <c r="AQ12" i="13" s="1"/>
  <c r="AR12" i="13" s="1"/>
  <c r="AS12" i="13" s="1"/>
  <c r="AT12" i="13" s="1"/>
  <c r="AU12" i="13" s="1"/>
  <c r="AV12" i="13" s="1"/>
  <c r="AW12" i="13" s="1"/>
  <c r="AX12" i="13" s="1"/>
  <c r="AY12" i="13" s="1"/>
  <c r="AZ12" i="13" s="1"/>
  <c r="BA12" i="13" s="1"/>
  <c r="BB12" i="13" s="1"/>
  <c r="BC12" i="13" s="1"/>
  <c r="BD12" i="13" s="1"/>
  <c r="BE12" i="13" s="1"/>
  <c r="BF12" i="13" s="1"/>
  <c r="BG12" i="13" s="1"/>
  <c r="BH12" i="13" s="1"/>
  <c r="BI12" i="13" s="1"/>
  <c r="BJ12" i="13" s="1"/>
  <c r="BK12" i="13" s="1"/>
  <c r="BL12" i="13" s="1"/>
  <c r="BM12" i="13" s="1"/>
  <c r="BN12" i="13" s="1"/>
  <c r="BO12" i="13" s="1"/>
  <c r="BP12" i="13" s="1"/>
  <c r="BQ12" i="13" s="1"/>
  <c r="BR12" i="13" s="1"/>
  <c r="BS12" i="13" s="1"/>
  <c r="BT12" i="13" s="1"/>
  <c r="BU12" i="13" s="1"/>
  <c r="BV12" i="13" s="1"/>
  <c r="BW12" i="13" s="1"/>
  <c r="BX12" i="13" s="1"/>
  <c r="BY12" i="13" s="1"/>
  <c r="BZ12" i="13" s="1"/>
  <c r="CA12" i="13" s="1"/>
  <c r="CB12" i="13" s="1"/>
  <c r="CC12" i="13" s="1"/>
  <c r="CD12" i="13" s="1"/>
  <c r="CE12" i="13" s="1"/>
  <c r="CF12" i="13" s="1"/>
  <c r="CG12" i="13" s="1"/>
  <c r="CH12" i="13" s="1"/>
  <c r="CI12" i="13" s="1"/>
  <c r="CJ12" i="13" s="1"/>
  <c r="CK12" i="13" s="1"/>
  <c r="CL12" i="13" s="1"/>
  <c r="CM12" i="13" s="1"/>
  <c r="CN12" i="13" s="1"/>
  <c r="CO12" i="13" s="1"/>
  <c r="CP12" i="13" s="1"/>
  <c r="CQ12" i="13" s="1"/>
  <c r="CR12" i="13" s="1"/>
  <c r="CS12" i="13" s="1"/>
  <c r="CT12" i="13" s="1"/>
  <c r="CU12" i="13" s="1"/>
  <c r="CV12" i="13" s="1"/>
  <c r="CW12" i="13" s="1"/>
  <c r="CX12" i="13" s="1"/>
  <c r="CY12" i="13" s="1"/>
  <c r="CZ12" i="13" s="1"/>
  <c r="DA12" i="13" s="1"/>
  <c r="DB12" i="13" s="1"/>
  <c r="DC12" i="13" s="1"/>
  <c r="DD12" i="13" s="1"/>
  <c r="DE12" i="13" s="1"/>
  <c r="DF12" i="13" s="1"/>
  <c r="F9" i="27"/>
  <c r="H8" i="27"/>
  <c r="F8" i="27"/>
  <c r="D8" i="27"/>
  <c r="G9" i="27"/>
  <c r="C9" i="27"/>
  <c r="H9" i="27"/>
  <c r="D9" i="27"/>
  <c r="I8" i="27"/>
  <c r="G8" i="27"/>
  <c r="E8" i="27"/>
  <c r="C8" i="27"/>
  <c r="I9" i="27"/>
  <c r="E9" i="27"/>
  <c r="AB11" i="13"/>
  <c r="AC11" i="13" s="1"/>
  <c r="AD11" i="13" s="1"/>
  <c r="AE11" i="13" s="1"/>
  <c r="AF11" i="13" s="1"/>
  <c r="AG11" i="13" s="1"/>
  <c r="AH11" i="13" s="1"/>
  <c r="AI11" i="13" s="1"/>
  <c r="AJ11" i="13" s="1"/>
  <c r="AK11" i="13" s="1"/>
  <c r="AL11" i="13" s="1"/>
  <c r="AM11" i="13" s="1"/>
  <c r="AO25" i="6"/>
  <c r="BG25" i="6"/>
  <c r="V9" i="4"/>
  <c r="X25" i="5" s="1"/>
  <c r="V27" i="6" s="1"/>
  <c r="C33" i="8"/>
  <c r="D31" i="8" s="1"/>
  <c r="D33" i="8" s="1"/>
  <c r="E31" i="8" s="1"/>
  <c r="E33" i="8" s="1"/>
  <c r="F31" i="8" s="1"/>
  <c r="F33" i="8" s="1"/>
  <c r="G31" i="8" s="1"/>
  <c r="G33" i="8" s="1"/>
  <c r="H31" i="8" s="1"/>
  <c r="H33" i="8" s="1"/>
  <c r="I31" i="8" s="1"/>
  <c r="I33" i="8" s="1"/>
  <c r="J31" i="8" s="1"/>
  <c r="J33" i="8" s="1"/>
  <c r="K31" i="8" s="1"/>
  <c r="K33" i="8" s="1"/>
  <c r="L31" i="8" s="1"/>
  <c r="L33" i="8" s="1"/>
  <c r="M31" i="8" s="1"/>
  <c r="M33" i="8" s="1"/>
  <c r="N31" i="8" s="1"/>
  <c r="N33" i="8" s="1"/>
  <c r="O31" i="8" s="1"/>
  <c r="C33" i="19"/>
  <c r="B5" i="27"/>
  <c r="AA46" i="8"/>
  <c r="AB33" i="5"/>
  <c r="M38" i="20"/>
  <c r="I22" i="18"/>
  <c r="I36" i="18" s="1"/>
  <c r="G30" i="18"/>
  <c r="G22" i="18"/>
  <c r="BE80" i="17"/>
  <c r="H37" i="9"/>
  <c r="H38" i="9" s="1"/>
  <c r="I24" i="2"/>
  <c r="J29" i="19"/>
  <c r="S46" i="8"/>
  <c r="O16" i="13"/>
  <c r="AA33" i="5"/>
  <c r="Z46" i="8"/>
  <c r="B29" i="4"/>
  <c r="B31" i="18"/>
  <c r="B33" i="18" s="1"/>
  <c r="C15" i="10"/>
  <c r="D22" i="19"/>
  <c r="D36" i="19" s="1"/>
  <c r="O5" i="13"/>
  <c r="O17" i="13" s="1"/>
  <c r="R14" i="3"/>
  <c r="K22" i="19"/>
  <c r="C40" i="6"/>
  <c r="D23" i="4" s="1"/>
  <c r="R8" i="3"/>
  <c r="B22" i="19"/>
  <c r="B36" i="19" s="1"/>
  <c r="BE25" i="6"/>
  <c r="K32" i="19"/>
  <c r="X34" i="5"/>
  <c r="L23" i="21"/>
  <c r="E32" i="18"/>
  <c r="P18" i="12"/>
  <c r="P24" i="12" s="1"/>
  <c r="P26" i="12" s="1"/>
  <c r="P27" i="12"/>
  <c r="I37" i="9"/>
  <c r="I38" i="9" s="1"/>
  <c r="C31" i="5"/>
  <c r="C32" i="5"/>
  <c r="D19" i="4"/>
  <c r="C21" i="4"/>
  <c r="I23" i="3"/>
  <c r="J21" i="11"/>
  <c r="I8" i="2"/>
  <c r="I17" i="9" s="1"/>
  <c r="I31" i="9" s="1"/>
  <c r="K10" i="4"/>
  <c r="L10" i="4" s="1"/>
  <c r="M10" i="4" s="1"/>
  <c r="H25" i="19"/>
  <c r="B25" i="19"/>
  <c r="B11" i="19"/>
  <c r="B35" i="19" s="1"/>
  <c r="C30" i="18"/>
  <c r="C33" i="18" s="1"/>
  <c r="C16" i="13"/>
  <c r="C5" i="13"/>
  <c r="G9" i="19"/>
  <c r="G31" i="19" s="1"/>
  <c r="F31" i="18"/>
  <c r="F33" i="18" s="1"/>
  <c r="E9" i="19"/>
  <c r="D31" i="18"/>
  <c r="D33" i="18" s="1"/>
  <c r="D11" i="18"/>
  <c r="D35" i="18" s="1"/>
  <c r="L78" i="20"/>
  <c r="M73" i="20"/>
  <c r="L75" i="20"/>
  <c r="M3" i="20"/>
  <c r="M10" i="20"/>
  <c r="L11" i="20"/>
  <c r="M21" i="20"/>
  <c r="L23" i="20"/>
  <c r="J22" i="19"/>
  <c r="G32" i="19"/>
  <c r="T34" i="5"/>
  <c r="F32" i="19"/>
  <c r="S34" i="5"/>
  <c r="H30" i="19"/>
  <c r="F11" i="18"/>
  <c r="F35" i="18" s="1"/>
  <c r="H22" i="19"/>
  <c r="D9" i="14"/>
  <c r="E3" i="14"/>
  <c r="D15" i="12"/>
  <c r="D3" i="13"/>
  <c r="E9" i="12"/>
  <c r="E11" i="12" s="1"/>
  <c r="O31" i="12"/>
  <c r="O32" i="12" s="1"/>
  <c r="O28" i="12"/>
  <c r="O29" i="12" s="1"/>
  <c r="N40" i="3"/>
  <c r="N42" i="3" s="1"/>
  <c r="B18" i="5"/>
  <c r="V15" i="4"/>
  <c r="J11" i="2" s="1"/>
  <c r="V27" i="5"/>
  <c r="P40" i="3"/>
  <c r="P42" i="3" s="1"/>
  <c r="G39" i="3"/>
  <c r="M27" i="20"/>
  <c r="E22" i="18"/>
  <c r="E36" i="18" s="1"/>
  <c r="E32" i="19"/>
  <c r="E22" i="19"/>
  <c r="K22" i="18"/>
  <c r="K36" i="18" s="1"/>
  <c r="C40" i="18"/>
  <c r="D30" i="19"/>
  <c r="J25" i="19"/>
  <c r="G22" i="19"/>
  <c r="G25" i="19"/>
  <c r="C25" i="11"/>
  <c r="D4" i="11"/>
  <c r="C7" i="4"/>
  <c r="C30" i="4" s="1"/>
  <c r="Z6" i="12"/>
  <c r="P16" i="13"/>
  <c r="P5" i="13"/>
  <c r="R21" i="3"/>
  <c r="J40" i="3"/>
  <c r="M27" i="5"/>
  <c r="M15" i="4"/>
  <c r="E4" i="4"/>
  <c r="L40" i="3"/>
  <c r="L42" i="3" s="1"/>
  <c r="F25" i="3"/>
  <c r="F39" i="3"/>
  <c r="F41" i="3" s="1"/>
  <c r="F43" i="3" s="1"/>
  <c r="W20" i="4"/>
  <c r="X20" i="4" s="1"/>
  <c r="Y20" i="4" s="1"/>
  <c r="Z20" i="4" s="1"/>
  <c r="AA20" i="4" s="1"/>
  <c r="AB20" i="4" s="1"/>
  <c r="AC20" i="4" s="1"/>
  <c r="AD20" i="4" s="1"/>
  <c r="AE20" i="4" s="1"/>
  <c r="AF20" i="4" s="1"/>
  <c r="AG20" i="4" s="1"/>
  <c r="AH20" i="4" s="1"/>
  <c r="AI20" i="4" s="1"/>
  <c r="AJ20" i="4" s="1"/>
  <c r="AK20" i="4" s="1"/>
  <c r="AL20" i="4" s="1"/>
  <c r="AM20" i="4" s="1"/>
  <c r="AN20" i="4" s="1"/>
  <c r="AO20" i="4" s="1"/>
  <c r="AP20" i="4" s="1"/>
  <c r="AQ20" i="4" s="1"/>
  <c r="AR20" i="4" s="1"/>
  <c r="AS20" i="4" s="1"/>
  <c r="AT20" i="4" s="1"/>
  <c r="AU20" i="4" s="1"/>
  <c r="AV20" i="4" s="1"/>
  <c r="AW20" i="4" s="1"/>
  <c r="AX20" i="4" s="1"/>
  <c r="AY20" i="4" s="1"/>
  <c r="AZ20" i="4" s="1"/>
  <c r="BA20" i="4" s="1"/>
  <c r="BB20" i="4" s="1"/>
  <c r="BC20" i="4" s="1"/>
  <c r="BD20" i="4" s="1"/>
  <c r="BE20" i="4" s="1"/>
  <c r="BF20" i="4" s="1"/>
  <c r="BG20" i="4" s="1"/>
  <c r="BH20" i="4" s="1"/>
  <c r="BI20" i="4" s="1"/>
  <c r="BJ20" i="4" s="1"/>
  <c r="BK20" i="4" s="1"/>
  <c r="BL20" i="4" s="1"/>
  <c r="BM20" i="4" s="1"/>
  <c r="BN20" i="4" s="1"/>
  <c r="BO20" i="4" s="1"/>
  <c r="BP20" i="4" s="1"/>
  <c r="BQ20" i="4" s="1"/>
  <c r="BR20" i="4" s="1"/>
  <c r="BS20" i="4" s="1"/>
  <c r="BT20" i="4" s="1"/>
  <c r="BU20" i="4" s="1"/>
  <c r="BV20" i="4" s="1"/>
  <c r="BW20" i="4" s="1"/>
  <c r="BX20" i="4" s="1"/>
  <c r="BY20" i="4" s="1"/>
  <c r="BZ20" i="4" s="1"/>
  <c r="CA20" i="4" s="1"/>
  <c r="CB20" i="4" s="1"/>
  <c r="CC20" i="4" s="1"/>
  <c r="CD20" i="4" s="1"/>
  <c r="CE20" i="4" s="1"/>
  <c r="CF20" i="4" s="1"/>
  <c r="CG20" i="4" s="1"/>
  <c r="CH20" i="4" s="1"/>
  <c r="CI20" i="4" s="1"/>
  <c r="CJ20" i="4" s="1"/>
  <c r="CK20" i="4" s="1"/>
  <c r="CL20" i="4" s="1"/>
  <c r="CM20" i="4" s="1"/>
  <c r="CN20" i="4" s="1"/>
  <c r="CO20" i="4" s="1"/>
  <c r="CP20" i="4" s="1"/>
  <c r="CQ20" i="4" s="1"/>
  <c r="CR20" i="4" s="1"/>
  <c r="CS20" i="4" s="1"/>
  <c r="CT20" i="4" s="1"/>
  <c r="CU20" i="4" s="1"/>
  <c r="CV20" i="4" s="1"/>
  <c r="CW20" i="4" s="1"/>
  <c r="CX20" i="4" s="1"/>
  <c r="CY20" i="4" s="1"/>
  <c r="CZ20" i="4" s="1"/>
  <c r="DA20" i="4" s="1"/>
  <c r="DB20" i="4" s="1"/>
  <c r="J18" i="2"/>
  <c r="M31" i="20"/>
  <c r="L69" i="20"/>
  <c r="M50" i="20"/>
  <c r="I32" i="19"/>
  <c r="V34" i="5"/>
  <c r="I22" i="19"/>
  <c r="L69" i="21"/>
  <c r="M44" i="20"/>
  <c r="H1" i="21"/>
  <c r="I1" i="21" s="1"/>
  <c r="J1" i="21" s="1"/>
  <c r="I46" i="21" s="1"/>
  <c r="F9" i="19"/>
  <c r="F31" i="19" s="1"/>
  <c r="E31" i="18"/>
  <c r="E11" i="18"/>
  <c r="M34" i="20"/>
  <c r="G31" i="18"/>
  <c r="H9" i="19"/>
  <c r="H31" i="19" s="1"/>
  <c r="H46" i="20"/>
  <c r="G39" i="18"/>
  <c r="L15" i="20"/>
  <c r="C35" i="19"/>
  <c r="O40" i="8"/>
  <c r="H32" i="19"/>
  <c r="U34" i="5"/>
  <c r="E25" i="19"/>
  <c r="G11" i="18"/>
  <c r="D25" i="19"/>
  <c r="D11" i="19"/>
  <c r="J32" i="19"/>
  <c r="K25" i="19"/>
  <c r="B11" i="18"/>
  <c r="B35" i="18" s="1"/>
  <c r="C22" i="18"/>
  <c r="C36" i="18" s="1"/>
  <c r="C37" i="18" s="1"/>
  <c r="K30" i="18"/>
  <c r="E4" i="13"/>
  <c r="E15" i="13" s="1"/>
  <c r="F13" i="12"/>
  <c r="E14" i="12"/>
  <c r="C27" i="12"/>
  <c r="C28" i="12" s="1"/>
  <c r="C29" i="12" s="1"/>
  <c r="C18" i="12"/>
  <c r="C24" i="12" s="1"/>
  <c r="C26" i="12" s="1"/>
  <c r="Q3" i="13"/>
  <c r="Q15" i="12"/>
  <c r="R9" i="12"/>
  <c r="G34" i="7"/>
  <c r="H33" i="7"/>
  <c r="D33" i="7"/>
  <c r="J31" i="7"/>
  <c r="F31" i="7"/>
  <c r="B29" i="7"/>
  <c r="I28" i="7"/>
  <c r="E28" i="7"/>
  <c r="H27" i="7"/>
  <c r="D27" i="7"/>
  <c r="C26" i="7"/>
  <c r="B25" i="7"/>
  <c r="C21" i="7"/>
  <c r="I20" i="7"/>
  <c r="E20" i="7"/>
  <c r="H19" i="7"/>
  <c r="D19" i="7"/>
  <c r="J15" i="7"/>
  <c r="F15" i="7"/>
  <c r="B15" i="7"/>
  <c r="I14" i="7"/>
  <c r="J13" i="7"/>
  <c r="F13" i="7"/>
  <c r="G12" i="7"/>
  <c r="I11" i="7"/>
  <c r="E11" i="7"/>
  <c r="H10" i="7"/>
  <c r="D10" i="7"/>
  <c r="G9" i="7"/>
  <c r="J8" i="7"/>
  <c r="F8" i="7"/>
  <c r="B8" i="7"/>
  <c r="I7" i="7"/>
  <c r="E7" i="7"/>
  <c r="G5" i="7"/>
  <c r="B4" i="7"/>
  <c r="H34" i="7"/>
  <c r="I33" i="7"/>
  <c r="E33" i="7"/>
  <c r="G31" i="7"/>
  <c r="C31" i="7"/>
  <c r="J28" i="7"/>
  <c r="F28" i="7"/>
  <c r="B28" i="7"/>
  <c r="I27" i="7"/>
  <c r="E27" i="7"/>
  <c r="B24" i="7"/>
  <c r="J20" i="7"/>
  <c r="F20" i="7"/>
  <c r="B20" i="7"/>
  <c r="I19" i="7"/>
  <c r="E19" i="7"/>
  <c r="G15" i="7"/>
  <c r="J14" i="7"/>
  <c r="F14" i="7"/>
  <c r="G13" i="7"/>
  <c r="H12" i="7"/>
  <c r="D12" i="7"/>
  <c r="J11" i="7"/>
  <c r="F11" i="7"/>
  <c r="B11" i="7"/>
  <c r="I10" i="7"/>
  <c r="E10" i="7"/>
  <c r="H9" i="7"/>
  <c r="D9" i="7"/>
  <c r="G8" i="7"/>
  <c r="J7" i="7"/>
  <c r="F7" i="7"/>
  <c r="B7" i="7"/>
  <c r="H5" i="7"/>
  <c r="D5" i="7"/>
  <c r="B3" i="7"/>
  <c r="I34" i="7"/>
  <c r="C33" i="7"/>
  <c r="D31" i="7"/>
  <c r="C28" i="7"/>
  <c r="G27" i="7"/>
  <c r="G20" i="7"/>
  <c r="C19" i="7"/>
  <c r="H14" i="7"/>
  <c r="I13" i="7"/>
  <c r="J12" i="7"/>
  <c r="B12" i="7"/>
  <c r="H11" i="7"/>
  <c r="F10" i="7"/>
  <c r="J9" i="7"/>
  <c r="B9" i="7"/>
  <c r="E8" i="7"/>
  <c r="H7" i="7"/>
  <c r="J5" i="7"/>
  <c r="B5" i="7"/>
  <c r="F34" i="7"/>
  <c r="J33" i="7"/>
  <c r="B33" i="7"/>
  <c r="I31" i="7"/>
  <c r="B30" i="7"/>
  <c r="H28" i="7"/>
  <c r="F27" i="7"/>
  <c r="B26" i="7"/>
  <c r="B21" i="7"/>
  <c r="D20" i="7"/>
  <c r="J19" i="7"/>
  <c r="B19" i="7"/>
  <c r="G14" i="7"/>
  <c r="H13" i="7"/>
  <c r="I12" i="7"/>
  <c r="G11" i="7"/>
  <c r="G33" i="7"/>
  <c r="H31" i="7"/>
  <c r="G28" i="7"/>
  <c r="C27" i="7"/>
  <c r="C20" i="7"/>
  <c r="G19" i="7"/>
  <c r="I15" i="7"/>
  <c r="D14" i="7"/>
  <c r="E13" i="7"/>
  <c r="F12" i="7"/>
  <c r="D11" i="7"/>
  <c r="J10" i="7"/>
  <c r="B10" i="7"/>
  <c r="F9" i="7"/>
  <c r="I8" i="7"/>
  <c r="D7" i="7"/>
  <c r="B6" i="7"/>
  <c r="F5" i="7"/>
  <c r="J34" i="7"/>
  <c r="B34" i="7"/>
  <c r="F33" i="7"/>
  <c r="B32" i="7"/>
  <c r="E31" i="7"/>
  <c r="D28" i="7"/>
  <c r="J27" i="7"/>
  <c r="B27" i="7"/>
  <c r="B23" i="7"/>
  <c r="H20" i="7"/>
  <c r="F19" i="7"/>
  <c r="H15" i="7"/>
  <c r="D13" i="7"/>
  <c r="E12" i="7"/>
  <c r="G10" i="7"/>
  <c r="E9" i="7"/>
  <c r="H8" i="7"/>
  <c r="E5" i="7"/>
  <c r="D8" i="7"/>
  <c r="D4" i="7"/>
  <c r="I9" i="7"/>
  <c r="G7" i="7"/>
  <c r="I5" i="7"/>
  <c r="S26" i="3"/>
  <c r="L19" i="4"/>
  <c r="K21" i="4"/>
  <c r="D27" i="5"/>
  <c r="F78" i="17" s="1"/>
  <c r="D15" i="4"/>
  <c r="U26" i="3"/>
  <c r="R7" i="3"/>
  <c r="R5" i="3"/>
  <c r="J20" i="2"/>
  <c r="W22" i="4"/>
  <c r="X22" i="4" s="1"/>
  <c r="Y22" i="4" s="1"/>
  <c r="Z22" i="4" s="1"/>
  <c r="AA22" i="4" s="1"/>
  <c r="AB22" i="4" s="1"/>
  <c r="AC22" i="4" s="1"/>
  <c r="AD22" i="4" s="1"/>
  <c r="AE22" i="4" s="1"/>
  <c r="AF22" i="4" s="1"/>
  <c r="AG22" i="4" s="1"/>
  <c r="AH22" i="4" s="1"/>
  <c r="AI22" i="4" s="1"/>
  <c r="AJ22" i="4" s="1"/>
  <c r="AK22" i="4" s="1"/>
  <c r="AL22" i="4" s="1"/>
  <c r="AM22" i="4" s="1"/>
  <c r="AN22" i="4" s="1"/>
  <c r="AO22" i="4" s="1"/>
  <c r="AP22" i="4" s="1"/>
  <c r="AQ22" i="4" s="1"/>
  <c r="AR22" i="4" s="1"/>
  <c r="AS22" i="4" s="1"/>
  <c r="AT22" i="4" s="1"/>
  <c r="AU22" i="4" s="1"/>
  <c r="AV22" i="4" s="1"/>
  <c r="AW22" i="4" s="1"/>
  <c r="AX22" i="4" s="1"/>
  <c r="AY22" i="4" s="1"/>
  <c r="AZ22" i="4" s="1"/>
  <c r="BA22" i="4" s="1"/>
  <c r="BB22" i="4" s="1"/>
  <c r="BC22" i="4" s="1"/>
  <c r="BD22" i="4" s="1"/>
  <c r="BE22" i="4" s="1"/>
  <c r="BF22" i="4" s="1"/>
  <c r="BG22" i="4" s="1"/>
  <c r="BH22" i="4" s="1"/>
  <c r="BI22" i="4" s="1"/>
  <c r="BJ22" i="4" s="1"/>
  <c r="BK22" i="4" s="1"/>
  <c r="BL22" i="4" s="1"/>
  <c r="BM22" i="4" s="1"/>
  <c r="BN22" i="4" s="1"/>
  <c r="BO22" i="4" s="1"/>
  <c r="BP22" i="4" s="1"/>
  <c r="BQ22" i="4" s="1"/>
  <c r="BR22" i="4" s="1"/>
  <c r="BS22" i="4" s="1"/>
  <c r="BT22" i="4" s="1"/>
  <c r="BU22" i="4" s="1"/>
  <c r="BV22" i="4" s="1"/>
  <c r="BW22" i="4" s="1"/>
  <c r="BX22" i="4" s="1"/>
  <c r="BY22" i="4" s="1"/>
  <c r="BZ22" i="4" s="1"/>
  <c r="CA22" i="4" s="1"/>
  <c r="CB22" i="4" s="1"/>
  <c r="CC22" i="4" s="1"/>
  <c r="CD22" i="4" s="1"/>
  <c r="CE22" i="4" s="1"/>
  <c r="CF22" i="4" s="1"/>
  <c r="CG22" i="4" s="1"/>
  <c r="CH22" i="4" s="1"/>
  <c r="CI22" i="4" s="1"/>
  <c r="CJ22" i="4" s="1"/>
  <c r="CK22" i="4" s="1"/>
  <c r="CL22" i="4" s="1"/>
  <c r="CM22" i="4" s="1"/>
  <c r="CN22" i="4" s="1"/>
  <c r="CO22" i="4" s="1"/>
  <c r="CP22" i="4" s="1"/>
  <c r="CQ22" i="4" s="1"/>
  <c r="CR22" i="4" s="1"/>
  <c r="CS22" i="4" s="1"/>
  <c r="CT22" i="4" s="1"/>
  <c r="CU22" i="4" s="1"/>
  <c r="CV22" i="4" s="1"/>
  <c r="CW22" i="4" s="1"/>
  <c r="CX22" i="4" s="1"/>
  <c r="CY22" i="4" s="1"/>
  <c r="CZ22" i="4" s="1"/>
  <c r="DA22" i="4" s="1"/>
  <c r="DB22" i="4" s="1"/>
  <c r="E23" i="3" l="1"/>
  <c r="E39" i="3" s="1"/>
  <c r="E41" i="3" s="1"/>
  <c r="E43" i="3" s="1"/>
  <c r="D23" i="3"/>
  <c r="D39" i="3" s="1"/>
  <c r="D41" i="3" s="1"/>
  <c r="D43" i="3" s="1"/>
  <c r="D44" i="3" s="1"/>
  <c r="F8" i="9"/>
  <c r="F10" i="9" s="1"/>
  <c r="F11" i="9" s="1"/>
  <c r="F32" i="9" s="1"/>
  <c r="F33" i="9" s="1"/>
  <c r="B39" i="3"/>
  <c r="B8" i="9"/>
  <c r="B10" i="9" s="1"/>
  <c r="B11" i="9" s="1"/>
  <c r="B32" i="9" s="1"/>
  <c r="B33" i="9" s="1"/>
  <c r="B39" i="9" s="1"/>
  <c r="C23" i="3"/>
  <c r="C8" i="9"/>
  <c r="C10" i="9" s="1"/>
  <c r="C11" i="9" s="1"/>
  <c r="C32" i="9" s="1"/>
  <c r="C33" i="9" s="1"/>
  <c r="C39" i="9" s="1"/>
  <c r="D24" i="4"/>
  <c r="D39" i="6"/>
  <c r="D40" i="6" s="1"/>
  <c r="D25" i="3"/>
  <c r="D18" i="9" s="1"/>
  <c r="D20" i="9" s="1"/>
  <c r="D26" i="9" s="1"/>
  <c r="H24" i="7"/>
  <c r="J24" i="7"/>
  <c r="W9" i="4"/>
  <c r="X9" i="4" s="1"/>
  <c r="I24" i="7"/>
  <c r="J9" i="2"/>
  <c r="F18" i="9"/>
  <c r="F20" i="9" s="1"/>
  <c r="F23" i="33"/>
  <c r="F25" i="33" s="1"/>
  <c r="I39" i="18"/>
  <c r="J46" i="20"/>
  <c r="I47" i="21"/>
  <c r="I9" i="18" s="1"/>
  <c r="C5" i="27"/>
  <c r="C10" i="27" s="1"/>
  <c r="G36" i="8"/>
  <c r="G41" i="8" s="1"/>
  <c r="F24" i="4"/>
  <c r="H39" i="18"/>
  <c r="I46" i="20"/>
  <c r="H47" i="21"/>
  <c r="H9" i="18" s="1"/>
  <c r="AB5" i="4"/>
  <c r="AC5" i="4" s="1"/>
  <c r="AD5" i="4" s="1"/>
  <c r="AE5" i="4" s="1"/>
  <c r="AF5" i="4" s="1"/>
  <c r="AG5" i="4" s="1"/>
  <c r="AH5" i="4" s="1"/>
  <c r="F24" i="7"/>
  <c r="J7" i="33"/>
  <c r="I27" i="2"/>
  <c r="I7" i="33"/>
  <c r="F36" i="19"/>
  <c r="M10" i="2"/>
  <c r="E35" i="18"/>
  <c r="E40" i="18" s="1"/>
  <c r="B33" i="19"/>
  <c r="F33" i="19"/>
  <c r="E33" i="18"/>
  <c r="K39" i="18"/>
  <c r="K47" i="21"/>
  <c r="K9" i="18" s="1"/>
  <c r="G24" i="7"/>
  <c r="J7" i="2"/>
  <c r="J6" i="33" s="1"/>
  <c r="W8" i="4"/>
  <c r="X8" i="4" s="1"/>
  <c r="Y8" i="4" s="1"/>
  <c r="Z8" i="4" s="1"/>
  <c r="AA8" i="4" s="1"/>
  <c r="D17" i="11"/>
  <c r="G11" i="19"/>
  <c r="AN11" i="13"/>
  <c r="AO11" i="13" s="1"/>
  <c r="AP11" i="13" s="1"/>
  <c r="AQ11" i="13" s="1"/>
  <c r="AR11" i="13" s="1"/>
  <c r="AS11" i="13" s="1"/>
  <c r="AT11" i="13" s="1"/>
  <c r="AU11" i="13" s="1"/>
  <c r="AV11" i="13" s="1"/>
  <c r="AW11" i="13" s="1"/>
  <c r="AX11" i="13" s="1"/>
  <c r="AY11" i="13" s="1"/>
  <c r="G36" i="18"/>
  <c r="G33" i="18"/>
  <c r="G35" i="18"/>
  <c r="G40" i="18" s="1"/>
  <c r="H25" i="9"/>
  <c r="K36" i="19"/>
  <c r="I14" i="2"/>
  <c r="I26" i="2" s="1"/>
  <c r="I25" i="9"/>
  <c r="C17" i="10"/>
  <c r="C31" i="10" s="1"/>
  <c r="C32" i="10" s="1"/>
  <c r="O8" i="13"/>
  <c r="O10" i="13" s="1"/>
  <c r="G33" i="19"/>
  <c r="Y34" i="5"/>
  <c r="E27" i="5"/>
  <c r="G78" i="17" s="1"/>
  <c r="E15" i="4"/>
  <c r="B16" i="7"/>
  <c r="Q18" i="12"/>
  <c r="Q24" i="12" s="1"/>
  <c r="Q26" i="12" s="1"/>
  <c r="Q27" i="12"/>
  <c r="D35" i="19"/>
  <c r="C37" i="19"/>
  <c r="C40" i="19"/>
  <c r="K46" i="20"/>
  <c r="J39" i="18"/>
  <c r="J47" i="21"/>
  <c r="J9" i="18" s="1"/>
  <c r="N27" i="5"/>
  <c r="P78" i="17" s="1"/>
  <c r="N15" i="4"/>
  <c r="P17" i="13"/>
  <c r="P8" i="13"/>
  <c r="G37" i="9"/>
  <c r="G38" i="9" s="1"/>
  <c r="G25" i="9"/>
  <c r="C27" i="11"/>
  <c r="D28" i="5"/>
  <c r="F74" i="17" s="1"/>
  <c r="E44" i="3"/>
  <c r="W27" i="5"/>
  <c r="J13" i="2"/>
  <c r="J8" i="33" s="1"/>
  <c r="W15" i="4"/>
  <c r="X15" i="4" s="1"/>
  <c r="Y15" i="4" s="1"/>
  <c r="Z15" i="4" s="1"/>
  <c r="AA15" i="4" s="1"/>
  <c r="AB15" i="4" s="1"/>
  <c r="AC15" i="4" s="1"/>
  <c r="AD15" i="4" s="1"/>
  <c r="AE15" i="4" s="1"/>
  <c r="AF15" i="4" s="1"/>
  <c r="AG15" i="4" s="1"/>
  <c r="AH15" i="4" s="1"/>
  <c r="AI15" i="4" s="1"/>
  <c r="AJ15" i="4" s="1"/>
  <c r="AK15" i="4" s="1"/>
  <c r="AL15" i="4" s="1"/>
  <c r="AM15" i="4" s="1"/>
  <c r="AN15" i="4" s="1"/>
  <c r="AO15" i="4" s="1"/>
  <c r="AP15" i="4" s="1"/>
  <c r="AQ15" i="4" s="1"/>
  <c r="AR15" i="4" s="1"/>
  <c r="AS15" i="4" s="1"/>
  <c r="AT15" i="4" s="1"/>
  <c r="AU15" i="4" s="1"/>
  <c r="AV15" i="4" s="1"/>
  <c r="AW15" i="4" s="1"/>
  <c r="AX15" i="4" s="1"/>
  <c r="AY15" i="4" s="1"/>
  <c r="AZ15" i="4" s="1"/>
  <c r="BA15" i="4" s="1"/>
  <c r="BB15" i="4" s="1"/>
  <c r="BC15" i="4" s="1"/>
  <c r="BD15" i="4" s="1"/>
  <c r="BE15" i="4" s="1"/>
  <c r="BF15" i="4" s="1"/>
  <c r="BG15" i="4" s="1"/>
  <c r="BH15" i="4" s="1"/>
  <c r="BI15" i="4" s="1"/>
  <c r="BJ15" i="4" s="1"/>
  <c r="BK15" i="4" s="1"/>
  <c r="BL15" i="4" s="1"/>
  <c r="BM15" i="4" s="1"/>
  <c r="BN15" i="4" s="1"/>
  <c r="BO15" i="4" s="1"/>
  <c r="BP15" i="4" s="1"/>
  <c r="BQ15" i="4" s="1"/>
  <c r="BR15" i="4" s="1"/>
  <c r="BS15" i="4" s="1"/>
  <c r="BT15" i="4" s="1"/>
  <c r="BU15" i="4" s="1"/>
  <c r="BV15" i="4" s="1"/>
  <c r="BW15" i="4" s="1"/>
  <c r="BX15" i="4" s="1"/>
  <c r="BY15" i="4" s="1"/>
  <c r="BZ15" i="4" s="1"/>
  <c r="CA15" i="4" s="1"/>
  <c r="CB15" i="4" s="1"/>
  <c r="CC15" i="4" s="1"/>
  <c r="CD15" i="4" s="1"/>
  <c r="CE15" i="4" s="1"/>
  <c r="CF15" i="4" s="1"/>
  <c r="CG15" i="4" s="1"/>
  <c r="CH15" i="4" s="1"/>
  <c r="CI15" i="4" s="1"/>
  <c r="CJ15" i="4" s="1"/>
  <c r="CK15" i="4" s="1"/>
  <c r="CL15" i="4" s="1"/>
  <c r="CM15" i="4" s="1"/>
  <c r="CN15" i="4" s="1"/>
  <c r="CO15" i="4" s="1"/>
  <c r="CP15" i="4" s="1"/>
  <c r="CQ15" i="4" s="1"/>
  <c r="CR15" i="4" s="1"/>
  <c r="CS15" i="4" s="1"/>
  <c r="CT15" i="4" s="1"/>
  <c r="CU15" i="4" s="1"/>
  <c r="CV15" i="4" s="1"/>
  <c r="D18" i="12"/>
  <c r="D24" i="12" s="1"/>
  <c r="D26" i="12" s="1"/>
  <c r="D27" i="12"/>
  <c r="D28" i="12" s="1"/>
  <c r="D29" i="12" s="1"/>
  <c r="F40" i="18"/>
  <c r="F37" i="18"/>
  <c r="E31" i="19"/>
  <c r="E33" i="19" s="1"/>
  <c r="E11" i="19"/>
  <c r="H44" i="3"/>
  <c r="B41" i="3"/>
  <c r="B43" i="3" s="1"/>
  <c r="B44" i="3" s="1"/>
  <c r="B45" i="3" s="1"/>
  <c r="E19" i="4"/>
  <c r="D21" i="4"/>
  <c r="P28" i="12"/>
  <c r="P29" i="12" s="1"/>
  <c r="P31" i="12"/>
  <c r="P32" i="12" s="1"/>
  <c r="E17" i="11"/>
  <c r="E39" i="6"/>
  <c r="E40" i="6" s="1"/>
  <c r="E23" i="4"/>
  <c r="K20" i="2"/>
  <c r="B36" i="7"/>
  <c r="Q5" i="13"/>
  <c r="Q16" i="13"/>
  <c r="B40" i="18"/>
  <c r="B37" i="18"/>
  <c r="D33" i="19"/>
  <c r="O78" i="17"/>
  <c r="AA34" i="5"/>
  <c r="Z13" i="8"/>
  <c r="E36" i="19"/>
  <c r="R34" i="5"/>
  <c r="B16" i="10"/>
  <c r="G41" i="3"/>
  <c r="G43" i="3" s="1"/>
  <c r="C20" i="11"/>
  <c r="C22" i="11" s="1"/>
  <c r="F3" i="14"/>
  <c r="E9" i="14"/>
  <c r="H36" i="19"/>
  <c r="J36" i="19"/>
  <c r="L80" i="20"/>
  <c r="M78" i="20"/>
  <c r="C17" i="13"/>
  <c r="C8" i="13"/>
  <c r="B40" i="19"/>
  <c r="B37" i="19"/>
  <c r="H11" i="19"/>
  <c r="I39" i="3"/>
  <c r="B18" i="9"/>
  <c r="B20" i="9" s="1"/>
  <c r="B26" i="9" s="1"/>
  <c r="B26" i="3"/>
  <c r="F4" i="13"/>
  <c r="F15" i="13" s="1"/>
  <c r="F14" i="12"/>
  <c r="G13" i="12"/>
  <c r="AB34" i="5"/>
  <c r="AA13" i="8"/>
  <c r="L18" i="20"/>
  <c r="M15" i="20"/>
  <c r="H39" i="19"/>
  <c r="T46" i="8" s="1"/>
  <c r="H47" i="20"/>
  <c r="I36" i="19"/>
  <c r="F44" i="3"/>
  <c r="J42" i="3"/>
  <c r="R42" i="3" s="1"/>
  <c r="R40" i="3"/>
  <c r="G36" i="19"/>
  <c r="E3" i="13"/>
  <c r="F9" i="12"/>
  <c r="F11" i="12" s="1"/>
  <c r="E15" i="12"/>
  <c r="D37" i="18"/>
  <c r="D40" i="18"/>
  <c r="H33" i="19"/>
  <c r="M21" i="11"/>
  <c r="N10" i="4"/>
  <c r="O10" i="4" s="1"/>
  <c r="P10" i="4" s="1"/>
  <c r="M19" i="4"/>
  <c r="L21" i="4"/>
  <c r="F37" i="9"/>
  <c r="F38" i="9" s="1"/>
  <c r="F25" i="9"/>
  <c r="R11" i="12"/>
  <c r="O4" i="8"/>
  <c r="O38" i="8"/>
  <c r="K1" i="21"/>
  <c r="K18" i="2"/>
  <c r="F4" i="4"/>
  <c r="D14" i="11"/>
  <c r="D20" i="11" s="1"/>
  <c r="D22" i="11" s="1"/>
  <c r="D15" i="11"/>
  <c r="F11" i="19"/>
  <c r="AB13" i="8"/>
  <c r="AC34" i="5"/>
  <c r="Z34" i="5"/>
  <c r="X25" i="6" s="1"/>
  <c r="Y13" i="8"/>
  <c r="X78" i="17"/>
  <c r="D79" i="17"/>
  <c r="D87" i="17" s="1"/>
  <c r="B20" i="5"/>
  <c r="B22" i="5" s="1"/>
  <c r="B29" i="5" s="1"/>
  <c r="D16" i="13"/>
  <c r="D5" i="13"/>
  <c r="AJ16" i="6" l="1"/>
  <c r="AL19" i="5"/>
  <c r="AH16" i="6"/>
  <c r="AJ19" i="5"/>
  <c r="E37" i="18"/>
  <c r="AI16" i="6"/>
  <c r="AK19" i="5"/>
  <c r="AK16" i="6"/>
  <c r="AM19" i="5"/>
  <c r="E25" i="3"/>
  <c r="E23" i="33" s="1"/>
  <c r="E25" i="33" s="1"/>
  <c r="F39" i="9"/>
  <c r="Y25" i="5"/>
  <c r="W27" i="6" s="1"/>
  <c r="C25" i="3"/>
  <c r="C39" i="3"/>
  <c r="C41" i="3" s="1"/>
  <c r="C43" i="3" s="1"/>
  <c r="C44" i="3" s="1"/>
  <c r="D5" i="27"/>
  <c r="D10" i="27" s="1"/>
  <c r="D23" i="33"/>
  <c r="D25" i="33" s="1"/>
  <c r="AI5" i="4"/>
  <c r="AJ5" i="4" s="1"/>
  <c r="AK5" i="4" s="1"/>
  <c r="AL5" i="4" s="1"/>
  <c r="AM5" i="4" s="1"/>
  <c r="AN5" i="4" s="1"/>
  <c r="AO5" i="4" s="1"/>
  <c r="AP5" i="4" s="1"/>
  <c r="AQ5" i="4" s="1"/>
  <c r="AR5" i="4" s="1"/>
  <c r="AS5" i="4" s="1"/>
  <c r="AT5" i="4" s="1"/>
  <c r="K4" i="2"/>
  <c r="I47" i="20"/>
  <c r="I39" i="19"/>
  <c r="U46" i="8" s="1"/>
  <c r="J39" i="19"/>
  <c r="J47" i="20"/>
  <c r="H36" i="8"/>
  <c r="H41" i="8" s="1"/>
  <c r="G24" i="4"/>
  <c r="I9" i="19"/>
  <c r="H31" i="18"/>
  <c r="H33" i="18" s="1"/>
  <c r="H11" i="18"/>
  <c r="H35" i="18" s="1"/>
  <c r="I11" i="18"/>
  <c r="I35" i="18" s="1"/>
  <c r="I31" i="18"/>
  <c r="I33" i="18" s="1"/>
  <c r="J9" i="19"/>
  <c r="G35" i="19"/>
  <c r="G37" i="19" s="1"/>
  <c r="S4" i="8"/>
  <c r="AB8" i="4"/>
  <c r="AC8" i="4" s="1"/>
  <c r="AD8" i="4" s="1"/>
  <c r="AE8" i="4" s="1"/>
  <c r="AF8" i="4" s="1"/>
  <c r="AG8" i="4" s="1"/>
  <c r="AH8" i="4" s="1"/>
  <c r="N10" i="2"/>
  <c r="K11" i="18"/>
  <c r="K35" i="18" s="1"/>
  <c r="K31" i="18"/>
  <c r="K33" i="18" s="1"/>
  <c r="G37" i="18"/>
  <c r="AZ11" i="13"/>
  <c r="BA11" i="13" s="1"/>
  <c r="BB11" i="13" s="1"/>
  <c r="BC11" i="13" s="1"/>
  <c r="BD11" i="13" s="1"/>
  <c r="BE11" i="13" s="1"/>
  <c r="BF11" i="13" s="1"/>
  <c r="BG11" i="13" s="1"/>
  <c r="BH11" i="13" s="1"/>
  <c r="BI11" i="13" s="1"/>
  <c r="BJ11" i="13" s="1"/>
  <c r="BK11" i="13" s="1"/>
  <c r="O13" i="13"/>
  <c r="O22" i="13" s="1"/>
  <c r="L4" i="5" s="1"/>
  <c r="F26" i="9"/>
  <c r="F15" i="12"/>
  <c r="F3" i="13"/>
  <c r="G9" i="12"/>
  <c r="G11" i="12" s="1"/>
  <c r="B32" i="5"/>
  <c r="B31" i="5"/>
  <c r="AB80" i="17"/>
  <c r="F35" i="19"/>
  <c r="O28" i="8"/>
  <c r="B11" i="10"/>
  <c r="E11" i="10" s="1"/>
  <c r="E16" i="13"/>
  <c r="E5" i="13"/>
  <c r="G4" i="13"/>
  <c r="G15" i="13" s="1"/>
  <c r="H13" i="12"/>
  <c r="G14" i="12"/>
  <c r="H35" i="19"/>
  <c r="G3" i="14"/>
  <c r="F9" i="14"/>
  <c r="Z25" i="5"/>
  <c r="X27" i="6" s="1"/>
  <c r="Y9" i="4"/>
  <c r="D16" i="10"/>
  <c r="L20" i="2"/>
  <c r="F17" i="11"/>
  <c r="F39" i="6"/>
  <c r="F40" i="6" s="1"/>
  <c r="F23" i="4"/>
  <c r="X27" i="5"/>
  <c r="V30" i="6" s="1"/>
  <c r="O27" i="5"/>
  <c r="O15" i="4"/>
  <c r="K39" i="19"/>
  <c r="K47" i="20"/>
  <c r="D37" i="19"/>
  <c r="D40" i="19"/>
  <c r="F27" i="5"/>
  <c r="H78" i="17" s="1"/>
  <c r="F15" i="4"/>
  <c r="D17" i="13"/>
  <c r="D8" i="13"/>
  <c r="G4" i="4"/>
  <c r="L18" i="2"/>
  <c r="O13" i="8"/>
  <c r="O26" i="8" s="1"/>
  <c r="P33" i="5"/>
  <c r="N19" i="4"/>
  <c r="M21" i="4"/>
  <c r="P21" i="11"/>
  <c r="Q10" i="4"/>
  <c r="R10" i="4" s="1"/>
  <c r="S7" i="11" s="1"/>
  <c r="Q17" i="13"/>
  <c r="Q8" i="13"/>
  <c r="F19" i="4"/>
  <c r="E21" i="4"/>
  <c r="E4" i="11"/>
  <c r="D24" i="11"/>
  <c r="D25" i="11" s="1"/>
  <c r="D7" i="4"/>
  <c r="D30" i="4" s="1"/>
  <c r="R3" i="13"/>
  <c r="S9" i="12"/>
  <c r="R15" i="12"/>
  <c r="E27" i="12"/>
  <c r="E28" i="12" s="1"/>
  <c r="E29" i="12" s="1"/>
  <c r="E18" i="12"/>
  <c r="E24" i="12" s="1"/>
  <c r="E26" i="12" s="1"/>
  <c r="I41" i="3"/>
  <c r="I43" i="3" s="1"/>
  <c r="C13" i="13"/>
  <c r="C10" i="13"/>
  <c r="G44" i="3"/>
  <c r="Y78" i="17"/>
  <c r="P13" i="13"/>
  <c r="P10" i="13"/>
  <c r="K9" i="19"/>
  <c r="J31" i="18"/>
  <c r="J33" i="18" s="1"/>
  <c r="J11" i="18"/>
  <c r="E35" i="19"/>
  <c r="P4" i="8"/>
  <c r="Q31" i="12"/>
  <c r="Q32" i="12" s="1"/>
  <c r="Q28" i="12"/>
  <c r="Q29" i="12" s="1"/>
  <c r="B37" i="7"/>
  <c r="B39" i="7" s="1"/>
  <c r="B41" i="7" s="1"/>
  <c r="G40" i="19" l="1"/>
  <c r="AH25" i="6"/>
  <c r="AL80" i="17"/>
  <c r="AM80" i="17"/>
  <c r="AI25" i="6"/>
  <c r="AN80" i="17"/>
  <c r="AJ25" i="6"/>
  <c r="AK25" i="6"/>
  <c r="AO80" i="17"/>
  <c r="E18" i="9"/>
  <c r="E20" i="9" s="1"/>
  <c r="E26" i="9" s="1"/>
  <c r="C23" i="33"/>
  <c r="C25" i="33" s="1"/>
  <c r="C18" i="9"/>
  <c r="C20" i="9" s="1"/>
  <c r="C26" i="9" s="1"/>
  <c r="C45" i="3"/>
  <c r="C46" i="3"/>
  <c r="C26" i="3"/>
  <c r="D26" i="3" s="1"/>
  <c r="E26" i="3" s="1"/>
  <c r="F26" i="3" s="1"/>
  <c r="O32" i="8"/>
  <c r="O33" i="8" s="1"/>
  <c r="P31" i="8" s="1"/>
  <c r="Y19" i="4"/>
  <c r="I40" i="18"/>
  <c r="I37" i="18"/>
  <c r="H37" i="18"/>
  <c r="H40" i="18"/>
  <c r="V46" i="8"/>
  <c r="I31" i="19"/>
  <c r="I33" i="19" s="1"/>
  <c r="I11" i="19"/>
  <c r="I36" i="8"/>
  <c r="I41" i="8" s="1"/>
  <c r="H24" i="4"/>
  <c r="J31" i="19"/>
  <c r="J33" i="19" s="1"/>
  <c r="J11" i="19"/>
  <c r="AU5" i="4"/>
  <c r="AV5" i="4" s="1"/>
  <c r="AW5" i="4" s="1"/>
  <c r="AX5" i="4" s="1"/>
  <c r="AY5" i="4" s="1"/>
  <c r="AZ5" i="4" s="1"/>
  <c r="BA5" i="4" s="1"/>
  <c r="BB5" i="4" s="1"/>
  <c r="BC5" i="4" s="1"/>
  <c r="BD5" i="4" s="1"/>
  <c r="BE5" i="4" s="1"/>
  <c r="BF5" i="4" s="1"/>
  <c r="L4" i="2"/>
  <c r="AI8" i="4"/>
  <c r="AJ8" i="4" s="1"/>
  <c r="AK8" i="4" s="1"/>
  <c r="AL8" i="4" s="1"/>
  <c r="AM8" i="4" s="1"/>
  <c r="AN8" i="4" s="1"/>
  <c r="AO8" i="4" s="1"/>
  <c r="AP8" i="4" s="1"/>
  <c r="AQ8" i="4" s="1"/>
  <c r="AR8" i="4" s="1"/>
  <c r="AS8" i="4" s="1"/>
  <c r="AT8" i="4" s="1"/>
  <c r="K7" i="2"/>
  <c r="K6" i="33" s="1"/>
  <c r="AB28" i="8"/>
  <c r="Y28" i="8"/>
  <c r="Z25" i="8"/>
  <c r="AI35" i="6" s="1"/>
  <c r="AA25" i="8"/>
  <c r="AJ35" i="6" s="1"/>
  <c r="O10" i="2"/>
  <c r="X46" i="8"/>
  <c r="K40" i="18"/>
  <c r="K37" i="18"/>
  <c r="P41" i="8"/>
  <c r="AA24" i="4" s="1"/>
  <c r="E5" i="27"/>
  <c r="E10" i="27" s="1"/>
  <c r="O20" i="13"/>
  <c r="O19" i="13" s="1"/>
  <c r="AB25" i="8"/>
  <c r="BL11" i="13"/>
  <c r="BM11" i="13" s="1"/>
  <c r="BN11" i="13" s="1"/>
  <c r="BO11" i="13" s="1"/>
  <c r="BP11" i="13" s="1"/>
  <c r="BQ11" i="13" s="1"/>
  <c r="BR11" i="13" s="1"/>
  <c r="BS11" i="13" s="1"/>
  <c r="BT11" i="13" s="1"/>
  <c r="BU11" i="13" s="1"/>
  <c r="BV11" i="13" s="1"/>
  <c r="BW11" i="13" s="1"/>
  <c r="J35" i="18"/>
  <c r="J37" i="18" s="1"/>
  <c r="P19" i="5"/>
  <c r="R80" i="17" s="1"/>
  <c r="D27" i="11"/>
  <c r="E28" i="5"/>
  <c r="G74" i="17" s="1"/>
  <c r="E15" i="11"/>
  <c r="E14" i="11"/>
  <c r="E20" i="11" s="1"/>
  <c r="E22" i="11" s="1"/>
  <c r="E40" i="19"/>
  <c r="E37" i="19"/>
  <c r="P22" i="13"/>
  <c r="M4" i="5" s="1"/>
  <c r="M17" i="5" s="1"/>
  <c r="P20" i="13"/>
  <c r="P19" i="13" s="1"/>
  <c r="C22" i="13"/>
  <c r="C20" i="13"/>
  <c r="C19" i="13" s="1"/>
  <c r="G9" i="14"/>
  <c r="H3" i="14"/>
  <c r="F16" i="13"/>
  <c r="F5" i="13"/>
  <c r="Q4" i="8"/>
  <c r="F21" i="4"/>
  <c r="G19" i="4"/>
  <c r="M18" i="2"/>
  <c r="Q78" i="17"/>
  <c r="G3" i="13"/>
  <c r="H9" i="12"/>
  <c r="H11" i="12" s="1"/>
  <c r="G15" i="12"/>
  <c r="I44" i="3"/>
  <c r="R27" i="12"/>
  <c r="R18" i="12"/>
  <c r="R24" i="12" s="1"/>
  <c r="R26" i="12" s="1"/>
  <c r="Q13" i="13"/>
  <c r="Q10" i="13"/>
  <c r="H4" i="4"/>
  <c r="S13" i="8"/>
  <c r="T33" i="5"/>
  <c r="T19" i="5" s="1"/>
  <c r="W46" i="8"/>
  <c r="Y27" i="5"/>
  <c r="W30" i="6" s="1"/>
  <c r="G17" i="11"/>
  <c r="G39" i="6"/>
  <c r="G40" i="6" s="1"/>
  <c r="G23" i="4"/>
  <c r="AA25" i="5"/>
  <c r="Y27" i="6" s="1"/>
  <c r="Z9" i="4"/>
  <c r="H14" i="12"/>
  <c r="H4" i="13"/>
  <c r="H15" i="13" s="1"/>
  <c r="R4" i="8"/>
  <c r="F27" i="12"/>
  <c r="F28" i="12" s="1"/>
  <c r="F29" i="12" s="1"/>
  <c r="F18" i="12"/>
  <c r="F24" i="12" s="1"/>
  <c r="F26" i="12" s="1"/>
  <c r="N82" i="17"/>
  <c r="L11" i="5"/>
  <c r="L18" i="5" s="1"/>
  <c r="R16" i="13"/>
  <c r="R5" i="13"/>
  <c r="Y46" i="8"/>
  <c r="N21" i="4"/>
  <c r="O19" i="4"/>
  <c r="M20" i="2"/>
  <c r="E8" i="13"/>
  <c r="E17" i="13"/>
  <c r="P13" i="8"/>
  <c r="Q33" i="5"/>
  <c r="K31" i="19"/>
  <c r="K33" i="19" s="1"/>
  <c r="K11" i="19"/>
  <c r="S11" i="12"/>
  <c r="D13" i="13"/>
  <c r="D10" i="13"/>
  <c r="G27" i="5"/>
  <c r="I78" i="17" s="1"/>
  <c r="G15" i="4"/>
  <c r="Y25" i="8"/>
  <c r="P27" i="5"/>
  <c r="R78" i="17" s="1"/>
  <c r="P15" i="4"/>
  <c r="Z78" i="17"/>
  <c r="H37" i="19"/>
  <c r="H40" i="19"/>
  <c r="D11" i="10"/>
  <c r="F40" i="19"/>
  <c r="F37" i="19"/>
  <c r="Y16" i="6" l="1"/>
  <c r="AA19" i="5"/>
  <c r="AB16" i="6"/>
  <c r="AD19" i="5"/>
  <c r="E24" i="7"/>
  <c r="D45" i="3"/>
  <c r="D46" i="3"/>
  <c r="AH35" i="6"/>
  <c r="AB26" i="8"/>
  <c r="AB32" i="8" s="1"/>
  <c r="AK35" i="6"/>
  <c r="Z26" i="8"/>
  <c r="Z32" i="8" s="1"/>
  <c r="I35" i="19"/>
  <c r="BG5" i="4"/>
  <c r="BH5" i="4" s="1"/>
  <c r="BI5" i="4" s="1"/>
  <c r="BJ5" i="4" s="1"/>
  <c r="BK5" i="4" s="1"/>
  <c r="BL5" i="4" s="1"/>
  <c r="BM5" i="4" s="1"/>
  <c r="BN5" i="4" s="1"/>
  <c r="BO5" i="4" s="1"/>
  <c r="BP5" i="4" s="1"/>
  <c r="BQ5" i="4" s="1"/>
  <c r="BR5" i="4" s="1"/>
  <c r="M4" i="2"/>
  <c r="J35" i="19"/>
  <c r="J36" i="8"/>
  <c r="J41" i="8" s="1"/>
  <c r="K36" i="8" s="1"/>
  <c r="K41" i="8" s="1"/>
  <c r="I24" i="4"/>
  <c r="AA26" i="8"/>
  <c r="AA32" i="8" s="1"/>
  <c r="AA28" i="8"/>
  <c r="AU8" i="4"/>
  <c r="AV8" i="4" s="1"/>
  <c r="AW8" i="4" s="1"/>
  <c r="AX8" i="4" s="1"/>
  <c r="AY8" i="4" s="1"/>
  <c r="AZ8" i="4" s="1"/>
  <c r="BA8" i="4" s="1"/>
  <c r="BB8" i="4" s="1"/>
  <c r="BC8" i="4" s="1"/>
  <c r="BD8" i="4" s="1"/>
  <c r="BE8" i="4" s="1"/>
  <c r="BF8" i="4" s="1"/>
  <c r="L7" i="2"/>
  <c r="L6" i="33" s="1"/>
  <c r="Z28" i="8"/>
  <c r="P10" i="2"/>
  <c r="Q10" i="2"/>
  <c r="Q36" i="8"/>
  <c r="Q41" i="8" s="1"/>
  <c r="AB24" i="4" s="1"/>
  <c r="P24" i="4"/>
  <c r="Y33" i="5"/>
  <c r="W25" i="6" s="1"/>
  <c r="X13" i="8"/>
  <c r="F5" i="27"/>
  <c r="F10" i="27" s="1"/>
  <c r="BX11" i="13"/>
  <c r="BY11" i="13" s="1"/>
  <c r="BZ11" i="13" s="1"/>
  <c r="CA11" i="13" s="1"/>
  <c r="CB11" i="13" s="1"/>
  <c r="CC11" i="13" s="1"/>
  <c r="CD11" i="13" s="1"/>
  <c r="CE11" i="13" s="1"/>
  <c r="CF11" i="13" s="1"/>
  <c r="CG11" i="13" s="1"/>
  <c r="CH11" i="13" s="1"/>
  <c r="CI11" i="13" s="1"/>
  <c r="J40" i="18"/>
  <c r="Q19" i="5"/>
  <c r="S80" i="17" s="1"/>
  <c r="B13" i="10"/>
  <c r="H13" i="10" s="1"/>
  <c r="K35" i="19"/>
  <c r="V80" i="17"/>
  <c r="E13" i="13"/>
  <c r="E10" i="13"/>
  <c r="T13" i="8"/>
  <c r="U33" i="5"/>
  <c r="U19" i="5" s="1"/>
  <c r="H17" i="11"/>
  <c r="H39" i="6"/>
  <c r="H40" i="6" s="1"/>
  <c r="H23" i="4"/>
  <c r="D12" i="10"/>
  <c r="G27" i="12"/>
  <c r="G28" i="12" s="1"/>
  <c r="G29" i="12" s="1"/>
  <c r="G18" i="12"/>
  <c r="G24" i="12" s="1"/>
  <c r="G26" i="12" s="1"/>
  <c r="O82" i="17"/>
  <c r="M11" i="5"/>
  <c r="M18" i="5" s="1"/>
  <c r="L5" i="21"/>
  <c r="L6" i="21" s="1"/>
  <c r="AA78" i="17"/>
  <c r="Q27" i="5"/>
  <c r="S78" i="17" s="1"/>
  <c r="Q15" i="4"/>
  <c r="D22" i="13"/>
  <c r="D20" i="13"/>
  <c r="D19" i="13" s="1"/>
  <c r="S3" i="13"/>
  <c r="S15" i="12"/>
  <c r="T9" i="12"/>
  <c r="N20" i="2"/>
  <c r="AB25" i="5"/>
  <c r="Z27" i="6" s="1"/>
  <c r="AA9" i="4"/>
  <c r="I4" i="4"/>
  <c r="Q20" i="13"/>
  <c r="Q19" i="13" s="1"/>
  <c r="Q22" i="13"/>
  <c r="N4" i="5" s="1"/>
  <c r="N17" i="5" s="1"/>
  <c r="H15" i="12"/>
  <c r="H3" i="13"/>
  <c r="I9" i="12"/>
  <c r="I11" i="12" s="1"/>
  <c r="N18" i="2"/>
  <c r="R33" i="5"/>
  <c r="Q13" i="8"/>
  <c r="H9" i="14"/>
  <c r="I3" i="14"/>
  <c r="I9" i="14" s="1"/>
  <c r="Y26" i="8"/>
  <c r="Y32" i="8" s="1"/>
  <c r="O21" i="4"/>
  <c r="F17" i="13"/>
  <c r="F8" i="13"/>
  <c r="H27" i="5"/>
  <c r="J78" i="17" s="1"/>
  <c r="H15" i="4"/>
  <c r="R17" i="13"/>
  <c r="R8" i="13"/>
  <c r="K26" i="4"/>
  <c r="R13" i="8"/>
  <c r="S33" i="5"/>
  <c r="S19" i="5" s="1"/>
  <c r="Z27" i="5"/>
  <c r="X30" i="6" s="1"/>
  <c r="R28" i="12"/>
  <c r="R29" i="12" s="1"/>
  <c r="R31" i="12"/>
  <c r="R32" i="12" s="1"/>
  <c r="G16" i="13"/>
  <c r="G5" i="13"/>
  <c r="H19" i="4"/>
  <c r="G21" i="4"/>
  <c r="E24" i="11"/>
  <c r="E25" i="11" s="1"/>
  <c r="F4" i="11"/>
  <c r="E7" i="4"/>
  <c r="E30" i="4" s="1"/>
  <c r="AF80" i="17" l="1"/>
  <c r="AB25" i="6"/>
  <c r="AC16" i="6"/>
  <c r="AE19" i="5"/>
  <c r="AA16" i="6"/>
  <c r="AC19" i="5"/>
  <c r="AG16" i="6"/>
  <c r="AI19" i="5"/>
  <c r="AC80" i="17"/>
  <c r="Y25" i="6"/>
  <c r="Z16" i="6"/>
  <c r="AB19" i="5"/>
  <c r="E45" i="3"/>
  <c r="E46" i="3"/>
  <c r="G5" i="27"/>
  <c r="G10" i="27" s="1"/>
  <c r="L36" i="8"/>
  <c r="L41" i="8" s="1"/>
  <c r="K24" i="4"/>
  <c r="J40" i="19"/>
  <c r="J37" i="19"/>
  <c r="V4" i="8"/>
  <c r="BS5" i="4"/>
  <c r="BT5" i="4" s="1"/>
  <c r="BU5" i="4" s="1"/>
  <c r="BV5" i="4" s="1"/>
  <c r="BW5" i="4" s="1"/>
  <c r="BX5" i="4" s="1"/>
  <c r="BY5" i="4" s="1"/>
  <c r="BZ5" i="4" s="1"/>
  <c r="CA5" i="4" s="1"/>
  <c r="CB5" i="4" s="1"/>
  <c r="CC5" i="4" s="1"/>
  <c r="CD5" i="4" s="1"/>
  <c r="N4" i="2"/>
  <c r="I37" i="19"/>
  <c r="I40" i="19"/>
  <c r="U4" i="8"/>
  <c r="E15" i="7"/>
  <c r="S28" i="8"/>
  <c r="M7" i="2"/>
  <c r="M6" i="33" s="1"/>
  <c r="BG8" i="4"/>
  <c r="BH8" i="4" s="1"/>
  <c r="BI8" i="4" s="1"/>
  <c r="BJ8" i="4" s="1"/>
  <c r="BK8" i="4" s="1"/>
  <c r="BL8" i="4" s="1"/>
  <c r="BM8" i="4" s="1"/>
  <c r="BN8" i="4" s="1"/>
  <c r="BO8" i="4" s="1"/>
  <c r="BP8" i="4" s="1"/>
  <c r="BQ8" i="4" s="1"/>
  <c r="BR8" i="4" s="1"/>
  <c r="R36" i="8"/>
  <c r="R41" i="8" s="1"/>
  <c r="AC24" i="4" s="1"/>
  <c r="AA80" i="17"/>
  <c r="CJ11" i="13"/>
  <c r="CK11" i="13" s="1"/>
  <c r="CL11" i="13" s="1"/>
  <c r="CM11" i="13" s="1"/>
  <c r="CN11" i="13" s="1"/>
  <c r="CO11" i="13" s="1"/>
  <c r="CP11" i="13" s="1"/>
  <c r="CQ11" i="13" s="1"/>
  <c r="CR11" i="13" s="1"/>
  <c r="CS11" i="13" s="1"/>
  <c r="CT11" i="13" s="1"/>
  <c r="CU11" i="13" s="1"/>
  <c r="R19" i="5"/>
  <c r="T80" i="17" s="1"/>
  <c r="D13" i="10"/>
  <c r="P25" i="4"/>
  <c r="S16" i="13"/>
  <c r="S5" i="13"/>
  <c r="R27" i="5"/>
  <c r="R15" i="4"/>
  <c r="S6" i="11" s="1"/>
  <c r="F14" i="11"/>
  <c r="F20" i="11" s="1"/>
  <c r="F22" i="11" s="1"/>
  <c r="F15" i="11"/>
  <c r="I19" i="4"/>
  <c r="I21" i="4" s="1"/>
  <c r="H21" i="4"/>
  <c r="AA27" i="5"/>
  <c r="N79" i="17"/>
  <c r="L20" i="5"/>
  <c r="L22" i="5" s="1"/>
  <c r="F13" i="13"/>
  <c r="F10" i="13"/>
  <c r="I3" i="13"/>
  <c r="J9" i="12"/>
  <c r="J11" i="12" s="1"/>
  <c r="I15" i="12"/>
  <c r="S27" i="12"/>
  <c r="S18" i="12"/>
  <c r="S24" i="12" s="1"/>
  <c r="S26" i="12" s="1"/>
  <c r="L5" i="20"/>
  <c r="K37" i="19"/>
  <c r="K40" i="19"/>
  <c r="I17" i="11"/>
  <c r="I39" i="6"/>
  <c r="I23" i="4"/>
  <c r="AB78" i="17"/>
  <c r="L26" i="4"/>
  <c r="R13" i="13"/>
  <c r="R10" i="13"/>
  <c r="L46" i="21"/>
  <c r="L47" i="21" s="1"/>
  <c r="H18" i="12"/>
  <c r="H24" i="12" s="1"/>
  <c r="H26" i="12" s="1"/>
  <c r="H27" i="12"/>
  <c r="H28" i="12" s="1"/>
  <c r="H29" i="12" s="1"/>
  <c r="P82" i="17"/>
  <c r="N11" i="5"/>
  <c r="N18" i="5" s="1"/>
  <c r="J4" i="4"/>
  <c r="E22" i="13"/>
  <c r="E20" i="13"/>
  <c r="E19" i="13" s="1"/>
  <c r="E27" i="11"/>
  <c r="F28" i="5"/>
  <c r="H74" i="17" s="1"/>
  <c r="H16" i="13"/>
  <c r="H5" i="13"/>
  <c r="G17" i="13"/>
  <c r="G8" i="13"/>
  <c r="U80" i="17"/>
  <c r="I27" i="5"/>
  <c r="K78" i="17" s="1"/>
  <c r="I15" i="4"/>
  <c r="J27" i="5" s="1"/>
  <c r="L78" i="17" s="1"/>
  <c r="O18" i="2"/>
  <c r="AC25" i="5"/>
  <c r="AA27" i="6" s="1"/>
  <c r="AB9" i="4"/>
  <c r="O20" i="2"/>
  <c r="T11" i="12"/>
  <c r="S25" i="8"/>
  <c r="AB35" i="6" s="1"/>
  <c r="W80" i="17"/>
  <c r="W4" i="8"/>
  <c r="AK80" i="17" l="1"/>
  <c r="AG25" i="6"/>
  <c r="AG80" i="17"/>
  <c r="AC25" i="6"/>
  <c r="AE80" i="17"/>
  <c r="AA25" i="6"/>
  <c r="Z25" i="6"/>
  <c r="AD80" i="17"/>
  <c r="F45" i="3"/>
  <c r="F46" i="3"/>
  <c r="H5" i="27"/>
  <c r="H10" i="27" s="1"/>
  <c r="V33" i="5"/>
  <c r="V19" i="5" s="1"/>
  <c r="X80" i="17" s="1"/>
  <c r="U13" i="8"/>
  <c r="AF19" i="5" s="1"/>
  <c r="AH80" i="17" s="1"/>
  <c r="O4" i="2"/>
  <c r="CE5" i="4"/>
  <c r="CF5" i="4" s="1"/>
  <c r="CG5" i="4" s="1"/>
  <c r="CH5" i="4" s="1"/>
  <c r="CI5" i="4" s="1"/>
  <c r="CJ5" i="4" s="1"/>
  <c r="CK5" i="4" s="1"/>
  <c r="CL5" i="4" s="1"/>
  <c r="CM5" i="4" s="1"/>
  <c r="CN5" i="4" s="1"/>
  <c r="CO5" i="4" s="1"/>
  <c r="CP5" i="4" s="1"/>
  <c r="V13" i="8"/>
  <c r="W33" i="5"/>
  <c r="W19" i="5" s="1"/>
  <c r="Y80" i="17" s="1"/>
  <c r="M36" i="8"/>
  <c r="M41" i="8" s="1"/>
  <c r="L24" i="4"/>
  <c r="X25" i="8"/>
  <c r="N7" i="2"/>
  <c r="N6" i="33" s="1"/>
  <c r="BS8" i="4"/>
  <c r="BT8" i="4" s="1"/>
  <c r="BU8" i="4" s="1"/>
  <c r="BV8" i="4" s="1"/>
  <c r="BW8" i="4" s="1"/>
  <c r="BX8" i="4" s="1"/>
  <c r="BY8" i="4" s="1"/>
  <c r="BZ8" i="4" s="1"/>
  <c r="CA8" i="4" s="1"/>
  <c r="CB8" i="4" s="1"/>
  <c r="CC8" i="4" s="1"/>
  <c r="CD8" i="4" s="1"/>
  <c r="R28" i="8"/>
  <c r="R19" i="4" s="1"/>
  <c r="P28" i="8"/>
  <c r="T28" i="8"/>
  <c r="Q25" i="8"/>
  <c r="Z35" i="6" s="1"/>
  <c r="S36" i="8"/>
  <c r="S41" i="8" s="1"/>
  <c r="AD24" i="4" s="1"/>
  <c r="R24" i="4"/>
  <c r="CV11" i="13"/>
  <c r="CW11" i="13" s="1"/>
  <c r="CX11" i="13" s="1"/>
  <c r="CY11" i="13" s="1"/>
  <c r="CZ11" i="13" s="1"/>
  <c r="DA11" i="13" s="1"/>
  <c r="DB11" i="13" s="1"/>
  <c r="DC11" i="13" s="1"/>
  <c r="DD11" i="13" s="1"/>
  <c r="DE11" i="13" s="1"/>
  <c r="DF11" i="13" s="1"/>
  <c r="P25" i="8"/>
  <c r="Y35" i="6" s="1"/>
  <c r="K4" i="4"/>
  <c r="R22" i="13"/>
  <c r="O4" i="5" s="1"/>
  <c r="O17" i="5" s="1"/>
  <c r="R20" i="13"/>
  <c r="R19" i="13" s="1"/>
  <c r="J39" i="6"/>
  <c r="J40" i="6" s="1"/>
  <c r="I40" i="6"/>
  <c r="J17" i="11" s="1"/>
  <c r="J3" i="13"/>
  <c r="K9" i="12"/>
  <c r="K11" i="12" s="1"/>
  <c r="J15" i="12"/>
  <c r="S17" i="13"/>
  <c r="S8" i="13"/>
  <c r="G13" i="13"/>
  <c r="G10" i="13"/>
  <c r="I5" i="13"/>
  <c r="I16" i="13"/>
  <c r="W13" i="8"/>
  <c r="X33" i="5"/>
  <c r="V25" i="6" s="1"/>
  <c r="M26" i="4"/>
  <c r="S28" i="12"/>
  <c r="S29" i="12" s="1"/>
  <c r="S31" i="12"/>
  <c r="S32" i="12" s="1"/>
  <c r="F22" i="13"/>
  <c r="F20" i="13"/>
  <c r="F19" i="13" s="1"/>
  <c r="AB27" i="5"/>
  <c r="G4" i="11"/>
  <c r="F24" i="11"/>
  <c r="F25" i="11" s="1"/>
  <c r="F7" i="4"/>
  <c r="F30" i="4" s="1"/>
  <c r="S27" i="5"/>
  <c r="AD25" i="5"/>
  <c r="AB27" i="6" s="1"/>
  <c r="AC9" i="4"/>
  <c r="O79" i="17"/>
  <c r="M20" i="5"/>
  <c r="M22" i="5" s="1"/>
  <c r="S26" i="8"/>
  <c r="S32" i="8" s="1"/>
  <c r="T15" i="12"/>
  <c r="U9" i="12"/>
  <c r="U11" i="12" s="1"/>
  <c r="T3" i="13"/>
  <c r="Q18" i="2"/>
  <c r="P18" i="2"/>
  <c r="T25" i="8"/>
  <c r="AC35" i="6" s="1"/>
  <c r="M5" i="20"/>
  <c r="L6" i="20"/>
  <c r="P20" i="2"/>
  <c r="Q20" i="2"/>
  <c r="C24" i="7"/>
  <c r="H17" i="13"/>
  <c r="H8" i="13"/>
  <c r="I18" i="12"/>
  <c r="I24" i="12" s="1"/>
  <c r="I26" i="12" s="1"/>
  <c r="I27" i="12"/>
  <c r="I28" i="12" s="1"/>
  <c r="I29" i="12" s="1"/>
  <c r="AC78" i="17"/>
  <c r="Y30" i="6"/>
  <c r="L46" i="20"/>
  <c r="T78" i="17"/>
  <c r="AE16" i="6" l="1"/>
  <c r="AG19" i="5"/>
  <c r="AF16" i="6"/>
  <c r="AH19" i="5"/>
  <c r="G49" i="3"/>
  <c r="G46" i="3"/>
  <c r="G45" i="3"/>
  <c r="I5" i="27"/>
  <c r="I10" i="27" s="1"/>
  <c r="AD16" i="6"/>
  <c r="AG14" i="8"/>
  <c r="E34" i="7"/>
  <c r="AG35" i="6"/>
  <c r="R25" i="8"/>
  <c r="AA35" i="6" s="1"/>
  <c r="CQ5" i="4"/>
  <c r="CR5" i="4" s="1"/>
  <c r="CS5" i="4" s="1"/>
  <c r="CT5" i="4" s="1"/>
  <c r="CU5" i="4" s="1"/>
  <c r="CV5" i="4" s="1"/>
  <c r="CW5" i="4" s="1"/>
  <c r="CX5" i="4" s="1"/>
  <c r="CY5" i="4" s="1"/>
  <c r="CZ5" i="4" s="1"/>
  <c r="DA5" i="4" s="1"/>
  <c r="DB5" i="4" s="1"/>
  <c r="Q4" i="2" s="1"/>
  <c r="P4" i="2"/>
  <c r="M24" i="4"/>
  <c r="N36" i="8"/>
  <c r="N41" i="8" s="1"/>
  <c r="V25" i="8"/>
  <c r="AE35" i="6" s="1"/>
  <c r="Q28" i="8"/>
  <c r="X28" i="8"/>
  <c r="P19" i="4"/>
  <c r="P21" i="4" s="1"/>
  <c r="CE8" i="4"/>
  <c r="CF8" i="4" s="1"/>
  <c r="CG8" i="4" s="1"/>
  <c r="CH8" i="4" s="1"/>
  <c r="CI8" i="4" s="1"/>
  <c r="CJ8" i="4" s="1"/>
  <c r="CK8" i="4" s="1"/>
  <c r="CL8" i="4" s="1"/>
  <c r="CM8" i="4" s="1"/>
  <c r="CN8" i="4" s="1"/>
  <c r="CO8" i="4" s="1"/>
  <c r="CP8" i="4" s="1"/>
  <c r="O7" i="2"/>
  <c r="O6" i="33" s="1"/>
  <c r="Q26" i="8"/>
  <c r="P26" i="8"/>
  <c r="Z19" i="4" s="1"/>
  <c r="T36" i="8"/>
  <c r="T41" i="8" s="1"/>
  <c r="AE24" i="4" s="1"/>
  <c r="S24" i="4"/>
  <c r="X26" i="8"/>
  <c r="X32" i="8" s="1"/>
  <c r="T26" i="8"/>
  <c r="T32" i="8" s="1"/>
  <c r="M46" i="20"/>
  <c r="L47" i="20"/>
  <c r="T16" i="13"/>
  <c r="T5" i="13"/>
  <c r="AD78" i="17"/>
  <c r="Z30" i="6"/>
  <c r="Q25" i="4"/>
  <c r="R25" i="4" s="1"/>
  <c r="S25" i="4" s="1"/>
  <c r="T25" i="4" s="1"/>
  <c r="J27" i="12"/>
  <c r="J28" i="12" s="1"/>
  <c r="J29" i="12" s="1"/>
  <c r="J18" i="12"/>
  <c r="J24" i="12" s="1"/>
  <c r="J26" i="12" s="1"/>
  <c r="H13" i="13"/>
  <c r="H10" i="13"/>
  <c r="U3" i="13"/>
  <c r="V9" i="12"/>
  <c r="V11" i="12" s="1"/>
  <c r="U15" i="12"/>
  <c r="U78" i="17"/>
  <c r="F27" i="11"/>
  <c r="G28" i="5"/>
  <c r="I74" i="17" s="1"/>
  <c r="G22" i="13"/>
  <c r="D4" i="5" s="1"/>
  <c r="G20" i="13"/>
  <c r="G19" i="13" s="1"/>
  <c r="L9" i="12"/>
  <c r="L11" i="12" s="1"/>
  <c r="K15" i="12"/>
  <c r="K3" i="13"/>
  <c r="Q82" i="17"/>
  <c r="O11" i="5"/>
  <c r="P79" i="17"/>
  <c r="N20" i="5"/>
  <c r="N22" i="5" s="1"/>
  <c r="T18" i="12"/>
  <c r="T24" i="12" s="1"/>
  <c r="T26" i="12" s="1"/>
  <c r="T27" i="12"/>
  <c r="G15" i="11"/>
  <c r="G14" i="11"/>
  <c r="G20" i="11" s="1"/>
  <c r="G22" i="11" s="1"/>
  <c r="I17" i="13"/>
  <c r="I8" i="13"/>
  <c r="J16" i="13"/>
  <c r="J5" i="13"/>
  <c r="K17" i="11"/>
  <c r="K39" i="6"/>
  <c r="K40" i="6" s="1"/>
  <c r="K23" i="4"/>
  <c r="K27" i="4" s="1"/>
  <c r="AE25" i="5"/>
  <c r="AC27" i="6" s="1"/>
  <c r="AD9" i="4"/>
  <c r="AC27" i="5"/>
  <c r="Z80" i="17"/>
  <c r="S13" i="13"/>
  <c r="S10" i="13"/>
  <c r="R21" i="4"/>
  <c r="S19" i="4"/>
  <c r="L4" i="4"/>
  <c r="AF25" i="6" l="1"/>
  <c r="AJ80" i="17"/>
  <c r="AI80" i="17"/>
  <c r="AE25" i="6"/>
  <c r="D24" i="7" s="1"/>
  <c r="AA19" i="4"/>
  <c r="H46" i="3"/>
  <c r="H45" i="3"/>
  <c r="H49" i="3"/>
  <c r="H24" i="3" s="1"/>
  <c r="G50" i="3"/>
  <c r="G24" i="3"/>
  <c r="P32" i="8"/>
  <c r="P33" i="8" s="1"/>
  <c r="Q31" i="8" s="1"/>
  <c r="Q32" i="8"/>
  <c r="R26" i="8"/>
  <c r="R32" i="8" s="1"/>
  <c r="V26" i="8"/>
  <c r="V32" i="8" s="1"/>
  <c r="U25" i="8"/>
  <c r="AD35" i="6" s="1"/>
  <c r="N24" i="4"/>
  <c r="O36" i="8"/>
  <c r="V28" i="8"/>
  <c r="CQ8" i="4"/>
  <c r="CR8" i="4" s="1"/>
  <c r="CS8" i="4" s="1"/>
  <c r="CT8" i="4" s="1"/>
  <c r="CU8" i="4" s="1"/>
  <c r="CV8" i="4" s="1"/>
  <c r="CW8" i="4" s="1"/>
  <c r="CX8" i="4" s="1"/>
  <c r="CY8" i="4" s="1"/>
  <c r="CZ8" i="4" s="1"/>
  <c r="DA8" i="4" s="1"/>
  <c r="DB8" i="4" s="1"/>
  <c r="Q7" i="2" s="1"/>
  <c r="P7" i="2"/>
  <c r="P6" i="33" s="1"/>
  <c r="W28" i="8"/>
  <c r="T24" i="4"/>
  <c r="U36" i="8"/>
  <c r="U41" i="8" s="1"/>
  <c r="AF24" i="4" s="1"/>
  <c r="N26" i="4"/>
  <c r="O18" i="5"/>
  <c r="K27" i="12"/>
  <c r="K28" i="12" s="1"/>
  <c r="K29" i="12" s="1"/>
  <c r="K18" i="12"/>
  <c r="K24" i="12" s="1"/>
  <c r="K26" i="12" s="1"/>
  <c r="AF25" i="5"/>
  <c r="AD27" i="6" s="1"/>
  <c r="AE9" i="4"/>
  <c r="T31" i="12"/>
  <c r="T32" i="12" s="1"/>
  <c r="T28" i="12"/>
  <c r="T29" i="12" s="1"/>
  <c r="L3" i="13"/>
  <c r="L15" i="12"/>
  <c r="M9" i="12"/>
  <c r="M11" i="12" s="1"/>
  <c r="U27" i="12"/>
  <c r="U18" i="12"/>
  <c r="U24" i="12" s="1"/>
  <c r="U26" i="12" s="1"/>
  <c r="T17" i="13"/>
  <c r="T8" i="13"/>
  <c r="AE78" i="17"/>
  <c r="AA30" i="6"/>
  <c r="L17" i="11"/>
  <c r="L39" i="6"/>
  <c r="L40" i="6" s="1"/>
  <c r="L23" i="4"/>
  <c r="L27" i="4" s="1"/>
  <c r="I13" i="13"/>
  <c r="I10" i="13"/>
  <c r="F82" i="17"/>
  <c r="D11" i="5"/>
  <c r="D15" i="7"/>
  <c r="M4" i="4"/>
  <c r="S22" i="13"/>
  <c r="P4" i="5" s="1"/>
  <c r="S20" i="13"/>
  <c r="S19" i="13" s="1"/>
  <c r="J17" i="13"/>
  <c r="J8" i="13"/>
  <c r="C29" i="7"/>
  <c r="V15" i="12"/>
  <c r="V3" i="13"/>
  <c r="W9" i="12"/>
  <c r="W11" i="12" s="1"/>
  <c r="C34" i="7"/>
  <c r="S21" i="4"/>
  <c r="T19" i="4"/>
  <c r="AD27" i="5"/>
  <c r="G24" i="11"/>
  <c r="G25" i="11" s="1"/>
  <c r="H4" i="11"/>
  <c r="G7" i="4"/>
  <c r="G30" i="4" s="1"/>
  <c r="K16" i="13"/>
  <c r="K5" i="13"/>
  <c r="U16" i="13"/>
  <c r="U5" i="13"/>
  <c r="H22" i="13"/>
  <c r="E4" i="5" s="1"/>
  <c r="H20" i="13"/>
  <c r="H19" i="13" s="1"/>
  <c r="AB19" i="4" l="1"/>
  <c r="AC19" i="4" s="1"/>
  <c r="AD19" i="4" s="1"/>
  <c r="H50" i="3"/>
  <c r="H25" i="3"/>
  <c r="H8" i="9"/>
  <c r="H10" i="9" s="1"/>
  <c r="H11" i="9" s="1"/>
  <c r="H32" i="9" s="1"/>
  <c r="H33" i="9" s="1"/>
  <c r="H39" i="9" s="1"/>
  <c r="I45" i="3"/>
  <c r="I46" i="3"/>
  <c r="I49" i="3"/>
  <c r="G8" i="9"/>
  <c r="G10" i="9" s="1"/>
  <c r="G11" i="9" s="1"/>
  <c r="G32" i="9" s="1"/>
  <c r="G33" i="9" s="1"/>
  <c r="G39" i="9" s="1"/>
  <c r="G25" i="3"/>
  <c r="P17" i="5"/>
  <c r="Q6" i="33"/>
  <c r="Q33" i="8"/>
  <c r="R31" i="8" s="1"/>
  <c r="R33" i="8" s="1"/>
  <c r="S31" i="8" s="1"/>
  <c r="S33" i="8" s="1"/>
  <c r="T31" i="8" s="1"/>
  <c r="T33" i="8" s="1"/>
  <c r="U31" i="8" s="1"/>
  <c r="U25" i="4"/>
  <c r="U26" i="8"/>
  <c r="U28" i="8"/>
  <c r="W25" i="8"/>
  <c r="U24" i="4"/>
  <c r="V36" i="8"/>
  <c r="V41" i="8" s="1"/>
  <c r="AG24" i="4" s="1"/>
  <c r="K17" i="13"/>
  <c r="K8" i="13"/>
  <c r="W3" i="13"/>
  <c r="X9" i="12"/>
  <c r="X11" i="12" s="1"/>
  <c r="W15" i="12"/>
  <c r="U31" i="12"/>
  <c r="U32" i="12" s="1"/>
  <c r="U28" i="12"/>
  <c r="U29" i="12" s="1"/>
  <c r="V16" i="13"/>
  <c r="V5" i="13"/>
  <c r="N4" i="4"/>
  <c r="M17" i="11"/>
  <c r="M39" i="6"/>
  <c r="M40" i="6" s="1"/>
  <c r="M23" i="4"/>
  <c r="M27" i="4" s="1"/>
  <c r="D2" i="10"/>
  <c r="B8" i="10"/>
  <c r="M3" i="13"/>
  <c r="M15" i="12"/>
  <c r="N9" i="12"/>
  <c r="N11" i="12" s="1"/>
  <c r="Q79" i="17"/>
  <c r="O20" i="5"/>
  <c r="O22" i="5" s="1"/>
  <c r="G82" i="17"/>
  <c r="E11" i="5"/>
  <c r="G27" i="11"/>
  <c r="H28" i="5"/>
  <c r="J74" i="17" s="1"/>
  <c r="U8" i="13"/>
  <c r="U17" i="13"/>
  <c r="AE27" i="5"/>
  <c r="T21" i="4"/>
  <c r="V27" i="12"/>
  <c r="V18" i="12"/>
  <c r="V24" i="12" s="1"/>
  <c r="V26" i="12" s="1"/>
  <c r="L18" i="12"/>
  <c r="L24" i="12" s="1"/>
  <c r="L26" i="12" s="1"/>
  <c r="L27" i="12"/>
  <c r="L28" i="12" s="1"/>
  <c r="L29" i="12" s="1"/>
  <c r="AG25" i="5"/>
  <c r="AE27" i="6" s="1"/>
  <c r="AF9" i="4"/>
  <c r="H14" i="11"/>
  <c r="H20" i="11" s="1"/>
  <c r="H22" i="11" s="1"/>
  <c r="H15" i="11"/>
  <c r="AF78" i="17"/>
  <c r="AB30" i="6"/>
  <c r="J13" i="13"/>
  <c r="J10" i="13"/>
  <c r="R82" i="17"/>
  <c r="P11" i="5"/>
  <c r="P18" i="5" s="1"/>
  <c r="D18" i="5"/>
  <c r="C26" i="4"/>
  <c r="I20" i="13"/>
  <c r="I19" i="13" s="1"/>
  <c r="I22" i="13"/>
  <c r="F4" i="5" s="1"/>
  <c r="T13" i="13"/>
  <c r="T10" i="13"/>
  <c r="L16" i="13"/>
  <c r="L5" i="13"/>
  <c r="AE19" i="4" l="1"/>
  <c r="G23" i="33"/>
  <c r="G25" i="33" s="1"/>
  <c r="G26" i="3"/>
  <c r="H26" i="3" s="1"/>
  <c r="G18" i="9"/>
  <c r="G20" i="9" s="1"/>
  <c r="G26" i="9" s="1"/>
  <c r="I50" i="3"/>
  <c r="I24" i="3"/>
  <c r="H18" i="9"/>
  <c r="H20" i="9" s="1"/>
  <c r="H26" i="9" s="1"/>
  <c r="H23" i="33"/>
  <c r="H25" i="33" s="1"/>
  <c r="AF35" i="6"/>
  <c r="AG27" i="8"/>
  <c r="U32" i="8"/>
  <c r="U33" i="8" s="1"/>
  <c r="V31" i="8" s="1"/>
  <c r="V33" i="8" s="1"/>
  <c r="W31" i="8" s="1"/>
  <c r="AF19" i="4"/>
  <c r="Y8" i="43"/>
  <c r="Z8" i="43" s="1"/>
  <c r="U19" i="4"/>
  <c r="U21" i="4" s="1"/>
  <c r="W26" i="8"/>
  <c r="W32" i="8" s="1"/>
  <c r="W36" i="8"/>
  <c r="W41" i="8" s="1"/>
  <c r="AH24" i="4" s="1"/>
  <c r="B15" i="10"/>
  <c r="T22" i="13"/>
  <c r="Q4" i="5" s="1"/>
  <c r="Q17" i="5" s="1"/>
  <c r="T20" i="13"/>
  <c r="T19" i="13" s="1"/>
  <c r="L17" i="13"/>
  <c r="L8" i="13"/>
  <c r="F79" i="17"/>
  <c r="F87" i="17" s="1"/>
  <c r="D20" i="5"/>
  <c r="D22" i="5" s="1"/>
  <c r="D29" i="5" s="1"/>
  <c r="H82" i="17"/>
  <c r="F11" i="5"/>
  <c r="O26" i="4"/>
  <c r="AH25" i="5"/>
  <c r="AF27" i="6" s="1"/>
  <c r="AG9" i="4"/>
  <c r="AG78" i="17"/>
  <c r="AC30" i="6"/>
  <c r="W16" i="13"/>
  <c r="W5" i="13"/>
  <c r="E18" i="5"/>
  <c r="N3" i="13"/>
  <c r="N15" i="12"/>
  <c r="N17" i="11"/>
  <c r="N39" i="6"/>
  <c r="N40" i="6" s="1"/>
  <c r="N23" i="4"/>
  <c r="N27" i="4" s="1"/>
  <c r="O4" i="4"/>
  <c r="J22" i="13"/>
  <c r="G4" i="5" s="1"/>
  <c r="J20" i="13"/>
  <c r="J19" i="13" s="1"/>
  <c r="I4" i="11"/>
  <c r="H24" i="11"/>
  <c r="H25" i="11" s="1"/>
  <c r="H27" i="11" s="1"/>
  <c r="H7" i="4"/>
  <c r="H30" i="4" s="1"/>
  <c r="V28" i="12"/>
  <c r="V29" i="12" s="1"/>
  <c r="V31" i="12"/>
  <c r="V32" i="12" s="1"/>
  <c r="U13" i="13"/>
  <c r="U10" i="13"/>
  <c r="M27" i="12"/>
  <c r="M28" i="12" s="1"/>
  <c r="M29" i="12" s="1"/>
  <c r="M18" i="12"/>
  <c r="M24" i="12" s="1"/>
  <c r="M26" i="12" s="1"/>
  <c r="V17" i="13"/>
  <c r="V8" i="13"/>
  <c r="W27" i="12"/>
  <c r="W18" i="12"/>
  <c r="W24" i="12" s="1"/>
  <c r="W26" i="12" s="1"/>
  <c r="D26" i="4"/>
  <c r="C27" i="4"/>
  <c r="AF27" i="5"/>
  <c r="M16" i="13"/>
  <c r="M5" i="13"/>
  <c r="D8" i="10"/>
  <c r="F8" i="10" s="1"/>
  <c r="X15" i="12"/>
  <c r="Y9" i="12"/>
  <c r="Y11" i="12" s="1"/>
  <c r="X3" i="13"/>
  <c r="K13" i="13"/>
  <c r="K10" i="13"/>
  <c r="D34" i="7"/>
  <c r="AG19" i="4" l="1"/>
  <c r="AH19" i="4" s="1"/>
  <c r="I8" i="9"/>
  <c r="I10" i="9" s="1"/>
  <c r="I11" i="9" s="1"/>
  <c r="I32" i="9" s="1"/>
  <c r="I33" i="9" s="1"/>
  <c r="I39" i="9" s="1"/>
  <c r="K30" i="5"/>
  <c r="I25" i="3"/>
  <c r="W33" i="8"/>
  <c r="X31" i="8" s="1"/>
  <c r="X33" i="8" s="1"/>
  <c r="Y31" i="8" s="1"/>
  <c r="Y33" i="8" s="1"/>
  <c r="Z31" i="8" s="1"/>
  <c r="Z33" i="8" s="1"/>
  <c r="AA31" i="8" s="1"/>
  <c r="AA33" i="8" s="1"/>
  <c r="AB31" i="8" s="1"/>
  <c r="AB33" i="8" s="1"/>
  <c r="AC31" i="8" s="1"/>
  <c r="AC33" i="8" s="1"/>
  <c r="AD31" i="8" s="1"/>
  <c r="AD33" i="8" s="1"/>
  <c r="AE31" i="8" s="1"/>
  <c r="AE33" i="8" s="1"/>
  <c r="AF31" i="8" s="1"/>
  <c r="AF33" i="8" s="1"/>
  <c r="AG31" i="8" s="1"/>
  <c r="AG33" i="8" s="1"/>
  <c r="X36" i="8"/>
  <c r="X41" i="8" s="1"/>
  <c r="AI24" i="4" s="1"/>
  <c r="D15" i="10"/>
  <c r="B17" i="10"/>
  <c r="B31" i="10" s="1"/>
  <c r="X16" i="13"/>
  <c r="X5" i="13"/>
  <c r="I15" i="11"/>
  <c r="I14" i="11"/>
  <c r="I20" i="11" s="1"/>
  <c r="I22" i="11" s="1"/>
  <c r="M8" i="13"/>
  <c r="M17" i="13"/>
  <c r="U22" i="13"/>
  <c r="R4" i="5" s="1"/>
  <c r="R17" i="5" s="1"/>
  <c r="U20" i="13"/>
  <c r="U19" i="13" s="1"/>
  <c r="W17" i="13"/>
  <c r="W8" i="13"/>
  <c r="R79" i="17"/>
  <c r="P20" i="5"/>
  <c r="P22" i="5" s="1"/>
  <c r="D31" i="5"/>
  <c r="D32" i="5"/>
  <c r="AG27" i="5"/>
  <c r="P4" i="4"/>
  <c r="Y3" i="13"/>
  <c r="Y15" i="12"/>
  <c r="Z9" i="12"/>
  <c r="Z11" i="12" s="1"/>
  <c r="AH78" i="17"/>
  <c r="AD30" i="6"/>
  <c r="X18" i="12"/>
  <c r="X24" i="12" s="1"/>
  <c r="X26" i="12" s="1"/>
  <c r="X27" i="12"/>
  <c r="W31" i="12"/>
  <c r="W32" i="12" s="1"/>
  <c r="W28" i="12"/>
  <c r="W29" i="12" s="1"/>
  <c r="O17" i="11"/>
  <c r="O39" i="6"/>
  <c r="O40" i="6" s="1"/>
  <c r="O23" i="4"/>
  <c r="N27" i="12"/>
  <c r="N28" i="12" s="1"/>
  <c r="N29" i="12" s="1"/>
  <c r="N18" i="12"/>
  <c r="N24" i="12" s="1"/>
  <c r="N26" i="12" s="1"/>
  <c r="G79" i="17"/>
  <c r="G87" i="17" s="1"/>
  <c r="E20" i="5"/>
  <c r="E22" i="5" s="1"/>
  <c r="E29" i="5" s="1"/>
  <c r="K22" i="13"/>
  <c r="H4" i="5" s="1"/>
  <c r="K20" i="13"/>
  <c r="K19" i="13" s="1"/>
  <c r="E26" i="4"/>
  <c r="D27" i="4"/>
  <c r="V13" i="13"/>
  <c r="V10" i="13"/>
  <c r="I82" i="17"/>
  <c r="G11" i="5"/>
  <c r="N16" i="13"/>
  <c r="N5" i="13"/>
  <c r="V21" i="4"/>
  <c r="J17" i="2"/>
  <c r="J12" i="33" s="1"/>
  <c r="AI25" i="5"/>
  <c r="AG27" i="6" s="1"/>
  <c r="AH9" i="4"/>
  <c r="F18" i="5"/>
  <c r="L10" i="13"/>
  <c r="L13" i="13"/>
  <c r="S82" i="17"/>
  <c r="Q11" i="5"/>
  <c r="Q18" i="5" s="1"/>
  <c r="AI19" i="4" l="1"/>
  <c r="I26" i="3"/>
  <c r="I23" i="33"/>
  <c r="I25" i="33" s="1"/>
  <c r="I18" i="9"/>
  <c r="I20" i="9" s="1"/>
  <c r="I26" i="9" s="1"/>
  <c r="AH21" i="4"/>
  <c r="Y36" i="8"/>
  <c r="Y41" i="8" s="1"/>
  <c r="AJ24" i="4" s="1"/>
  <c r="B32" i="10"/>
  <c r="D31" i="10"/>
  <c r="P26" i="4"/>
  <c r="D17" i="10"/>
  <c r="F26" i="4"/>
  <c r="E27" i="4"/>
  <c r="AI78" i="17"/>
  <c r="AE30" i="6"/>
  <c r="I24" i="11"/>
  <c r="I25" i="11" s="1"/>
  <c r="I27" i="11" s="1"/>
  <c r="J4" i="11"/>
  <c r="I7" i="4"/>
  <c r="I30" i="4" s="1"/>
  <c r="H79" i="17"/>
  <c r="H87" i="17" s="1"/>
  <c r="F20" i="5"/>
  <c r="F22" i="5" s="1"/>
  <c r="F29" i="5" s="1"/>
  <c r="AJ25" i="5"/>
  <c r="AH27" i="6" s="1"/>
  <c r="K9" i="2"/>
  <c r="AI9" i="4"/>
  <c r="L22" i="13"/>
  <c r="I4" i="5" s="1"/>
  <c r="L20" i="13"/>
  <c r="L19" i="13" s="1"/>
  <c r="N17" i="13"/>
  <c r="N8" i="13"/>
  <c r="E32" i="5"/>
  <c r="E31" i="5"/>
  <c r="Z3" i="13"/>
  <c r="Z15" i="12"/>
  <c r="Q4" i="4"/>
  <c r="W13" i="13"/>
  <c r="W10" i="13"/>
  <c r="M13" i="13"/>
  <c r="M10" i="13"/>
  <c r="X17" i="13"/>
  <c r="X8" i="13"/>
  <c r="J29" i="2"/>
  <c r="J30" i="2" s="1"/>
  <c r="J3" i="9" s="1"/>
  <c r="J5" i="9" s="1"/>
  <c r="J23" i="9" s="1"/>
  <c r="J19" i="2"/>
  <c r="V22" i="13"/>
  <c r="S4" i="5" s="1"/>
  <c r="S17" i="5" s="1"/>
  <c r="V20" i="13"/>
  <c r="V19" i="13" s="1"/>
  <c r="J82" i="17"/>
  <c r="H11" i="5"/>
  <c r="P17" i="11"/>
  <c r="P39" i="6"/>
  <c r="P40" i="6" s="1"/>
  <c r="P23" i="4"/>
  <c r="Y18" i="12"/>
  <c r="Y24" i="12" s="1"/>
  <c r="Y26" i="12" s="1"/>
  <c r="Y27" i="12"/>
  <c r="C6" i="4"/>
  <c r="W21" i="4"/>
  <c r="G18" i="5"/>
  <c r="X28" i="12"/>
  <c r="X29" i="12" s="1"/>
  <c r="X31" i="12"/>
  <c r="X32" i="12" s="1"/>
  <c r="Y5" i="13"/>
  <c r="Y16" i="13"/>
  <c r="AH27" i="5"/>
  <c r="K11" i="2"/>
  <c r="T82" i="17"/>
  <c r="R11" i="5"/>
  <c r="R18" i="5" s="1"/>
  <c r="AJ19" i="4" l="1"/>
  <c r="AI21" i="4"/>
  <c r="Z36" i="8"/>
  <c r="Z41" i="8" s="1"/>
  <c r="AK24" i="4" s="1"/>
  <c r="P27" i="4"/>
  <c r="D30" i="10"/>
  <c r="D32" i="10" s="1"/>
  <c r="AI27" i="5"/>
  <c r="K13" i="2"/>
  <c r="K8" i="33" s="1"/>
  <c r="AJ78" i="17"/>
  <c r="AF30" i="6"/>
  <c r="D6" i="4"/>
  <c r="C16" i="4"/>
  <c r="C29" i="4" s="1"/>
  <c r="H18" i="5"/>
  <c r="M22" i="13"/>
  <c r="J4" i="5" s="1"/>
  <c r="M20" i="13"/>
  <c r="M19" i="13" s="1"/>
  <c r="R4" i="4"/>
  <c r="G26" i="4"/>
  <c r="F27" i="4"/>
  <c r="Q17" i="11"/>
  <c r="Q39" i="6"/>
  <c r="Q23" i="4"/>
  <c r="Q27" i="4" s="1"/>
  <c r="U82" i="17"/>
  <c r="R17" i="6"/>
  <c r="S11" i="5"/>
  <c r="S18" i="5" s="1"/>
  <c r="W22" i="13"/>
  <c r="T4" i="5" s="1"/>
  <c r="T17" i="5" s="1"/>
  <c r="W20" i="13"/>
  <c r="W19" i="13" s="1"/>
  <c r="AA11" i="12"/>
  <c r="AK25" i="5"/>
  <c r="AI27" i="6" s="1"/>
  <c r="AJ9" i="4"/>
  <c r="Q17" i="6"/>
  <c r="Y17" i="13"/>
  <c r="Y8" i="13"/>
  <c r="I79" i="17"/>
  <c r="I87" i="17" s="1"/>
  <c r="G20" i="5"/>
  <c r="G22" i="5" s="1"/>
  <c r="G29" i="5" s="1"/>
  <c r="Y31" i="12"/>
  <c r="Y32" i="12" s="1"/>
  <c r="Y28" i="12"/>
  <c r="Y29" i="12" s="1"/>
  <c r="X13" i="13"/>
  <c r="X10" i="13"/>
  <c r="Z27" i="12"/>
  <c r="Z18" i="12"/>
  <c r="Z24" i="12" s="1"/>
  <c r="Z26" i="12" s="1"/>
  <c r="K82" i="17"/>
  <c r="I11" i="5"/>
  <c r="F32" i="5"/>
  <c r="F31" i="5"/>
  <c r="X21" i="4"/>
  <c r="S79" i="17"/>
  <c r="Q20" i="5"/>
  <c r="Q22" i="5" s="1"/>
  <c r="Z16" i="13"/>
  <c r="Z5" i="13"/>
  <c r="N13" i="13"/>
  <c r="N10" i="13"/>
  <c r="J14" i="11"/>
  <c r="J20" i="11" s="1"/>
  <c r="J22" i="11" s="1"/>
  <c r="J15" i="11"/>
  <c r="AK19" i="4" l="1"/>
  <c r="AB9" i="12"/>
  <c r="AA15" i="12"/>
  <c r="AJ21" i="4"/>
  <c r="AA36" i="8"/>
  <c r="AA41" i="8" s="1"/>
  <c r="AL24" i="4" s="1"/>
  <c r="AL19" i="4" s="1"/>
  <c r="Y21" i="4"/>
  <c r="I18" i="5"/>
  <c r="G31" i="5"/>
  <c r="G32" i="5"/>
  <c r="AK78" i="17"/>
  <c r="AG30" i="6"/>
  <c r="N22" i="13"/>
  <c r="K4" i="5" s="1"/>
  <c r="N20" i="13"/>
  <c r="N19" i="13" s="1"/>
  <c r="AA3" i="13"/>
  <c r="V82" i="17"/>
  <c r="S17" i="6"/>
  <c r="T11" i="5"/>
  <c r="T18" i="5" s="1"/>
  <c r="H26" i="4"/>
  <c r="G27" i="4"/>
  <c r="E6" i="4"/>
  <c r="D16" i="4"/>
  <c r="D29" i="4" s="1"/>
  <c r="AL25" i="5"/>
  <c r="AJ27" i="6" s="1"/>
  <c r="AK9" i="4"/>
  <c r="J79" i="17"/>
  <c r="J87" i="17" s="1"/>
  <c r="H20" i="5"/>
  <c r="H22" i="5" s="1"/>
  <c r="H29" i="5" s="1"/>
  <c r="AJ27" i="5"/>
  <c r="X22" i="13"/>
  <c r="U4" i="5" s="1"/>
  <c r="U17" i="5" s="1"/>
  <c r="X20" i="13"/>
  <c r="X19" i="13" s="1"/>
  <c r="L82" i="17"/>
  <c r="J11" i="5"/>
  <c r="T79" i="17"/>
  <c r="R20" i="5"/>
  <c r="R22" i="5" s="1"/>
  <c r="J24" i="11"/>
  <c r="J25" i="11" s="1"/>
  <c r="J27" i="11" s="1"/>
  <c r="K4" i="11"/>
  <c r="J7" i="4"/>
  <c r="Z17" i="13"/>
  <c r="Z8" i="13"/>
  <c r="Z31" i="12"/>
  <c r="Z32" i="12" s="1"/>
  <c r="Z28" i="12"/>
  <c r="Z29" i="12" s="1"/>
  <c r="Y13" i="13"/>
  <c r="Y10" i="13"/>
  <c r="R26" i="4"/>
  <c r="S4" i="4"/>
  <c r="AK21" i="4" l="1"/>
  <c r="AB36" i="8"/>
  <c r="AB41" i="8" s="1"/>
  <c r="AM24" i="4" s="1"/>
  <c r="AM19" i="4" s="1"/>
  <c r="AB11" i="12"/>
  <c r="M82" i="17"/>
  <c r="K11" i="5"/>
  <c r="K79" i="17"/>
  <c r="K87" i="17" s="1"/>
  <c r="I20" i="5"/>
  <c r="I22" i="5" s="1"/>
  <c r="I29" i="5" s="1"/>
  <c r="J30" i="4"/>
  <c r="J16" i="4"/>
  <c r="J29" i="4" s="1"/>
  <c r="J18" i="5"/>
  <c r="AK27" i="5"/>
  <c r="K15" i="11"/>
  <c r="K14" i="11"/>
  <c r="W82" i="17"/>
  <c r="U11" i="5"/>
  <c r="U18" i="5" s="1"/>
  <c r="AL78" i="17"/>
  <c r="AH30" i="6"/>
  <c r="F6" i="4"/>
  <c r="E16" i="4"/>
  <c r="E29" i="4" s="1"/>
  <c r="T4" i="4"/>
  <c r="U4" i="4" s="1"/>
  <c r="Y20" i="13"/>
  <c r="Y19" i="13" s="1"/>
  <c r="Y22" i="13"/>
  <c r="V4" i="5" s="1"/>
  <c r="V17" i="5" s="1"/>
  <c r="Z13" i="13"/>
  <c r="Z10" i="13"/>
  <c r="H31" i="5"/>
  <c r="H32" i="5"/>
  <c r="AA16" i="13"/>
  <c r="AA5" i="13"/>
  <c r="Z21" i="4"/>
  <c r="U79" i="17"/>
  <c r="S20" i="5"/>
  <c r="S22" i="5" s="1"/>
  <c r="S26" i="4"/>
  <c r="AA27" i="12"/>
  <c r="AA18" i="12"/>
  <c r="AA24" i="12" s="1"/>
  <c r="AA26" i="12" s="1"/>
  <c r="AM25" i="5"/>
  <c r="AK27" i="6" s="1"/>
  <c r="AL9" i="4"/>
  <c r="I26" i="4"/>
  <c r="H27" i="4"/>
  <c r="AC9" i="12" l="1"/>
  <c r="AB15" i="12"/>
  <c r="AL21" i="4"/>
  <c r="AC36" i="8"/>
  <c r="AC41" i="8" s="1"/>
  <c r="AN24" i="4" s="1"/>
  <c r="AN19" i="4" s="1"/>
  <c r="G6" i="4"/>
  <c r="F16" i="4"/>
  <c r="F29" i="4" s="1"/>
  <c r="K18" i="5"/>
  <c r="V79" i="17"/>
  <c r="T20" i="5"/>
  <c r="T22" i="5" s="1"/>
  <c r="T26" i="4"/>
  <c r="X82" i="17"/>
  <c r="U17" i="6"/>
  <c r="V11" i="5"/>
  <c r="V18" i="5" s="1"/>
  <c r="I27" i="4"/>
  <c r="AA21" i="4"/>
  <c r="T17" i="6"/>
  <c r="C16" i="7"/>
  <c r="K20" i="11"/>
  <c r="K22" i="11" s="1"/>
  <c r="L24" i="5"/>
  <c r="L79" i="17"/>
  <c r="L87" i="17" s="1"/>
  <c r="J20" i="5"/>
  <c r="J22" i="5" s="1"/>
  <c r="J29" i="5" s="1"/>
  <c r="I32" i="5"/>
  <c r="I31" i="5"/>
  <c r="Z22" i="13"/>
  <c r="W4" i="5" s="1"/>
  <c r="Z20" i="13"/>
  <c r="Z19" i="13" s="1"/>
  <c r="K24" i="11"/>
  <c r="K25" i="11" s="1"/>
  <c r="K27" i="11" s="1"/>
  <c r="L4" i="11"/>
  <c r="K7" i="4"/>
  <c r="K30" i="4" s="1"/>
  <c r="AL27" i="5"/>
  <c r="AN25" i="5"/>
  <c r="AL27" i="6" s="1"/>
  <c r="AM9" i="4"/>
  <c r="AA31" i="12"/>
  <c r="AA32" i="12" s="1"/>
  <c r="AA28" i="12"/>
  <c r="AA29" i="12" s="1"/>
  <c r="AA17" i="13"/>
  <c r="AA8" i="13"/>
  <c r="AM78" i="17"/>
  <c r="AI30" i="6"/>
  <c r="AB3" i="13"/>
  <c r="V4" i="6" l="1"/>
  <c r="W17" i="5"/>
  <c r="AM21" i="4"/>
  <c r="AD36" i="8"/>
  <c r="AD41" i="8" s="1"/>
  <c r="AO24" i="4" s="1"/>
  <c r="AO19" i="4" s="1"/>
  <c r="AA13" i="13"/>
  <c r="AA10" i="13"/>
  <c r="L14" i="11"/>
  <c r="L15" i="11"/>
  <c r="AB18" i="12"/>
  <c r="AB24" i="12" s="1"/>
  <c r="AB26" i="12" s="1"/>
  <c r="AB27" i="12"/>
  <c r="M79" i="17"/>
  <c r="M87" i="17" s="1"/>
  <c r="K20" i="5"/>
  <c r="K22" i="5" s="1"/>
  <c r="K29" i="5" s="1"/>
  <c r="AB16" i="13"/>
  <c r="AB5" i="13"/>
  <c r="AM27" i="5"/>
  <c r="Y82" i="17"/>
  <c r="W11" i="5"/>
  <c r="W18" i="5" s="1"/>
  <c r="J32" i="5"/>
  <c r="J31" i="5"/>
  <c r="AB21" i="4"/>
  <c r="U26" i="4"/>
  <c r="H6" i="4"/>
  <c r="G16" i="4"/>
  <c r="G29" i="4" s="1"/>
  <c r="W79" i="17"/>
  <c r="U20" i="5"/>
  <c r="U22" i="5" s="1"/>
  <c r="AC11" i="12"/>
  <c r="AO25" i="5"/>
  <c r="AM27" i="6" s="1"/>
  <c r="AN9" i="4"/>
  <c r="AN78" i="17"/>
  <c r="AJ30" i="6"/>
  <c r="V4" i="4"/>
  <c r="N81" i="17"/>
  <c r="N87" i="17" s="1"/>
  <c r="L29" i="5"/>
  <c r="AE36" i="8" l="1"/>
  <c r="AE41" i="8" s="1"/>
  <c r="AP24" i="4" s="1"/>
  <c r="AP19" i="4" s="1"/>
  <c r="AD9" i="12"/>
  <c r="AC15" i="12"/>
  <c r="AN21" i="4"/>
  <c r="X79" i="17"/>
  <c r="V20" i="5"/>
  <c r="V22" i="5" s="1"/>
  <c r="AB17" i="13"/>
  <c r="AB8" i="13"/>
  <c r="L20" i="11"/>
  <c r="L22" i="11" s="1"/>
  <c r="M24" i="5"/>
  <c r="AB31" i="12"/>
  <c r="AB32" i="12" s="1"/>
  <c r="AB28" i="12"/>
  <c r="AB29" i="12" s="1"/>
  <c r="L31" i="5"/>
  <c r="L32" i="5"/>
  <c r="AC21" i="4"/>
  <c r="AN27" i="5"/>
  <c r="K31" i="5"/>
  <c r="K32" i="5"/>
  <c r="AA22" i="13"/>
  <c r="X4" i="5" s="1"/>
  <c r="AA20" i="13"/>
  <c r="AA19" i="13" s="1"/>
  <c r="W4" i="4"/>
  <c r="J3" i="2"/>
  <c r="AP25" i="5"/>
  <c r="AN27" i="6" s="1"/>
  <c r="AO9" i="4"/>
  <c r="AC3" i="13"/>
  <c r="I6" i="4"/>
  <c r="I16" i="4" s="1"/>
  <c r="I29" i="4" s="1"/>
  <c r="H16" i="4"/>
  <c r="H29" i="4" s="1"/>
  <c r="V17" i="6"/>
  <c r="AO78" i="17"/>
  <c r="AK30" i="6"/>
  <c r="L24" i="11"/>
  <c r="L25" i="11" s="1"/>
  <c r="L27" i="11" s="1"/>
  <c r="M4" i="11"/>
  <c r="L7" i="4"/>
  <c r="L30" i="4" s="1"/>
  <c r="AF36" i="8" l="1"/>
  <c r="AF41" i="8" s="1"/>
  <c r="AQ24" i="4" s="1"/>
  <c r="AQ19" i="4" s="1"/>
  <c r="W4" i="6"/>
  <c r="X11" i="5"/>
  <c r="X18" i="5" s="1"/>
  <c r="AO21" i="4"/>
  <c r="AD11" i="12"/>
  <c r="AO27" i="5"/>
  <c r="Z82" i="17"/>
  <c r="AP78" i="17"/>
  <c r="AL30" i="6"/>
  <c r="O81" i="17"/>
  <c r="O87" i="17" s="1"/>
  <c r="M29" i="5"/>
  <c r="AQ25" i="5"/>
  <c r="AO27" i="6" s="1"/>
  <c r="AP9" i="4"/>
  <c r="X4" i="4"/>
  <c r="AD21" i="4"/>
  <c r="K6" i="4"/>
  <c r="Y79" i="17"/>
  <c r="W20" i="5"/>
  <c r="W22" i="5" s="1"/>
  <c r="P13" i="11"/>
  <c r="M15" i="11"/>
  <c r="Q13" i="11"/>
  <c r="M14" i="11"/>
  <c r="O13" i="11"/>
  <c r="AC16" i="13"/>
  <c r="AC5" i="13"/>
  <c r="AC27" i="12"/>
  <c r="AC18" i="12"/>
  <c r="AC24" i="12" s="1"/>
  <c r="AC26" i="12" s="1"/>
  <c r="J23" i="2"/>
  <c r="J32" i="2" s="1"/>
  <c r="J33" i="2" s="1"/>
  <c r="J9" i="9" s="1"/>
  <c r="J19" i="9" s="1"/>
  <c r="AB10" i="13"/>
  <c r="AB13" i="13"/>
  <c r="AG36" i="8" l="1"/>
  <c r="AG41" i="8" s="1"/>
  <c r="AR24" i="4" s="1"/>
  <c r="AR19" i="4" s="1"/>
  <c r="AS19" i="4" s="1"/>
  <c r="AT19" i="4" s="1"/>
  <c r="AU19" i="4" s="1"/>
  <c r="AV19" i="4" s="1"/>
  <c r="AW19" i="4" s="1"/>
  <c r="AX19" i="4" s="1"/>
  <c r="AY19" i="4" s="1"/>
  <c r="AZ19" i="4" s="1"/>
  <c r="BA19" i="4" s="1"/>
  <c r="BB19" i="4" s="1"/>
  <c r="BC19" i="4" s="1"/>
  <c r="BD19" i="4" s="1"/>
  <c r="BE19" i="4" s="1"/>
  <c r="BF19" i="4" s="1"/>
  <c r="BG19" i="4" s="1"/>
  <c r="BH19" i="4" s="1"/>
  <c r="BI19" i="4" s="1"/>
  <c r="BJ19" i="4" s="1"/>
  <c r="BK19" i="4" s="1"/>
  <c r="BL19" i="4" s="1"/>
  <c r="BM19" i="4" s="1"/>
  <c r="BN19" i="4" s="1"/>
  <c r="BO19" i="4" s="1"/>
  <c r="BP19" i="4" s="1"/>
  <c r="BQ19" i="4" s="1"/>
  <c r="BR19" i="4" s="1"/>
  <c r="BS19" i="4" s="1"/>
  <c r="BT19" i="4" s="1"/>
  <c r="BU19" i="4" s="1"/>
  <c r="BV19" i="4" s="1"/>
  <c r="BW19" i="4" s="1"/>
  <c r="BX19" i="4" s="1"/>
  <c r="BY19" i="4" s="1"/>
  <c r="BZ19" i="4" s="1"/>
  <c r="CA19" i="4" s="1"/>
  <c r="CB19" i="4" s="1"/>
  <c r="CC19" i="4" s="1"/>
  <c r="CD19" i="4" s="1"/>
  <c r="CE19" i="4" s="1"/>
  <c r="CF19" i="4" s="1"/>
  <c r="CG19" i="4" s="1"/>
  <c r="CH19" i="4" s="1"/>
  <c r="CI19" i="4" s="1"/>
  <c r="CJ19" i="4" s="1"/>
  <c r="CK19" i="4" s="1"/>
  <c r="CL19" i="4" s="1"/>
  <c r="CM19" i="4" s="1"/>
  <c r="CN19" i="4" s="1"/>
  <c r="CO19" i="4" s="1"/>
  <c r="CP19" i="4" s="1"/>
  <c r="CQ19" i="4" s="1"/>
  <c r="CR19" i="4" s="1"/>
  <c r="CS19" i="4" s="1"/>
  <c r="CT19" i="4" s="1"/>
  <c r="CU19" i="4" s="1"/>
  <c r="CV19" i="4" s="1"/>
  <c r="CW19" i="4" s="1"/>
  <c r="CX19" i="4" s="1"/>
  <c r="CY19" i="4" s="1"/>
  <c r="CZ19" i="4" s="1"/>
  <c r="DA19" i="4" s="1"/>
  <c r="DB19" i="4" s="1"/>
  <c r="W26" i="4"/>
  <c r="AE9" i="12"/>
  <c r="AD15" i="12"/>
  <c r="AP21" i="4"/>
  <c r="V24" i="6"/>
  <c r="AB22" i="13"/>
  <c r="Y4" i="5" s="1"/>
  <c r="AB20" i="13"/>
  <c r="AB19" i="13" s="1"/>
  <c r="AC31" i="12"/>
  <c r="AC32" i="12" s="1"/>
  <c r="AC28" i="12"/>
  <c r="AC29" i="12" s="1"/>
  <c r="M24" i="11"/>
  <c r="M25" i="11" s="1"/>
  <c r="M27" i="11" s="1"/>
  <c r="N4" i="11"/>
  <c r="M7" i="4"/>
  <c r="M30" i="4" s="1"/>
  <c r="C23" i="7"/>
  <c r="AE21" i="4"/>
  <c r="AR25" i="5"/>
  <c r="AP27" i="6" s="1"/>
  <c r="AQ9" i="4"/>
  <c r="AD3" i="13"/>
  <c r="AC8" i="13"/>
  <c r="AC17" i="13"/>
  <c r="W17" i="6"/>
  <c r="AP27" i="5"/>
  <c r="M20" i="11"/>
  <c r="M22" i="11" s="1"/>
  <c r="N24" i="5"/>
  <c r="K16" i="4"/>
  <c r="K29" i="4" s="1"/>
  <c r="Y4" i="4"/>
  <c r="M32" i="5"/>
  <c r="M31" i="5"/>
  <c r="AQ78" i="17"/>
  <c r="AM30" i="6"/>
  <c r="X4" i="6" l="1"/>
  <c r="Y11" i="5"/>
  <c r="Y18" i="5" s="1"/>
  <c r="AQ21" i="4"/>
  <c r="P81" i="17"/>
  <c r="P87" i="17" s="1"/>
  <c r="N29" i="5"/>
  <c r="AQ27" i="5"/>
  <c r="Z79" i="17"/>
  <c r="X20" i="5"/>
  <c r="X22" i="5" s="1"/>
  <c r="AF21" i="4"/>
  <c r="AD27" i="12"/>
  <c r="AD18" i="12"/>
  <c r="AD24" i="12" s="1"/>
  <c r="AD26" i="12" s="1"/>
  <c r="AS25" i="5"/>
  <c r="AQ27" i="6" s="1"/>
  <c r="AR9" i="4"/>
  <c r="AC84" i="17"/>
  <c r="AD16" i="13"/>
  <c r="AD5" i="13"/>
  <c r="Z4" i="4"/>
  <c r="AR78" i="17"/>
  <c r="AN30" i="6"/>
  <c r="AE11" i="12"/>
  <c r="AA82" i="17"/>
  <c r="N14" i="11"/>
  <c r="N15" i="11"/>
  <c r="AC13" i="13"/>
  <c r="AC10" i="13"/>
  <c r="L6" i="4"/>
  <c r="X26" i="4" l="1"/>
  <c r="W24" i="6"/>
  <c r="AF9" i="12"/>
  <c r="AF11" i="12" s="1"/>
  <c r="AE15" i="12"/>
  <c r="AR21" i="4"/>
  <c r="AC22" i="13"/>
  <c r="Z4" i="5" s="1"/>
  <c r="AC20" i="13"/>
  <c r="AC19" i="13" s="1"/>
  <c r="AA4" i="4"/>
  <c r="AB4" i="4" s="1"/>
  <c r="L16" i="4"/>
  <c r="L29" i="4" s="1"/>
  <c r="AR27" i="5"/>
  <c r="O4" i="11"/>
  <c r="N24" i="11"/>
  <c r="N25" i="11" s="1"/>
  <c r="N27" i="11" s="1"/>
  <c r="N7" i="4"/>
  <c r="N30" i="4" s="1"/>
  <c r="N20" i="11"/>
  <c r="N22" i="11" s="1"/>
  <c r="O24" i="5"/>
  <c r="X17" i="6"/>
  <c r="AE3" i="13"/>
  <c r="AD17" i="13"/>
  <c r="AD8" i="13"/>
  <c r="AD28" i="12"/>
  <c r="AD29" i="12" s="1"/>
  <c r="AD31" i="12"/>
  <c r="AD32" i="12" s="1"/>
  <c r="AG21" i="4"/>
  <c r="AS78" i="17"/>
  <c r="AO30" i="6"/>
  <c r="AT25" i="5"/>
  <c r="AR27" i="6" s="1"/>
  <c r="AS9" i="4"/>
  <c r="N32" i="5"/>
  <c r="N31" i="5"/>
  <c r="Z11" i="5" l="1"/>
  <c r="Z18" i="5" s="1"/>
  <c r="AG9" i="12"/>
  <c r="AG11" i="12" s="1"/>
  <c r="AF15" i="12"/>
  <c r="AS21" i="4"/>
  <c r="Z7" i="6"/>
  <c r="AT78" i="17"/>
  <c r="AP30" i="6"/>
  <c r="AU25" i="5"/>
  <c r="AS27" i="6" s="1"/>
  <c r="AT9" i="4"/>
  <c r="AD13" i="13"/>
  <c r="AD10" i="13"/>
  <c r="AE27" i="12"/>
  <c r="AE18" i="12"/>
  <c r="AE24" i="12" s="1"/>
  <c r="AE26" i="12" s="1"/>
  <c r="K17" i="2"/>
  <c r="K12" i="33" s="1"/>
  <c r="AF3" i="13"/>
  <c r="AA7" i="6"/>
  <c r="Q81" i="17"/>
  <c r="Q87" i="17" s="1"/>
  <c r="O29" i="5"/>
  <c r="M6" i="4"/>
  <c r="AA79" i="17"/>
  <c r="Y20" i="5"/>
  <c r="Y22" i="5" s="1"/>
  <c r="AB82" i="17"/>
  <c r="Y4" i="6"/>
  <c r="AD84" i="17"/>
  <c r="AE16" i="13"/>
  <c r="AE5" i="13"/>
  <c r="AS27" i="5"/>
  <c r="Y26" i="4" l="1"/>
  <c r="AH9" i="12"/>
  <c r="AH11" i="12" s="1"/>
  <c r="AG15" i="12"/>
  <c r="AT21" i="4"/>
  <c r="X24" i="6"/>
  <c r="AC4" i="4"/>
  <c r="K19" i="2"/>
  <c r="K29" i="2"/>
  <c r="K30" i="2" s="1"/>
  <c r="K3" i="9" s="1"/>
  <c r="K5" i="9" s="1"/>
  <c r="K23" i="9" s="1"/>
  <c r="AE17" i="13"/>
  <c r="AE8" i="13"/>
  <c r="Y17" i="6"/>
  <c r="M16" i="4"/>
  <c r="M29" i="4" s="1"/>
  <c r="AG3" i="13"/>
  <c r="AB7" i="6"/>
  <c r="AE31" i="12"/>
  <c r="AE32" i="12" s="1"/>
  <c r="AE28" i="12"/>
  <c r="AE29" i="12" s="1"/>
  <c r="AV25" i="5"/>
  <c r="AT27" i="6" s="1"/>
  <c r="L9" i="2"/>
  <c r="AU9" i="4"/>
  <c r="AT27" i="5"/>
  <c r="L11" i="2"/>
  <c r="AD22" i="13"/>
  <c r="AA4" i="5" s="1"/>
  <c r="AD20" i="13"/>
  <c r="AD19" i="13" s="1"/>
  <c r="AU78" i="17"/>
  <c r="AQ30" i="6"/>
  <c r="O31" i="5"/>
  <c r="N6" i="4" s="1"/>
  <c r="O32" i="5"/>
  <c r="AF16" i="13"/>
  <c r="AF5" i="13"/>
  <c r="AE84" i="17"/>
  <c r="AF18" i="12"/>
  <c r="AF24" i="12" s="1"/>
  <c r="AF26" i="12" s="1"/>
  <c r="AF27" i="12"/>
  <c r="AI9" i="12" l="1"/>
  <c r="AI11" i="12" s="1"/>
  <c r="AH15" i="12"/>
  <c r="AU21" i="4"/>
  <c r="N16" i="4"/>
  <c r="N29" i="4" s="1"/>
  <c r="AC82" i="17"/>
  <c r="Z4" i="6"/>
  <c r="Z17" i="6" s="1"/>
  <c r="AF84" i="17"/>
  <c r="AG5" i="13"/>
  <c r="AG16" i="13"/>
  <c r="AE13" i="13"/>
  <c r="AE10" i="13"/>
  <c r="AB79" i="17"/>
  <c r="Z20" i="5"/>
  <c r="Z22" i="5" s="1"/>
  <c r="AU27" i="5"/>
  <c r="L13" i="2"/>
  <c r="L8" i="33" s="1"/>
  <c r="AD4" i="4"/>
  <c r="AF17" i="13"/>
  <c r="AF8" i="13"/>
  <c r="AV78" i="17"/>
  <c r="AR30" i="6"/>
  <c r="AH3" i="13"/>
  <c r="AC7" i="6"/>
  <c r="AF28" i="12"/>
  <c r="AF29" i="12" s="1"/>
  <c r="AF31" i="12"/>
  <c r="AF32" i="12" s="1"/>
  <c r="AW25" i="5"/>
  <c r="AU27" i="6" s="1"/>
  <c r="AV9" i="4"/>
  <c r="AG18" i="12"/>
  <c r="AG24" i="12" s="1"/>
  <c r="AG26" i="12" s="1"/>
  <c r="AG27" i="12"/>
  <c r="AJ9" i="12" l="1"/>
  <c r="AJ11" i="12" s="1"/>
  <c r="AI15" i="12"/>
  <c r="AV21" i="4"/>
  <c r="AH16" i="13"/>
  <c r="AH5" i="13"/>
  <c r="AW78" i="17"/>
  <c r="AS30" i="6"/>
  <c r="AF13" i="13"/>
  <c r="AF10" i="13"/>
  <c r="AE22" i="13"/>
  <c r="AB4" i="5" s="1"/>
  <c r="AE20" i="13"/>
  <c r="AE19" i="13" s="1"/>
  <c r="AG84" i="17"/>
  <c r="AX25" i="5"/>
  <c r="AV27" i="6" s="1"/>
  <c r="AW9" i="4"/>
  <c r="AH27" i="12"/>
  <c r="AH18" i="12"/>
  <c r="AH24" i="12" s="1"/>
  <c r="AH26" i="12" s="1"/>
  <c r="AE4" i="4"/>
  <c r="AG31" i="12"/>
  <c r="AG32" i="12" s="1"/>
  <c r="AG28" i="12"/>
  <c r="AG29" i="12" s="1"/>
  <c r="AI3" i="13"/>
  <c r="AD7" i="6"/>
  <c r="AV27" i="5"/>
  <c r="AG17" i="13"/>
  <c r="AG8" i="13"/>
  <c r="AB11" i="5" l="1"/>
  <c r="AB18" i="5" s="1"/>
  <c r="AK9" i="12"/>
  <c r="AK11" i="12" s="1"/>
  <c r="AJ15" i="12"/>
  <c r="AW21" i="4"/>
  <c r="AX78" i="17"/>
  <c r="AT30" i="6"/>
  <c r="AF22" i="13"/>
  <c r="AC4" i="5" s="1"/>
  <c r="AF20" i="13"/>
  <c r="AF19" i="13" s="1"/>
  <c r="AJ3" i="13"/>
  <c r="AE7" i="6"/>
  <c r="AF4" i="4"/>
  <c r="AH28" i="12"/>
  <c r="AH29" i="12" s="1"/>
  <c r="AH31" i="12"/>
  <c r="AH32" i="12" s="1"/>
  <c r="AH17" i="13"/>
  <c r="AH8" i="13"/>
  <c r="AW27" i="5"/>
  <c r="AI16" i="13"/>
  <c r="AI5" i="13"/>
  <c r="AG13" i="13"/>
  <c r="AG10" i="13"/>
  <c r="AH84" i="17"/>
  <c r="AI27" i="12"/>
  <c r="AI18" i="12"/>
  <c r="AI24" i="12" s="1"/>
  <c r="AI26" i="12" s="1"/>
  <c r="AY25" i="5"/>
  <c r="AW27" i="6" s="1"/>
  <c r="AX9" i="4"/>
  <c r="AD82" i="17"/>
  <c r="AA4" i="6"/>
  <c r="AA17" i="6" s="1"/>
  <c r="AC11" i="5" l="1"/>
  <c r="AC18" i="5" s="1"/>
  <c r="AL9" i="12"/>
  <c r="AL11" i="12" s="1"/>
  <c r="AK15" i="12"/>
  <c r="AX21" i="4"/>
  <c r="R37" i="6"/>
  <c r="R38" i="6" s="1"/>
  <c r="AG20" i="13"/>
  <c r="AG19" i="13" s="1"/>
  <c r="AG22" i="13"/>
  <c r="AD4" i="5" s="1"/>
  <c r="AY78" i="17"/>
  <c r="AU30" i="6"/>
  <c r="AJ16" i="13"/>
  <c r="AJ5" i="13"/>
  <c r="AI17" i="13"/>
  <c r="AI8" i="13"/>
  <c r="AH13" i="13"/>
  <c r="AH10" i="13"/>
  <c r="AK3" i="13"/>
  <c r="AF7" i="6"/>
  <c r="AI28" i="12"/>
  <c r="AI29" i="12" s="1"/>
  <c r="AI31" i="12"/>
  <c r="AI32" i="12" s="1"/>
  <c r="AG4" i="4"/>
  <c r="AI84" i="17"/>
  <c r="AJ18" i="12"/>
  <c r="AJ24" i="12" s="1"/>
  <c r="AJ26" i="12" s="1"/>
  <c r="AJ27" i="12"/>
  <c r="AZ25" i="5"/>
  <c r="AX27" i="6" s="1"/>
  <c r="AY9" i="4"/>
  <c r="AX27" i="5"/>
  <c r="AE82" i="17"/>
  <c r="AB4" i="6"/>
  <c r="AB17" i="6" s="1"/>
  <c r="AD11" i="5" l="1"/>
  <c r="AD18" i="5" s="1"/>
  <c r="AM9" i="12"/>
  <c r="AL15" i="12"/>
  <c r="AY21" i="4"/>
  <c r="AI13" i="13"/>
  <c r="AI10" i="13"/>
  <c r="AL3" i="13"/>
  <c r="AG7" i="6"/>
  <c r="AD79" i="17"/>
  <c r="Z24" i="6"/>
  <c r="AB20" i="5"/>
  <c r="AB22" i="5" s="1"/>
  <c r="AJ31" i="12"/>
  <c r="AJ32" i="12" s="1"/>
  <c r="AJ28" i="12"/>
  <c r="AJ29" i="12" s="1"/>
  <c r="AK16" i="13"/>
  <c r="AK5" i="13"/>
  <c r="AJ17" i="13"/>
  <c r="AJ8" i="13"/>
  <c r="AZ78" i="17"/>
  <c r="AV30" i="6"/>
  <c r="AH4" i="4"/>
  <c r="AJ84" i="17"/>
  <c r="C32" i="7"/>
  <c r="Q37" i="6"/>
  <c r="AY27" i="5"/>
  <c r="BA25" i="5"/>
  <c r="AY27" i="6" s="1"/>
  <c r="AZ9" i="4"/>
  <c r="AK27" i="12"/>
  <c r="AK18" i="12"/>
  <c r="AK24" i="12" s="1"/>
  <c r="AK26" i="12" s="1"/>
  <c r="AH22" i="13"/>
  <c r="AE4" i="5" s="1"/>
  <c r="AH20" i="13"/>
  <c r="AH19" i="13" s="1"/>
  <c r="AF82" i="17"/>
  <c r="AC4" i="6"/>
  <c r="AC17" i="6" s="1"/>
  <c r="AE11" i="5" l="1"/>
  <c r="AE18" i="5" s="1"/>
  <c r="AZ21" i="4"/>
  <c r="AZ27" i="5"/>
  <c r="AJ13" i="13"/>
  <c r="AJ10" i="13"/>
  <c r="AK84" i="17"/>
  <c r="AL16" i="13"/>
  <c r="AL5" i="13"/>
  <c r="Q38" i="6"/>
  <c r="Q40" i="6" s="1"/>
  <c r="AI4" i="4"/>
  <c r="K3" i="2"/>
  <c r="AL27" i="12"/>
  <c r="AL18" i="12"/>
  <c r="AL24" i="12" s="1"/>
  <c r="AL26" i="12" s="1"/>
  <c r="BA78" i="17"/>
  <c r="AW30" i="6"/>
  <c r="BB25" i="5"/>
  <c r="AZ27" i="6" s="1"/>
  <c r="BA9" i="4"/>
  <c r="AE79" i="17"/>
  <c r="AA24" i="6"/>
  <c r="AC20" i="5"/>
  <c r="AC22" i="5" s="1"/>
  <c r="AI22" i="13"/>
  <c r="AF4" i="5" s="1"/>
  <c r="AI20" i="13"/>
  <c r="AI19" i="13" s="1"/>
  <c r="AG82" i="17"/>
  <c r="AD4" i="6"/>
  <c r="AD17" i="6" s="1"/>
  <c r="AK31" i="12"/>
  <c r="AK32" i="12" s="1"/>
  <c r="AK28" i="12"/>
  <c r="AK29" i="12" s="1"/>
  <c r="AK8" i="13"/>
  <c r="AK17" i="13"/>
  <c r="AM11" i="12"/>
  <c r="AF11" i="5" l="1"/>
  <c r="AF18" i="5" s="1"/>
  <c r="AN9" i="12"/>
  <c r="AM15" i="12"/>
  <c r="BA21" i="4"/>
  <c r="AM3" i="13"/>
  <c r="AJ7" i="5"/>
  <c r="AJ16" i="5" s="1"/>
  <c r="BB78" i="17"/>
  <c r="AX30" i="6"/>
  <c r="AL17" i="13"/>
  <c r="AL8" i="13"/>
  <c r="AK13" i="13"/>
  <c r="AK10" i="13"/>
  <c r="BC25" i="5"/>
  <c r="BA27" i="6" s="1"/>
  <c r="BB9" i="4"/>
  <c r="R17" i="11"/>
  <c r="R39" i="6"/>
  <c r="R40" i="6" s="1"/>
  <c r="R23" i="4"/>
  <c r="R27" i="4" s="1"/>
  <c r="AH82" i="17"/>
  <c r="AE4" i="6"/>
  <c r="AE17" i="6" s="1"/>
  <c r="AF79" i="17"/>
  <c r="AB24" i="6"/>
  <c r="AD20" i="5"/>
  <c r="AD22" i="5" s="1"/>
  <c r="AL28" i="12"/>
  <c r="AL29" i="12" s="1"/>
  <c r="AL31" i="12"/>
  <c r="AL32" i="12" s="1"/>
  <c r="AJ4" i="4"/>
  <c r="AJ22" i="13"/>
  <c r="AG4" i="5" s="1"/>
  <c r="AJ20" i="13"/>
  <c r="AJ19" i="13" s="1"/>
  <c r="BA27" i="5"/>
  <c r="AH7" i="6" l="1"/>
  <c r="AH22" i="6"/>
  <c r="AG11" i="5"/>
  <c r="AG18" i="5" s="1"/>
  <c r="BB21" i="4"/>
  <c r="AK22" i="13"/>
  <c r="AH4" i="5" s="1"/>
  <c r="AK20" i="13"/>
  <c r="AK19" i="13" s="1"/>
  <c r="AG79" i="17"/>
  <c r="AC24" i="6"/>
  <c r="AE20" i="5"/>
  <c r="AE22" i="5" s="1"/>
  <c r="AL84" i="17"/>
  <c r="BD25" i="5"/>
  <c r="BB27" i="6" s="1"/>
  <c r="BC9" i="4"/>
  <c r="AM27" i="12"/>
  <c r="AM18" i="12"/>
  <c r="AM24" i="12" s="1"/>
  <c r="AM26" i="12" s="1"/>
  <c r="AN11" i="12"/>
  <c r="BB27" i="5"/>
  <c r="AI82" i="17"/>
  <c r="AF4" i="6"/>
  <c r="AF17" i="6" s="1"/>
  <c r="BC78" i="17"/>
  <c r="AY30" i="6"/>
  <c r="AK4" i="4"/>
  <c r="S17" i="11"/>
  <c r="S39" i="6"/>
  <c r="S23" i="4"/>
  <c r="S27" i="4" s="1"/>
  <c r="AL13" i="13"/>
  <c r="AL10" i="13"/>
  <c r="AM16" i="13"/>
  <c r="AM5" i="13"/>
  <c r="AH11" i="5" l="1"/>
  <c r="AH18" i="5" s="1"/>
  <c r="AO9" i="12"/>
  <c r="AN15" i="12"/>
  <c r="BC21" i="4"/>
  <c r="AM17" i="13"/>
  <c r="AM8" i="13"/>
  <c r="AN3" i="13"/>
  <c r="AK7" i="5"/>
  <c r="AM31" i="12"/>
  <c r="AM32" i="12" s="1"/>
  <c r="AM28" i="12"/>
  <c r="AM29" i="12" s="1"/>
  <c r="AH79" i="17"/>
  <c r="AD24" i="6"/>
  <c r="AF20" i="5"/>
  <c r="AF22" i="5" s="1"/>
  <c r="BC27" i="5"/>
  <c r="AJ82" i="17"/>
  <c r="AG4" i="6"/>
  <c r="AG17" i="6" s="1"/>
  <c r="AL22" i="13"/>
  <c r="AI4" i="5" s="1"/>
  <c r="AI17" i="5" s="1"/>
  <c r="AL20" i="13"/>
  <c r="AL19" i="13" s="1"/>
  <c r="BD78" i="17"/>
  <c r="AZ30" i="6"/>
  <c r="AL4" i="4"/>
  <c r="BE25" i="5"/>
  <c r="BC27" i="6" s="1"/>
  <c r="BD9" i="4"/>
  <c r="AK16" i="5" l="1"/>
  <c r="AI22" i="6" s="1"/>
  <c r="AG23" i="6"/>
  <c r="D22" i="7" s="1"/>
  <c r="K16" i="3"/>
  <c r="BD21" i="4"/>
  <c r="AI7" i="6"/>
  <c r="BF25" i="5"/>
  <c r="BD27" i="6" s="1"/>
  <c r="BE9" i="4"/>
  <c r="AN16" i="13"/>
  <c r="AN5" i="13"/>
  <c r="AM4" i="4"/>
  <c r="BE78" i="17"/>
  <c r="BA30" i="6"/>
  <c r="AM84" i="17"/>
  <c r="AN18" i="12"/>
  <c r="AN24" i="12" s="1"/>
  <c r="AN26" i="12" s="1"/>
  <c r="AN27" i="12"/>
  <c r="AM13" i="13"/>
  <c r="AM10" i="13"/>
  <c r="AI79" i="17"/>
  <c r="AE24" i="6"/>
  <c r="AG20" i="5"/>
  <c r="AG22" i="5" s="1"/>
  <c r="BD27" i="5"/>
  <c r="AK82" i="17"/>
  <c r="AH4" i="6"/>
  <c r="AI5" i="5"/>
  <c r="AI11" i="5" s="1"/>
  <c r="AI18" i="5" s="1"/>
  <c r="AO11" i="12"/>
  <c r="AP9" i="12" l="1"/>
  <c r="AO15" i="12"/>
  <c r="BE21" i="4"/>
  <c r="AO3" i="13"/>
  <c r="AL7" i="5"/>
  <c r="AL16" i="5" s="1"/>
  <c r="AJ79" i="17"/>
  <c r="AF24" i="6"/>
  <c r="AH20" i="5"/>
  <c r="AH22" i="5" s="1"/>
  <c r="BE27" i="5"/>
  <c r="AN4" i="4"/>
  <c r="AN17" i="13"/>
  <c r="AN8" i="13"/>
  <c r="AH5" i="6"/>
  <c r="AH17" i="6" s="1"/>
  <c r="K4" i="3"/>
  <c r="BF78" i="17"/>
  <c r="BB30" i="6"/>
  <c r="L17" i="2"/>
  <c r="L12" i="33" s="1"/>
  <c r="AM22" i="13"/>
  <c r="AJ4" i="5" s="1"/>
  <c r="AJ17" i="5" s="1"/>
  <c r="AM20" i="13"/>
  <c r="AM19" i="13" s="1"/>
  <c r="BG25" i="5"/>
  <c r="BE27" i="6" s="1"/>
  <c r="BF9" i="4"/>
  <c r="AN28" i="12"/>
  <c r="AN29" i="12" s="1"/>
  <c r="AN31" i="12"/>
  <c r="AN32" i="12" s="1"/>
  <c r="AH23" i="6" l="1"/>
  <c r="AJ7" i="6"/>
  <c r="AJ22" i="6"/>
  <c r="BF21" i="4"/>
  <c r="AN13" i="13"/>
  <c r="AN10" i="13"/>
  <c r="BF27" i="5"/>
  <c r="M11" i="2"/>
  <c r="AN84" i="17"/>
  <c r="AO5" i="13"/>
  <c r="AO16" i="13"/>
  <c r="BH25" i="5"/>
  <c r="BF27" i="6" s="1"/>
  <c r="M9" i="2"/>
  <c r="BG9" i="4"/>
  <c r="AL82" i="17"/>
  <c r="AI4" i="6"/>
  <c r="AJ5" i="5"/>
  <c r="AJ11" i="5" s="1"/>
  <c r="AJ18" i="5" s="1"/>
  <c r="BG78" i="17"/>
  <c r="BC30" i="6"/>
  <c r="AK79" i="17"/>
  <c r="AG24" i="6"/>
  <c r="AI20" i="5"/>
  <c r="AI22" i="5" s="1"/>
  <c r="L19" i="2"/>
  <c r="L29" i="2"/>
  <c r="L30" i="2" s="1"/>
  <c r="L4" i="9" s="1"/>
  <c r="L5" i="9" s="1"/>
  <c r="L23" i="9" s="1"/>
  <c r="S37" i="6"/>
  <c r="AO4" i="4"/>
  <c r="AP11" i="12"/>
  <c r="AO18" i="12"/>
  <c r="AO24" i="12" s="1"/>
  <c r="AO26" i="12" s="1"/>
  <c r="AO27" i="12"/>
  <c r="AQ9" i="12" l="1"/>
  <c r="AP15" i="12"/>
  <c r="BG21" i="4"/>
  <c r="BG27" i="5"/>
  <c r="M13" i="2"/>
  <c r="M8" i="33" s="1"/>
  <c r="AO31" i="12"/>
  <c r="AO32" i="12" s="1"/>
  <c r="AO28" i="12"/>
  <c r="AO29" i="12" s="1"/>
  <c r="S38" i="6"/>
  <c r="S40" i="6" s="1"/>
  <c r="AI5" i="6"/>
  <c r="AI17" i="6" s="1"/>
  <c r="BI25" i="5"/>
  <c r="BG27" i="6" s="1"/>
  <c r="BH9" i="4"/>
  <c r="AO17" i="13"/>
  <c r="AO8" i="13"/>
  <c r="BH78" i="17"/>
  <c r="BD30" i="6"/>
  <c r="AP3" i="13"/>
  <c r="AM7" i="5"/>
  <c r="AM16" i="5" s="1"/>
  <c r="AP4" i="4"/>
  <c r="AN22" i="13"/>
  <c r="AK4" i="5" s="1"/>
  <c r="AK17" i="5" s="1"/>
  <c r="AN20" i="13"/>
  <c r="AN19" i="13" s="1"/>
  <c r="AI23" i="6" l="1"/>
  <c r="AK7" i="6"/>
  <c r="AK22" i="6"/>
  <c r="BH21" i="4"/>
  <c r="AQ4" i="4"/>
  <c r="AL79" i="17"/>
  <c r="AH24" i="6"/>
  <c r="AJ20" i="5"/>
  <c r="AJ22" i="5" s="1"/>
  <c r="AO84" i="17"/>
  <c r="AP16" i="13"/>
  <c r="AP5" i="13"/>
  <c r="AO13" i="13"/>
  <c r="AO10" i="13"/>
  <c r="T39" i="6"/>
  <c r="T17" i="11"/>
  <c r="T23" i="4"/>
  <c r="T27" i="4" s="1"/>
  <c r="BH27" i="5"/>
  <c r="AM82" i="17"/>
  <c r="AJ4" i="6"/>
  <c r="AK5" i="5"/>
  <c r="AK11" i="5" s="1"/>
  <c r="AK18" i="5" s="1"/>
  <c r="BI78" i="17"/>
  <c r="BE30" i="6"/>
  <c r="T37" i="6"/>
  <c r="AP27" i="12"/>
  <c r="AP18" i="12"/>
  <c r="AP24" i="12" s="1"/>
  <c r="AP26" i="12" s="1"/>
  <c r="BJ25" i="5"/>
  <c r="BH27" i="6" s="1"/>
  <c r="BI9" i="4"/>
  <c r="AQ11" i="12"/>
  <c r="AR9" i="12" l="1"/>
  <c r="AR11" i="12" s="1"/>
  <c r="AQ15" i="12"/>
  <c r="BI21" i="4"/>
  <c r="AQ3" i="13"/>
  <c r="AN7" i="5"/>
  <c r="BK25" i="5"/>
  <c r="BI27" i="6" s="1"/>
  <c r="BJ9" i="4"/>
  <c r="T38" i="6"/>
  <c r="T40" i="6" s="1"/>
  <c r="AP31" i="12"/>
  <c r="AP32" i="12" s="1"/>
  <c r="AP28" i="12"/>
  <c r="AP29" i="12" s="1"/>
  <c r="AP17" i="13"/>
  <c r="AP8" i="13"/>
  <c r="BJ78" i="17"/>
  <c r="BF30" i="6"/>
  <c r="AO20" i="13"/>
  <c r="AO19" i="13" s="1"/>
  <c r="AO22" i="13"/>
  <c r="AL4" i="5" s="1"/>
  <c r="AL17" i="5" s="1"/>
  <c r="AJ5" i="6"/>
  <c r="AJ17" i="6" s="1"/>
  <c r="BI27" i="5"/>
  <c r="AR4" i="4"/>
  <c r="AN16" i="5" l="1"/>
  <c r="AL22" i="6" s="1"/>
  <c r="AJ23" i="6"/>
  <c r="AS9" i="12"/>
  <c r="AR15" i="12"/>
  <c r="BJ21" i="4"/>
  <c r="AL7" i="6"/>
  <c r="BK78" i="17"/>
  <c r="BG30" i="6"/>
  <c r="AN82" i="17"/>
  <c r="AK4" i="6"/>
  <c r="AL5" i="5"/>
  <c r="U17" i="11"/>
  <c r="U39" i="6"/>
  <c r="U23" i="4"/>
  <c r="U27" i="4" s="1"/>
  <c r="AP13" i="13"/>
  <c r="AP10" i="13"/>
  <c r="C25" i="7"/>
  <c r="BL25" i="5"/>
  <c r="BJ27" i="6" s="1"/>
  <c r="BK9" i="4"/>
  <c r="AR3" i="13"/>
  <c r="AS11" i="12"/>
  <c r="AO7" i="5"/>
  <c r="AO16" i="5" s="1"/>
  <c r="AM79" i="17"/>
  <c r="AI24" i="6"/>
  <c r="AK20" i="5"/>
  <c r="AK22" i="5" s="1"/>
  <c r="AQ16" i="13"/>
  <c r="AQ5" i="13"/>
  <c r="AP84" i="17"/>
  <c r="AS4" i="4"/>
  <c r="BJ27" i="5"/>
  <c r="AQ27" i="12"/>
  <c r="AQ18" i="12"/>
  <c r="AQ24" i="12" s="1"/>
  <c r="AQ26" i="12" s="1"/>
  <c r="AM7" i="6" l="1"/>
  <c r="AM22" i="6"/>
  <c r="AL11" i="5"/>
  <c r="AL18" i="5" s="1"/>
  <c r="AT9" i="12"/>
  <c r="AT11" i="12" s="1"/>
  <c r="AS15" i="12"/>
  <c r="BK21" i="4"/>
  <c r="AT4" i="4"/>
  <c r="AR18" i="12"/>
  <c r="AR24" i="12" s="1"/>
  <c r="AR26" i="12" s="1"/>
  <c r="AR27" i="12"/>
  <c r="BK27" i="5"/>
  <c r="AQ17" i="13"/>
  <c r="AQ8" i="13"/>
  <c r="AQ84" i="17"/>
  <c r="AR16" i="13"/>
  <c r="AR5" i="13"/>
  <c r="AK5" i="6"/>
  <c r="AK17" i="6" s="1"/>
  <c r="AP22" i="13"/>
  <c r="AM4" i="5" s="1"/>
  <c r="AM17" i="5" s="1"/>
  <c r="AP20" i="13"/>
  <c r="AP19" i="13" s="1"/>
  <c r="AQ31" i="12"/>
  <c r="AQ32" i="12" s="1"/>
  <c r="AQ28" i="12"/>
  <c r="AQ29" i="12" s="1"/>
  <c r="BL78" i="17"/>
  <c r="BH30" i="6"/>
  <c r="BL9" i="4"/>
  <c r="BM25" i="5"/>
  <c r="BK27" i="6" s="1"/>
  <c r="J37" i="9"/>
  <c r="J25" i="9"/>
  <c r="AS3" i="13"/>
  <c r="AP7" i="5"/>
  <c r="AP16" i="5" s="1"/>
  <c r="AK23" i="6" l="1"/>
  <c r="AN7" i="6"/>
  <c r="AN22" i="6"/>
  <c r="AU9" i="12"/>
  <c r="AU11" i="12" s="1"/>
  <c r="AT15" i="12"/>
  <c r="BL21" i="4"/>
  <c r="BM78" i="17"/>
  <c r="BI30" i="6"/>
  <c r="AR84" i="17"/>
  <c r="AS16" i="13"/>
  <c r="AS5" i="13"/>
  <c r="BN25" i="5"/>
  <c r="BL27" i="6" s="1"/>
  <c r="BM9" i="4"/>
  <c r="AO82" i="17"/>
  <c r="AM5" i="5"/>
  <c r="AM11" i="5" s="1"/>
  <c r="AM18" i="5" s="1"/>
  <c r="AL4" i="6"/>
  <c r="AR17" i="13"/>
  <c r="AR8" i="13"/>
  <c r="AU4" i="4"/>
  <c r="L3" i="2"/>
  <c r="AT3" i="13"/>
  <c r="AQ7" i="5"/>
  <c r="AQ16" i="5" s="1"/>
  <c r="AS27" i="12"/>
  <c r="AS18" i="12"/>
  <c r="AS24" i="12" s="1"/>
  <c r="AS26" i="12" s="1"/>
  <c r="AQ13" i="13"/>
  <c r="AQ10" i="13"/>
  <c r="BL27" i="5"/>
  <c r="AR31" i="12"/>
  <c r="AR32" i="12" s="1"/>
  <c r="AR28" i="12"/>
  <c r="AR29" i="12" s="1"/>
  <c r="AO7" i="6" l="1"/>
  <c r="AO22" i="6"/>
  <c r="AV9" i="12"/>
  <c r="AV11" i="12" s="1"/>
  <c r="AU15" i="12"/>
  <c r="BM21" i="4"/>
  <c r="AQ22" i="13"/>
  <c r="AN4" i="5" s="1"/>
  <c r="AN17" i="5" s="1"/>
  <c r="AQ20" i="13"/>
  <c r="AQ19" i="13" s="1"/>
  <c r="AU3" i="13"/>
  <c r="AR7" i="5"/>
  <c r="AR16" i="5" s="1"/>
  <c r="AR13" i="13"/>
  <c r="AR10" i="13"/>
  <c r="AL5" i="6"/>
  <c r="AL17" i="6" s="1"/>
  <c r="BN78" i="17"/>
  <c r="BJ30" i="6"/>
  <c r="AS84" i="17"/>
  <c r="AT16" i="13"/>
  <c r="AT5" i="13"/>
  <c r="AS8" i="13"/>
  <c r="AS17" i="13"/>
  <c r="BO25" i="5"/>
  <c r="BM27" i="6" s="1"/>
  <c r="BN9" i="4"/>
  <c r="AN79" i="17"/>
  <c r="AJ24" i="6"/>
  <c r="AL20" i="5"/>
  <c r="AL22" i="5" s="1"/>
  <c r="BM27" i="5"/>
  <c r="AS31" i="12"/>
  <c r="AS32" i="12" s="1"/>
  <c r="AS28" i="12"/>
  <c r="AS29" i="12" s="1"/>
  <c r="AT27" i="12"/>
  <c r="AT18" i="12"/>
  <c r="AT24" i="12" s="1"/>
  <c r="AT26" i="12" s="1"/>
  <c r="AV4" i="4"/>
  <c r="AL23" i="6" l="1"/>
  <c r="AP7" i="6"/>
  <c r="AP22" i="6"/>
  <c r="AW9" i="12"/>
  <c r="AW11" i="12" s="1"/>
  <c r="AV15" i="12"/>
  <c r="BN21" i="4"/>
  <c r="BN27" i="5"/>
  <c r="AV3" i="13"/>
  <c r="AS7" i="5"/>
  <c r="AS16" i="5" s="1"/>
  <c r="AP82" i="17"/>
  <c r="AM4" i="6"/>
  <c r="AN5" i="5"/>
  <c r="AM5" i="6" s="1"/>
  <c r="AO79" i="17"/>
  <c r="AK24" i="6"/>
  <c r="AM20" i="5"/>
  <c r="AM22" i="5" s="1"/>
  <c r="AT28" i="12"/>
  <c r="AT29" i="12" s="1"/>
  <c r="AT31" i="12"/>
  <c r="AT32" i="12" s="1"/>
  <c r="BO78" i="17"/>
  <c r="BK30" i="6"/>
  <c r="AT17" i="13"/>
  <c r="AT8" i="13"/>
  <c r="AT84" i="17"/>
  <c r="AU16" i="13"/>
  <c r="AU5" i="13"/>
  <c r="BP25" i="5"/>
  <c r="BN27" i="6" s="1"/>
  <c r="BO9" i="4"/>
  <c r="AS13" i="13"/>
  <c r="AS10" i="13"/>
  <c r="AW4" i="4"/>
  <c r="AR22" i="13"/>
  <c r="AO4" i="5" s="1"/>
  <c r="AR20" i="13"/>
  <c r="AR19" i="13" s="1"/>
  <c r="AU27" i="12"/>
  <c r="AU18" i="12"/>
  <c r="AU24" i="12" s="1"/>
  <c r="AU26" i="12" s="1"/>
  <c r="AO17" i="5" l="1"/>
  <c r="AM23" i="6" s="1"/>
  <c r="AN11" i="5"/>
  <c r="AN18" i="5" s="1"/>
  <c r="AQ7" i="6"/>
  <c r="AQ22" i="6"/>
  <c r="AX9" i="12"/>
  <c r="AX11" i="12" s="1"/>
  <c r="AW15" i="12"/>
  <c r="BO21" i="4"/>
  <c r="AU31" i="12"/>
  <c r="AU32" i="12" s="1"/>
  <c r="AU28" i="12"/>
  <c r="AU29" i="12" s="1"/>
  <c r="AM17" i="6"/>
  <c r="AV16" i="13"/>
  <c r="AV5" i="13"/>
  <c r="AQ82" i="17"/>
  <c r="AN4" i="6"/>
  <c r="AO5" i="5"/>
  <c r="AN5" i="6" s="1"/>
  <c r="AX4" i="4"/>
  <c r="AS22" i="13"/>
  <c r="AP4" i="5" s="1"/>
  <c r="AS20" i="13"/>
  <c r="AS19" i="13" s="1"/>
  <c r="AW3" i="13"/>
  <c r="AT7" i="5"/>
  <c r="AT16" i="5" s="1"/>
  <c r="BO27" i="5"/>
  <c r="BQ25" i="5"/>
  <c r="BO27" i="6" s="1"/>
  <c r="BP9" i="4"/>
  <c r="AU17" i="13"/>
  <c r="AU8" i="13"/>
  <c r="AT13" i="13"/>
  <c r="AT10" i="13"/>
  <c r="AU84" i="17"/>
  <c r="AV18" i="12"/>
  <c r="AV24" i="12" s="1"/>
  <c r="AV26" i="12" s="1"/>
  <c r="AV27" i="12"/>
  <c r="BP78" i="17"/>
  <c r="BL30" i="6"/>
  <c r="AP17" i="5" l="1"/>
  <c r="AN23" i="6" s="1"/>
  <c r="AO11" i="5"/>
  <c r="AO18" i="5" s="1"/>
  <c r="AR7" i="6"/>
  <c r="AR22" i="6"/>
  <c r="AY9" i="12"/>
  <c r="AX15" i="12"/>
  <c r="BP21" i="4"/>
  <c r="AP79" i="17"/>
  <c r="AN17" i="6"/>
  <c r="AU13" i="13"/>
  <c r="AU10" i="13"/>
  <c r="AX3" i="13"/>
  <c r="AU7" i="5"/>
  <c r="AU16" i="5" s="1"/>
  <c r="AV28" i="12"/>
  <c r="AV29" i="12" s="1"/>
  <c r="AV31" i="12"/>
  <c r="AV32" i="12" s="1"/>
  <c r="BP27" i="5"/>
  <c r="AT22" i="13"/>
  <c r="AQ4" i="5" s="1"/>
  <c r="AT20" i="13"/>
  <c r="AT19" i="13" s="1"/>
  <c r="BR25" i="5"/>
  <c r="BP27" i="6" s="1"/>
  <c r="BQ9" i="4"/>
  <c r="BQ78" i="17"/>
  <c r="BM30" i="6"/>
  <c r="AW18" i="12"/>
  <c r="AW24" i="12" s="1"/>
  <c r="AW26" i="12" s="1"/>
  <c r="AW27" i="12"/>
  <c r="AY4" i="4"/>
  <c r="AV17" i="13"/>
  <c r="AV8" i="13"/>
  <c r="AV84" i="17"/>
  <c r="AW5" i="13"/>
  <c r="AW16" i="13"/>
  <c r="AR82" i="17"/>
  <c r="AO4" i="6"/>
  <c r="AP5" i="5"/>
  <c r="AO5" i="6" s="1"/>
  <c r="AQ17" i="5" l="1"/>
  <c r="AO23" i="6" s="1"/>
  <c r="AS7" i="6"/>
  <c r="AS22" i="6"/>
  <c r="AP11" i="5"/>
  <c r="AP18" i="5" s="1"/>
  <c r="BQ21" i="4"/>
  <c r="AN20" i="5"/>
  <c r="AN22" i="5" s="1"/>
  <c r="AL24" i="6"/>
  <c r="BR78" i="17"/>
  <c r="BN30" i="6"/>
  <c r="AW17" i="13"/>
  <c r="AW8" i="13"/>
  <c r="AX27" i="12"/>
  <c r="AX18" i="12"/>
  <c r="AX24" i="12" s="1"/>
  <c r="AX26" i="12" s="1"/>
  <c r="AZ4" i="4"/>
  <c r="AY11" i="12"/>
  <c r="AO17" i="6"/>
  <c r="M17" i="2"/>
  <c r="M12" i="33" s="1"/>
  <c r="AV13" i="13"/>
  <c r="AV10" i="13"/>
  <c r="AW31" i="12"/>
  <c r="AW32" i="12" s="1"/>
  <c r="AW28" i="12"/>
  <c r="AW29" i="12" s="1"/>
  <c r="BS25" i="5"/>
  <c r="BQ27" i="6" s="1"/>
  <c r="BR9" i="4"/>
  <c r="AS82" i="17"/>
  <c r="AP4" i="6"/>
  <c r="AQ5" i="5"/>
  <c r="AP5" i="6" s="1"/>
  <c r="BQ27" i="5"/>
  <c r="AW84" i="17"/>
  <c r="AX16" i="13"/>
  <c r="AX5" i="13"/>
  <c r="AU22" i="13"/>
  <c r="AR4" i="5" s="1"/>
  <c r="AU20" i="13"/>
  <c r="AU19" i="13" s="1"/>
  <c r="AR17" i="5" l="1"/>
  <c r="AP23" i="6" s="1"/>
  <c r="AZ9" i="12"/>
  <c r="AY15" i="12"/>
  <c r="AQ11" i="5"/>
  <c r="AQ18" i="5" s="1"/>
  <c r="BR21" i="4"/>
  <c r="AP17" i="6"/>
  <c r="M29" i="2"/>
  <c r="M30" i="2" s="1"/>
  <c r="M4" i="9" s="1"/>
  <c r="M5" i="9" s="1"/>
  <c r="M23" i="9" s="1"/>
  <c r="M19" i="2"/>
  <c r="BS78" i="17"/>
  <c r="BO30" i="6"/>
  <c r="BA4" i="4"/>
  <c r="BT25" i="5"/>
  <c r="BR27" i="6" s="1"/>
  <c r="BS9" i="4"/>
  <c r="N9" i="2"/>
  <c r="AX28" i="12"/>
  <c r="AX29" i="12" s="1"/>
  <c r="AX31" i="12"/>
  <c r="AX32" i="12" s="1"/>
  <c r="AX17" i="13"/>
  <c r="AX8" i="13"/>
  <c r="BR27" i="5"/>
  <c r="N11" i="2"/>
  <c r="AT82" i="17"/>
  <c r="AQ4" i="6"/>
  <c r="AR5" i="5"/>
  <c r="AQ5" i="6" s="1"/>
  <c r="AV22" i="13"/>
  <c r="AS4" i="5" s="1"/>
  <c r="AV20" i="13"/>
  <c r="AV19" i="13" s="1"/>
  <c r="AY3" i="13"/>
  <c r="AV7" i="5"/>
  <c r="AV16" i="5" s="1"/>
  <c r="AW13" i="13"/>
  <c r="AW10" i="13"/>
  <c r="AQ79" i="17"/>
  <c r="AM24" i="6"/>
  <c r="AO20" i="5"/>
  <c r="AO22" i="5" s="1"/>
  <c r="AS17" i="5" l="1"/>
  <c r="AQ23" i="6" s="1"/>
  <c r="AT7" i="6"/>
  <c r="AT22" i="6"/>
  <c r="AR11" i="5"/>
  <c r="AR18" i="5" s="1"/>
  <c r="BS21" i="4"/>
  <c r="AQ17" i="6"/>
  <c r="AU82" i="17"/>
  <c r="AR4" i="6"/>
  <c r="AS5" i="5"/>
  <c r="AR5" i="6" s="1"/>
  <c r="BS27" i="5"/>
  <c r="N13" i="2"/>
  <c r="N8" i="33" s="1"/>
  <c r="BT78" i="17"/>
  <c r="BP30" i="6"/>
  <c r="AY16" i="13"/>
  <c r="AY5" i="13"/>
  <c r="AW20" i="13"/>
  <c r="AW19" i="13" s="1"/>
  <c r="AW22" i="13"/>
  <c r="AT4" i="5" s="1"/>
  <c r="AX84" i="17"/>
  <c r="AZ11" i="12"/>
  <c r="AX13" i="13"/>
  <c r="AX10" i="13"/>
  <c r="AY27" i="12"/>
  <c r="AY18" i="12"/>
  <c r="AY24" i="12" s="1"/>
  <c r="AY26" i="12" s="1"/>
  <c r="AR79" i="17"/>
  <c r="AN24" i="6"/>
  <c r="AP20" i="5"/>
  <c r="AP22" i="5" s="1"/>
  <c r="BU25" i="5"/>
  <c r="BS27" i="6" s="1"/>
  <c r="BT9" i="4"/>
  <c r="BB4" i="4"/>
  <c r="AT17" i="5" l="1"/>
  <c r="AR23" i="6" s="1"/>
  <c r="BA9" i="12"/>
  <c r="AZ15" i="12"/>
  <c r="AS11" i="5"/>
  <c r="AS18" i="5" s="1"/>
  <c r="BT21" i="4"/>
  <c r="AR17" i="6"/>
  <c r="AX22" i="13"/>
  <c r="AU4" i="5" s="1"/>
  <c r="AX20" i="13"/>
  <c r="AX19" i="13" s="1"/>
  <c r="AV82" i="17"/>
  <c r="AS4" i="6"/>
  <c r="AT5" i="5"/>
  <c r="AS5" i="6" s="1"/>
  <c r="AY17" i="13"/>
  <c r="AY8" i="13"/>
  <c r="BU78" i="17"/>
  <c r="BQ30" i="6"/>
  <c r="AZ3" i="13"/>
  <c r="AW7" i="5"/>
  <c r="AS79" i="17"/>
  <c r="AO24" i="6"/>
  <c r="AQ20" i="5"/>
  <c r="AQ22" i="5" s="1"/>
  <c r="BV25" i="5"/>
  <c r="BT27" i="6" s="1"/>
  <c r="BU9" i="4"/>
  <c r="AY28" i="12"/>
  <c r="AY29" i="12" s="1"/>
  <c r="AY31" i="12"/>
  <c r="AY32" i="12" s="1"/>
  <c r="BC4" i="4"/>
  <c r="BT27" i="5"/>
  <c r="AW16" i="5" l="1"/>
  <c r="AU22" i="6" s="1"/>
  <c r="AU17" i="5"/>
  <c r="AS23" i="6" s="1"/>
  <c r="AT11" i="5"/>
  <c r="AT18" i="5" s="1"/>
  <c r="BU21" i="4"/>
  <c r="AU7" i="6"/>
  <c r="AS17" i="6"/>
  <c r="BU27" i="5"/>
  <c r="BA11" i="12"/>
  <c r="AY13" i="13"/>
  <c r="AY10" i="13"/>
  <c r="AY84" i="17"/>
  <c r="AZ18" i="12"/>
  <c r="AZ24" i="12" s="1"/>
  <c r="AZ26" i="12" s="1"/>
  <c r="AZ27" i="12"/>
  <c r="AW82" i="17"/>
  <c r="AT4" i="6"/>
  <c r="AU5" i="5"/>
  <c r="AT5" i="6" s="1"/>
  <c r="AT79" i="17"/>
  <c r="AP24" i="6"/>
  <c r="AR20" i="5"/>
  <c r="AR22" i="5" s="1"/>
  <c r="AZ16" i="13"/>
  <c r="AZ5" i="13"/>
  <c r="BV78" i="17"/>
  <c r="BR30" i="6"/>
  <c r="BW25" i="5"/>
  <c r="BU27" i="6" s="1"/>
  <c r="BV9" i="4"/>
  <c r="BD4" i="4"/>
  <c r="AU79" i="17"/>
  <c r="AQ24" i="6"/>
  <c r="AS20" i="5"/>
  <c r="AS22" i="5" s="1"/>
  <c r="BB9" i="12" l="1"/>
  <c r="BA15" i="12"/>
  <c r="AU11" i="5"/>
  <c r="AU18" i="5" s="1"/>
  <c r="BV21" i="4"/>
  <c r="BA3" i="13"/>
  <c r="AX7" i="5"/>
  <c r="AX16" i="5" s="1"/>
  <c r="BE4" i="4"/>
  <c r="AZ17" i="13"/>
  <c r="AZ8" i="13"/>
  <c r="AZ31" i="12"/>
  <c r="AZ32" i="12" s="1"/>
  <c r="AZ28" i="12"/>
  <c r="AZ29" i="12" s="1"/>
  <c r="AY22" i="13"/>
  <c r="AV4" i="5" s="1"/>
  <c r="AV17" i="5" s="1"/>
  <c r="AY20" i="13"/>
  <c r="AY19" i="13" s="1"/>
  <c r="BV27" i="5"/>
  <c r="BX25" i="5"/>
  <c r="BV27" i="6" s="1"/>
  <c r="BW9" i="4"/>
  <c r="AT17" i="6"/>
  <c r="AV79" i="17"/>
  <c r="AR24" i="6"/>
  <c r="AT20" i="5"/>
  <c r="AT22" i="5" s="1"/>
  <c r="BW78" i="17"/>
  <c r="BS30" i="6"/>
  <c r="AT23" i="6" l="1"/>
  <c r="AV7" i="6"/>
  <c r="AV22" i="6"/>
  <c r="BW21" i="4"/>
  <c r="BW27" i="5"/>
  <c r="BY25" i="5"/>
  <c r="BW27" i="6" s="1"/>
  <c r="BX9" i="4"/>
  <c r="BA27" i="12"/>
  <c r="BA18" i="12"/>
  <c r="BA24" i="12" s="1"/>
  <c r="BA26" i="12" s="1"/>
  <c r="AX82" i="17"/>
  <c r="AU4" i="6"/>
  <c r="AV5" i="5"/>
  <c r="AV11" i="5" s="1"/>
  <c r="AV18" i="5" s="1"/>
  <c r="BA16" i="13"/>
  <c r="BA5" i="13"/>
  <c r="BX78" i="17"/>
  <c r="BT30" i="6"/>
  <c r="AZ13" i="13"/>
  <c r="AZ10" i="13"/>
  <c r="AZ84" i="17"/>
  <c r="BF4" i="4"/>
  <c r="BB11" i="12"/>
  <c r="BC9" i="12" l="1"/>
  <c r="BB15" i="12"/>
  <c r="BX21" i="4"/>
  <c r="BB3" i="13"/>
  <c r="AY7" i="5"/>
  <c r="AW79" i="17"/>
  <c r="AS24" i="6"/>
  <c r="AU20" i="5"/>
  <c r="AU22" i="5" s="1"/>
  <c r="AZ22" i="13"/>
  <c r="AW4" i="5" s="1"/>
  <c r="AW17" i="5" s="1"/>
  <c r="AZ20" i="13"/>
  <c r="AZ19" i="13" s="1"/>
  <c r="BZ25" i="5"/>
  <c r="BX27" i="6" s="1"/>
  <c r="BY9" i="4"/>
  <c r="BG4" i="4"/>
  <c r="M3" i="2"/>
  <c r="BA31" i="12"/>
  <c r="BA32" i="12" s="1"/>
  <c r="BA28" i="12"/>
  <c r="BA29" i="12" s="1"/>
  <c r="BX27" i="5"/>
  <c r="AU5" i="6"/>
  <c r="BY78" i="17"/>
  <c r="BU30" i="6"/>
  <c r="BA8" i="13"/>
  <c r="BA17" i="13"/>
  <c r="AY16" i="5" l="1"/>
  <c r="AW22" i="6" s="1"/>
  <c r="AU23" i="6"/>
  <c r="BY21" i="4"/>
  <c r="AW7" i="6"/>
  <c r="AY82" i="17"/>
  <c r="AV4" i="6"/>
  <c r="AW5" i="5"/>
  <c r="BC11" i="12"/>
  <c r="BA84" i="17"/>
  <c r="BB27" i="12"/>
  <c r="BB18" i="12"/>
  <c r="BB24" i="12" s="1"/>
  <c r="BB26" i="12" s="1"/>
  <c r="BA13" i="13"/>
  <c r="BA10" i="13"/>
  <c r="BY27" i="5"/>
  <c r="AU17" i="6"/>
  <c r="BZ78" i="17"/>
  <c r="BV30" i="6"/>
  <c r="BH4" i="4"/>
  <c r="CA25" i="5"/>
  <c r="BY27" i="6" s="1"/>
  <c r="BZ9" i="4"/>
  <c r="BB16" i="13"/>
  <c r="BB5" i="13"/>
  <c r="BD9" i="12" l="1"/>
  <c r="BD11" i="12" s="1"/>
  <c r="BC15" i="12"/>
  <c r="AW11" i="5"/>
  <c r="AW18" i="5" s="1"/>
  <c r="BZ21" i="4"/>
  <c r="BB17" i="13"/>
  <c r="BB8" i="13"/>
  <c r="BB28" i="12"/>
  <c r="BB29" i="12" s="1"/>
  <c r="BB31" i="12"/>
  <c r="BB32" i="12" s="1"/>
  <c r="BC3" i="13"/>
  <c r="AZ7" i="5"/>
  <c r="AZ16" i="5" s="1"/>
  <c r="AV5" i="6"/>
  <c r="AV17" i="6" s="1"/>
  <c r="BI4" i="4"/>
  <c r="BZ27" i="5"/>
  <c r="AX79" i="17"/>
  <c r="AT24" i="6"/>
  <c r="AV20" i="5"/>
  <c r="AV22" i="5" s="1"/>
  <c r="CA78" i="17"/>
  <c r="BW30" i="6"/>
  <c r="BA22" i="13"/>
  <c r="AX4" i="5" s="1"/>
  <c r="AX17" i="5" s="1"/>
  <c r="BA20" i="13"/>
  <c r="BA19" i="13" s="1"/>
  <c r="CB25" i="5"/>
  <c r="BZ27" i="6" s="1"/>
  <c r="CA9" i="4"/>
  <c r="AV23" i="6" l="1"/>
  <c r="AX7" i="6"/>
  <c r="AX22" i="6"/>
  <c r="BE9" i="12"/>
  <c r="BE11" i="12" s="1"/>
  <c r="BD15" i="12"/>
  <c r="CA21" i="4"/>
  <c r="BJ4" i="4"/>
  <c r="BC16" i="13"/>
  <c r="BC5" i="13"/>
  <c r="BB84" i="17"/>
  <c r="CB78" i="17"/>
  <c r="BX30" i="6"/>
  <c r="AZ82" i="17"/>
  <c r="AW4" i="6"/>
  <c r="AX5" i="5"/>
  <c r="AX11" i="5" s="1"/>
  <c r="AX18" i="5" s="1"/>
  <c r="BC27" i="12"/>
  <c r="BC18" i="12"/>
  <c r="BC24" i="12" s="1"/>
  <c r="BC26" i="12" s="1"/>
  <c r="BB13" i="13"/>
  <c r="BB10" i="13"/>
  <c r="CB9" i="4"/>
  <c r="CC25" i="5"/>
  <c r="CA27" i="6" s="1"/>
  <c r="CA27" i="5"/>
  <c r="BD3" i="13"/>
  <c r="BA7" i="5"/>
  <c r="BA16" i="5" s="1"/>
  <c r="AY7" i="6" l="1"/>
  <c r="AY22" i="6"/>
  <c r="BF9" i="12"/>
  <c r="BF11" i="12" s="1"/>
  <c r="BE15" i="12"/>
  <c r="CB21" i="4"/>
  <c r="AW5" i="6"/>
  <c r="AW17" i="6" s="1"/>
  <c r="BC17" i="13"/>
  <c r="BC8" i="13"/>
  <c r="BD16" i="13"/>
  <c r="BD5" i="13"/>
  <c r="BE3" i="13"/>
  <c r="BB7" i="5"/>
  <c r="BB16" i="5" s="1"/>
  <c r="BB22" i="13"/>
  <c r="AY4" i="5" s="1"/>
  <c r="AY17" i="5" s="1"/>
  <c r="BB20" i="13"/>
  <c r="BB19" i="13" s="1"/>
  <c r="AY79" i="17"/>
  <c r="AU24" i="6"/>
  <c r="AW20" i="5"/>
  <c r="AW22" i="5" s="1"/>
  <c r="CB27" i="5"/>
  <c r="CC78" i="17"/>
  <c r="BY30" i="6"/>
  <c r="CD25" i="5"/>
  <c r="CB27" i="6" s="1"/>
  <c r="CC9" i="4"/>
  <c r="BC31" i="12"/>
  <c r="BC32" i="12" s="1"/>
  <c r="BC28" i="12"/>
  <c r="BC29" i="12" s="1"/>
  <c r="BC84" i="17"/>
  <c r="BD18" i="12"/>
  <c r="BD24" i="12" s="1"/>
  <c r="BD26" i="12" s="1"/>
  <c r="BD27" i="12"/>
  <c r="BK4" i="4"/>
  <c r="AW23" i="6" l="1"/>
  <c r="AZ7" i="6"/>
  <c r="AZ22" i="6"/>
  <c r="BG9" i="12"/>
  <c r="BG11" i="12" s="1"/>
  <c r="BF15" i="12"/>
  <c r="CC21" i="4"/>
  <c r="CD78" i="17"/>
  <c r="BZ30" i="6"/>
  <c r="BL4" i="4"/>
  <c r="CE25" i="5"/>
  <c r="CC27" i="6" s="1"/>
  <c r="CD9" i="4"/>
  <c r="N17" i="2"/>
  <c r="N12" i="33" s="1"/>
  <c r="BD84" i="17"/>
  <c r="BE5" i="13"/>
  <c r="BE16" i="13"/>
  <c r="BD17" i="13"/>
  <c r="BD8" i="13"/>
  <c r="BD28" i="12"/>
  <c r="BD29" i="12" s="1"/>
  <c r="BD31" i="12"/>
  <c r="BD32" i="12" s="1"/>
  <c r="CC27" i="5"/>
  <c r="BA82" i="17"/>
  <c r="AX4" i="6"/>
  <c r="AY5" i="5"/>
  <c r="BF3" i="13"/>
  <c r="BC7" i="5"/>
  <c r="BC16" i="5" s="1"/>
  <c r="BC13" i="13"/>
  <c r="BC10" i="13"/>
  <c r="BE18" i="12"/>
  <c r="BE24" i="12" s="1"/>
  <c r="BE26" i="12" s="1"/>
  <c r="BE27" i="12"/>
  <c r="BA7" i="6" l="1"/>
  <c r="BA22" i="6"/>
  <c r="AY11" i="5"/>
  <c r="AY18" i="5" s="1"/>
  <c r="BH9" i="12"/>
  <c r="BH11" i="12" s="1"/>
  <c r="BG15" i="12"/>
  <c r="CD21" i="4"/>
  <c r="BE31" i="12"/>
  <c r="BE32" i="12" s="1"/>
  <c r="BE28" i="12"/>
  <c r="BE29" i="12" s="1"/>
  <c r="BC22" i="13"/>
  <c r="AZ4" i="5" s="1"/>
  <c r="AZ17" i="5" s="1"/>
  <c r="BC20" i="13"/>
  <c r="BC19" i="13" s="1"/>
  <c r="CE78" i="17"/>
  <c r="CA30" i="6"/>
  <c r="BE17" i="13"/>
  <c r="BE8" i="13"/>
  <c r="CF25" i="5"/>
  <c r="CD27" i="6" s="1"/>
  <c r="O9" i="2"/>
  <c r="CE9" i="4"/>
  <c r="BG3" i="13"/>
  <c r="BD7" i="5"/>
  <c r="BD16" i="5" s="1"/>
  <c r="BM4" i="4"/>
  <c r="AZ79" i="17"/>
  <c r="AV24" i="6"/>
  <c r="AX20" i="5"/>
  <c r="AX22" i="5" s="1"/>
  <c r="BE84" i="17"/>
  <c r="BF16" i="13"/>
  <c r="BF5" i="13"/>
  <c r="CD27" i="5"/>
  <c r="O11" i="2"/>
  <c r="BF27" i="12"/>
  <c r="BF18" i="12"/>
  <c r="BF24" i="12" s="1"/>
  <c r="BF26" i="12" s="1"/>
  <c r="AX5" i="6"/>
  <c r="AX17" i="6" s="1"/>
  <c r="BD13" i="13"/>
  <c r="BD10" i="13"/>
  <c r="N29" i="2"/>
  <c r="N30" i="2" s="1"/>
  <c r="N4" i="9" s="1"/>
  <c r="N5" i="9" s="1"/>
  <c r="N23" i="9" s="1"/>
  <c r="N19" i="2"/>
  <c r="AX23" i="6" l="1"/>
  <c r="BB7" i="6"/>
  <c r="BB22" i="6"/>
  <c r="BI9" i="12"/>
  <c r="BI11" i="12" s="1"/>
  <c r="BH15" i="12"/>
  <c r="CE21" i="4"/>
  <c r="CE27" i="5"/>
  <c r="O13" i="2"/>
  <c r="O8" i="33" s="1"/>
  <c r="BN4" i="4"/>
  <c r="BG16" i="13"/>
  <c r="BG5" i="13"/>
  <c r="CF78" i="17"/>
  <c r="CB30" i="6"/>
  <c r="BF84" i="17"/>
  <c r="BD22" i="13"/>
  <c r="BA4" i="5" s="1"/>
  <c r="BD20" i="13"/>
  <c r="BD19" i="13" s="1"/>
  <c r="BF31" i="12"/>
  <c r="BF32" i="12" s="1"/>
  <c r="BF28" i="12"/>
  <c r="BF29" i="12" s="1"/>
  <c r="BH3" i="13"/>
  <c r="BE7" i="5"/>
  <c r="BE16" i="5" s="1"/>
  <c r="BE13" i="13"/>
  <c r="BE10" i="13"/>
  <c r="BA79" i="17"/>
  <c r="AW24" i="6"/>
  <c r="AY20" i="5"/>
  <c r="AY22" i="5" s="1"/>
  <c r="BF17" i="13"/>
  <c r="BF8" i="13"/>
  <c r="BG27" i="12"/>
  <c r="BG18" i="12"/>
  <c r="BG24" i="12" s="1"/>
  <c r="BG26" i="12" s="1"/>
  <c r="CG25" i="5"/>
  <c r="CE27" i="6" s="1"/>
  <c r="CF9" i="4"/>
  <c r="BB82" i="17"/>
  <c r="AY4" i="6"/>
  <c r="AZ5" i="5"/>
  <c r="AZ11" i="5" s="1"/>
  <c r="AZ18" i="5" s="1"/>
  <c r="BA17" i="5" l="1"/>
  <c r="AY23" i="6" s="1"/>
  <c r="BC7" i="6"/>
  <c r="BC22" i="6"/>
  <c r="BJ9" i="12"/>
  <c r="BJ11" i="12" s="1"/>
  <c r="BI15" i="12"/>
  <c r="CF21" i="4"/>
  <c r="CH25" i="5"/>
  <c r="CF27" i="6" s="1"/>
  <c r="CG9" i="4"/>
  <c r="BE20" i="13"/>
  <c r="BE19" i="13" s="1"/>
  <c r="BE22" i="13"/>
  <c r="BB4" i="5" s="1"/>
  <c r="BH18" i="12"/>
  <c r="BH24" i="12" s="1"/>
  <c r="BH26" i="12" s="1"/>
  <c r="BH27" i="12"/>
  <c r="BC82" i="17"/>
  <c r="AZ4" i="6"/>
  <c r="BA5" i="5"/>
  <c r="AZ5" i="6" s="1"/>
  <c r="BG84" i="17"/>
  <c r="BH16" i="13"/>
  <c r="BH5" i="13"/>
  <c r="BG17" i="13"/>
  <c r="BG8" i="13"/>
  <c r="CF27" i="5"/>
  <c r="BF13" i="13"/>
  <c r="BF10" i="13"/>
  <c r="BI3" i="13"/>
  <c r="BF7" i="5"/>
  <c r="AY5" i="6"/>
  <c r="AY17" i="6" s="1"/>
  <c r="BG31" i="12"/>
  <c r="BG32" i="12" s="1"/>
  <c r="BG28" i="12"/>
  <c r="BG29" i="12" s="1"/>
  <c r="BO4" i="4"/>
  <c r="CG78" i="17"/>
  <c r="CC30" i="6"/>
  <c r="BF16" i="5" l="1"/>
  <c r="BD22" i="6" s="1"/>
  <c r="BB17" i="5"/>
  <c r="AZ23" i="6" s="1"/>
  <c r="BK9" i="12"/>
  <c r="BJ15" i="12"/>
  <c r="BA11" i="5"/>
  <c r="BA18" i="5" s="1"/>
  <c r="CG21" i="4"/>
  <c r="BD7" i="6"/>
  <c r="AZ17" i="6"/>
  <c r="BI27" i="12"/>
  <c r="BI18" i="12"/>
  <c r="BI24" i="12" s="1"/>
  <c r="BI26" i="12" s="1"/>
  <c r="BF22" i="13"/>
  <c r="BC4" i="5" s="1"/>
  <c r="BF20" i="13"/>
  <c r="BF19" i="13" s="1"/>
  <c r="BJ3" i="13"/>
  <c r="BG7" i="5"/>
  <c r="BG16" i="5" s="1"/>
  <c r="CG27" i="5"/>
  <c r="BG13" i="13"/>
  <c r="BG10" i="13"/>
  <c r="CI25" i="5"/>
  <c r="CG27" i="6" s="1"/>
  <c r="CH9" i="4"/>
  <c r="BH84" i="17"/>
  <c r="BI16" i="13"/>
  <c r="BI5" i="13"/>
  <c r="CH78" i="17"/>
  <c r="CD30" i="6"/>
  <c r="BD82" i="17"/>
  <c r="BA4" i="6"/>
  <c r="BB5" i="5"/>
  <c r="BA5" i="6" s="1"/>
  <c r="BP4" i="4"/>
  <c r="BH17" i="13"/>
  <c r="BH8" i="13"/>
  <c r="BH31" i="12"/>
  <c r="BH32" i="12" s="1"/>
  <c r="BH28" i="12"/>
  <c r="BH29" i="12" s="1"/>
  <c r="BC17" i="5" l="1"/>
  <c r="BA23" i="6" s="1"/>
  <c r="BE7" i="6"/>
  <c r="BE22" i="6"/>
  <c r="BB11" i="5"/>
  <c r="BB18" i="5" s="1"/>
  <c r="CH21" i="4"/>
  <c r="BA17" i="6"/>
  <c r="CH27" i="5"/>
  <c r="BI8" i="13"/>
  <c r="BI17" i="13"/>
  <c r="CI78" i="17"/>
  <c r="CE30" i="6"/>
  <c r="BJ27" i="12"/>
  <c r="BJ18" i="12"/>
  <c r="BJ24" i="12" s="1"/>
  <c r="BJ26" i="12" s="1"/>
  <c r="BQ4" i="4"/>
  <c r="BK11" i="12"/>
  <c r="BI31" i="12"/>
  <c r="BI32" i="12" s="1"/>
  <c r="BI28" i="12"/>
  <c r="BI29" i="12" s="1"/>
  <c r="BB79" i="17"/>
  <c r="AX24" i="6"/>
  <c r="AZ20" i="5"/>
  <c r="AZ22" i="5" s="1"/>
  <c r="BI84" i="17"/>
  <c r="BJ16" i="13"/>
  <c r="BJ5" i="13"/>
  <c r="BE82" i="17"/>
  <c r="BC5" i="5"/>
  <c r="BB5" i="6" s="1"/>
  <c r="BB4" i="6"/>
  <c r="BC79" i="17"/>
  <c r="AY24" i="6"/>
  <c r="BA20" i="5"/>
  <c r="BA22" i="5" s="1"/>
  <c r="BH13" i="13"/>
  <c r="BH10" i="13"/>
  <c r="CJ25" i="5"/>
  <c r="CH27" i="6" s="1"/>
  <c r="CI9" i="4"/>
  <c r="BG22" i="13"/>
  <c r="BD4" i="5" s="1"/>
  <c r="BG20" i="13"/>
  <c r="BG19" i="13" s="1"/>
  <c r="BD17" i="5" l="1"/>
  <c r="BB23" i="6" s="1"/>
  <c r="BC11" i="5"/>
  <c r="BC18" i="5" s="1"/>
  <c r="BL9" i="12"/>
  <c r="BK15" i="12"/>
  <c r="CI21" i="4"/>
  <c r="BB17" i="6"/>
  <c r="BJ17" i="13"/>
  <c r="BJ8" i="13"/>
  <c r="BF82" i="17"/>
  <c r="BC4" i="6"/>
  <c r="BD5" i="5"/>
  <c r="BC5" i="6" s="1"/>
  <c r="BR4" i="4"/>
  <c r="CK25" i="5"/>
  <c r="CI27" i="6" s="1"/>
  <c r="CJ9" i="4"/>
  <c r="BK3" i="13"/>
  <c r="BH7" i="5"/>
  <c r="BH16" i="5" s="1"/>
  <c r="BJ28" i="12"/>
  <c r="BJ29" i="12" s="1"/>
  <c r="BJ31" i="12"/>
  <c r="BJ32" i="12" s="1"/>
  <c r="BI13" i="13"/>
  <c r="BI10" i="13"/>
  <c r="CJ78" i="17"/>
  <c r="CF30" i="6"/>
  <c r="CI27" i="5"/>
  <c r="BH22" i="13"/>
  <c r="BE4" i="5" s="1"/>
  <c r="BH20" i="13"/>
  <c r="BH19" i="13" s="1"/>
  <c r="BE17" i="5" l="1"/>
  <c r="BC23" i="6" s="1"/>
  <c r="BF7" i="6"/>
  <c r="BF22" i="6"/>
  <c r="BD11" i="5"/>
  <c r="BD18" i="5" s="1"/>
  <c r="CJ21" i="4"/>
  <c r="BC20" i="5"/>
  <c r="BC22" i="5" s="1"/>
  <c r="BC17" i="6"/>
  <c r="BK27" i="12"/>
  <c r="BK18" i="12"/>
  <c r="BK24" i="12" s="1"/>
  <c r="BK26" i="12" s="1"/>
  <c r="BS4" i="4"/>
  <c r="N3" i="2"/>
  <c r="CK78" i="17"/>
  <c r="CG30" i="6"/>
  <c r="BG82" i="17"/>
  <c r="BD4" i="6"/>
  <c r="BE5" i="5"/>
  <c r="BD5" i="6" s="1"/>
  <c r="BI22" i="13"/>
  <c r="BF4" i="5" s="1"/>
  <c r="BI20" i="13"/>
  <c r="BI19" i="13" s="1"/>
  <c r="BL11" i="12"/>
  <c r="BJ13" i="13"/>
  <c r="BJ10" i="13"/>
  <c r="CJ27" i="5"/>
  <c r="BJ84" i="17"/>
  <c r="BK16" i="13"/>
  <c r="BK5" i="13"/>
  <c r="CL25" i="5"/>
  <c r="CJ27" i="6" s="1"/>
  <c r="CK9" i="4"/>
  <c r="BD79" i="17"/>
  <c r="AZ24" i="6"/>
  <c r="BB20" i="5"/>
  <c r="BB22" i="5" s="1"/>
  <c r="BF17" i="5" l="1"/>
  <c r="BD23" i="6" s="1"/>
  <c r="BE11" i="5"/>
  <c r="BE18" i="5" s="1"/>
  <c r="BM9" i="12"/>
  <c r="BL15" i="12"/>
  <c r="CK21" i="4"/>
  <c r="BE79" i="17"/>
  <c r="BA24" i="6"/>
  <c r="BD17" i="6"/>
  <c r="CM25" i="5"/>
  <c r="CK27" i="6" s="1"/>
  <c r="CL9" i="4"/>
  <c r="CK27" i="5"/>
  <c r="BK17" i="13"/>
  <c r="BK8" i="13"/>
  <c r="K37" i="9"/>
  <c r="K25" i="9"/>
  <c r="CL78" i="17"/>
  <c r="CH30" i="6"/>
  <c r="BH82" i="17"/>
  <c r="BE4" i="6"/>
  <c r="BF5" i="5"/>
  <c r="BE5" i="6" s="1"/>
  <c r="BK31" i="12"/>
  <c r="BK32" i="12" s="1"/>
  <c r="BK28" i="12"/>
  <c r="BK29" i="12" s="1"/>
  <c r="BJ22" i="13"/>
  <c r="BG4" i="5" s="1"/>
  <c r="BJ20" i="13"/>
  <c r="BJ19" i="13" s="1"/>
  <c r="BL3" i="13"/>
  <c r="BI7" i="5"/>
  <c r="BI16" i="5" s="1"/>
  <c r="BT4" i="4"/>
  <c r="BG17" i="5" l="1"/>
  <c r="BE23" i="6" s="1"/>
  <c r="BG7" i="6"/>
  <c r="BG22" i="6"/>
  <c r="BF11" i="5"/>
  <c r="BF18" i="5" s="1"/>
  <c r="CL21" i="4"/>
  <c r="BG79" i="17"/>
  <c r="BE17" i="6"/>
  <c r="BM11" i="12"/>
  <c r="BK84" i="17"/>
  <c r="BL18" i="12"/>
  <c r="BL24" i="12" s="1"/>
  <c r="BL26" i="12" s="1"/>
  <c r="BL27" i="12"/>
  <c r="BF79" i="17"/>
  <c r="BB24" i="6"/>
  <c r="BD20" i="5"/>
  <c r="BD22" i="5" s="1"/>
  <c r="CL27" i="5"/>
  <c r="BL16" i="13"/>
  <c r="BL5" i="13"/>
  <c r="BK13" i="13"/>
  <c r="BK10" i="13"/>
  <c r="CM78" i="17"/>
  <c r="CI30" i="6"/>
  <c r="CN25" i="5"/>
  <c r="CL27" i="6" s="1"/>
  <c r="CM9" i="4"/>
  <c r="BU4" i="4"/>
  <c r="BI82" i="17"/>
  <c r="BF4" i="6"/>
  <c r="BG5" i="5"/>
  <c r="BF5" i="6" s="1"/>
  <c r="BN9" i="12" l="1"/>
  <c r="BM15" i="12"/>
  <c r="BG11" i="5"/>
  <c r="BG18" i="5" s="1"/>
  <c r="CM21" i="4"/>
  <c r="BE20" i="5"/>
  <c r="BE22" i="5" s="1"/>
  <c r="BC24" i="6"/>
  <c r="CO25" i="5"/>
  <c r="CM27" i="6" s="1"/>
  <c r="CN9" i="4"/>
  <c r="BL17" i="13"/>
  <c r="BL8" i="13"/>
  <c r="BM3" i="13"/>
  <c r="BJ7" i="5"/>
  <c r="BF17" i="6"/>
  <c r="BL28" i="12"/>
  <c r="BL29" i="12" s="1"/>
  <c r="BL31" i="12"/>
  <c r="BL32" i="12" s="1"/>
  <c r="CM27" i="5"/>
  <c r="CN78" i="17"/>
  <c r="CJ30" i="6"/>
  <c r="BV4" i="4"/>
  <c r="BK22" i="13"/>
  <c r="BH4" i="5" s="1"/>
  <c r="BH17" i="5" s="1"/>
  <c r="BK20" i="13"/>
  <c r="BK19" i="13" s="1"/>
  <c r="BJ16" i="5" l="1"/>
  <c r="BH22" i="6" s="1"/>
  <c r="BF23" i="6"/>
  <c r="CN21" i="4"/>
  <c r="BH7" i="6"/>
  <c r="BN11" i="12"/>
  <c r="CP25" i="5"/>
  <c r="CN27" i="6" s="1"/>
  <c r="CO9" i="4"/>
  <c r="BH79" i="17"/>
  <c r="BD24" i="6"/>
  <c r="BF20" i="5"/>
  <c r="BF22" i="5" s="1"/>
  <c r="BM18" i="12"/>
  <c r="BM24" i="12" s="1"/>
  <c r="BM26" i="12" s="1"/>
  <c r="BM27" i="12"/>
  <c r="BL10" i="13"/>
  <c r="BL13" i="13"/>
  <c r="BJ82" i="17"/>
  <c r="BG4" i="6"/>
  <c r="BH5" i="5"/>
  <c r="BW4" i="4"/>
  <c r="CN27" i="5"/>
  <c r="BL84" i="17"/>
  <c r="BM5" i="13"/>
  <c r="BM16" i="13"/>
  <c r="CO78" i="17"/>
  <c r="CK30" i="6"/>
  <c r="BO9" i="12" l="1"/>
  <c r="BN15" i="12"/>
  <c r="BH11" i="5"/>
  <c r="BH18" i="5" s="1"/>
  <c r="CO21" i="4"/>
  <c r="CP78" i="17"/>
  <c r="CL30" i="6"/>
  <c r="BM31" i="12"/>
  <c r="BM32" i="12" s="1"/>
  <c r="BM28" i="12"/>
  <c r="BM29" i="12" s="1"/>
  <c r="O17" i="2"/>
  <c r="O12" i="33" s="1"/>
  <c r="BG5" i="6"/>
  <c r="BG17" i="6" s="1"/>
  <c r="BL22" i="13"/>
  <c r="BI4" i="5" s="1"/>
  <c r="BI17" i="5" s="1"/>
  <c r="BL20" i="13"/>
  <c r="BL19" i="13" s="1"/>
  <c r="BN3" i="13"/>
  <c r="BK7" i="5"/>
  <c r="BK16" i="5" s="1"/>
  <c r="BI79" i="17"/>
  <c r="BE24" i="6"/>
  <c r="BG20" i="5"/>
  <c r="BG22" i="5" s="1"/>
  <c r="BM17" i="13"/>
  <c r="BM8" i="13"/>
  <c r="CO27" i="5"/>
  <c r="BX4" i="4"/>
  <c r="CQ25" i="5"/>
  <c r="CO27" i="6" s="1"/>
  <c r="CP9" i="4"/>
  <c r="BG23" i="6" l="1"/>
  <c r="BI7" i="6"/>
  <c r="BI22" i="6"/>
  <c r="CP21" i="4"/>
  <c r="O19" i="2"/>
  <c r="O29" i="2"/>
  <c r="O30" i="2" s="1"/>
  <c r="O4" i="9" s="1"/>
  <c r="O5" i="9" s="1"/>
  <c r="O23" i="9" s="1"/>
  <c r="CR25" i="5"/>
  <c r="CP27" i="6" s="1"/>
  <c r="P9" i="2"/>
  <c r="CQ9" i="4"/>
  <c r="BJ79" i="17"/>
  <c r="BF24" i="6"/>
  <c r="BH20" i="5"/>
  <c r="BH22" i="5" s="1"/>
  <c r="CQ78" i="17"/>
  <c r="CM30" i="6"/>
  <c r="CP27" i="5"/>
  <c r="P11" i="2"/>
  <c r="BM84" i="17"/>
  <c r="BN16" i="13"/>
  <c r="BN5" i="13"/>
  <c r="BY4" i="4"/>
  <c r="BM13" i="13"/>
  <c r="BM10" i="13"/>
  <c r="BN27" i="12"/>
  <c r="BN18" i="12"/>
  <c r="BN24" i="12" s="1"/>
  <c r="BN26" i="12" s="1"/>
  <c r="BO11" i="12"/>
  <c r="BK82" i="17"/>
  <c r="BH4" i="6"/>
  <c r="BI5" i="5"/>
  <c r="BP9" i="12" l="1"/>
  <c r="BO15" i="12"/>
  <c r="BI11" i="5"/>
  <c r="BI18" i="5" s="1"/>
  <c r="CQ21" i="4"/>
  <c r="BM20" i="13"/>
  <c r="BM19" i="13" s="1"/>
  <c r="BM22" i="13"/>
  <c r="BJ4" i="5" s="1"/>
  <c r="BJ17" i="5" s="1"/>
  <c r="BH5" i="6"/>
  <c r="BH17" i="6" s="1"/>
  <c r="BO3" i="13"/>
  <c r="BP11" i="12"/>
  <c r="BL7" i="5"/>
  <c r="BN28" i="12"/>
  <c r="BN29" i="12" s="1"/>
  <c r="BN31" i="12"/>
  <c r="BN32" i="12" s="1"/>
  <c r="BZ4" i="4"/>
  <c r="CQ27" i="5"/>
  <c r="P13" i="2"/>
  <c r="P8" i="33" s="1"/>
  <c r="CS25" i="5"/>
  <c r="CQ27" i="6" s="1"/>
  <c r="CR9" i="4"/>
  <c r="BN17" i="13"/>
  <c r="BN8" i="13"/>
  <c r="CR78" i="17"/>
  <c r="CN30" i="6"/>
  <c r="BL16" i="5" l="1"/>
  <c r="BJ22" i="6" s="1"/>
  <c r="BH23" i="6"/>
  <c r="BQ9" i="12"/>
  <c r="BQ11" i="12" s="1"/>
  <c r="BP15" i="12"/>
  <c r="CR21" i="4"/>
  <c r="BJ7" i="6"/>
  <c r="BN13" i="13"/>
  <c r="BN10" i="13"/>
  <c r="BP3" i="13"/>
  <c r="BM7" i="5"/>
  <c r="BM16" i="5" s="1"/>
  <c r="CT25" i="5"/>
  <c r="CR27" i="6" s="1"/>
  <c r="CS9" i="4"/>
  <c r="CS78" i="17"/>
  <c r="CO30" i="6"/>
  <c r="BO16" i="13"/>
  <c r="BO5" i="13"/>
  <c r="CA4" i="4"/>
  <c r="BN84" i="17"/>
  <c r="BL82" i="17"/>
  <c r="BI4" i="6"/>
  <c r="BJ5" i="5"/>
  <c r="CR27" i="5"/>
  <c r="BO27" i="12"/>
  <c r="BO18" i="12"/>
  <c r="BO24" i="12" s="1"/>
  <c r="BO26" i="12" s="1"/>
  <c r="BK7" i="6" l="1"/>
  <c r="BK22" i="6"/>
  <c r="BR9" i="12"/>
  <c r="BQ15" i="12"/>
  <c r="BJ11" i="5"/>
  <c r="BJ18" i="5" s="1"/>
  <c r="CS21" i="4"/>
  <c r="BO84" i="17"/>
  <c r="BP18" i="12"/>
  <c r="BP24" i="12" s="1"/>
  <c r="BP26" i="12" s="1"/>
  <c r="BP27" i="12"/>
  <c r="BO28" i="12"/>
  <c r="BO29" i="12" s="1"/>
  <c r="BO31" i="12"/>
  <c r="BO32" i="12" s="1"/>
  <c r="CT78" i="17"/>
  <c r="CP30" i="6"/>
  <c r="BN22" i="13"/>
  <c r="BK4" i="5" s="1"/>
  <c r="BK17" i="5" s="1"/>
  <c r="BN20" i="13"/>
  <c r="BN19" i="13" s="1"/>
  <c r="CS27" i="5"/>
  <c r="BI5" i="6"/>
  <c r="BI17" i="6" s="1"/>
  <c r="CU25" i="5"/>
  <c r="CS27" i="6" s="1"/>
  <c r="CT9" i="4"/>
  <c r="BP16" i="13"/>
  <c r="BP5" i="13"/>
  <c r="BK79" i="17"/>
  <c r="BG24" i="6"/>
  <c r="BI20" i="5"/>
  <c r="BI22" i="5" s="1"/>
  <c r="CB4" i="4"/>
  <c r="BO17" i="13"/>
  <c r="BO8" i="13"/>
  <c r="BQ3" i="13"/>
  <c r="BR11" i="12"/>
  <c r="BN7" i="5"/>
  <c r="BN16" i="5" s="1"/>
  <c r="BI23" i="6" l="1"/>
  <c r="BL7" i="6"/>
  <c r="BL22" i="6"/>
  <c r="BS9" i="12"/>
  <c r="BS11" i="12" s="1"/>
  <c r="BR15" i="12"/>
  <c r="CT21" i="4"/>
  <c r="BR3" i="13"/>
  <c r="BO7" i="5"/>
  <c r="BO16" i="5" s="1"/>
  <c r="BQ16" i="13"/>
  <c r="BQ5" i="13"/>
  <c r="BO13" i="13"/>
  <c r="BO10" i="13"/>
  <c r="CV25" i="5"/>
  <c r="CT27" i="6" s="1"/>
  <c r="CU9" i="4"/>
  <c r="BP31" i="12"/>
  <c r="BP32" i="12" s="1"/>
  <c r="BP28" i="12"/>
  <c r="BP29" i="12" s="1"/>
  <c r="BL79" i="17"/>
  <c r="BH24" i="6"/>
  <c r="BJ20" i="5"/>
  <c r="BJ22" i="5" s="1"/>
  <c r="BQ27" i="12"/>
  <c r="BQ18" i="12"/>
  <c r="BQ24" i="12" s="1"/>
  <c r="BQ26" i="12" s="1"/>
  <c r="CC4" i="4"/>
  <c r="BP17" i="13"/>
  <c r="BP8" i="13"/>
  <c r="CU78" i="17"/>
  <c r="CQ30" i="6"/>
  <c r="BP84" i="17"/>
  <c r="CT27" i="5"/>
  <c r="BM82" i="17"/>
  <c r="BJ4" i="6"/>
  <c r="BK5" i="5"/>
  <c r="BM7" i="6" l="1"/>
  <c r="BM22" i="6"/>
  <c r="BT9" i="12"/>
  <c r="BS15" i="12"/>
  <c r="BK11" i="5"/>
  <c r="BK18" i="5" s="1"/>
  <c r="CU21" i="4"/>
  <c r="BQ31" i="12"/>
  <c r="BQ32" i="12" s="1"/>
  <c r="BQ28" i="12"/>
  <c r="BQ29" i="12" s="1"/>
  <c r="BO22" i="13"/>
  <c r="BL4" i="5" s="1"/>
  <c r="BL17" i="5" s="1"/>
  <c r="BO20" i="13"/>
  <c r="BO19" i="13" s="1"/>
  <c r="BS3" i="13"/>
  <c r="BT11" i="12"/>
  <c r="BP7" i="5"/>
  <c r="BP16" i="5" s="1"/>
  <c r="BJ5" i="6"/>
  <c r="BJ17" i="6" s="1"/>
  <c r="CW25" i="5"/>
  <c r="CU27" i="6" s="1"/>
  <c r="CV9" i="4"/>
  <c r="BQ8" i="13"/>
  <c r="BQ17" i="13"/>
  <c r="BR16" i="13"/>
  <c r="BR5" i="13"/>
  <c r="CU27" i="5"/>
  <c r="CV78" i="17"/>
  <c r="CR30" i="6"/>
  <c r="CD4" i="4"/>
  <c r="BQ84" i="17"/>
  <c r="BR27" i="12"/>
  <c r="BR18" i="12"/>
  <c r="BR24" i="12" s="1"/>
  <c r="BR26" i="12" s="1"/>
  <c r="BP13" i="13"/>
  <c r="BP10" i="13"/>
  <c r="BJ23" i="6" l="1"/>
  <c r="BN7" i="6"/>
  <c r="BN22" i="6"/>
  <c r="BU9" i="12"/>
  <c r="BT15" i="12"/>
  <c r="CV21" i="4"/>
  <c r="BP22" i="13"/>
  <c r="BM4" i="5" s="1"/>
  <c r="BP20" i="13"/>
  <c r="BP19" i="13" s="1"/>
  <c r="CE4" i="4"/>
  <c r="O3" i="2"/>
  <c r="BQ13" i="13"/>
  <c r="BQ10" i="13"/>
  <c r="BS16" i="13"/>
  <c r="BS5" i="13"/>
  <c r="BN82" i="17"/>
  <c r="BK4" i="6"/>
  <c r="BL5" i="5"/>
  <c r="BL11" i="5" s="1"/>
  <c r="BL18" i="5" s="1"/>
  <c r="BR28" i="12"/>
  <c r="BR29" i="12" s="1"/>
  <c r="BR31" i="12"/>
  <c r="BR32" i="12" s="1"/>
  <c r="CX25" i="5"/>
  <c r="CV27" i="6" s="1"/>
  <c r="CW9" i="4"/>
  <c r="BR84" i="17"/>
  <c r="CV27" i="5"/>
  <c r="BS27" i="12"/>
  <c r="BS18" i="12"/>
  <c r="BS24" i="12" s="1"/>
  <c r="BS26" i="12" s="1"/>
  <c r="CW78" i="17"/>
  <c r="CS30" i="6"/>
  <c r="BR17" i="13"/>
  <c r="BR8" i="13"/>
  <c r="BU11" i="12"/>
  <c r="BT3" i="13"/>
  <c r="BQ7" i="5"/>
  <c r="BQ16" i="5" s="1"/>
  <c r="BM17" i="5" l="1"/>
  <c r="BK23" i="6" s="1"/>
  <c r="BO7" i="6"/>
  <c r="BO22" i="6"/>
  <c r="BV9" i="12"/>
  <c r="BV11" i="12" s="1"/>
  <c r="BU15" i="12"/>
  <c r="CW21" i="4"/>
  <c r="BS84" i="17"/>
  <c r="BT18" i="12"/>
  <c r="BT24" i="12" s="1"/>
  <c r="BT26" i="12" s="1"/>
  <c r="BT27" i="12"/>
  <c r="CX78" i="17"/>
  <c r="CT30" i="6"/>
  <c r="BK5" i="6"/>
  <c r="BK17" i="6" s="1"/>
  <c r="BS17" i="13"/>
  <c r="BS8" i="13"/>
  <c r="CF4" i="4"/>
  <c r="BR13" i="13"/>
  <c r="BR10" i="13"/>
  <c r="BQ22" i="13"/>
  <c r="BN4" i="5" s="1"/>
  <c r="BQ20" i="13"/>
  <c r="BQ19" i="13" s="1"/>
  <c r="BT16" i="13"/>
  <c r="BT5" i="13"/>
  <c r="BS31" i="12"/>
  <c r="BS32" i="12" s="1"/>
  <c r="BS28" i="12"/>
  <c r="BS29" i="12" s="1"/>
  <c r="CY25" i="5"/>
  <c r="CW27" i="6" s="1"/>
  <c r="CX9" i="4"/>
  <c r="BM79" i="17"/>
  <c r="BI24" i="6"/>
  <c r="BK20" i="5"/>
  <c r="BK22" i="5" s="1"/>
  <c r="BU3" i="13"/>
  <c r="BR7" i="5"/>
  <c r="BR16" i="5" s="1"/>
  <c r="CW27" i="5"/>
  <c r="CW15" i="4"/>
  <c r="BO82" i="17"/>
  <c r="BL4" i="6"/>
  <c r="BM5" i="5"/>
  <c r="BL5" i="6" s="1"/>
  <c r="BN17" i="5" l="1"/>
  <c r="BL23" i="6" s="1"/>
  <c r="BP7" i="6"/>
  <c r="BP22" i="6"/>
  <c r="BW9" i="12"/>
  <c r="BV15" i="12"/>
  <c r="BM11" i="5"/>
  <c r="BM18" i="5" s="1"/>
  <c r="CX21" i="4"/>
  <c r="CY78" i="17"/>
  <c r="CU30" i="6"/>
  <c r="BV3" i="13"/>
  <c r="BS7" i="5"/>
  <c r="BS16" i="5" s="1"/>
  <c r="CG4" i="4"/>
  <c r="BT28" i="12"/>
  <c r="BT29" i="12" s="1"/>
  <c r="BT31" i="12"/>
  <c r="BT32" i="12" s="1"/>
  <c r="BU18" i="12"/>
  <c r="BU24" i="12" s="1"/>
  <c r="BU26" i="12" s="1"/>
  <c r="BU27" i="12"/>
  <c r="BR22" i="13"/>
  <c r="BO4" i="5" s="1"/>
  <c r="BR20" i="13"/>
  <c r="BR19" i="13" s="1"/>
  <c r="CX27" i="5"/>
  <c r="CV30" i="6" s="1"/>
  <c r="CX15" i="4"/>
  <c r="BL17" i="6"/>
  <c r="BT84" i="17"/>
  <c r="BU5" i="13"/>
  <c r="BU16" i="13"/>
  <c r="BT17" i="13"/>
  <c r="BT8" i="13"/>
  <c r="BP82" i="17"/>
  <c r="BM4" i="6"/>
  <c r="BN5" i="5"/>
  <c r="BM5" i="6" s="1"/>
  <c r="BS13" i="13"/>
  <c r="BS10" i="13"/>
  <c r="CZ25" i="5"/>
  <c r="CX27" i="6" s="1"/>
  <c r="CY9" i="4"/>
  <c r="BO17" i="5" l="1"/>
  <c r="BM23" i="6" s="1"/>
  <c r="BQ7" i="6"/>
  <c r="BQ22" i="6"/>
  <c r="BN11" i="5"/>
  <c r="BN18" i="5" s="1"/>
  <c r="CY21" i="4"/>
  <c r="BM17" i="6"/>
  <c r="BN79" i="17"/>
  <c r="BJ24" i="6"/>
  <c r="BL20" i="5"/>
  <c r="BL22" i="5" s="1"/>
  <c r="BS22" i="13"/>
  <c r="BP4" i="5" s="1"/>
  <c r="BS20" i="13"/>
  <c r="BS19" i="13" s="1"/>
  <c r="DA25" i="5"/>
  <c r="CY27" i="6" s="1"/>
  <c r="CZ9" i="4"/>
  <c r="BT13" i="13"/>
  <c r="BT10" i="13"/>
  <c r="CH4" i="4"/>
  <c r="BW11" i="12"/>
  <c r="BU17" i="13"/>
  <c r="BU8" i="13"/>
  <c r="BQ82" i="17"/>
  <c r="BN4" i="6"/>
  <c r="BO5" i="5"/>
  <c r="BN5" i="6" s="1"/>
  <c r="BU84" i="17"/>
  <c r="BV16" i="13"/>
  <c r="BV5" i="13"/>
  <c r="BU31" i="12"/>
  <c r="BU32" i="12" s="1"/>
  <c r="BU28" i="12"/>
  <c r="BU29" i="12" s="1"/>
  <c r="CY27" i="5"/>
  <c r="CW30" i="6" s="1"/>
  <c r="CY15" i="4"/>
  <c r="BV27" i="12"/>
  <c r="BV18" i="12"/>
  <c r="BV24" i="12" s="1"/>
  <c r="BV26" i="12" s="1"/>
  <c r="BP17" i="5" l="1"/>
  <c r="BN23" i="6" s="1"/>
  <c r="BX9" i="12"/>
  <c r="BW15" i="12"/>
  <c r="BO11" i="5"/>
  <c r="BO18" i="5" s="1"/>
  <c r="CZ21" i="4"/>
  <c r="BO79" i="17"/>
  <c r="BK24" i="6"/>
  <c r="BM20" i="5"/>
  <c r="BM22" i="5" s="1"/>
  <c r="DB25" i="5"/>
  <c r="CZ27" i="6" s="1"/>
  <c r="DA9" i="4"/>
  <c r="BR82" i="17"/>
  <c r="BO4" i="6"/>
  <c r="BP5" i="5"/>
  <c r="BO5" i="6" s="1"/>
  <c r="BV31" i="12"/>
  <c r="BV32" i="12" s="1"/>
  <c r="BV28" i="12"/>
  <c r="BV29" i="12" s="1"/>
  <c r="CZ27" i="5"/>
  <c r="CX30" i="6" s="1"/>
  <c r="CZ15" i="4"/>
  <c r="BV17" i="13"/>
  <c r="BV8" i="13"/>
  <c r="BN17" i="6"/>
  <c r="BU13" i="13"/>
  <c r="BU10" i="13"/>
  <c r="CI4" i="4"/>
  <c r="BT22" i="13"/>
  <c r="BQ4" i="5" s="1"/>
  <c r="BT20" i="13"/>
  <c r="BT19" i="13" s="1"/>
  <c r="BW3" i="13"/>
  <c r="BT7" i="5"/>
  <c r="BT16" i="5" s="1"/>
  <c r="BQ17" i="5" l="1"/>
  <c r="BO23" i="6" s="1"/>
  <c r="BR7" i="6"/>
  <c r="BR22" i="6"/>
  <c r="BP11" i="5"/>
  <c r="BP18" i="5" s="1"/>
  <c r="DB21" i="4"/>
  <c r="DA21" i="4"/>
  <c r="BS82" i="17"/>
  <c r="BP4" i="6"/>
  <c r="BQ5" i="5"/>
  <c r="BP5" i="6" s="1"/>
  <c r="CJ4" i="4"/>
  <c r="P17" i="2"/>
  <c r="P12" i="33" s="1"/>
  <c r="DA27" i="5"/>
  <c r="CY30" i="6" s="1"/>
  <c r="DA15" i="4"/>
  <c r="BO17" i="6"/>
  <c r="BX11" i="12"/>
  <c r="BW27" i="12"/>
  <c r="BW18" i="12"/>
  <c r="BW24" i="12" s="1"/>
  <c r="BW26" i="12" s="1"/>
  <c r="BV84" i="17"/>
  <c r="DC25" i="5"/>
  <c r="DA27" i="6" s="1"/>
  <c r="DB9" i="4"/>
  <c r="Q9" i="2" s="1"/>
  <c r="BU20" i="13"/>
  <c r="BU19" i="13" s="1"/>
  <c r="BU22" i="13"/>
  <c r="BR4" i="5" s="1"/>
  <c r="BV13" i="13"/>
  <c r="BV10" i="13"/>
  <c r="BW16" i="13"/>
  <c r="BW5" i="13"/>
  <c r="BP79" i="17"/>
  <c r="BL24" i="6"/>
  <c r="BN20" i="5"/>
  <c r="BN22" i="5" s="1"/>
  <c r="BR17" i="5" l="1"/>
  <c r="BP23" i="6" s="1"/>
  <c r="BY9" i="12"/>
  <c r="BX15" i="12"/>
  <c r="BQ11" i="5"/>
  <c r="BQ18" i="5" s="1"/>
  <c r="BP17" i="6"/>
  <c r="BT82" i="17"/>
  <c r="BQ4" i="6"/>
  <c r="BR5" i="5"/>
  <c r="BQ5" i="6" s="1"/>
  <c r="D26" i="7"/>
  <c r="E26" i="7"/>
  <c r="F26" i="7"/>
  <c r="G26" i="7"/>
  <c r="H26" i="7"/>
  <c r="I26" i="7"/>
  <c r="J26" i="7"/>
  <c r="BV22" i="13"/>
  <c r="BS4" i="5" s="1"/>
  <c r="BV20" i="13"/>
  <c r="BV19" i="13" s="1"/>
  <c r="BW17" i="13"/>
  <c r="BW8" i="13"/>
  <c r="BQ79" i="17"/>
  <c r="BM24" i="6"/>
  <c r="BO20" i="5"/>
  <c r="BO22" i="5" s="1"/>
  <c r="P19" i="2"/>
  <c r="P29" i="2"/>
  <c r="P30" i="2" s="1"/>
  <c r="P4" i="9" s="1"/>
  <c r="P5" i="9" s="1"/>
  <c r="P23" i="9" s="1"/>
  <c r="BW31" i="12"/>
  <c r="BW32" i="12" s="1"/>
  <c r="BW28" i="12"/>
  <c r="BW29" i="12" s="1"/>
  <c r="CK4" i="4"/>
  <c r="BX3" i="13"/>
  <c r="BU7" i="5"/>
  <c r="BU16" i="5" s="1"/>
  <c r="DB27" i="5"/>
  <c r="CZ30" i="6" s="1"/>
  <c r="DB15" i="4"/>
  <c r="Q11" i="2" s="1"/>
  <c r="BS17" i="5" l="1"/>
  <c r="BQ23" i="6" s="1"/>
  <c r="BS7" i="6"/>
  <c r="BS22" i="6"/>
  <c r="BR11" i="5"/>
  <c r="BR18" i="5" s="1"/>
  <c r="BX18" i="12"/>
  <c r="BX24" i="12" s="1"/>
  <c r="BX26" i="12" s="1"/>
  <c r="BX27" i="12"/>
  <c r="BW84" i="17"/>
  <c r="BX16" i="13"/>
  <c r="BX5" i="13"/>
  <c r="BU82" i="17"/>
  <c r="BS5" i="5"/>
  <c r="BR5" i="6" s="1"/>
  <c r="BR4" i="6"/>
  <c r="BR79" i="17"/>
  <c r="BN24" i="6"/>
  <c r="BP20" i="5"/>
  <c r="BP22" i="5" s="1"/>
  <c r="BW13" i="13"/>
  <c r="BW10" i="13"/>
  <c r="BQ17" i="6"/>
  <c r="DC27" i="5"/>
  <c r="Q13" i="2"/>
  <c r="Q8" i="33" s="1"/>
  <c r="BY11" i="12"/>
  <c r="CL4" i="4"/>
  <c r="BZ9" i="12" l="1"/>
  <c r="BY15" i="12"/>
  <c r="BS11" i="5"/>
  <c r="BS18" i="5" s="1"/>
  <c r="BX17" i="13"/>
  <c r="BX8" i="13"/>
  <c r="DA30" i="6"/>
  <c r="CM4" i="4"/>
  <c r="BR17" i="6"/>
  <c r="BS79" i="17"/>
  <c r="BO24" i="6"/>
  <c r="BQ20" i="5"/>
  <c r="BQ22" i="5" s="1"/>
  <c r="BX31" i="12"/>
  <c r="BX32" i="12" s="1"/>
  <c r="BX28" i="12"/>
  <c r="BX29" i="12" s="1"/>
  <c r="BY3" i="13"/>
  <c r="BV7" i="5"/>
  <c r="BW22" i="13"/>
  <c r="BT4" i="5" s="1"/>
  <c r="BT17" i="5" s="1"/>
  <c r="BW20" i="13"/>
  <c r="BW19" i="13" s="1"/>
  <c r="BV16" i="5" l="1"/>
  <c r="BT22" i="6" s="1"/>
  <c r="BR23" i="6"/>
  <c r="BT7" i="6"/>
  <c r="BV82" i="17"/>
  <c r="BS4" i="6"/>
  <c r="BT5" i="5"/>
  <c r="BT11" i="5" s="1"/>
  <c r="BT18" i="5" s="1"/>
  <c r="BY27" i="12"/>
  <c r="BY18" i="12"/>
  <c r="BY24" i="12" s="1"/>
  <c r="BY26" i="12" s="1"/>
  <c r="CN4" i="4"/>
  <c r="BU79" i="17"/>
  <c r="BQ24" i="6"/>
  <c r="BS20" i="5"/>
  <c r="BS22" i="5" s="1"/>
  <c r="BX84" i="17"/>
  <c r="BY16" i="13"/>
  <c r="BY5" i="13"/>
  <c r="BT79" i="17"/>
  <c r="BP24" i="6"/>
  <c r="BR20" i="5"/>
  <c r="BR22" i="5" s="1"/>
  <c r="D29" i="7"/>
  <c r="E29" i="7"/>
  <c r="F29" i="7"/>
  <c r="G29" i="7"/>
  <c r="H29" i="7"/>
  <c r="I29" i="7"/>
  <c r="J29" i="7"/>
  <c r="BZ11" i="12"/>
  <c r="BX13" i="13"/>
  <c r="BX10" i="13"/>
  <c r="CA9" i="12" l="1"/>
  <c r="BZ15" i="12"/>
  <c r="BY8" i="13"/>
  <c r="BY17" i="13"/>
  <c r="CO4" i="4"/>
  <c r="BY31" i="12"/>
  <c r="BY32" i="12" s="1"/>
  <c r="BY28" i="12"/>
  <c r="BY29" i="12" s="1"/>
  <c r="BX22" i="13"/>
  <c r="BU4" i="5" s="1"/>
  <c r="BU17" i="5" s="1"/>
  <c r="BX20" i="13"/>
  <c r="BX19" i="13" s="1"/>
  <c r="BZ3" i="13"/>
  <c r="BW7" i="5"/>
  <c r="BW16" i="5" s="1"/>
  <c r="BS5" i="6"/>
  <c r="BS17" i="6" s="1"/>
  <c r="BS23" i="6" l="1"/>
  <c r="BU7" i="6"/>
  <c r="BU22" i="6"/>
  <c r="BY84" i="17"/>
  <c r="BZ16" i="13"/>
  <c r="BZ5" i="13"/>
  <c r="BZ27" i="12"/>
  <c r="BZ18" i="12"/>
  <c r="BZ24" i="12" s="1"/>
  <c r="BZ26" i="12" s="1"/>
  <c r="BW82" i="17"/>
  <c r="BT4" i="6"/>
  <c r="BU5" i="5"/>
  <c r="BU11" i="5" s="1"/>
  <c r="BU18" i="5" s="1"/>
  <c r="CP4" i="4"/>
  <c r="BV79" i="17"/>
  <c r="BR24" i="6"/>
  <c r="BT20" i="5"/>
  <c r="BT22" i="5" s="1"/>
  <c r="CA11" i="12"/>
  <c r="BY13" i="13"/>
  <c r="BY10" i="13"/>
  <c r="CB9" i="12" l="1"/>
  <c r="CB11" i="12" s="1"/>
  <c r="CA15" i="12"/>
  <c r="BT5" i="6"/>
  <c r="BT17" i="6" s="1"/>
  <c r="CA3" i="13"/>
  <c r="BX7" i="5"/>
  <c r="BX16" i="5" s="1"/>
  <c r="BZ28" i="12"/>
  <c r="BZ29" i="12" s="1"/>
  <c r="BZ31" i="12"/>
  <c r="BZ32" i="12" s="1"/>
  <c r="BZ17" i="13"/>
  <c r="BZ8" i="13"/>
  <c r="BY22" i="13"/>
  <c r="BV4" i="5" s="1"/>
  <c r="BV17" i="5" s="1"/>
  <c r="BY20" i="13"/>
  <c r="BY19" i="13" s="1"/>
  <c r="CQ4" i="4"/>
  <c r="P3" i="2"/>
  <c r="BT23" i="6" l="1"/>
  <c r="BV7" i="6"/>
  <c r="BV22" i="6"/>
  <c r="CC9" i="12"/>
  <c r="CC11" i="12" s="1"/>
  <c r="CB15" i="12"/>
  <c r="BZ13" i="13"/>
  <c r="BZ10" i="13"/>
  <c r="CA27" i="12"/>
  <c r="CA18" i="12"/>
  <c r="CA24" i="12" s="1"/>
  <c r="CA26" i="12" s="1"/>
  <c r="BX82" i="17"/>
  <c r="BU4" i="6"/>
  <c r="BV5" i="5"/>
  <c r="CB3" i="13"/>
  <c r="BY7" i="5"/>
  <c r="BY16" i="5" s="1"/>
  <c r="CR4" i="4"/>
  <c r="BZ84" i="17"/>
  <c r="CA16" i="13"/>
  <c r="CA5" i="13"/>
  <c r="BW7" i="6" l="1"/>
  <c r="BW22" i="6"/>
  <c r="CD9" i="12"/>
  <c r="CD11" i="12" s="1"/>
  <c r="CC15" i="12"/>
  <c r="BV11" i="5"/>
  <c r="BV18" i="5" s="1"/>
  <c r="CA31" i="12"/>
  <c r="CA32" i="12" s="1"/>
  <c r="CA28" i="12"/>
  <c r="CA29" i="12" s="1"/>
  <c r="CC3" i="13"/>
  <c r="BZ7" i="5"/>
  <c r="BZ16" i="5" s="1"/>
  <c r="BW79" i="17"/>
  <c r="BS24" i="6"/>
  <c r="BU20" i="5"/>
  <c r="BU22" i="5" s="1"/>
  <c r="CS4" i="4"/>
  <c r="CB18" i="12"/>
  <c r="CB24" i="12" s="1"/>
  <c r="CB26" i="12" s="1"/>
  <c r="CB27" i="12"/>
  <c r="CA17" i="13"/>
  <c r="CA8" i="13"/>
  <c r="BU5" i="6"/>
  <c r="BU17" i="6" s="1"/>
  <c r="CA84" i="17"/>
  <c r="BZ22" i="13"/>
  <c r="BW4" i="5" s="1"/>
  <c r="BW17" i="5" s="1"/>
  <c r="BZ20" i="13"/>
  <c r="BZ19" i="13" s="1"/>
  <c r="CB16" i="13"/>
  <c r="CB5" i="13"/>
  <c r="BU23" i="6" l="1"/>
  <c r="BX7" i="6"/>
  <c r="BX22" i="6"/>
  <c r="CE9" i="12"/>
  <c r="CE11" i="12" s="1"/>
  <c r="CD15" i="12"/>
  <c r="CB17" i="13"/>
  <c r="CB8" i="13"/>
  <c r="CA13" i="13"/>
  <c r="CA10" i="13"/>
  <c r="CD3" i="13"/>
  <c r="CA7" i="5"/>
  <c r="CA16" i="5" s="1"/>
  <c r="BX79" i="17"/>
  <c r="BT24" i="6"/>
  <c r="BV20" i="5"/>
  <c r="BV22" i="5" s="1"/>
  <c r="BY82" i="17"/>
  <c r="BV4" i="6"/>
  <c r="BW5" i="5"/>
  <c r="BW11" i="5" s="1"/>
  <c r="BW18" i="5" s="1"/>
  <c r="CT4" i="4"/>
  <c r="CC18" i="12"/>
  <c r="CC24" i="12" s="1"/>
  <c r="CC26" i="12" s="1"/>
  <c r="CC27" i="12"/>
  <c r="CB28" i="12"/>
  <c r="CB29" i="12" s="1"/>
  <c r="CB31" i="12"/>
  <c r="CB32" i="12" s="1"/>
  <c r="CB84" i="17"/>
  <c r="CC5" i="13"/>
  <c r="CC16" i="13"/>
  <c r="BY7" i="6" l="1"/>
  <c r="BY22" i="6"/>
  <c r="CF9" i="12"/>
  <c r="CF11" i="12" s="1"/>
  <c r="CE15" i="12"/>
  <c r="CC31" i="12"/>
  <c r="CC32" i="12" s="1"/>
  <c r="CC28" i="12"/>
  <c r="CC29" i="12" s="1"/>
  <c r="CE3" i="13"/>
  <c r="CB7" i="5"/>
  <c r="CB16" i="5" s="1"/>
  <c r="CU4" i="4"/>
  <c r="CC84" i="17"/>
  <c r="CD16" i="13"/>
  <c r="CD5" i="13"/>
  <c r="BV5" i="6"/>
  <c r="BV17" i="6" s="1"/>
  <c r="CB10" i="13"/>
  <c r="CB13" i="13"/>
  <c r="CC17" i="13"/>
  <c r="CC8" i="13"/>
  <c r="CD27" i="12"/>
  <c r="CD18" i="12"/>
  <c r="CD24" i="12" s="1"/>
  <c r="CD26" i="12" s="1"/>
  <c r="CA22" i="13"/>
  <c r="BX4" i="5" s="1"/>
  <c r="BX17" i="5" s="1"/>
  <c r="CA20" i="13"/>
  <c r="CA19" i="13" s="1"/>
  <c r="BV23" i="6" l="1"/>
  <c r="BZ7" i="6"/>
  <c r="BZ22" i="6"/>
  <c r="CG9" i="12"/>
  <c r="CG11" i="12" s="1"/>
  <c r="CF15" i="12"/>
  <c r="CC13" i="13"/>
  <c r="CC10" i="13"/>
  <c r="CE27" i="12"/>
  <c r="CE18" i="12"/>
  <c r="CE24" i="12" s="1"/>
  <c r="CE26" i="12" s="1"/>
  <c r="CB22" i="13"/>
  <c r="BY4" i="5" s="1"/>
  <c r="CB20" i="13"/>
  <c r="CB19" i="13" s="1"/>
  <c r="CD28" i="12"/>
  <c r="CD29" i="12" s="1"/>
  <c r="CD31" i="12"/>
  <c r="CD32" i="12" s="1"/>
  <c r="CF3" i="13"/>
  <c r="CC7" i="5"/>
  <c r="CC16" i="5" s="1"/>
  <c r="BZ82" i="17"/>
  <c r="BW4" i="6"/>
  <c r="BX5" i="5"/>
  <c r="BX11" i="5" s="1"/>
  <c r="BX18" i="5" s="1"/>
  <c r="CD17" i="13"/>
  <c r="CD8" i="13"/>
  <c r="CV4" i="4"/>
  <c r="CE16" i="13"/>
  <c r="CE5" i="13"/>
  <c r="Q17" i="2"/>
  <c r="Q12" i="33" s="1"/>
  <c r="CD84" i="17"/>
  <c r="BY17" i="5" l="1"/>
  <c r="BW23" i="6" s="1"/>
  <c r="CA7" i="6"/>
  <c r="CA22" i="6"/>
  <c r="CH9" i="12"/>
  <c r="CG15" i="12"/>
  <c r="Q29" i="2"/>
  <c r="Q30" i="2" s="1"/>
  <c r="Q4" i="9" s="1"/>
  <c r="Q5" i="9" s="1"/>
  <c r="Q23" i="9" s="1"/>
  <c r="Q19" i="2"/>
  <c r="CD13" i="13"/>
  <c r="CD10" i="13"/>
  <c r="BW5" i="6"/>
  <c r="BW17" i="6" s="1"/>
  <c r="CF16" i="13"/>
  <c r="CF5" i="13"/>
  <c r="CA82" i="17"/>
  <c r="BX4" i="6"/>
  <c r="BY5" i="5"/>
  <c r="BX5" i="6" s="1"/>
  <c r="BY79" i="17"/>
  <c r="BU24" i="6"/>
  <c r="BW20" i="5"/>
  <c r="BW22" i="5" s="1"/>
  <c r="CG3" i="13"/>
  <c r="CH11" i="12"/>
  <c r="CD7" i="5"/>
  <c r="CD16" i="5" s="1"/>
  <c r="CE17" i="13"/>
  <c r="CE8" i="13"/>
  <c r="CW4" i="4"/>
  <c r="CE84" i="17"/>
  <c r="CF18" i="12"/>
  <c r="CF24" i="12" s="1"/>
  <c r="CF26" i="12" s="1"/>
  <c r="CF27" i="12"/>
  <c r="CE28" i="12"/>
  <c r="CE29" i="12" s="1"/>
  <c r="CE31" i="12"/>
  <c r="CE32" i="12" s="1"/>
  <c r="CC20" i="13"/>
  <c r="CC19" i="13" s="1"/>
  <c r="CC22" i="13"/>
  <c r="BZ4" i="5" s="1"/>
  <c r="BZ17" i="5" l="1"/>
  <c r="BX23" i="6" s="1"/>
  <c r="CB7" i="6"/>
  <c r="CB22" i="6"/>
  <c r="BY11" i="5"/>
  <c r="BY18" i="5" s="1"/>
  <c r="CI9" i="12"/>
  <c r="CH15" i="12"/>
  <c r="CB82" i="17"/>
  <c r="BY4" i="6"/>
  <c r="BZ5" i="5"/>
  <c r="BY5" i="6" s="1"/>
  <c r="CF31" i="12"/>
  <c r="CF32" i="12" s="1"/>
  <c r="CF28" i="12"/>
  <c r="CF29" i="12" s="1"/>
  <c r="CH3" i="13"/>
  <c r="CE7" i="5"/>
  <c r="CE16" i="5" s="1"/>
  <c r="CG16" i="13"/>
  <c r="CG5" i="13"/>
  <c r="BX17" i="6"/>
  <c r="CW30" i="4"/>
  <c r="CX4" i="4"/>
  <c r="CF84" i="17"/>
  <c r="CE13" i="13"/>
  <c r="CE10" i="13"/>
  <c r="CG27" i="12"/>
  <c r="CG18" i="12"/>
  <c r="CG24" i="12" s="1"/>
  <c r="CG26" i="12" s="1"/>
  <c r="CF17" i="13"/>
  <c r="CF8" i="13"/>
  <c r="CD22" i="13"/>
  <c r="CA4" i="5" s="1"/>
  <c r="CD20" i="13"/>
  <c r="CD19" i="13" s="1"/>
  <c r="CA17" i="5" l="1"/>
  <c r="BY23" i="6" s="1"/>
  <c r="CC7" i="6"/>
  <c r="CC22" i="6"/>
  <c r="BZ11" i="5"/>
  <c r="BZ18" i="5" s="1"/>
  <c r="BZ79" i="17"/>
  <c r="BV24" i="6"/>
  <c r="BX20" i="5"/>
  <c r="BX22" i="5" s="1"/>
  <c r="CG84" i="17"/>
  <c r="CH27" i="12"/>
  <c r="CH18" i="12"/>
  <c r="CH24" i="12" s="1"/>
  <c r="CH26" i="12" s="1"/>
  <c r="CE22" i="13"/>
  <c r="CB4" i="5" s="1"/>
  <c r="CE20" i="13"/>
  <c r="CE19" i="13" s="1"/>
  <c r="CC82" i="17"/>
  <c r="BZ4" i="6"/>
  <c r="CA5" i="5"/>
  <c r="BZ5" i="6" s="1"/>
  <c r="CY4" i="4"/>
  <c r="CX30" i="4"/>
  <c r="CG8" i="13"/>
  <c r="CG17" i="13"/>
  <c r="CI11" i="12"/>
  <c r="BY17" i="6"/>
  <c r="CF13" i="13"/>
  <c r="CF10" i="13"/>
  <c r="CG31" i="12"/>
  <c r="CG32" i="12" s="1"/>
  <c r="CG28" i="12"/>
  <c r="CG29" i="12" s="1"/>
  <c r="CH16" i="13"/>
  <c r="CH5" i="13"/>
  <c r="CB17" i="5" l="1"/>
  <c r="BZ23" i="6" s="1"/>
  <c r="CJ9" i="12"/>
  <c r="CI15" i="12"/>
  <c r="CA11" i="5"/>
  <c r="CA18" i="5" s="1"/>
  <c r="BZ17" i="6"/>
  <c r="CG13" i="13"/>
  <c r="CG10" i="13"/>
  <c r="CD82" i="17"/>
  <c r="CA4" i="6"/>
  <c r="CB5" i="5"/>
  <c r="CA5" i="6" s="1"/>
  <c r="CI3" i="13"/>
  <c r="CF7" i="5"/>
  <c r="CF16" i="5" s="1"/>
  <c r="CH28" i="12"/>
  <c r="CH29" i="12" s="1"/>
  <c r="CH31" i="12"/>
  <c r="CH32" i="12" s="1"/>
  <c r="CH17" i="13"/>
  <c r="CH8" i="13"/>
  <c r="CA79" i="17"/>
  <c r="BW24" i="6"/>
  <c r="BY20" i="5"/>
  <c r="BY22" i="5" s="1"/>
  <c r="CF22" i="13"/>
  <c r="CC4" i="5" s="1"/>
  <c r="CF20" i="13"/>
  <c r="CF19" i="13" s="1"/>
  <c r="CY30" i="4"/>
  <c r="CZ4" i="4"/>
  <c r="CC17" i="5" l="1"/>
  <c r="CA23" i="6" s="1"/>
  <c r="CD7" i="6"/>
  <c r="CD22" i="6"/>
  <c r="CB11" i="5"/>
  <c r="CB18" i="5" s="1"/>
  <c r="CA17" i="6"/>
  <c r="DA4" i="4"/>
  <c r="CZ30" i="4"/>
  <c r="CE82" i="17"/>
  <c r="CB4" i="6"/>
  <c r="CC5" i="5"/>
  <c r="CB5" i="6" s="1"/>
  <c r="CI16" i="13"/>
  <c r="CI5" i="13"/>
  <c r="CH84" i="17"/>
  <c r="CB79" i="17"/>
  <c r="BX24" i="6"/>
  <c r="BZ20" i="5"/>
  <c r="BZ22" i="5" s="1"/>
  <c r="CG22" i="13"/>
  <c r="CD4" i="5" s="1"/>
  <c r="CG20" i="13"/>
  <c r="CG19" i="13" s="1"/>
  <c r="CI27" i="12"/>
  <c r="CI18" i="12"/>
  <c r="CI24" i="12" s="1"/>
  <c r="CI26" i="12" s="1"/>
  <c r="CH13" i="13"/>
  <c r="CH10" i="13"/>
  <c r="CJ11" i="12"/>
  <c r="CD17" i="5" l="1"/>
  <c r="CB23" i="6" s="1"/>
  <c r="CC11" i="5"/>
  <c r="CC18" i="5" s="1"/>
  <c r="CK9" i="12"/>
  <c r="CJ15" i="12"/>
  <c r="CJ3" i="13"/>
  <c r="CG7" i="5"/>
  <c r="CG16" i="5" s="1"/>
  <c r="CF82" i="17"/>
  <c r="CC4" i="6"/>
  <c r="CD5" i="5"/>
  <c r="CC5" i="6" s="1"/>
  <c r="CI31" i="12"/>
  <c r="CI32" i="12" s="1"/>
  <c r="CI28" i="12"/>
  <c r="CI29" i="12" s="1"/>
  <c r="CH22" i="13"/>
  <c r="CE4" i="5" s="1"/>
  <c r="CH20" i="13"/>
  <c r="CH19" i="13" s="1"/>
  <c r="CD79" i="17"/>
  <c r="BZ24" i="6"/>
  <c r="CB20" i="5"/>
  <c r="CB22" i="5" s="1"/>
  <c r="CC79" i="17"/>
  <c r="BY24" i="6"/>
  <c r="CA20" i="5"/>
  <c r="CA22" i="5" s="1"/>
  <c r="CB17" i="6"/>
  <c r="CI17" i="13"/>
  <c r="CI8" i="13"/>
  <c r="DA30" i="4"/>
  <c r="DB4" i="4"/>
  <c r="CE17" i="5" l="1"/>
  <c r="CC23" i="6" s="1"/>
  <c r="CE7" i="6"/>
  <c r="CE22" i="6"/>
  <c r="CD11" i="5"/>
  <c r="CD18" i="5" s="1"/>
  <c r="CC17" i="6"/>
  <c r="CJ16" i="13"/>
  <c r="CJ5" i="13"/>
  <c r="CI13" i="13"/>
  <c r="CI10" i="13"/>
  <c r="CK11" i="12"/>
  <c r="Q3" i="2"/>
  <c r="DB30" i="4"/>
  <c r="CG82" i="17"/>
  <c r="CD4" i="6"/>
  <c r="CE5" i="5"/>
  <c r="CD5" i="6" s="1"/>
  <c r="CI84" i="17"/>
  <c r="CJ18" i="12"/>
  <c r="CJ24" i="12" s="1"/>
  <c r="CJ26" i="12" s="1"/>
  <c r="CJ27" i="12"/>
  <c r="CE11" i="5" l="1"/>
  <c r="CE18" i="5" s="1"/>
  <c r="CL9" i="12"/>
  <c r="CK15" i="12"/>
  <c r="CI22" i="13"/>
  <c r="CF4" i="5" s="1"/>
  <c r="CF17" i="5" s="1"/>
  <c r="CI20" i="13"/>
  <c r="CI19" i="13" s="1"/>
  <c r="CK3" i="13"/>
  <c r="CH7" i="5"/>
  <c r="CH16" i="5" s="1"/>
  <c r="CE79" i="17"/>
  <c r="CA24" i="6"/>
  <c r="CC20" i="5"/>
  <c r="CC22" i="5" s="1"/>
  <c r="CD17" i="6"/>
  <c r="CF79" i="17"/>
  <c r="CB24" i="6"/>
  <c r="CD20" i="5"/>
  <c r="CD22" i="5" s="1"/>
  <c r="Q27" i="2"/>
  <c r="CJ28" i="12"/>
  <c r="CJ29" i="12" s="1"/>
  <c r="CJ31" i="12"/>
  <c r="CJ32" i="12" s="1"/>
  <c r="CJ17" i="13"/>
  <c r="CJ8" i="13"/>
  <c r="CD23" i="6" l="1"/>
  <c r="CF7" i="6"/>
  <c r="CF22" i="6"/>
  <c r="CH82" i="17"/>
  <c r="CE4" i="6"/>
  <c r="CF5" i="5"/>
  <c r="CJ84" i="17"/>
  <c r="CJ13" i="13"/>
  <c r="CJ10" i="13"/>
  <c r="CK18" i="12"/>
  <c r="CK24" i="12" s="1"/>
  <c r="CK26" i="12" s="1"/>
  <c r="CK27" i="12"/>
  <c r="CK5" i="13"/>
  <c r="CK16" i="13"/>
  <c r="CL11" i="12"/>
  <c r="CM9" i="12" l="1"/>
  <c r="CL15" i="12"/>
  <c r="CF11" i="5"/>
  <c r="CF18" i="5" s="1"/>
  <c r="CL3" i="13"/>
  <c r="CI7" i="5"/>
  <c r="CK17" i="13"/>
  <c r="CK8" i="13"/>
  <c r="CJ22" i="13"/>
  <c r="CG4" i="5" s="1"/>
  <c r="CG17" i="5" s="1"/>
  <c r="CJ20" i="13"/>
  <c r="CJ19" i="13" s="1"/>
  <c r="CE5" i="6"/>
  <c r="CE17" i="6" s="1"/>
  <c r="CK31" i="12"/>
  <c r="CK32" i="12" s="1"/>
  <c r="CK28" i="12"/>
  <c r="CK29" i="12" s="1"/>
  <c r="CG79" i="17"/>
  <c r="CC24" i="6"/>
  <c r="CE20" i="5"/>
  <c r="CE22" i="5" s="1"/>
  <c r="CI16" i="5" l="1"/>
  <c r="CG22" i="6" s="1"/>
  <c r="CE23" i="6"/>
  <c r="CG7" i="6"/>
  <c r="CL27" i="12"/>
  <c r="CL18" i="12"/>
  <c r="CL24" i="12" s="1"/>
  <c r="CL26" i="12" s="1"/>
  <c r="CI82" i="17"/>
  <c r="CF4" i="6"/>
  <c r="CG5" i="5"/>
  <c r="CG11" i="5" s="1"/>
  <c r="CG18" i="5" s="1"/>
  <c r="CM11" i="12"/>
  <c r="CK13" i="13"/>
  <c r="CK10" i="13"/>
  <c r="CK84" i="17"/>
  <c r="CL16" i="13"/>
  <c r="CL5" i="13"/>
  <c r="CN9" i="12" l="1"/>
  <c r="CN11" i="12" s="1"/>
  <c r="CM15" i="12"/>
  <c r="CH79" i="17"/>
  <c r="CD24" i="6"/>
  <c r="CF20" i="5"/>
  <c r="CF22" i="5" s="1"/>
  <c r="CL17" i="13"/>
  <c r="CL8" i="13"/>
  <c r="CF5" i="6"/>
  <c r="CF17" i="6" s="1"/>
  <c r="CL31" i="12"/>
  <c r="CL32" i="12" s="1"/>
  <c r="CL28" i="12"/>
  <c r="CL29" i="12" s="1"/>
  <c r="CK20" i="13"/>
  <c r="CK19" i="13" s="1"/>
  <c r="CK22" i="13"/>
  <c r="CH4" i="5" s="1"/>
  <c r="CH17" i="5" s="1"/>
  <c r="CM3" i="13"/>
  <c r="CJ7" i="5"/>
  <c r="CJ16" i="5" s="1"/>
  <c r="CF23" i="6" l="1"/>
  <c r="CH7" i="6"/>
  <c r="CH22" i="6"/>
  <c r="CO9" i="12"/>
  <c r="CO11" i="12" s="1"/>
  <c r="CN15" i="12"/>
  <c r="CM16" i="13"/>
  <c r="CM5" i="13"/>
  <c r="CM27" i="12"/>
  <c r="CM18" i="12"/>
  <c r="CM24" i="12" s="1"/>
  <c r="CM26" i="12" s="1"/>
  <c r="CL84" i="17"/>
  <c r="CN3" i="13"/>
  <c r="CK7" i="5"/>
  <c r="CK16" i="5" s="1"/>
  <c r="CJ82" i="17"/>
  <c r="CG4" i="6"/>
  <c r="CH5" i="5"/>
  <c r="CL13" i="13"/>
  <c r="CL10" i="13"/>
  <c r="CI7" i="6" l="1"/>
  <c r="CI22" i="6"/>
  <c r="CH11" i="5"/>
  <c r="CH18" i="5" s="1"/>
  <c r="CP9" i="12"/>
  <c r="CP11" i="12" s="1"/>
  <c r="CO15" i="12"/>
  <c r="CO3" i="13"/>
  <c r="CL7" i="5"/>
  <c r="CL16" i="5" s="1"/>
  <c r="CN18" i="12"/>
  <c r="CN24" i="12" s="1"/>
  <c r="CN26" i="12" s="1"/>
  <c r="CN27" i="12"/>
  <c r="CI79" i="17"/>
  <c r="CE24" i="6"/>
  <c r="CG20" i="5"/>
  <c r="CG22" i="5" s="1"/>
  <c r="CG5" i="6"/>
  <c r="CG17" i="6" s="1"/>
  <c r="CM84" i="17"/>
  <c r="CN16" i="13"/>
  <c r="CN5" i="13"/>
  <c r="CM17" i="13"/>
  <c r="CM8" i="13"/>
  <c r="CL22" i="13"/>
  <c r="CI4" i="5" s="1"/>
  <c r="CI17" i="5" s="1"/>
  <c r="CL20" i="13"/>
  <c r="CL19" i="13" s="1"/>
  <c r="CM31" i="12"/>
  <c r="CM32" i="12" s="1"/>
  <c r="CM28" i="12"/>
  <c r="CM29" i="12" s="1"/>
  <c r="CG23" i="6" l="1"/>
  <c r="CJ7" i="6"/>
  <c r="CJ22" i="6"/>
  <c r="CQ9" i="12"/>
  <c r="CP15" i="12"/>
  <c r="CJ79" i="17"/>
  <c r="CF24" i="6"/>
  <c r="CH20" i="5"/>
  <c r="CH22" i="5" s="1"/>
  <c r="CN17" i="13"/>
  <c r="CN8" i="13"/>
  <c r="CO27" i="12"/>
  <c r="CO18" i="12"/>
  <c r="CO24" i="12" s="1"/>
  <c r="CO26" i="12" s="1"/>
  <c r="CM13" i="13"/>
  <c r="CM10" i="13"/>
  <c r="CP3" i="13"/>
  <c r="CQ11" i="12"/>
  <c r="CM7" i="5"/>
  <c r="CM16" i="5" s="1"/>
  <c r="CK82" i="17"/>
  <c r="CI5" i="5"/>
  <c r="CI11" i="5" s="1"/>
  <c r="CI18" i="5" s="1"/>
  <c r="CH4" i="6"/>
  <c r="CN84" i="17"/>
  <c r="CO16" i="13"/>
  <c r="CO5" i="13"/>
  <c r="CN31" i="12"/>
  <c r="CN32" i="12" s="1"/>
  <c r="CN28" i="12"/>
  <c r="CN29" i="12" s="1"/>
  <c r="CK7" i="6" l="1"/>
  <c r="CK22" i="6"/>
  <c r="CR9" i="12"/>
  <c r="CR11" i="12" s="1"/>
  <c r="CQ15" i="12"/>
  <c r="CH5" i="6"/>
  <c r="CH17" i="6" s="1"/>
  <c r="CO8" i="13"/>
  <c r="CO17" i="13"/>
  <c r="CQ3" i="13"/>
  <c r="CN7" i="5"/>
  <c r="CN16" i="5" s="1"/>
  <c r="CO31" i="12"/>
  <c r="CO32" i="12" s="1"/>
  <c r="CO28" i="12"/>
  <c r="CO29" i="12" s="1"/>
  <c r="CP27" i="12"/>
  <c r="CP18" i="12"/>
  <c r="CP24" i="12" s="1"/>
  <c r="CP26" i="12" s="1"/>
  <c r="CO84" i="17"/>
  <c r="CP16" i="13"/>
  <c r="CP5" i="13"/>
  <c r="CM22" i="13"/>
  <c r="CJ4" i="5" s="1"/>
  <c r="CJ17" i="5" s="1"/>
  <c r="CM20" i="13"/>
  <c r="CM19" i="13" s="1"/>
  <c r="CN13" i="13"/>
  <c r="CN10" i="13"/>
  <c r="CH23" i="6" l="1"/>
  <c r="CL7" i="6"/>
  <c r="CL22" i="6"/>
  <c r="CS9" i="12"/>
  <c r="CS11" i="12" s="1"/>
  <c r="CR15" i="12"/>
  <c r="CN22" i="13"/>
  <c r="CK4" i="5" s="1"/>
  <c r="CN20" i="13"/>
  <c r="CN19" i="13" s="1"/>
  <c r="CP28" i="12"/>
  <c r="CP29" i="12" s="1"/>
  <c r="CP31" i="12"/>
  <c r="CP32" i="12" s="1"/>
  <c r="CP84" i="17"/>
  <c r="CQ16" i="13"/>
  <c r="CQ5" i="13"/>
  <c r="CO13" i="13"/>
  <c r="CO10" i="13"/>
  <c r="CP17" i="13"/>
  <c r="CP8" i="13"/>
  <c r="CQ27" i="12"/>
  <c r="CQ18" i="12"/>
  <c r="CQ24" i="12" s="1"/>
  <c r="CQ26" i="12" s="1"/>
  <c r="CL82" i="17"/>
  <c r="CI4" i="6"/>
  <c r="CJ5" i="5"/>
  <c r="CI5" i="6" s="1"/>
  <c r="CR3" i="13"/>
  <c r="CO7" i="5"/>
  <c r="CO16" i="5" s="1"/>
  <c r="CK17" i="5" l="1"/>
  <c r="CI23" i="6" s="1"/>
  <c r="CM7" i="6"/>
  <c r="CM22" i="6"/>
  <c r="CT9" i="12"/>
  <c r="CT11" i="12" s="1"/>
  <c r="CS15" i="12"/>
  <c r="CJ11" i="5"/>
  <c r="CJ18" i="5" s="1"/>
  <c r="CI17" i="6"/>
  <c r="CS3" i="13"/>
  <c r="CP7" i="5"/>
  <c r="CP16" i="5" s="1"/>
  <c r="CP13" i="13"/>
  <c r="CP10" i="13"/>
  <c r="CQ84" i="17"/>
  <c r="CR18" i="12"/>
  <c r="CR24" i="12" s="1"/>
  <c r="CR26" i="12" s="1"/>
  <c r="CR27" i="12"/>
  <c r="CO22" i="13"/>
  <c r="CL4" i="5" s="1"/>
  <c r="CO20" i="13"/>
  <c r="CO19" i="13" s="1"/>
  <c r="CQ17" i="13"/>
  <c r="CQ8" i="13"/>
  <c r="CK79" i="17"/>
  <c r="CG24" i="6"/>
  <c r="CI20" i="5"/>
  <c r="CI22" i="5" s="1"/>
  <c r="CR16" i="13"/>
  <c r="CR5" i="13"/>
  <c r="CQ31" i="12"/>
  <c r="CQ32" i="12" s="1"/>
  <c r="CQ28" i="12"/>
  <c r="CQ29" i="12" s="1"/>
  <c r="CM82" i="17"/>
  <c r="CJ4" i="6"/>
  <c r="CK5" i="5"/>
  <c r="CJ5" i="6" s="1"/>
  <c r="CL17" i="5" l="1"/>
  <c r="CJ23" i="6" s="1"/>
  <c r="CN7" i="6"/>
  <c r="CN22" i="6"/>
  <c r="CK11" i="5"/>
  <c r="CK18" i="5" s="1"/>
  <c r="CU9" i="12"/>
  <c r="CT15" i="12"/>
  <c r="CT3" i="13"/>
  <c r="CQ7" i="5"/>
  <c r="CQ16" i="5" s="1"/>
  <c r="CP22" i="13"/>
  <c r="CM4" i="5" s="1"/>
  <c r="CP20" i="13"/>
  <c r="CP19" i="13" s="1"/>
  <c r="CS18" i="12"/>
  <c r="CS24" i="12" s="1"/>
  <c r="CS26" i="12" s="1"/>
  <c r="CS27" i="12"/>
  <c r="CQ13" i="13"/>
  <c r="CQ10" i="13"/>
  <c r="CJ17" i="6"/>
  <c r="CR17" i="13"/>
  <c r="CR8" i="13"/>
  <c r="CN82" i="17"/>
  <c r="CK4" i="6"/>
  <c r="CL5" i="5"/>
  <c r="CK5" i="6" s="1"/>
  <c r="CR28" i="12"/>
  <c r="CR29" i="12" s="1"/>
  <c r="CR31" i="12"/>
  <c r="CR32" i="12" s="1"/>
  <c r="CR84" i="17"/>
  <c r="CS5" i="13"/>
  <c r="CS16" i="13"/>
  <c r="CM17" i="5" l="1"/>
  <c r="CK23" i="6" s="1"/>
  <c r="CO7" i="6"/>
  <c r="CO22" i="6"/>
  <c r="CL11" i="5"/>
  <c r="CL18" i="5" s="1"/>
  <c r="CK17" i="6"/>
  <c r="CS31" i="12"/>
  <c r="CS32" i="12" s="1"/>
  <c r="CS28" i="12"/>
  <c r="CS29" i="12" s="1"/>
  <c r="CO82" i="17"/>
  <c r="CL4" i="6"/>
  <c r="CM5" i="5"/>
  <c r="CL5" i="6" s="1"/>
  <c r="CL79" i="17"/>
  <c r="CH24" i="6"/>
  <c r="CJ20" i="5"/>
  <c r="CJ22" i="5" s="1"/>
  <c r="CS84" i="17"/>
  <c r="CT16" i="13"/>
  <c r="CT5" i="13"/>
  <c r="CT27" i="12"/>
  <c r="CT18" i="12"/>
  <c r="CT24" i="12" s="1"/>
  <c r="CT26" i="12" s="1"/>
  <c r="CS17" i="13"/>
  <c r="CS8" i="13"/>
  <c r="CR10" i="13"/>
  <c r="CR13" i="13"/>
  <c r="CQ22" i="13"/>
  <c r="CN4" i="5" s="1"/>
  <c r="CQ20" i="13"/>
  <c r="CQ19" i="13" s="1"/>
  <c r="CU11" i="12"/>
  <c r="CN17" i="5" l="1"/>
  <c r="CL23" i="6" s="1"/>
  <c r="CV9" i="12"/>
  <c r="CU15" i="12"/>
  <c r="CM11" i="5"/>
  <c r="CM18" i="5" s="1"/>
  <c r="CP82" i="17"/>
  <c r="CM4" i="6"/>
  <c r="CN5" i="5"/>
  <c r="CM5" i="6" s="1"/>
  <c r="CS13" i="13"/>
  <c r="CS10" i="13"/>
  <c r="CN79" i="17"/>
  <c r="CJ24" i="6"/>
  <c r="CL20" i="5"/>
  <c r="CL22" i="5" s="1"/>
  <c r="CT17" i="13"/>
  <c r="CT8" i="13"/>
  <c r="CU3" i="13"/>
  <c r="CR7" i="5"/>
  <c r="CR16" i="5" s="1"/>
  <c r="CM79" i="17"/>
  <c r="CI24" i="6"/>
  <c r="CK20" i="5"/>
  <c r="CK22" i="5" s="1"/>
  <c r="CR22" i="13"/>
  <c r="CO4" i="5" s="1"/>
  <c r="CR20" i="13"/>
  <c r="CR19" i="13" s="1"/>
  <c r="CT28" i="12"/>
  <c r="CT29" i="12" s="1"/>
  <c r="CT31" i="12"/>
  <c r="CT32" i="12" s="1"/>
  <c r="CL17" i="6"/>
  <c r="CO17" i="5" l="1"/>
  <c r="CM23" i="6" s="1"/>
  <c r="CP7" i="6"/>
  <c r="CP22" i="6"/>
  <c r="CN11" i="5"/>
  <c r="CN18" i="5" s="1"/>
  <c r="CU27" i="12"/>
  <c r="CU18" i="12"/>
  <c r="CU24" i="12" s="1"/>
  <c r="CU26" i="12" s="1"/>
  <c r="CS20" i="13"/>
  <c r="CS19" i="13" s="1"/>
  <c r="CS22" i="13"/>
  <c r="CP4" i="5" s="1"/>
  <c r="CU16" i="13"/>
  <c r="CU5" i="13"/>
  <c r="CT84" i="17"/>
  <c r="CT13" i="13"/>
  <c r="CT10" i="13"/>
  <c r="CQ82" i="17"/>
  <c r="CN4" i="6"/>
  <c r="CO5" i="5"/>
  <c r="CN5" i="6" s="1"/>
  <c r="CV11" i="12"/>
  <c r="CM17" i="6"/>
  <c r="CP17" i="5" l="1"/>
  <c r="CN23" i="6" s="1"/>
  <c r="CW9" i="12"/>
  <c r="CV15" i="12"/>
  <c r="CO11" i="5"/>
  <c r="CO18" i="5" s="1"/>
  <c r="CN17" i="6"/>
  <c r="CO79" i="17"/>
  <c r="CK24" i="6"/>
  <c r="CM20" i="5"/>
  <c r="CM22" i="5" s="1"/>
  <c r="CT22" i="13"/>
  <c r="CQ4" i="5" s="1"/>
  <c r="CT20" i="13"/>
  <c r="CT19" i="13" s="1"/>
  <c r="CU17" i="13"/>
  <c r="CU8" i="13"/>
  <c r="CU28" i="12"/>
  <c r="CU29" i="12" s="1"/>
  <c r="CU31" i="12"/>
  <c r="CU32" i="12" s="1"/>
  <c r="CR82" i="17"/>
  <c r="CO4" i="6"/>
  <c r="CP5" i="5"/>
  <c r="CO5" i="6" s="1"/>
  <c r="CV3" i="13"/>
  <c r="CS7" i="5"/>
  <c r="CS16" i="5" l="1"/>
  <c r="CQ22" i="6" s="1"/>
  <c r="CQ17" i="5"/>
  <c r="CO23" i="6" s="1"/>
  <c r="CP11" i="5"/>
  <c r="CP18" i="5" s="1"/>
  <c r="CQ7" i="6"/>
  <c r="CV16" i="13"/>
  <c r="CV5" i="13"/>
  <c r="CW11" i="12"/>
  <c r="CQ79" i="17"/>
  <c r="CM24" i="6"/>
  <c r="CO20" i="5"/>
  <c r="CO22" i="5" s="1"/>
  <c r="CU84" i="17"/>
  <c r="CV18" i="12"/>
  <c r="CV24" i="12" s="1"/>
  <c r="CV26" i="12" s="1"/>
  <c r="CV27" i="12"/>
  <c r="CO17" i="6"/>
  <c r="CU13" i="13"/>
  <c r="CU10" i="13"/>
  <c r="CP79" i="17"/>
  <c r="CL24" i="6"/>
  <c r="CN20" i="5"/>
  <c r="CN22" i="5" s="1"/>
  <c r="CS82" i="17"/>
  <c r="CP4" i="6"/>
  <c r="CQ5" i="5"/>
  <c r="CP5" i="6" s="1"/>
  <c r="CX9" i="12" l="1"/>
  <c r="CW15" i="12"/>
  <c r="CQ11" i="5"/>
  <c r="CQ18" i="5" s="1"/>
  <c r="CW3" i="13"/>
  <c r="CT7" i="5"/>
  <c r="CT16" i="5" s="1"/>
  <c r="CV17" i="13"/>
  <c r="CV8" i="13"/>
  <c r="CP17" i="6"/>
  <c r="CU22" i="13"/>
  <c r="CR4" i="5" s="1"/>
  <c r="CR17" i="5" s="1"/>
  <c r="CU20" i="13"/>
  <c r="CU19" i="13" s="1"/>
  <c r="CV31" i="12"/>
  <c r="CV32" i="12" s="1"/>
  <c r="CV28" i="12"/>
  <c r="CV29" i="12" s="1"/>
  <c r="CP23" i="6" l="1"/>
  <c r="CR7" i="6"/>
  <c r="CR22" i="6"/>
  <c r="CW16" i="13"/>
  <c r="CW5" i="13"/>
  <c r="CX11" i="12"/>
  <c r="CV84" i="17"/>
  <c r="CR79" i="17"/>
  <c r="CN24" i="6"/>
  <c r="CP20" i="5"/>
  <c r="CP22" i="5" s="1"/>
  <c r="CT82" i="17"/>
  <c r="CQ4" i="6"/>
  <c r="CR5" i="5"/>
  <c r="CV10" i="13"/>
  <c r="CV13" i="13"/>
  <c r="CW27" i="12"/>
  <c r="CW18" i="12"/>
  <c r="CW24" i="12" s="1"/>
  <c r="CW26" i="12" s="1"/>
  <c r="CR11" i="5" l="1"/>
  <c r="CR18" i="5" s="1"/>
  <c r="CY9" i="12"/>
  <c r="CX15" i="12"/>
  <c r="CX3" i="13"/>
  <c r="CU7" i="5"/>
  <c r="CS79" i="17"/>
  <c r="CO24" i="6"/>
  <c r="CQ20" i="5"/>
  <c r="CQ22" i="5" s="1"/>
  <c r="CW8" i="13"/>
  <c r="CW17" i="13"/>
  <c r="CV22" i="13"/>
  <c r="CS4" i="5" s="1"/>
  <c r="CS17" i="5" s="1"/>
  <c r="CV20" i="13"/>
  <c r="CV19" i="13" s="1"/>
  <c r="CW31" i="12"/>
  <c r="CW32" i="12" s="1"/>
  <c r="CW28" i="12"/>
  <c r="CW29" i="12" s="1"/>
  <c r="CQ5" i="6"/>
  <c r="CQ17" i="6" s="1"/>
  <c r="CU16" i="5" l="1"/>
  <c r="CS22" i="6" s="1"/>
  <c r="CQ23" i="6"/>
  <c r="CS7" i="6"/>
  <c r="CT79" i="17"/>
  <c r="CX27" i="12"/>
  <c r="CX18" i="12"/>
  <c r="CX24" i="12" s="1"/>
  <c r="CX26" i="12" s="1"/>
  <c r="CR20" i="5"/>
  <c r="CR22" i="5" s="1"/>
  <c r="CU82" i="17"/>
  <c r="CR4" i="6"/>
  <c r="CS5" i="5"/>
  <c r="CW84" i="17"/>
  <c r="CX16" i="13"/>
  <c r="CX5" i="13"/>
  <c r="CW13" i="13"/>
  <c r="CW10" i="13"/>
  <c r="CY11" i="12"/>
  <c r="CZ9" i="12" l="1"/>
  <c r="CZ11" i="12" s="1"/>
  <c r="CY15" i="12"/>
  <c r="CS11" i="5"/>
  <c r="CS18" i="5" s="1"/>
  <c r="CP24" i="6"/>
  <c r="CY3" i="13"/>
  <c r="CV7" i="5"/>
  <c r="CX17" i="13"/>
  <c r="CX8" i="13"/>
  <c r="CR5" i="6"/>
  <c r="CR17" i="6" s="1"/>
  <c r="CW22" i="13"/>
  <c r="CT4" i="5" s="1"/>
  <c r="CT17" i="5" s="1"/>
  <c r="CW20" i="13"/>
  <c r="CW19" i="13" s="1"/>
  <c r="CX28" i="12"/>
  <c r="CX29" i="12" s="1"/>
  <c r="CX31" i="12"/>
  <c r="CX32" i="12" s="1"/>
  <c r="CV16" i="5" l="1"/>
  <c r="CT22" i="6" s="1"/>
  <c r="CR23" i="6"/>
  <c r="CT7" i="6"/>
  <c r="DA9" i="12"/>
  <c r="DA11" i="12" s="1"/>
  <c r="CZ15" i="12"/>
  <c r="CU79" i="17"/>
  <c r="CQ24" i="6"/>
  <c r="CS20" i="5"/>
  <c r="CS22" i="5" s="1"/>
  <c r="CY16" i="13"/>
  <c r="CY5" i="13"/>
  <c r="CV82" i="17"/>
  <c r="CS4" i="6"/>
  <c r="CT5" i="5"/>
  <c r="CX13" i="13"/>
  <c r="CX10" i="13"/>
  <c r="CX84" i="17"/>
  <c r="CY27" i="12"/>
  <c r="CY18" i="12"/>
  <c r="CY24" i="12" s="1"/>
  <c r="CY26" i="12" s="1"/>
  <c r="CZ3" i="13"/>
  <c r="CW7" i="5"/>
  <c r="CW16" i="5" s="1"/>
  <c r="CU7" i="6" l="1"/>
  <c r="CU22" i="6"/>
  <c r="DB9" i="12"/>
  <c r="DA15" i="12"/>
  <c r="CT11" i="5"/>
  <c r="CT18" i="5" s="1"/>
  <c r="CY84" i="17"/>
  <c r="CZ18" i="12"/>
  <c r="CZ24" i="12" s="1"/>
  <c r="CZ26" i="12" s="1"/>
  <c r="CZ27" i="12"/>
  <c r="CY31" i="12"/>
  <c r="CY32" i="12" s="1"/>
  <c r="CY28" i="12"/>
  <c r="CY29" i="12" s="1"/>
  <c r="CX22" i="13"/>
  <c r="CU4" i="5" s="1"/>
  <c r="CU17" i="5" s="1"/>
  <c r="CX20" i="13"/>
  <c r="CX19" i="13" s="1"/>
  <c r="CS5" i="6"/>
  <c r="CS17" i="6" s="1"/>
  <c r="CY17" i="13"/>
  <c r="CY8" i="13"/>
  <c r="CZ16" i="13"/>
  <c r="CZ5" i="13"/>
  <c r="DA3" i="13"/>
  <c r="DB11" i="12"/>
  <c r="CS23" i="6" l="1"/>
  <c r="DC9" i="12"/>
  <c r="DB15" i="12"/>
  <c r="DA5" i="13"/>
  <c r="DA16" i="13"/>
  <c r="CZ17" i="13"/>
  <c r="CZ8" i="13"/>
  <c r="CY13" i="13"/>
  <c r="CY10" i="13"/>
  <c r="CZ28" i="12"/>
  <c r="CZ29" i="12" s="1"/>
  <c r="CZ31" i="12"/>
  <c r="CZ32" i="12" s="1"/>
  <c r="DB3" i="13"/>
  <c r="DC11" i="12"/>
  <c r="CW82" i="17"/>
  <c r="CT4" i="6"/>
  <c r="CU5" i="5"/>
  <c r="CU11" i="5" s="1"/>
  <c r="CU18" i="5" s="1"/>
  <c r="DA18" i="12"/>
  <c r="DA24" i="12" s="1"/>
  <c r="DA26" i="12" s="1"/>
  <c r="DA27" i="12"/>
  <c r="DD9" i="12" l="1"/>
  <c r="DD11" i="12" s="1"/>
  <c r="DC15" i="12"/>
  <c r="CV79" i="17"/>
  <c r="CR24" i="6"/>
  <c r="CT20" i="5"/>
  <c r="CT22" i="5" s="1"/>
  <c r="CT5" i="6"/>
  <c r="CT17" i="6" s="1"/>
  <c r="DB16" i="13"/>
  <c r="DB5" i="13"/>
  <c r="CY22" i="13"/>
  <c r="CV4" i="5" s="1"/>
  <c r="CY20" i="13"/>
  <c r="CY19" i="13" s="1"/>
  <c r="DA17" i="13"/>
  <c r="DA8" i="13"/>
  <c r="DB27" i="12"/>
  <c r="DB18" i="12"/>
  <c r="DB24" i="12" s="1"/>
  <c r="DB26" i="12" s="1"/>
  <c r="DC3" i="13"/>
  <c r="DA31" i="12"/>
  <c r="DA32" i="12" s="1"/>
  <c r="DA28" i="12"/>
  <c r="DA29" i="12" s="1"/>
  <c r="CZ10" i="13"/>
  <c r="CZ13" i="13"/>
  <c r="CV17" i="5" l="1"/>
  <c r="CT23" i="6" s="1"/>
  <c r="Q16" i="3"/>
  <c r="DE9" i="12"/>
  <c r="DE11" i="12" s="1"/>
  <c r="DD15" i="12"/>
  <c r="DD3" i="13"/>
  <c r="DA13" i="13"/>
  <c r="DA10" i="13"/>
  <c r="CX82" i="17"/>
  <c r="CV5" i="5"/>
  <c r="DB17" i="13"/>
  <c r="DB8" i="13"/>
  <c r="CZ22" i="13"/>
  <c r="CW4" i="5" s="1"/>
  <c r="CW17" i="5" s="1"/>
  <c r="CZ20" i="13"/>
  <c r="CZ19" i="13" s="1"/>
  <c r="DC16" i="13"/>
  <c r="DC5" i="13"/>
  <c r="DC27" i="12"/>
  <c r="DC18" i="12"/>
  <c r="DC24" i="12" s="1"/>
  <c r="DC26" i="12" s="1"/>
  <c r="DB31" i="12"/>
  <c r="DB32" i="12" s="1"/>
  <c r="DB28" i="12"/>
  <c r="DB29" i="12" s="1"/>
  <c r="CV11" i="5" l="1"/>
  <c r="CV18" i="5" s="1"/>
  <c r="CU4" i="6"/>
  <c r="CU23" i="6"/>
  <c r="L16" i="3"/>
  <c r="M16" i="3"/>
  <c r="N16" i="3"/>
  <c r="O16" i="3"/>
  <c r="P16" i="3"/>
  <c r="DF9" i="12"/>
  <c r="DE15" i="12"/>
  <c r="DC17" i="13"/>
  <c r="DC8" i="13"/>
  <c r="DB13" i="13"/>
  <c r="DB10" i="13"/>
  <c r="DA20" i="13"/>
  <c r="DA19" i="13" s="1"/>
  <c r="DA22" i="13"/>
  <c r="DD18" i="12"/>
  <c r="DD24" i="12" s="1"/>
  <c r="DD26" i="12" s="1"/>
  <c r="DD27" i="12"/>
  <c r="DC28" i="12"/>
  <c r="DC29" i="12" s="1"/>
  <c r="DC31" i="12"/>
  <c r="DC32" i="12" s="1"/>
  <c r="CW79" i="17"/>
  <c r="CS24" i="6"/>
  <c r="CU20" i="5"/>
  <c r="CU22" i="5" s="1"/>
  <c r="DD16" i="13"/>
  <c r="DD5" i="13"/>
  <c r="DE3" i="13"/>
  <c r="CY82" i="17"/>
  <c r="CW5" i="5"/>
  <c r="CU5" i="6" s="1"/>
  <c r="CU17" i="6" s="1"/>
  <c r="R16" i="3" l="1"/>
  <c r="E22" i="7"/>
  <c r="F22" i="7"/>
  <c r="G22" i="7"/>
  <c r="H22" i="7"/>
  <c r="I22" i="7"/>
  <c r="J22" i="7"/>
  <c r="CW11" i="5"/>
  <c r="CW18" i="5" s="1"/>
  <c r="D6" i="7"/>
  <c r="E6" i="7"/>
  <c r="F6" i="7"/>
  <c r="G6" i="7"/>
  <c r="H6" i="7"/>
  <c r="I6" i="7"/>
  <c r="DE16" i="13"/>
  <c r="DE5" i="13"/>
  <c r="DD31" i="12"/>
  <c r="DD32" i="12" s="1"/>
  <c r="DD28" i="12"/>
  <c r="DD29" i="12" s="1"/>
  <c r="CV17" i="6"/>
  <c r="DE27" i="12"/>
  <c r="DE18" i="12"/>
  <c r="DE24" i="12" s="1"/>
  <c r="DE26" i="12" s="1"/>
  <c r="DD17" i="13"/>
  <c r="DD8" i="13"/>
  <c r="DF11" i="12"/>
  <c r="DF15" i="12" s="1"/>
  <c r="B5" i="14"/>
  <c r="C5" i="14"/>
  <c r="D5" i="14"/>
  <c r="E5" i="14"/>
  <c r="F5" i="14"/>
  <c r="G5" i="14"/>
  <c r="H5" i="14"/>
  <c r="I5" i="14"/>
  <c r="DB22" i="13"/>
  <c r="DB20" i="13"/>
  <c r="DB19" i="13" s="1"/>
  <c r="DC13" i="13"/>
  <c r="DC10" i="13"/>
  <c r="CX11" i="5" l="1"/>
  <c r="F11" i="14"/>
  <c r="CW17" i="6"/>
  <c r="I11" i="14"/>
  <c r="E11" i="14"/>
  <c r="DF3" i="13"/>
  <c r="DD13" i="13"/>
  <c r="DD10" i="13"/>
  <c r="DE31" i="12"/>
  <c r="DE32" i="12" s="1"/>
  <c r="DE28" i="12"/>
  <c r="DE29" i="12" s="1"/>
  <c r="DE8" i="13"/>
  <c r="DE17" i="13"/>
  <c r="DC22" i="13"/>
  <c r="DC20" i="13"/>
  <c r="DC19" i="13" s="1"/>
  <c r="H11" i="14"/>
  <c r="D11" i="14"/>
  <c r="G11" i="14"/>
  <c r="C11" i="14"/>
  <c r="CX79" i="17"/>
  <c r="CT24" i="6"/>
  <c r="CV20" i="5"/>
  <c r="CV22" i="5" s="1"/>
  <c r="D21" i="7"/>
  <c r="E21" i="7"/>
  <c r="F21" i="7"/>
  <c r="G21" i="7"/>
  <c r="H21" i="7"/>
  <c r="I21" i="7"/>
  <c r="J21" i="7"/>
  <c r="CY11" i="5" l="1"/>
  <c r="J6" i="7"/>
  <c r="B2" i="27"/>
  <c r="C2" i="27"/>
  <c r="D2" i="27"/>
  <c r="E2" i="27"/>
  <c r="F2" i="27"/>
  <c r="G2" i="27"/>
  <c r="H2" i="27"/>
  <c r="I2" i="27"/>
  <c r="CX17" i="6"/>
  <c r="DD22" i="13"/>
  <c r="DD20" i="13"/>
  <c r="DD19" i="13" s="1"/>
  <c r="DF16" i="13"/>
  <c r="DF5" i="13"/>
  <c r="DF27" i="12"/>
  <c r="DF18" i="12"/>
  <c r="DF24" i="12" s="1"/>
  <c r="DF26" i="12" s="1"/>
  <c r="K6" i="3"/>
  <c r="L6" i="3"/>
  <c r="M6" i="3"/>
  <c r="N6" i="3"/>
  <c r="O6" i="3"/>
  <c r="P6" i="3"/>
  <c r="Q6" i="3"/>
  <c r="DE13" i="13"/>
  <c r="DE10" i="13"/>
  <c r="K15" i="3"/>
  <c r="L15" i="3"/>
  <c r="M15" i="3"/>
  <c r="N15" i="3"/>
  <c r="O15" i="3"/>
  <c r="P15" i="3"/>
  <c r="Q15" i="3"/>
  <c r="CY79" i="17"/>
  <c r="CU24" i="6"/>
  <c r="CW20" i="5"/>
  <c r="CW22" i="5" s="1"/>
  <c r="CZ11" i="5" l="1"/>
  <c r="F7" i="27"/>
  <c r="F11" i="27" s="1"/>
  <c r="F17" i="27"/>
  <c r="G18" i="27"/>
  <c r="G19" i="27"/>
  <c r="G20" i="27"/>
  <c r="C18" i="27"/>
  <c r="C19" i="27"/>
  <c r="C20" i="27"/>
  <c r="G17" i="27"/>
  <c r="G7" i="27"/>
  <c r="G11" i="27" s="1"/>
  <c r="H18" i="27"/>
  <c r="H19" i="27"/>
  <c r="H20" i="27"/>
  <c r="C17" i="27"/>
  <c r="C7" i="27"/>
  <c r="C11" i="27" s="1"/>
  <c r="D18" i="27"/>
  <c r="D19" i="27"/>
  <c r="D20" i="27"/>
  <c r="H17" i="27"/>
  <c r="H7" i="27"/>
  <c r="H11" i="27" s="1"/>
  <c r="I19" i="27"/>
  <c r="I18" i="27"/>
  <c r="I20" i="27"/>
  <c r="D17" i="27"/>
  <c r="D7" i="27"/>
  <c r="D11" i="27" s="1"/>
  <c r="E18" i="27"/>
  <c r="E19" i="27"/>
  <c r="E20" i="27"/>
  <c r="I17" i="27"/>
  <c r="I7" i="27"/>
  <c r="I11" i="27" s="1"/>
  <c r="E17" i="27"/>
  <c r="E7" i="27"/>
  <c r="E11" i="27" s="1"/>
  <c r="F19" i="27"/>
  <c r="F18" i="27"/>
  <c r="F20" i="27"/>
  <c r="CY17" i="6"/>
  <c r="DF17" i="13"/>
  <c r="DF8" i="13"/>
  <c r="CW37" i="6"/>
  <c r="CW38" i="6" s="1"/>
  <c r="CY20" i="5"/>
  <c r="CY22" i="5" s="1"/>
  <c r="CY29" i="5" s="1"/>
  <c r="DF28" i="12"/>
  <c r="DF29" i="12" s="1"/>
  <c r="DF31" i="12"/>
  <c r="DF32" i="12" s="1"/>
  <c r="DE22" i="13"/>
  <c r="DE20" i="13"/>
  <c r="DE19" i="13" s="1"/>
  <c r="R6" i="3"/>
  <c r="CV37" i="6"/>
  <c r="CV38" i="6" s="1"/>
  <c r="CX20" i="5"/>
  <c r="CX22" i="5" s="1"/>
  <c r="CX29" i="5" s="1"/>
  <c r="R15" i="3"/>
  <c r="DA11" i="5" l="1"/>
  <c r="E21" i="27"/>
  <c r="G21" i="27"/>
  <c r="C21" i="27"/>
  <c r="I21" i="27"/>
  <c r="F21" i="27"/>
  <c r="H21" i="27"/>
  <c r="D21" i="27"/>
  <c r="CX32" i="5"/>
  <c r="CX31" i="5"/>
  <c r="CZ17" i="6"/>
  <c r="CY31" i="5"/>
  <c r="CY32" i="5"/>
  <c r="CX37" i="6"/>
  <c r="CX38" i="6" s="1"/>
  <c r="CZ20" i="5"/>
  <c r="CZ22" i="5" s="1"/>
  <c r="CZ29" i="5" s="1"/>
  <c r="DF13" i="13"/>
  <c r="DF10" i="13"/>
  <c r="DB11" i="5" l="1"/>
  <c r="DF22" i="13"/>
  <c r="DF20" i="13"/>
  <c r="DF19" i="13" s="1"/>
  <c r="E4" i="7"/>
  <c r="F4" i="7"/>
  <c r="G4" i="7"/>
  <c r="H4" i="7"/>
  <c r="I4" i="7"/>
  <c r="J4" i="7"/>
  <c r="DA17" i="6"/>
  <c r="D3" i="7"/>
  <c r="E3" i="7"/>
  <c r="F3" i="7"/>
  <c r="G3" i="7"/>
  <c r="H3" i="7"/>
  <c r="I3" i="7"/>
  <c r="J3" i="7"/>
  <c r="CZ31" i="5"/>
  <c r="CZ32" i="5"/>
  <c r="D16" i="7" l="1"/>
  <c r="J16" i="7"/>
  <c r="L16" i="7" s="1"/>
  <c r="E16" i="7"/>
  <c r="I16" i="7"/>
  <c r="H16" i="7"/>
  <c r="F16" i="7"/>
  <c r="CY37" i="6"/>
  <c r="CY38" i="6" s="1"/>
  <c r="DA20" i="5"/>
  <c r="DA22" i="5" s="1"/>
  <c r="DA29" i="5" s="1"/>
  <c r="CZ37" i="6"/>
  <c r="CZ38" i="6" s="1"/>
  <c r="DB20" i="5"/>
  <c r="DB22" i="5" s="1"/>
  <c r="DB29" i="5" s="1"/>
  <c r="G16" i="7"/>
  <c r="K3" i="3"/>
  <c r="L3" i="3"/>
  <c r="M3" i="3"/>
  <c r="N3" i="3"/>
  <c r="O3" i="3"/>
  <c r="P3" i="3"/>
  <c r="Q3" i="3"/>
  <c r="DC11" i="5" l="1"/>
  <c r="G13" i="27"/>
  <c r="G23" i="27" s="1"/>
  <c r="G24" i="27" s="1"/>
  <c r="C13" i="27"/>
  <c r="C23" i="27" s="1"/>
  <c r="C24" i="27" s="1"/>
  <c r="H13" i="27"/>
  <c r="H23" i="27" s="1"/>
  <c r="H24" i="27" s="1"/>
  <c r="D13" i="27"/>
  <c r="D23" i="27" s="1"/>
  <c r="D24" i="27" s="1"/>
  <c r="F13" i="27"/>
  <c r="F23" i="27" s="1"/>
  <c r="F24" i="27" s="1"/>
  <c r="I13" i="27"/>
  <c r="I23" i="27" s="1"/>
  <c r="I24" i="27" s="1"/>
  <c r="E13" i="27"/>
  <c r="E23" i="27" s="1"/>
  <c r="E24" i="27" s="1"/>
  <c r="H2" i="14"/>
  <c r="C2" i="14"/>
  <c r="G2" i="14"/>
  <c r="F2" i="14"/>
  <c r="B2" i="14"/>
  <c r="R3" i="3"/>
  <c r="DB32" i="5"/>
  <c r="DB31" i="5"/>
  <c r="D2" i="14"/>
  <c r="DA32" i="5"/>
  <c r="DA31" i="5"/>
  <c r="I2" i="14"/>
  <c r="E2" i="14"/>
  <c r="L4" i="3"/>
  <c r="L10" i="3" s="1"/>
  <c r="M4" i="3"/>
  <c r="M10" i="3" s="1"/>
  <c r="N4" i="3"/>
  <c r="N10" i="3" s="1"/>
  <c r="O4" i="3"/>
  <c r="O10" i="3" s="1"/>
  <c r="P4" i="3"/>
  <c r="P10" i="3" s="1"/>
  <c r="Q4" i="3"/>
  <c r="Q10" i="3" s="1"/>
  <c r="L13" i="3" l="1"/>
  <c r="L18" i="3" s="1"/>
  <c r="M13" i="3"/>
  <c r="M18" i="3" s="1"/>
  <c r="N13" i="3"/>
  <c r="N18" i="3" s="1"/>
  <c r="O13" i="3"/>
  <c r="O18" i="3" s="1"/>
  <c r="P13" i="3"/>
  <c r="P18" i="3" s="1"/>
  <c r="Q13" i="3"/>
  <c r="Q18" i="3" s="1"/>
  <c r="DC20" i="5"/>
  <c r="DC22" i="5" s="1"/>
  <c r="DC29" i="5" s="1"/>
  <c r="R4" i="3"/>
  <c r="R10" i="3" l="1"/>
  <c r="B21" i="10" s="1"/>
  <c r="Q20" i="3"/>
  <c r="Q3" i="33"/>
  <c r="Q9" i="33" s="1"/>
  <c r="P20" i="3"/>
  <c r="P3" i="33"/>
  <c r="P9" i="33" s="1"/>
  <c r="L20" i="3"/>
  <c r="L3" i="33"/>
  <c r="L9" i="33" s="1"/>
  <c r="O20" i="3"/>
  <c r="O3" i="33"/>
  <c r="O9" i="33" s="1"/>
  <c r="M20" i="3"/>
  <c r="M3" i="33"/>
  <c r="M9" i="33" s="1"/>
  <c r="N20" i="3"/>
  <c r="N3" i="33"/>
  <c r="N9" i="33" s="1"/>
  <c r="DC32" i="5"/>
  <c r="J18" i="3"/>
  <c r="E23" i="7"/>
  <c r="F23" i="7"/>
  <c r="G23" i="7"/>
  <c r="H23" i="7"/>
  <c r="I23" i="7"/>
  <c r="J23" i="7"/>
  <c r="J20" i="3" l="1"/>
  <c r="J3" i="33"/>
  <c r="J9" i="33" s="1"/>
  <c r="J36" i="9" l="1"/>
  <c r="J38" i="9" s="1"/>
  <c r="J28" i="3"/>
  <c r="J23" i="3"/>
  <c r="J39" i="3" l="1"/>
  <c r="J49" i="3" l="1"/>
  <c r="J41" i="3"/>
  <c r="J43" i="3" s="1"/>
  <c r="J44" i="3" l="1"/>
  <c r="J46" i="3"/>
  <c r="J45" i="3"/>
  <c r="J50" i="3"/>
  <c r="J24" i="3"/>
  <c r="W30" i="5" l="1"/>
  <c r="J8" i="9"/>
  <c r="J10" i="9" s="1"/>
  <c r="J11" i="9" s="1"/>
  <c r="J25" i="3"/>
  <c r="J23" i="33" l="1"/>
  <c r="J25" i="33" s="1"/>
  <c r="J18" i="9"/>
  <c r="J26" i="3"/>
  <c r="J32" i="9"/>
  <c r="C30" i="7" l="1"/>
  <c r="C36" i="7" s="1"/>
  <c r="C37" i="7" s="1"/>
  <c r="C39" i="7" s="1"/>
  <c r="U37" i="6"/>
  <c r="U38" i="6" s="1"/>
  <c r="U40" i="6" s="1"/>
  <c r="V23" i="4" l="1"/>
  <c r="V39" i="6"/>
  <c r="J5" i="2"/>
  <c r="J35" i="2" s="1"/>
  <c r="V17" i="11"/>
  <c r="J21" i="2" l="1"/>
  <c r="V27" i="4"/>
  <c r="J24" i="2" l="1"/>
  <c r="C41" i="7"/>
  <c r="CQ30" i="5" l="1"/>
  <c r="P8" i="9"/>
  <c r="CO31" i="6" l="1"/>
  <c r="I30" i="7" l="1"/>
  <c r="O41" i="8" l="1"/>
  <c r="O24" i="4" s="1"/>
  <c r="O27" i="4" s="1"/>
  <c r="O5" i="11"/>
  <c r="O14" i="11" s="1"/>
  <c r="O20" i="11" l="1"/>
  <c r="O22" i="11" s="1"/>
  <c r="P24" i="5"/>
  <c r="O15" i="11"/>
  <c r="O7" i="4" l="1"/>
  <c r="O30" i="4" s="1"/>
  <c r="O24" i="11"/>
  <c r="O25" i="11" s="1"/>
  <c r="O27" i="11" s="1"/>
  <c r="P4" i="11"/>
  <c r="R81" i="17"/>
  <c r="R87" i="17" s="1"/>
  <c r="P29" i="5"/>
  <c r="P14" i="11" l="1"/>
  <c r="P15" i="11"/>
  <c r="P32" i="5"/>
  <c r="P31" i="5"/>
  <c r="O6" i="4" l="1"/>
  <c r="P7" i="4"/>
  <c r="P30" i="4" s="1"/>
  <c r="P24" i="11"/>
  <c r="P25" i="11" s="1"/>
  <c r="P27" i="11" s="1"/>
  <c r="Q4" i="11"/>
  <c r="P20" i="11"/>
  <c r="P22" i="11" s="1"/>
  <c r="Q24" i="5"/>
  <c r="S81" i="17" l="1"/>
  <c r="S87" i="17" s="1"/>
  <c r="Q29" i="5"/>
  <c r="R13" i="11"/>
  <c r="V13" i="11"/>
  <c r="S13" i="11"/>
  <c r="X13" i="11"/>
  <c r="W33" i="6" s="1"/>
  <c r="T13" i="11"/>
  <c r="U13" i="11"/>
  <c r="Q14" i="11"/>
  <c r="W13" i="11"/>
  <c r="V33" i="6" s="1"/>
  <c r="Q15" i="11"/>
  <c r="O16" i="4"/>
  <c r="O29" i="4" s="1"/>
  <c r="Q7" i="4" l="1"/>
  <c r="Q30" i="4" s="1"/>
  <c r="Q24" i="11"/>
  <c r="Q25" i="11" s="1"/>
  <c r="Q27" i="11" s="1"/>
  <c r="R4" i="11"/>
  <c r="Q32" i="5"/>
  <c r="Q31" i="5"/>
  <c r="Q20" i="11"/>
  <c r="Q22" i="11" s="1"/>
  <c r="R24" i="5"/>
  <c r="R29" i="5" l="1"/>
  <c r="T81" i="17"/>
  <c r="T87" i="17" s="1"/>
  <c r="R14" i="11"/>
  <c r="R15" i="11"/>
  <c r="P6" i="4"/>
  <c r="P16" i="4" l="1"/>
  <c r="P29" i="4" s="1"/>
  <c r="R24" i="11"/>
  <c r="R25" i="11" s="1"/>
  <c r="R27" i="11" s="1"/>
  <c r="R7" i="4"/>
  <c r="R30" i="4" s="1"/>
  <c r="S4" i="11"/>
  <c r="R20" i="11"/>
  <c r="R22" i="11" s="1"/>
  <c r="S24" i="5"/>
  <c r="R32" i="5"/>
  <c r="R31" i="5"/>
  <c r="U81" i="17" l="1"/>
  <c r="U87" i="17" s="1"/>
  <c r="S29" i="5"/>
  <c r="S14" i="11"/>
  <c r="S15" i="11"/>
  <c r="Q6" i="4"/>
  <c r="S7" i="4" l="1"/>
  <c r="S30" i="4" s="1"/>
  <c r="S24" i="11"/>
  <c r="S25" i="11" s="1"/>
  <c r="S27" i="11" s="1"/>
  <c r="T4" i="11"/>
  <c r="S20" i="11"/>
  <c r="S22" i="11" s="1"/>
  <c r="T24" i="5"/>
  <c r="Q16" i="4"/>
  <c r="Q29" i="4" s="1"/>
  <c r="S31" i="5"/>
  <c r="R6" i="4" s="1"/>
  <c r="S32" i="5"/>
  <c r="R16" i="4" l="1"/>
  <c r="R29" i="4" s="1"/>
  <c r="T14" i="11"/>
  <c r="T15" i="11"/>
  <c r="V81" i="17"/>
  <c r="V87" i="17" s="1"/>
  <c r="T29" i="5"/>
  <c r="T24" i="11" l="1"/>
  <c r="T25" i="11" s="1"/>
  <c r="T27" i="11" s="1"/>
  <c r="T7" i="4"/>
  <c r="T30" i="4" s="1"/>
  <c r="U4" i="11"/>
  <c r="U24" i="5"/>
  <c r="T20" i="11"/>
  <c r="T22" i="11" s="1"/>
  <c r="T31" i="5"/>
  <c r="S6" i="4" s="1"/>
  <c r="T32" i="5"/>
  <c r="U14" i="11" l="1"/>
  <c r="U15" i="11"/>
  <c r="S16" i="4"/>
  <c r="S29" i="4" s="1"/>
  <c r="W81" i="17"/>
  <c r="W87" i="17" s="1"/>
  <c r="U29" i="5"/>
  <c r="U31" i="5" l="1"/>
  <c r="T6" i="4" s="1"/>
  <c r="U32" i="5"/>
  <c r="U24" i="11"/>
  <c r="U25" i="11" s="1"/>
  <c r="U27" i="11" s="1"/>
  <c r="U7" i="4"/>
  <c r="U30" i="4" s="1"/>
  <c r="V4" i="11"/>
  <c r="U20" i="11"/>
  <c r="U22" i="11" s="1"/>
  <c r="V24" i="5"/>
  <c r="X81" i="17" l="1"/>
  <c r="X87" i="17" s="1"/>
  <c r="V29" i="5"/>
  <c r="V14" i="11"/>
  <c r="V15" i="11"/>
  <c r="T16" i="4"/>
  <c r="T29" i="4" s="1"/>
  <c r="V24" i="11" l="1"/>
  <c r="V25" i="11" s="1"/>
  <c r="V27" i="11" s="1"/>
  <c r="V7" i="4"/>
  <c r="W4" i="11"/>
  <c r="V20" i="11"/>
  <c r="V22" i="11" s="1"/>
  <c r="W24" i="5"/>
  <c r="V31" i="5"/>
  <c r="U6" i="4" s="1"/>
  <c r="U16" i="4" s="1"/>
  <c r="U29" i="4" s="1"/>
  <c r="V32" i="5"/>
  <c r="W15" i="11" l="1"/>
  <c r="W14" i="11"/>
  <c r="X24" i="5" s="1"/>
  <c r="V26" i="6" s="1"/>
  <c r="Y81" i="17"/>
  <c r="Y87" i="17" s="1"/>
  <c r="W29" i="5"/>
  <c r="V30" i="4"/>
  <c r="J6" i="2"/>
  <c r="V16" i="4"/>
  <c r="V29" i="4" s="1"/>
  <c r="J27" i="2" l="1"/>
  <c r="J14" i="33"/>
  <c r="J15" i="33" s="1"/>
  <c r="J16" i="33" s="1"/>
  <c r="J18" i="33" s="1"/>
  <c r="K17" i="33" s="1"/>
  <c r="J17" i="9"/>
  <c r="J14" i="2"/>
  <c r="J26" i="2" s="1"/>
  <c r="W32" i="5"/>
  <c r="W31" i="5"/>
  <c r="Z81" i="17"/>
  <c r="Z87" i="17" s="1"/>
  <c r="X29" i="5"/>
  <c r="W7" i="4"/>
  <c r="W30" i="4" s="1"/>
  <c r="W24" i="11"/>
  <c r="W25" i="11" s="1"/>
  <c r="W27" i="11" s="1"/>
  <c r="X4" i="11"/>
  <c r="X32" i="5" l="1"/>
  <c r="X31" i="5"/>
  <c r="V37" i="6"/>
  <c r="X14" i="11"/>
  <c r="Y24" i="5" s="1"/>
  <c r="W26" i="6" s="1"/>
  <c r="X15" i="11"/>
  <c r="J31" i="9"/>
  <c r="J33" i="9" s="1"/>
  <c r="J39" i="9" s="1"/>
  <c r="J20" i="9"/>
  <c r="J26" i="9" s="1"/>
  <c r="V38" i="6" l="1"/>
  <c r="V40" i="6" s="1"/>
  <c r="X7" i="4"/>
  <c r="X30" i="4" s="1"/>
  <c r="X24" i="11"/>
  <c r="X25" i="11" s="1"/>
  <c r="X27" i="11" s="1"/>
  <c r="Y4" i="11"/>
  <c r="W6" i="4"/>
  <c r="AA81" i="17"/>
  <c r="AA87" i="17" s="1"/>
  <c r="Y29" i="5"/>
  <c r="W39" i="6" l="1"/>
  <c r="W23" i="4"/>
  <c r="W27" i="4" s="1"/>
  <c r="W17" i="11"/>
  <c r="Z13" i="11"/>
  <c r="Y33" i="6" s="1"/>
  <c r="AC13" i="11"/>
  <c r="AB33" i="6" s="1"/>
  <c r="AB13" i="11"/>
  <c r="AA33" i="6" s="1"/>
  <c r="AD13" i="11"/>
  <c r="AC33" i="6" s="1"/>
  <c r="Y14" i="11"/>
  <c r="Z24" i="5" s="1"/>
  <c r="X26" i="6" s="1"/>
  <c r="Y15" i="11"/>
  <c r="W37" i="6"/>
  <c r="W16" i="4"/>
  <c r="Y31" i="5"/>
  <c r="Y32" i="5"/>
  <c r="W29" i="4" l="1"/>
  <c r="W38" i="6"/>
  <c r="W40" i="6" s="1"/>
  <c r="X23" i="4" s="1"/>
  <c r="AB81" i="17"/>
  <c r="AB87" i="17" s="1"/>
  <c r="Z29" i="5"/>
  <c r="X6" i="4"/>
  <c r="Y24" i="11"/>
  <c r="Y25" i="11" s="1"/>
  <c r="Y27" i="11" s="1"/>
  <c r="Y7" i="4"/>
  <c r="Y30" i="4" s="1"/>
  <c r="Z4" i="11"/>
  <c r="Z11" i="11" s="1"/>
  <c r="AA10" i="5" l="1"/>
  <c r="X39" i="6"/>
  <c r="X17" i="11"/>
  <c r="X27" i="4"/>
  <c r="X37" i="6"/>
  <c r="Z14" i="11"/>
  <c r="AA24" i="5" s="1"/>
  <c r="Z15" i="11"/>
  <c r="X16" i="4"/>
  <c r="Z32" i="5"/>
  <c r="Z31" i="5"/>
  <c r="Y6" i="4" s="1"/>
  <c r="AA11" i="5" l="1"/>
  <c r="AA18" i="5" s="1"/>
  <c r="K9" i="3"/>
  <c r="K10" i="3" s="1"/>
  <c r="Z26" i="4"/>
  <c r="X29" i="4"/>
  <c r="X38" i="6"/>
  <c r="X40" i="6" s="1"/>
  <c r="Y23" i="4" s="1"/>
  <c r="Z24" i="11"/>
  <c r="Z25" i="11" s="1"/>
  <c r="Z27" i="11" s="1"/>
  <c r="Z7" i="4"/>
  <c r="Z30" i="4" s="1"/>
  <c r="AA4" i="11"/>
  <c r="AC81" i="17"/>
  <c r="Y26" i="6"/>
  <c r="Y16" i="4"/>
  <c r="AC79" i="17" l="1"/>
  <c r="AC87" i="17" s="1"/>
  <c r="Y24" i="6"/>
  <c r="D23" i="7" s="1"/>
  <c r="AA20" i="5"/>
  <c r="AA22" i="5" s="1"/>
  <c r="AA29" i="5" s="1"/>
  <c r="AA32" i="5" s="1"/>
  <c r="K13" i="3"/>
  <c r="AA26" i="4"/>
  <c r="Y17" i="11"/>
  <c r="Y39" i="6"/>
  <c r="Y27" i="4"/>
  <c r="Y29" i="4" s="1"/>
  <c r="AA14" i="11"/>
  <c r="AB24" i="5" s="1"/>
  <c r="AA15" i="11"/>
  <c r="AA7" i="4" s="1"/>
  <c r="Y37" i="6" l="1"/>
  <c r="Y38" i="6" s="1"/>
  <c r="Y40" i="6" s="1"/>
  <c r="Z23" i="4" s="1"/>
  <c r="AA31" i="5"/>
  <c r="Z6" i="4" s="1"/>
  <c r="Z16" i="4" s="1"/>
  <c r="AB26" i="4"/>
  <c r="K18" i="3"/>
  <c r="R13" i="3"/>
  <c r="R18" i="3" s="1"/>
  <c r="B22" i="10" s="1"/>
  <c r="AA24" i="11"/>
  <c r="AA25" i="11" s="1"/>
  <c r="AA27" i="11" s="1"/>
  <c r="AA30" i="4"/>
  <c r="AB4" i="11"/>
  <c r="AD81" i="17"/>
  <c r="AD87" i="17" s="1"/>
  <c r="AB29" i="5"/>
  <c r="Z26" i="6"/>
  <c r="Z39" i="6" l="1"/>
  <c r="Z27" i="4"/>
  <c r="Z29" i="4" s="1"/>
  <c r="Z17" i="11"/>
  <c r="K3" i="33"/>
  <c r="K9" i="33" s="1"/>
  <c r="K20" i="3"/>
  <c r="R20" i="3" s="1"/>
  <c r="AC26" i="4"/>
  <c r="Z37" i="6"/>
  <c r="Z38" i="6" s="1"/>
  <c r="Z40" i="6" s="1"/>
  <c r="AA23" i="4" s="1"/>
  <c r="AB31" i="5"/>
  <c r="AA6" i="4" s="1"/>
  <c r="AA16" i="4" s="1"/>
  <c r="AB32" i="5"/>
  <c r="AB14" i="11"/>
  <c r="AC24" i="5" s="1"/>
  <c r="AB15" i="11"/>
  <c r="AD26" i="4" l="1"/>
  <c r="AE81" i="17"/>
  <c r="AE87" i="17" s="1"/>
  <c r="AC29" i="5"/>
  <c r="AA26" i="6"/>
  <c r="AA37" i="6" s="1"/>
  <c r="AA38" i="6" s="1"/>
  <c r="AB7" i="4"/>
  <c r="AB30" i="4" s="1"/>
  <c r="AB24" i="11"/>
  <c r="AB25" i="11" s="1"/>
  <c r="AB27" i="11" s="1"/>
  <c r="AC4" i="11"/>
  <c r="AA39" i="6"/>
  <c r="AA17" i="11"/>
  <c r="AA27" i="4"/>
  <c r="AE26" i="4" l="1"/>
  <c r="AA40" i="6"/>
  <c r="AB23" i="4" s="1"/>
  <c r="AA29" i="4"/>
  <c r="AC31" i="5"/>
  <c r="AB6" i="4" s="1"/>
  <c r="AC32" i="5"/>
  <c r="AC14" i="11"/>
  <c r="AD24" i="5" s="1"/>
  <c r="AC15" i="11"/>
  <c r="AB39" i="6" l="1"/>
  <c r="AF26" i="4"/>
  <c r="AB17" i="11"/>
  <c r="AB27" i="4"/>
  <c r="AC24" i="11"/>
  <c r="AC25" i="11" s="1"/>
  <c r="AC27" i="11" s="1"/>
  <c r="AC7" i="4"/>
  <c r="AC30" i="4" s="1"/>
  <c r="AD4" i="11"/>
  <c r="AF81" i="17"/>
  <c r="AF87" i="17" s="1"/>
  <c r="AD29" i="5"/>
  <c r="AB26" i="6"/>
  <c r="AB37" i="6" s="1"/>
  <c r="AB38" i="6" s="1"/>
  <c r="AB16" i="4"/>
  <c r="AB40" i="6" l="1"/>
  <c r="AC23" i="4" s="1"/>
  <c r="AC27" i="4" s="1"/>
  <c r="AG26" i="4"/>
  <c r="AB29" i="4"/>
  <c r="AD14" i="11"/>
  <c r="AE24" i="5" s="1"/>
  <c r="AD15" i="11"/>
  <c r="AC17" i="11"/>
  <c r="AD32" i="5"/>
  <c r="AD31" i="5"/>
  <c r="AC6" i="4" s="1"/>
  <c r="AC39" i="6" l="1"/>
  <c r="AH26" i="4"/>
  <c r="AC16" i="4"/>
  <c r="AC29" i="4" s="1"/>
  <c r="AD7" i="4"/>
  <c r="AD30" i="4" s="1"/>
  <c r="AD24" i="11"/>
  <c r="AD25" i="11" s="1"/>
  <c r="AD27" i="11" s="1"/>
  <c r="AE4" i="11"/>
  <c r="AG81" i="17"/>
  <c r="AG87" i="17" s="1"/>
  <c r="AE29" i="5"/>
  <c r="AC26" i="6"/>
  <c r="AC37" i="6" s="1"/>
  <c r="AC38" i="6" l="1"/>
  <c r="AC40" i="6" s="1"/>
  <c r="AD23" i="4" s="1"/>
  <c r="AC43" i="6"/>
  <c r="AI26" i="4"/>
  <c r="K23" i="2"/>
  <c r="K32" i="2" s="1"/>
  <c r="K33" i="2" s="1"/>
  <c r="K9" i="9" s="1"/>
  <c r="K19" i="9" s="1"/>
  <c r="AE32" i="5"/>
  <c r="AE31" i="5"/>
  <c r="AD6" i="4" s="1"/>
  <c r="CI13" i="11"/>
  <c r="CH33" i="6" s="1"/>
  <c r="BU13" i="11"/>
  <c r="BT33" i="6" s="1"/>
  <c r="BH13" i="11"/>
  <c r="BG33" i="6" s="1"/>
  <c r="BY13" i="11"/>
  <c r="BX33" i="6" s="1"/>
  <c r="BL13" i="11"/>
  <c r="BK33" i="6" s="1"/>
  <c r="CJ13" i="11"/>
  <c r="CI33" i="6" s="1"/>
  <c r="AG13" i="11"/>
  <c r="AF33" i="6" s="1"/>
  <c r="CF13" i="11"/>
  <c r="CE33" i="6" s="1"/>
  <c r="AN13" i="11"/>
  <c r="AM33" i="6" s="1"/>
  <c r="CD13" i="11"/>
  <c r="CC33" i="6" s="1"/>
  <c r="CU13" i="11"/>
  <c r="CT33" i="6" s="1"/>
  <c r="CH13" i="11"/>
  <c r="CG33" i="6" s="1"/>
  <c r="AT13" i="11"/>
  <c r="AS33" i="6" s="1"/>
  <c r="AW13" i="11"/>
  <c r="AV33" i="6" s="1"/>
  <c r="CV13" i="11"/>
  <c r="CU33" i="6" s="1"/>
  <c r="BT13" i="11"/>
  <c r="BS33" i="6" s="1"/>
  <c r="AH13" i="11"/>
  <c r="AG33" i="6" s="1"/>
  <c r="CN13" i="11"/>
  <c r="CM33" i="6" s="1"/>
  <c r="CP13" i="11"/>
  <c r="CO33" i="6" s="1"/>
  <c r="BC13" i="11"/>
  <c r="BB33" i="6" s="1"/>
  <c r="AL13" i="11"/>
  <c r="AK33" i="6" s="1"/>
  <c r="CR13" i="11"/>
  <c r="CQ33" i="6" s="1"/>
  <c r="BZ13" i="11"/>
  <c r="BY33" i="6" s="1"/>
  <c r="BM13" i="11"/>
  <c r="BL33" i="6" s="1"/>
  <c r="AZ13" i="11"/>
  <c r="AY33" i="6" s="1"/>
  <c r="AM13" i="11"/>
  <c r="AL33" i="6" s="1"/>
  <c r="AX13" i="11"/>
  <c r="AW33" i="6" s="1"/>
  <c r="BI13" i="11"/>
  <c r="BH33" i="6" s="1"/>
  <c r="AV13" i="11"/>
  <c r="AU33" i="6" s="1"/>
  <c r="BJ13" i="11"/>
  <c r="BI33" i="6" s="1"/>
  <c r="BN13" i="11"/>
  <c r="BM33" i="6" s="1"/>
  <c r="BR13" i="11"/>
  <c r="BQ33" i="6" s="1"/>
  <c r="BQ13" i="11"/>
  <c r="BP33" i="6" s="1"/>
  <c r="CM13" i="11"/>
  <c r="CL33" i="6" s="1"/>
  <c r="CS13" i="11"/>
  <c r="CR33" i="6" s="1"/>
  <c r="BO13" i="11"/>
  <c r="BN33" i="6" s="1"/>
  <c r="CK13" i="11"/>
  <c r="CJ33" i="6" s="1"/>
  <c r="BX13" i="11"/>
  <c r="BW33" i="6" s="1"/>
  <c r="CO13" i="11"/>
  <c r="CN33" i="6" s="1"/>
  <c r="CB13" i="11"/>
  <c r="CA33" i="6" s="1"/>
  <c r="BW13" i="11"/>
  <c r="BV33" i="6" s="1"/>
  <c r="AP13" i="11"/>
  <c r="AO33" i="6" s="1"/>
  <c r="BA13" i="11"/>
  <c r="AZ33" i="6" s="1"/>
  <c r="AO13" i="11"/>
  <c r="AN33" i="6" s="1"/>
  <c r="CT13" i="11"/>
  <c r="CS33" i="6" s="1"/>
  <c r="AQ13" i="11"/>
  <c r="AP33" i="6" s="1"/>
  <c r="AE13" i="11"/>
  <c r="AD33" i="6" s="1"/>
  <c r="AS13" i="11"/>
  <c r="AR33" i="6" s="1"/>
  <c r="AF13" i="11"/>
  <c r="AE33" i="6" s="1"/>
  <c r="CA13" i="11"/>
  <c r="BZ33" i="6" s="1"/>
  <c r="BK13" i="11"/>
  <c r="BJ33" i="6" s="1"/>
  <c r="BF13" i="11"/>
  <c r="BE33" i="6" s="1"/>
  <c r="CG13" i="11"/>
  <c r="CF33" i="6" s="1"/>
  <c r="BE13" i="11"/>
  <c r="BD33" i="6" s="1"/>
  <c r="AR13" i="11"/>
  <c r="AQ33" i="6" s="1"/>
  <c r="BB13" i="11"/>
  <c r="BA33" i="6" s="1"/>
  <c r="AK13" i="11"/>
  <c r="AJ33" i="6" s="1"/>
  <c r="AY13" i="11"/>
  <c r="AX33" i="6" s="1"/>
  <c r="BV13" i="11"/>
  <c r="BU33" i="6" s="1"/>
  <c r="CL13" i="11"/>
  <c r="CK33" i="6" s="1"/>
  <c r="CE13" i="11"/>
  <c r="CD33" i="6" s="1"/>
  <c r="BS13" i="11"/>
  <c r="BR33" i="6" s="1"/>
  <c r="AI13" i="11"/>
  <c r="AH33" i="6" s="1"/>
  <c r="CQ13" i="11"/>
  <c r="CP33" i="6" s="1"/>
  <c r="BG13" i="11"/>
  <c r="BF33" i="6" s="1"/>
  <c r="BD13" i="11"/>
  <c r="BC33" i="6" s="1"/>
  <c r="CC13" i="11"/>
  <c r="CB33" i="6" s="1"/>
  <c r="BP13" i="11"/>
  <c r="BO33" i="6" s="1"/>
  <c r="AJ13" i="11"/>
  <c r="AI33" i="6" s="1"/>
  <c r="AU13" i="11"/>
  <c r="AT33" i="6" s="1"/>
  <c r="AD39" i="6"/>
  <c r="AD17" i="11"/>
  <c r="AD27" i="4"/>
  <c r="AE14" i="11" l="1"/>
  <c r="AF24" i="5" s="1"/>
  <c r="AF29" i="5" s="1"/>
  <c r="AJ26" i="4"/>
  <c r="F32" i="7"/>
  <c r="D32" i="7"/>
  <c r="I32" i="7"/>
  <c r="J32" i="7"/>
  <c r="AE15" i="11"/>
  <c r="AE24" i="11" s="1"/>
  <c r="AE25" i="11" s="1"/>
  <c r="AE27" i="11" s="1"/>
  <c r="G32" i="7"/>
  <c r="H32" i="7"/>
  <c r="E32" i="7"/>
  <c r="AD16" i="4"/>
  <c r="AD29" i="4" s="1"/>
  <c r="AD26" i="6"/>
  <c r="AD37" i="6" s="1"/>
  <c r="AD38" i="6" l="1"/>
  <c r="AD40" i="6" s="1"/>
  <c r="AE23" i="4" s="1"/>
  <c r="AD43" i="6"/>
  <c r="AH81" i="17"/>
  <c r="AH87" i="17" s="1"/>
  <c r="AF4" i="11"/>
  <c r="AF14" i="11" s="1"/>
  <c r="AG24" i="5" s="1"/>
  <c r="AE7" i="4"/>
  <c r="AE30" i="4" s="1"/>
  <c r="AK26" i="4"/>
  <c r="AE39" i="6"/>
  <c r="AE17" i="11"/>
  <c r="AE27" i="4"/>
  <c r="AF31" i="5"/>
  <c r="AE6" i="4" s="1"/>
  <c r="AF32" i="5"/>
  <c r="AF15" i="11" l="1"/>
  <c r="AF24" i="11" s="1"/>
  <c r="AF25" i="11" s="1"/>
  <c r="AF27" i="11" s="1"/>
  <c r="AL26" i="4"/>
  <c r="AE16" i="4"/>
  <c r="AE29" i="4" s="1"/>
  <c r="AI81" i="17"/>
  <c r="AI87" i="17" s="1"/>
  <c r="AG29" i="5"/>
  <c r="AE26" i="6"/>
  <c r="AE37" i="6" s="1"/>
  <c r="AE38" i="6" s="1"/>
  <c r="AE40" i="6" s="1"/>
  <c r="AF23" i="4" s="1"/>
  <c r="AF7" i="4" l="1"/>
  <c r="AF30" i="4" s="1"/>
  <c r="AG4" i="11"/>
  <c r="AG15" i="11" s="1"/>
  <c r="AM26" i="4"/>
  <c r="AG32" i="5"/>
  <c r="AG31" i="5"/>
  <c r="AF6" i="4" s="1"/>
  <c r="AF39" i="6"/>
  <c r="AF17" i="11"/>
  <c r="AF27" i="4"/>
  <c r="AG14" i="11" l="1"/>
  <c r="AH24" i="5" s="1"/>
  <c r="AH29" i="5" s="1"/>
  <c r="AN26" i="4"/>
  <c r="AG7" i="4"/>
  <c r="AG30" i="4" s="1"/>
  <c r="AG24" i="11"/>
  <c r="AG25" i="11" s="1"/>
  <c r="AG27" i="11" s="1"/>
  <c r="AH4" i="11"/>
  <c r="AF16" i="4"/>
  <c r="AF29" i="4" s="1"/>
  <c r="AJ81" i="17" l="1"/>
  <c r="AJ87" i="17" s="1"/>
  <c r="AF26" i="6"/>
  <c r="AF37" i="6" s="1"/>
  <c r="AF38" i="6" s="1"/>
  <c r="AF40" i="6" s="1"/>
  <c r="AG23" i="4" s="1"/>
  <c r="AG27" i="4" s="1"/>
  <c r="AO26" i="4"/>
  <c r="AH14" i="11"/>
  <c r="AI24" i="5" s="1"/>
  <c r="AH15" i="11"/>
  <c r="AH31" i="5"/>
  <c r="AG6" i="4" s="1"/>
  <c r="AH32" i="5"/>
  <c r="AG39" i="6" l="1"/>
  <c r="AG17" i="11"/>
  <c r="AP26" i="4"/>
  <c r="AG16" i="4"/>
  <c r="AG29" i="4" s="1"/>
  <c r="AH24" i="11"/>
  <c r="AH25" i="11" s="1"/>
  <c r="AH27" i="11" s="1"/>
  <c r="AH7" i="4"/>
  <c r="AI4" i="11"/>
  <c r="AK81" i="17"/>
  <c r="AK87" i="17" s="1"/>
  <c r="AI29" i="5"/>
  <c r="AG26" i="6"/>
  <c r="AQ26" i="4" l="1"/>
  <c r="AI32" i="5"/>
  <c r="AI14" i="11"/>
  <c r="AJ24" i="5" s="1"/>
  <c r="AI15" i="11"/>
  <c r="AH30" i="4"/>
  <c r="K6" i="2"/>
  <c r="AR26" i="4" l="1"/>
  <c r="AI7" i="4"/>
  <c r="AI30" i="4" s="1"/>
  <c r="AI24" i="11"/>
  <c r="AI25" i="11" s="1"/>
  <c r="AI27" i="11" s="1"/>
  <c r="AJ4" i="11"/>
  <c r="K27" i="2"/>
  <c r="K14" i="33"/>
  <c r="K15" i="33" s="1"/>
  <c r="K16" i="33" s="1"/>
  <c r="K18" i="33" s="1"/>
  <c r="L17" i="33" s="1"/>
  <c r="K17" i="9"/>
  <c r="AJ29" i="5"/>
  <c r="AL81" i="17"/>
  <c r="AL87" i="17" s="1"/>
  <c r="AH26" i="6"/>
  <c r="AS26" i="4" l="1"/>
  <c r="AH37" i="6"/>
  <c r="AH38" i="6" s="1"/>
  <c r="K31" i="9"/>
  <c r="AJ14" i="11"/>
  <c r="AK24" i="5" s="1"/>
  <c r="AJ15" i="11"/>
  <c r="AJ31" i="5"/>
  <c r="AJ32" i="5"/>
  <c r="AT26" i="4" l="1"/>
  <c r="AJ24" i="11"/>
  <c r="AJ25" i="11" s="1"/>
  <c r="AJ27" i="11" s="1"/>
  <c r="AJ7" i="4"/>
  <c r="AJ30" i="4" s="1"/>
  <c r="AK4" i="11"/>
  <c r="AM81" i="17"/>
  <c r="AM87" i="17" s="1"/>
  <c r="AK29" i="5"/>
  <c r="AI26" i="6"/>
  <c r="AU26" i="4" l="1"/>
  <c r="L23" i="2"/>
  <c r="L32" i="2" s="1"/>
  <c r="L33" i="2" s="1"/>
  <c r="L9" i="9" s="1"/>
  <c r="L19" i="9" s="1"/>
  <c r="AK31" i="5"/>
  <c r="AK32" i="5"/>
  <c r="AK14" i="11"/>
  <c r="AL24" i="5" s="1"/>
  <c r="AK15" i="11"/>
  <c r="AI37" i="6"/>
  <c r="AI38" i="6" s="1"/>
  <c r="AV26" i="4" l="1"/>
  <c r="AL29" i="5"/>
  <c r="AN81" i="17"/>
  <c r="AN87" i="17" s="1"/>
  <c r="AJ26" i="6"/>
  <c r="AK7" i="4"/>
  <c r="AK30" i="4" s="1"/>
  <c r="AK24" i="11"/>
  <c r="AK25" i="11" s="1"/>
  <c r="AK27" i="11" s="1"/>
  <c r="AL4" i="11"/>
  <c r="AW26" i="4" l="1"/>
  <c r="AJ37" i="6"/>
  <c r="AJ38" i="6" s="1"/>
  <c r="AL14" i="11"/>
  <c r="AM24" i="5" s="1"/>
  <c r="AL15" i="11"/>
  <c r="AL31" i="5"/>
  <c r="AL32" i="5"/>
  <c r="AX26" i="4" l="1"/>
  <c r="AL7" i="4"/>
  <c r="AL30" i="4" s="1"/>
  <c r="AL24" i="11"/>
  <c r="AL25" i="11" s="1"/>
  <c r="AL27" i="11" s="1"/>
  <c r="AM4" i="11"/>
  <c r="AO81" i="17"/>
  <c r="AO87" i="17" s="1"/>
  <c r="AM29" i="5"/>
  <c r="AK26" i="6"/>
  <c r="AY26" i="4" l="1"/>
  <c r="AK37" i="6"/>
  <c r="AK38" i="6" s="1"/>
  <c r="AM31" i="5"/>
  <c r="AM32" i="5"/>
  <c r="AM14" i="11"/>
  <c r="AN24" i="5" s="1"/>
  <c r="AM15" i="11"/>
  <c r="AZ26" i="4" l="1"/>
  <c r="AN29" i="5"/>
  <c r="AP81" i="17"/>
  <c r="AP87" i="17" s="1"/>
  <c r="AL26" i="6"/>
  <c r="AM7" i="4"/>
  <c r="AM30" i="4" s="1"/>
  <c r="AM24" i="11"/>
  <c r="AM25" i="11" s="1"/>
  <c r="AM27" i="11" s="1"/>
  <c r="AN4" i="11"/>
  <c r="BA26" i="4" l="1"/>
  <c r="AN14" i="11"/>
  <c r="AO24" i="5" s="1"/>
  <c r="AN15" i="11"/>
  <c r="AL37" i="6"/>
  <c r="AL38" i="6" s="1"/>
  <c r="AN31" i="5"/>
  <c r="AN32" i="5"/>
  <c r="BB26" i="4" l="1"/>
  <c r="AN24" i="11"/>
  <c r="AN25" i="11" s="1"/>
  <c r="AN27" i="11" s="1"/>
  <c r="AN7" i="4"/>
  <c r="AN30" i="4" s="1"/>
  <c r="AO4" i="11"/>
  <c r="AQ81" i="17"/>
  <c r="AQ87" i="17" s="1"/>
  <c r="AO29" i="5"/>
  <c r="AM26" i="6"/>
  <c r="AM37" i="6" s="1"/>
  <c r="AM38" i="6" s="1"/>
  <c r="BC26" i="4" l="1"/>
  <c r="AO31" i="5"/>
  <c r="AO32" i="5"/>
  <c r="AO14" i="11"/>
  <c r="AP24" i="5" s="1"/>
  <c r="AO15" i="11"/>
  <c r="BD26" i="4" l="1"/>
  <c r="AP29" i="5"/>
  <c r="AR81" i="17"/>
  <c r="AR87" i="17" s="1"/>
  <c r="AN26" i="6"/>
  <c r="AN37" i="6" s="1"/>
  <c r="AN38" i="6" s="1"/>
  <c r="AO7" i="4"/>
  <c r="AO30" i="4" s="1"/>
  <c r="AO24" i="11"/>
  <c r="AO25" i="11" s="1"/>
  <c r="AO27" i="11" s="1"/>
  <c r="AP4" i="11"/>
  <c r="BE26" i="4" l="1"/>
  <c r="AP14" i="11"/>
  <c r="AQ24" i="5" s="1"/>
  <c r="AP15" i="11"/>
  <c r="AP32" i="5"/>
  <c r="AP31" i="5"/>
  <c r="BF26" i="4" l="1"/>
  <c r="AS81" i="17"/>
  <c r="AS87" i="17" s="1"/>
  <c r="AQ29" i="5"/>
  <c r="AO26" i="6"/>
  <c r="AO37" i="6" s="1"/>
  <c r="AO38" i="6" s="1"/>
  <c r="AP24" i="11"/>
  <c r="AP25" i="11" s="1"/>
  <c r="AP27" i="11" s="1"/>
  <c r="AP7" i="4"/>
  <c r="AP30" i="4" s="1"/>
  <c r="AQ4" i="11"/>
  <c r="BG26" i="4" l="1"/>
  <c r="M23" i="2"/>
  <c r="M32" i="2" s="1"/>
  <c r="M33" i="2" s="1"/>
  <c r="M9" i="9" s="1"/>
  <c r="M19" i="9" s="1"/>
  <c r="AQ14" i="11"/>
  <c r="AR24" i="5" s="1"/>
  <c r="AQ15" i="11"/>
  <c r="AQ31" i="5"/>
  <c r="AQ32" i="5"/>
  <c r="BH26" i="4" l="1"/>
  <c r="AT81" i="17"/>
  <c r="AT87" i="17" s="1"/>
  <c r="AR29" i="5"/>
  <c r="AP26" i="6"/>
  <c r="AP37" i="6" s="1"/>
  <c r="AP38" i="6" s="1"/>
  <c r="AQ7" i="4"/>
  <c r="AQ30" i="4" s="1"/>
  <c r="AQ24" i="11"/>
  <c r="AQ25" i="11" s="1"/>
  <c r="AQ27" i="11" s="1"/>
  <c r="AR4" i="11"/>
  <c r="BI26" i="4" l="1"/>
  <c r="AR14" i="11"/>
  <c r="AS24" i="5" s="1"/>
  <c r="AR15" i="11"/>
  <c r="AR31" i="5"/>
  <c r="AR32" i="5"/>
  <c r="BJ26" i="4" l="1"/>
  <c r="AR7" i="4"/>
  <c r="AR30" i="4" s="1"/>
  <c r="AR24" i="11"/>
  <c r="AR25" i="11" s="1"/>
  <c r="AR27" i="11" s="1"/>
  <c r="AS4" i="11"/>
  <c r="AS29" i="5"/>
  <c r="AU81" i="17"/>
  <c r="AU87" i="17" s="1"/>
  <c r="AQ26" i="6"/>
  <c r="AQ37" i="6" s="1"/>
  <c r="AQ38" i="6" s="1"/>
  <c r="BK26" i="4" l="1"/>
  <c r="AS14" i="11"/>
  <c r="AT24" i="5" s="1"/>
  <c r="AS15" i="11"/>
  <c r="AS31" i="5"/>
  <c r="AS32" i="5"/>
  <c r="BL26" i="4" l="1"/>
  <c r="AS7" i="4"/>
  <c r="AS30" i="4" s="1"/>
  <c r="AS24" i="11"/>
  <c r="AS25" i="11" s="1"/>
  <c r="AS27" i="11" s="1"/>
  <c r="AT4" i="11"/>
  <c r="AT29" i="5"/>
  <c r="AV81" i="17"/>
  <c r="AV87" i="17" s="1"/>
  <c r="AR26" i="6"/>
  <c r="AR37" i="6" s="1"/>
  <c r="AR38" i="6" s="1"/>
  <c r="BM26" i="4" l="1"/>
  <c r="AT14" i="11"/>
  <c r="AU24" i="5" s="1"/>
  <c r="AT15" i="11"/>
  <c r="AT32" i="5"/>
  <c r="AT31" i="5"/>
  <c r="BN26" i="4" l="1"/>
  <c r="AT24" i="11"/>
  <c r="AT25" i="11" s="1"/>
  <c r="AT27" i="11" s="1"/>
  <c r="AT7" i="4"/>
  <c r="AU4" i="11"/>
  <c r="AW81" i="17"/>
  <c r="AW87" i="17" s="1"/>
  <c r="AU29" i="5"/>
  <c r="AS26" i="6"/>
  <c r="BO26" i="4" l="1"/>
  <c r="AT30" i="4"/>
  <c r="L6" i="2"/>
  <c r="AU14" i="11"/>
  <c r="AV24" i="5" s="1"/>
  <c r="AU15" i="11"/>
  <c r="AU32" i="5"/>
  <c r="BP26" i="4" l="1"/>
  <c r="AU24" i="11"/>
  <c r="AU25" i="11" s="1"/>
  <c r="AU27" i="11" s="1"/>
  <c r="AU7" i="4"/>
  <c r="AU30" i="4" s="1"/>
  <c r="AV4" i="11"/>
  <c r="L24" i="9"/>
  <c r="L14" i="33"/>
  <c r="L15" i="33" s="1"/>
  <c r="L16" i="33" s="1"/>
  <c r="L18" i="33" s="1"/>
  <c r="M17" i="33" s="1"/>
  <c r="L27" i="2"/>
  <c r="L28" i="33"/>
  <c r="AX81" i="17"/>
  <c r="AX87" i="17" s="1"/>
  <c r="AV29" i="5"/>
  <c r="AT26" i="6"/>
  <c r="BQ26" i="4" l="1"/>
  <c r="L37" i="9"/>
  <c r="L25" i="9"/>
  <c r="AV14" i="11"/>
  <c r="AW24" i="5" s="1"/>
  <c r="AV15" i="11"/>
  <c r="AT37" i="6"/>
  <c r="AT38" i="6" s="1"/>
  <c r="AV32" i="5"/>
  <c r="AV31" i="5"/>
  <c r="BR26" i="4" l="1"/>
  <c r="AV24" i="11"/>
  <c r="AV25" i="11" s="1"/>
  <c r="AV27" i="11" s="1"/>
  <c r="AV7" i="4"/>
  <c r="AV30" i="4" s="1"/>
  <c r="AW4" i="11"/>
  <c r="AW29" i="5"/>
  <c r="AY81" i="17"/>
  <c r="AY87" i="17" s="1"/>
  <c r="AU26" i="6"/>
  <c r="BS26" i="4" l="1"/>
  <c r="N23" i="2"/>
  <c r="N32" i="2" s="1"/>
  <c r="N33" i="2" s="1"/>
  <c r="N9" i="9" s="1"/>
  <c r="N19" i="9" s="1"/>
  <c r="AW31" i="5"/>
  <c r="AW32" i="5"/>
  <c r="AU37" i="6"/>
  <c r="AU38" i="6" s="1"/>
  <c r="AW14" i="11"/>
  <c r="AX24" i="5" s="1"/>
  <c r="AW15" i="11"/>
  <c r="BT26" i="4" l="1"/>
  <c r="AW7" i="4"/>
  <c r="AW30" i="4" s="1"/>
  <c r="AW24" i="11"/>
  <c r="AW25" i="11" s="1"/>
  <c r="AW27" i="11" s="1"/>
  <c r="AX4" i="11"/>
  <c r="AX29" i="5"/>
  <c r="AZ81" i="17"/>
  <c r="AZ87" i="17" s="1"/>
  <c r="AV26" i="6"/>
  <c r="BU26" i="4" l="1"/>
  <c r="AV37" i="6"/>
  <c r="AV38" i="6" s="1"/>
  <c r="AX32" i="5"/>
  <c r="AX31" i="5"/>
  <c r="AX14" i="11"/>
  <c r="AY24" i="5" s="1"/>
  <c r="AX15" i="11"/>
  <c r="BV26" i="4" l="1"/>
  <c r="AX7" i="4"/>
  <c r="AX30" i="4" s="1"/>
  <c r="AX24" i="11"/>
  <c r="AX25" i="11" s="1"/>
  <c r="AX27" i="11" s="1"/>
  <c r="AY4" i="11"/>
  <c r="BA81" i="17"/>
  <c r="BA87" i="17" s="1"/>
  <c r="AY29" i="5"/>
  <c r="AW26" i="6"/>
  <c r="BW26" i="4" l="1"/>
  <c r="AW37" i="6"/>
  <c r="AW38" i="6" s="1"/>
  <c r="AY14" i="11"/>
  <c r="AZ24" i="5" s="1"/>
  <c r="AY15" i="11"/>
  <c r="AY31" i="5"/>
  <c r="AY32" i="5"/>
  <c r="BX26" i="4" l="1"/>
  <c r="AY24" i="11"/>
  <c r="AY25" i="11" s="1"/>
  <c r="AY27" i="11" s="1"/>
  <c r="AY7" i="4"/>
  <c r="AY30" i="4" s="1"/>
  <c r="AZ4" i="11"/>
  <c r="AZ29" i="5"/>
  <c r="BB81" i="17"/>
  <c r="BB87" i="17" s="1"/>
  <c r="AX26" i="6"/>
  <c r="BY26" i="4" l="1"/>
  <c r="AZ14" i="11"/>
  <c r="BA24" i="5" s="1"/>
  <c r="AZ15" i="11"/>
  <c r="AX37" i="6"/>
  <c r="AX38" i="6" s="1"/>
  <c r="AZ31" i="5"/>
  <c r="AZ32" i="5"/>
  <c r="BZ26" i="4" l="1"/>
  <c r="AZ24" i="11"/>
  <c r="AZ25" i="11" s="1"/>
  <c r="AZ27" i="11" s="1"/>
  <c r="AZ7" i="4"/>
  <c r="AZ30" i="4" s="1"/>
  <c r="BA4" i="11"/>
  <c r="BA29" i="5"/>
  <c r="BC81" i="17"/>
  <c r="BC87" i="17" s="1"/>
  <c r="AY26" i="6"/>
  <c r="AY37" i="6" s="1"/>
  <c r="AY38" i="6" s="1"/>
  <c r="CA26" i="4" l="1"/>
  <c r="BA31" i="5"/>
  <c r="BA32" i="5"/>
  <c r="BA14" i="11"/>
  <c r="BB24" i="5" s="1"/>
  <c r="BA15" i="11"/>
  <c r="CB26" i="4" l="1"/>
  <c r="BB29" i="5"/>
  <c r="BD81" i="17"/>
  <c r="BD87" i="17" s="1"/>
  <c r="AZ26" i="6"/>
  <c r="AZ37" i="6" s="1"/>
  <c r="AZ38" i="6" s="1"/>
  <c r="BA24" i="11"/>
  <c r="BA25" i="11" s="1"/>
  <c r="BA27" i="11" s="1"/>
  <c r="BA7" i="4"/>
  <c r="BA30" i="4" s="1"/>
  <c r="BB4" i="11"/>
  <c r="CC26" i="4" l="1"/>
  <c r="BB14" i="11"/>
  <c r="BC24" i="5" s="1"/>
  <c r="BB15" i="11"/>
  <c r="BB32" i="5"/>
  <c r="BB31" i="5"/>
  <c r="CD26" i="4" l="1"/>
  <c r="BE81" i="17"/>
  <c r="BE87" i="17" s="1"/>
  <c r="BC29" i="5"/>
  <c r="BA26" i="6"/>
  <c r="BA37" i="6" s="1"/>
  <c r="BA38" i="6" s="1"/>
  <c r="BB7" i="4"/>
  <c r="BB30" i="4" s="1"/>
  <c r="BB24" i="11"/>
  <c r="BB25" i="11" s="1"/>
  <c r="BB27" i="11" s="1"/>
  <c r="BC4" i="11"/>
  <c r="CE26" i="4" l="1"/>
  <c r="O23" i="2"/>
  <c r="O32" i="2" s="1"/>
  <c r="O33" i="2" s="1"/>
  <c r="O9" i="9" s="1"/>
  <c r="O19" i="9" s="1"/>
  <c r="BC14" i="11"/>
  <c r="BD24" i="5" s="1"/>
  <c r="BC15" i="11"/>
  <c r="BC32" i="5"/>
  <c r="BC31" i="5"/>
  <c r="CF26" i="4" l="1"/>
  <c r="BC24" i="11"/>
  <c r="BC25" i="11" s="1"/>
  <c r="BC27" i="11" s="1"/>
  <c r="BC7" i="4"/>
  <c r="BC30" i="4" s="1"/>
  <c r="BD4" i="11"/>
  <c r="BF81" i="17"/>
  <c r="BF87" i="17" s="1"/>
  <c r="BD29" i="5"/>
  <c r="BB26" i="6"/>
  <c r="BB37" i="6" s="1"/>
  <c r="BB38" i="6" s="1"/>
  <c r="CG26" i="4" l="1"/>
  <c r="BD14" i="11"/>
  <c r="BE24" i="5" s="1"/>
  <c r="BD15" i="11"/>
  <c r="BD31" i="5"/>
  <c r="BD32" i="5"/>
  <c r="CH26" i="4" l="1"/>
  <c r="BD7" i="4"/>
  <c r="BD30" i="4" s="1"/>
  <c r="BD24" i="11"/>
  <c r="BD25" i="11" s="1"/>
  <c r="BD27" i="11" s="1"/>
  <c r="BE4" i="11"/>
  <c r="BE29" i="5"/>
  <c r="BG81" i="17"/>
  <c r="BG87" i="17" s="1"/>
  <c r="BC26" i="6"/>
  <c r="BC37" i="6" s="1"/>
  <c r="BC38" i="6" s="1"/>
  <c r="CI26" i="4" l="1"/>
  <c r="BE14" i="11"/>
  <c r="BF24" i="5" s="1"/>
  <c r="BE15" i="11"/>
  <c r="BE31" i="5"/>
  <c r="BE32" i="5"/>
  <c r="CJ26" i="4" l="1"/>
  <c r="BE7" i="4"/>
  <c r="BE30" i="4" s="1"/>
  <c r="BE24" i="11"/>
  <c r="BE25" i="11" s="1"/>
  <c r="BE27" i="11" s="1"/>
  <c r="BF4" i="11"/>
  <c r="BH81" i="17"/>
  <c r="BH87" i="17" s="1"/>
  <c r="BF29" i="5"/>
  <c r="BD26" i="6"/>
  <c r="BD37" i="6" s="1"/>
  <c r="BD38" i="6" s="1"/>
  <c r="CK26" i="4" l="1"/>
  <c r="BF14" i="11"/>
  <c r="BG24" i="5" s="1"/>
  <c r="BF15" i="11"/>
  <c r="BF31" i="5"/>
  <c r="BF32" i="5"/>
  <c r="CL26" i="4" l="1"/>
  <c r="BF24" i="11"/>
  <c r="BF25" i="11" s="1"/>
  <c r="BF27" i="11" s="1"/>
  <c r="BF7" i="4"/>
  <c r="BG4" i="11"/>
  <c r="BG29" i="5"/>
  <c r="BI81" i="17"/>
  <c r="BI87" i="17" s="1"/>
  <c r="BE26" i="6"/>
  <c r="CM26" i="4" l="1"/>
  <c r="BF30" i="4"/>
  <c r="M6" i="2"/>
  <c r="BG14" i="11"/>
  <c r="BH24" i="5" s="1"/>
  <c r="BG15" i="11"/>
  <c r="BG32" i="5"/>
  <c r="CN26" i="4" l="1"/>
  <c r="BG24" i="11"/>
  <c r="BG25" i="11" s="1"/>
  <c r="BG27" i="11" s="1"/>
  <c r="BG7" i="4"/>
  <c r="BG30" i="4" s="1"/>
  <c r="BH4" i="11"/>
  <c r="BJ81" i="17"/>
  <c r="BJ87" i="17" s="1"/>
  <c r="BH29" i="5"/>
  <c r="BF26" i="6"/>
  <c r="M24" i="9"/>
  <c r="M14" i="33"/>
  <c r="M15" i="33" s="1"/>
  <c r="M16" i="33" s="1"/>
  <c r="M18" i="33" s="1"/>
  <c r="N17" i="33" s="1"/>
  <c r="M27" i="2"/>
  <c r="M28" i="33"/>
  <c r="CO26" i="4" l="1"/>
  <c r="M37" i="9"/>
  <c r="M25" i="9"/>
  <c r="BF37" i="6"/>
  <c r="BF38" i="6" s="1"/>
  <c r="BH14" i="11"/>
  <c r="BI24" i="5" s="1"/>
  <c r="BH15" i="11"/>
  <c r="BH31" i="5"/>
  <c r="BH32" i="5"/>
  <c r="CP26" i="4" l="1"/>
  <c r="BK81" i="17"/>
  <c r="BK87" i="17" s="1"/>
  <c r="BI29" i="5"/>
  <c r="BG26" i="6"/>
  <c r="BH24" i="11"/>
  <c r="BH25" i="11" s="1"/>
  <c r="BH27" i="11" s="1"/>
  <c r="BH7" i="4"/>
  <c r="BH30" i="4" s="1"/>
  <c r="BI4" i="11"/>
  <c r="CQ26" i="4" l="1"/>
  <c r="P23" i="2"/>
  <c r="P32" i="2" s="1"/>
  <c r="P33" i="2" s="1"/>
  <c r="P9" i="9" s="1"/>
  <c r="BG37" i="6"/>
  <c r="BG38" i="6" s="1"/>
  <c r="BI14" i="11"/>
  <c r="BJ24" i="5" s="1"/>
  <c r="BI15" i="11"/>
  <c r="BI31" i="5"/>
  <c r="BI32" i="5"/>
  <c r="P19" i="9" l="1"/>
  <c r="P10" i="9"/>
  <c r="P11" i="9" s="1"/>
  <c r="P32" i="9" s="1"/>
  <c r="P33" i="9" s="1"/>
  <c r="CR26" i="4"/>
  <c r="BI7" i="4"/>
  <c r="BI30" i="4" s="1"/>
  <c r="BI24" i="11"/>
  <c r="BI25" i="11" s="1"/>
  <c r="BI27" i="11" s="1"/>
  <c r="BJ4" i="11"/>
  <c r="BL81" i="17"/>
  <c r="BL87" i="17" s="1"/>
  <c r="BJ29" i="5"/>
  <c r="BH26" i="6"/>
  <c r="CS26" i="4" l="1"/>
  <c r="BJ14" i="11"/>
  <c r="BK24" i="5" s="1"/>
  <c r="BJ15" i="11"/>
  <c r="BH37" i="6"/>
  <c r="BH38" i="6" s="1"/>
  <c r="BJ32" i="5"/>
  <c r="BJ31" i="5"/>
  <c r="CT26" i="4" l="1"/>
  <c r="BJ7" i="4"/>
  <c r="BJ30" i="4" s="1"/>
  <c r="BJ24" i="11"/>
  <c r="BJ25" i="11" s="1"/>
  <c r="BJ27" i="11" s="1"/>
  <c r="BK4" i="11"/>
  <c r="BK29" i="5"/>
  <c r="BM81" i="17"/>
  <c r="BM87" i="17" s="1"/>
  <c r="BI26" i="6"/>
  <c r="CU26" i="4" l="1"/>
  <c r="BK32" i="5"/>
  <c r="BK31" i="5"/>
  <c r="BK15" i="11"/>
  <c r="BK14" i="11"/>
  <c r="BL24" i="5" s="1"/>
  <c r="BI37" i="6"/>
  <c r="BI38" i="6" s="1"/>
  <c r="CV26" i="4" l="1"/>
  <c r="BN81" i="17"/>
  <c r="BN87" i="17" s="1"/>
  <c r="BL29" i="5"/>
  <c r="BJ26" i="6"/>
  <c r="BK24" i="11"/>
  <c r="BK25" i="11" s="1"/>
  <c r="BK27" i="11" s="1"/>
  <c r="BK7" i="4"/>
  <c r="BK30" i="4" s="1"/>
  <c r="BL4" i="11"/>
  <c r="CW26" i="4" l="1"/>
  <c r="BJ37" i="6"/>
  <c r="BJ38" i="6" s="1"/>
  <c r="BL14" i="11"/>
  <c r="BM24" i="5" s="1"/>
  <c r="BL15" i="11"/>
  <c r="BL31" i="5"/>
  <c r="BL32" i="5"/>
  <c r="CX26" i="4" l="1"/>
  <c r="BL24" i="11"/>
  <c r="BL25" i="11" s="1"/>
  <c r="BL27" i="11" s="1"/>
  <c r="BL7" i="4"/>
  <c r="BL30" i="4" s="1"/>
  <c r="BM4" i="11"/>
  <c r="BO81" i="17"/>
  <c r="BO87" i="17" s="1"/>
  <c r="BM29" i="5"/>
  <c r="BK26" i="6"/>
  <c r="BK37" i="6" s="1"/>
  <c r="BK38" i="6" s="1"/>
  <c r="CY26" i="4" l="1"/>
  <c r="BM31" i="5"/>
  <c r="BM32" i="5"/>
  <c r="BM14" i="11"/>
  <c r="BN24" i="5" s="1"/>
  <c r="BM15" i="11"/>
  <c r="CZ26" i="4" l="1"/>
  <c r="BM7" i="4"/>
  <c r="BM30" i="4" s="1"/>
  <c r="BM24" i="11"/>
  <c r="BM25" i="11" s="1"/>
  <c r="BM27" i="11" s="1"/>
  <c r="BN4" i="11"/>
  <c r="BN29" i="5"/>
  <c r="BP81" i="17"/>
  <c r="BP87" i="17" s="1"/>
  <c r="BL26" i="6"/>
  <c r="BL37" i="6" s="1"/>
  <c r="BL38" i="6" s="1"/>
  <c r="DA26" i="4" l="1"/>
  <c r="BN14" i="11"/>
  <c r="BO24" i="5" s="1"/>
  <c r="BN15" i="11"/>
  <c r="BN31" i="5"/>
  <c r="BN32" i="5"/>
  <c r="DB26" i="4" l="1"/>
  <c r="BN24" i="11"/>
  <c r="BN25" i="11" s="1"/>
  <c r="BN27" i="11" s="1"/>
  <c r="BN7" i="4"/>
  <c r="BN30" i="4" s="1"/>
  <c r="BO4" i="11"/>
  <c r="BO29" i="5"/>
  <c r="BQ81" i="17"/>
  <c r="BQ87" i="17" s="1"/>
  <c r="BM26" i="6"/>
  <c r="BM37" i="6" s="1"/>
  <c r="BM38" i="6" s="1"/>
  <c r="Q23" i="2" l="1"/>
  <c r="Q32" i="2" s="1"/>
  <c r="Q33" i="2" s="1"/>
  <c r="Q9" i="9" s="1"/>
  <c r="Q19" i="9" s="1"/>
  <c r="BO14" i="11"/>
  <c r="BP24" i="5" s="1"/>
  <c r="BO15" i="11"/>
  <c r="BO32" i="5"/>
  <c r="BO31" i="5"/>
  <c r="BO7" i="4" l="1"/>
  <c r="BO30" i="4" s="1"/>
  <c r="BO24" i="11"/>
  <c r="BO25" i="11" s="1"/>
  <c r="BO27" i="11" s="1"/>
  <c r="BP4" i="11"/>
  <c r="BP29" i="5"/>
  <c r="BR81" i="17"/>
  <c r="BR87" i="17" s="1"/>
  <c r="BN26" i="6"/>
  <c r="BN37" i="6" s="1"/>
  <c r="BN38" i="6" s="1"/>
  <c r="BP14" i="11" l="1"/>
  <c r="BQ24" i="5" s="1"/>
  <c r="BP15" i="11"/>
  <c r="BP32" i="5"/>
  <c r="BP31" i="5"/>
  <c r="BP24" i="11" l="1"/>
  <c r="BP25" i="11" s="1"/>
  <c r="BP27" i="11" s="1"/>
  <c r="BP7" i="4"/>
  <c r="BP30" i="4" s="1"/>
  <c r="BQ4" i="11"/>
  <c r="BQ29" i="5"/>
  <c r="BS81" i="17"/>
  <c r="BS87" i="17" s="1"/>
  <c r="BO26" i="6"/>
  <c r="BO37" i="6" s="1"/>
  <c r="BO38" i="6" s="1"/>
  <c r="BQ14" i="11" l="1"/>
  <c r="BR24" i="5" s="1"/>
  <c r="BQ15" i="11"/>
  <c r="BQ31" i="5"/>
  <c r="BQ32" i="5"/>
  <c r="BQ7" i="4" l="1"/>
  <c r="BQ30" i="4" s="1"/>
  <c r="BQ24" i="11"/>
  <c r="BQ25" i="11" s="1"/>
  <c r="BQ27" i="11" s="1"/>
  <c r="BR4" i="11"/>
  <c r="BR29" i="5"/>
  <c r="BT81" i="17"/>
  <c r="BT87" i="17" s="1"/>
  <c r="BP26" i="6"/>
  <c r="BP37" i="6" s="1"/>
  <c r="BP38" i="6" s="1"/>
  <c r="BR14" i="11" l="1"/>
  <c r="BS24" i="5" s="1"/>
  <c r="BR15" i="11"/>
  <c r="BR32" i="5"/>
  <c r="BR31" i="5"/>
  <c r="BR24" i="11" l="1"/>
  <c r="BR25" i="11" s="1"/>
  <c r="BR27" i="11" s="1"/>
  <c r="BR7" i="4"/>
  <c r="BS4" i="11"/>
  <c r="BU81" i="17"/>
  <c r="BU87" i="17" s="1"/>
  <c r="BS29" i="5"/>
  <c r="BQ26" i="6"/>
  <c r="BR30" i="4" l="1"/>
  <c r="N6" i="2"/>
  <c r="BS14" i="11"/>
  <c r="BT24" i="5" s="1"/>
  <c r="BS15" i="11"/>
  <c r="BS32" i="5"/>
  <c r="BV81" i="17" l="1"/>
  <c r="BV87" i="17" s="1"/>
  <c r="BT29" i="5"/>
  <c r="BR26" i="6"/>
  <c r="N27" i="2"/>
  <c r="N24" i="9"/>
  <c r="N14" i="33"/>
  <c r="N15" i="33" s="1"/>
  <c r="N16" i="33" s="1"/>
  <c r="N18" i="33" s="1"/>
  <c r="O17" i="33" s="1"/>
  <c r="N28" i="33"/>
  <c r="BS24" i="11"/>
  <c r="BS25" i="11" s="1"/>
  <c r="BS27" i="11" s="1"/>
  <c r="BS7" i="4"/>
  <c r="BS30" i="4" s="1"/>
  <c r="BT4" i="11"/>
  <c r="N37" i="9" l="1"/>
  <c r="N25" i="9"/>
  <c r="BT14" i="11"/>
  <c r="BU24" i="5" s="1"/>
  <c r="BT15" i="11"/>
  <c r="BR37" i="6"/>
  <c r="BR38" i="6" s="1"/>
  <c r="BT32" i="5"/>
  <c r="BT31" i="5"/>
  <c r="BT7" i="4" l="1"/>
  <c r="BT30" i="4" s="1"/>
  <c r="BT24" i="11"/>
  <c r="BT25" i="11" s="1"/>
  <c r="BT27" i="11" s="1"/>
  <c r="BU4" i="11"/>
  <c r="BW81" i="17"/>
  <c r="BW87" i="17" s="1"/>
  <c r="BU29" i="5"/>
  <c r="BS26" i="6"/>
  <c r="BU32" i="5" l="1"/>
  <c r="BU31" i="5"/>
  <c r="BU14" i="11"/>
  <c r="BV24" i="5" s="1"/>
  <c r="BU15" i="11"/>
  <c r="BS37" i="6"/>
  <c r="BS38" i="6" s="1"/>
  <c r="BU24" i="11" l="1"/>
  <c r="BU25" i="11" s="1"/>
  <c r="BU27" i="11" s="1"/>
  <c r="BU7" i="4"/>
  <c r="BU30" i="4" s="1"/>
  <c r="BV4" i="11"/>
  <c r="BV29" i="5"/>
  <c r="BX81" i="17"/>
  <c r="BX87" i="17" s="1"/>
  <c r="BT26" i="6"/>
  <c r="BT37" i="6" l="1"/>
  <c r="BT38" i="6" s="1"/>
  <c r="BV31" i="5"/>
  <c r="BV32" i="5"/>
  <c r="BV14" i="11"/>
  <c r="BW24" i="5" s="1"/>
  <c r="BV15" i="11"/>
  <c r="BV7" i="4" l="1"/>
  <c r="BV30" i="4" s="1"/>
  <c r="BV24" i="11"/>
  <c r="BV25" i="11" s="1"/>
  <c r="BV27" i="11" s="1"/>
  <c r="BW4" i="11"/>
  <c r="BY81" i="17"/>
  <c r="BY87" i="17" s="1"/>
  <c r="BW29" i="5"/>
  <c r="BU26" i="6"/>
  <c r="BU37" i="6" l="1"/>
  <c r="BU38" i="6" s="1"/>
  <c r="BW14" i="11"/>
  <c r="BX24" i="5" s="1"/>
  <c r="BW15" i="11"/>
  <c r="BW31" i="5"/>
  <c r="BW32" i="5"/>
  <c r="BW24" i="11" l="1"/>
  <c r="BW25" i="11" s="1"/>
  <c r="BW27" i="11" s="1"/>
  <c r="BW7" i="4"/>
  <c r="BW30" i="4" s="1"/>
  <c r="BX4" i="11"/>
  <c r="BX29" i="5"/>
  <c r="BZ81" i="17"/>
  <c r="BZ87" i="17" s="1"/>
  <c r="BV26" i="6"/>
  <c r="BX14" i="11" l="1"/>
  <c r="BY24" i="5" s="1"/>
  <c r="BX15" i="11"/>
  <c r="BV37" i="6"/>
  <c r="BV38" i="6" s="1"/>
  <c r="BX32" i="5"/>
  <c r="BX31" i="5"/>
  <c r="BX24" i="11" l="1"/>
  <c r="BX25" i="11" s="1"/>
  <c r="BX27" i="11" s="1"/>
  <c r="BX7" i="4"/>
  <c r="BX30" i="4" s="1"/>
  <c r="BY4" i="11"/>
  <c r="CA81" i="17"/>
  <c r="CA87" i="17" s="1"/>
  <c r="BY29" i="5"/>
  <c r="BW26" i="6"/>
  <c r="BW37" i="6" s="1"/>
  <c r="BW38" i="6" s="1"/>
  <c r="BY32" i="5" l="1"/>
  <c r="BY31" i="5"/>
  <c r="BY14" i="11"/>
  <c r="BZ24" i="5" s="1"/>
  <c r="BY15" i="11"/>
  <c r="CB81" i="17" l="1"/>
  <c r="CB87" i="17" s="1"/>
  <c r="BZ29" i="5"/>
  <c r="BX26" i="6"/>
  <c r="BX37" i="6" s="1"/>
  <c r="BX38" i="6" s="1"/>
  <c r="BY7" i="4"/>
  <c r="BY30" i="4" s="1"/>
  <c r="BY24" i="11"/>
  <c r="BY25" i="11" s="1"/>
  <c r="BY27" i="11" s="1"/>
  <c r="BZ4" i="11"/>
  <c r="BZ14" i="11" l="1"/>
  <c r="CA24" i="5" s="1"/>
  <c r="BZ15" i="11"/>
  <c r="BZ31" i="5"/>
  <c r="BZ32" i="5"/>
  <c r="BZ7" i="4" l="1"/>
  <c r="BZ30" i="4" s="1"/>
  <c r="BZ24" i="11"/>
  <c r="BZ25" i="11" s="1"/>
  <c r="BZ27" i="11" s="1"/>
  <c r="CA4" i="11"/>
  <c r="CA29" i="5"/>
  <c r="CC81" i="17"/>
  <c r="CC87" i="17" s="1"/>
  <c r="BY26" i="6"/>
  <c r="BY37" i="6" s="1"/>
  <c r="BY38" i="6" s="1"/>
  <c r="CA14" i="11" l="1"/>
  <c r="CB24" i="5" s="1"/>
  <c r="CA15" i="11"/>
  <c r="CA31" i="5"/>
  <c r="CA32" i="5"/>
  <c r="CA24" i="11" l="1"/>
  <c r="CA25" i="11" s="1"/>
  <c r="CA27" i="11" s="1"/>
  <c r="CA7" i="4"/>
  <c r="CA30" i="4" s="1"/>
  <c r="CB4" i="11"/>
  <c r="CD81" i="17"/>
  <c r="CD87" i="17" s="1"/>
  <c r="CB29" i="5"/>
  <c r="BZ26" i="6"/>
  <c r="BZ37" i="6" s="1"/>
  <c r="BZ38" i="6" s="1"/>
  <c r="CB32" i="5" l="1"/>
  <c r="CB31" i="5"/>
  <c r="CB14" i="11"/>
  <c r="CC24" i="5" s="1"/>
  <c r="CB15" i="11"/>
  <c r="CC29" i="5" l="1"/>
  <c r="CE81" i="17"/>
  <c r="CE87" i="17" s="1"/>
  <c r="CA26" i="6"/>
  <c r="CA37" i="6" s="1"/>
  <c r="CA38" i="6" s="1"/>
  <c r="CB7" i="4"/>
  <c r="CB30" i="4" s="1"/>
  <c r="CB24" i="11"/>
  <c r="CB25" i="11" s="1"/>
  <c r="CB27" i="11" s="1"/>
  <c r="CC4" i="11"/>
  <c r="CC14" i="11" l="1"/>
  <c r="CD24" i="5" s="1"/>
  <c r="CC15" i="11"/>
  <c r="CC32" i="5"/>
  <c r="CC31" i="5"/>
  <c r="CC24" i="11" l="1"/>
  <c r="CC25" i="11" s="1"/>
  <c r="CC27" i="11" s="1"/>
  <c r="CC7" i="4"/>
  <c r="CC30" i="4" s="1"/>
  <c r="CD4" i="11"/>
  <c r="CF81" i="17"/>
  <c r="CF87" i="17" s="1"/>
  <c r="CD29" i="5"/>
  <c r="CB26" i="6"/>
  <c r="CB37" i="6" s="1"/>
  <c r="CB38" i="6" s="1"/>
  <c r="CD14" i="11" l="1"/>
  <c r="CE24" i="5" s="1"/>
  <c r="CD15" i="11"/>
  <c r="CD32" i="5"/>
  <c r="CD31" i="5"/>
  <c r="CD24" i="11" l="1"/>
  <c r="CD25" i="11" s="1"/>
  <c r="CD27" i="11" s="1"/>
  <c r="CD7" i="4"/>
  <c r="CE4" i="11"/>
  <c r="CE29" i="5"/>
  <c r="CG81" i="17"/>
  <c r="CG87" i="17" s="1"/>
  <c r="CC26" i="6"/>
  <c r="CE14" i="11" l="1"/>
  <c r="CF24" i="5" s="1"/>
  <c r="CE15" i="11"/>
  <c r="CD30" i="4"/>
  <c r="O6" i="2"/>
  <c r="CE32" i="5"/>
  <c r="O27" i="2" l="1"/>
  <c r="O14" i="33"/>
  <c r="O15" i="33" s="1"/>
  <c r="O16" i="33" s="1"/>
  <c r="O18" i="33" s="1"/>
  <c r="P17" i="33" s="1"/>
  <c r="O24" i="9"/>
  <c r="O28" i="33"/>
  <c r="CE24" i="11"/>
  <c r="CE25" i="11" s="1"/>
  <c r="CE27" i="11" s="1"/>
  <c r="CE7" i="4"/>
  <c r="CE30" i="4" s="1"/>
  <c r="CF4" i="11"/>
  <c r="CF29" i="5"/>
  <c r="CH81" i="17"/>
  <c r="CH87" i="17" s="1"/>
  <c r="CD26" i="6"/>
  <c r="O37" i="9" l="1"/>
  <c r="O25" i="9"/>
  <c r="CF31" i="5"/>
  <c r="CF32" i="5"/>
  <c r="CD37" i="6"/>
  <c r="CD38" i="6" s="1"/>
  <c r="CF14" i="11"/>
  <c r="CG24" i="5" s="1"/>
  <c r="CF15" i="11"/>
  <c r="CF7" i="4" l="1"/>
  <c r="CF30" i="4" s="1"/>
  <c r="CF24" i="11"/>
  <c r="CF25" i="11" s="1"/>
  <c r="CF27" i="11" s="1"/>
  <c r="CG4" i="11"/>
  <c r="CI81" i="17"/>
  <c r="CI87" i="17" s="1"/>
  <c r="CG29" i="5"/>
  <c r="CE26" i="6"/>
  <c r="CE37" i="6" l="1"/>
  <c r="CE38" i="6" s="1"/>
  <c r="CG32" i="5"/>
  <c r="CG31" i="5"/>
  <c r="CG14" i="11"/>
  <c r="CH24" i="5" s="1"/>
  <c r="CG15" i="11"/>
  <c r="CG7" i="4" l="1"/>
  <c r="CG30" i="4" s="1"/>
  <c r="CG24" i="11"/>
  <c r="CG25" i="11" s="1"/>
  <c r="CG27" i="11" s="1"/>
  <c r="CH4" i="11"/>
  <c r="CH29" i="5"/>
  <c r="CJ81" i="17"/>
  <c r="CJ87" i="17" s="1"/>
  <c r="CF26" i="6"/>
  <c r="CF37" i="6" l="1"/>
  <c r="CF38" i="6" s="1"/>
  <c r="CH14" i="11"/>
  <c r="CI24" i="5" s="1"/>
  <c r="CH15" i="11"/>
  <c r="CH32" i="5"/>
  <c r="CH31" i="5"/>
  <c r="CH24" i="11" l="1"/>
  <c r="CH25" i="11" s="1"/>
  <c r="CH27" i="11" s="1"/>
  <c r="CH7" i="4"/>
  <c r="CH30" i="4" s="1"/>
  <c r="CI4" i="11"/>
  <c r="CK81" i="17"/>
  <c r="CK87" i="17" s="1"/>
  <c r="CI29" i="5"/>
  <c r="CG26" i="6"/>
  <c r="CG37" i="6" l="1"/>
  <c r="CG38" i="6" s="1"/>
  <c r="CI32" i="5"/>
  <c r="CI31" i="5"/>
  <c r="CI14" i="11"/>
  <c r="CJ24" i="5" s="1"/>
  <c r="CI15" i="11"/>
  <c r="CJ29" i="5" l="1"/>
  <c r="CL81" i="17"/>
  <c r="CL87" i="17" s="1"/>
  <c r="CH26" i="6"/>
  <c r="CI7" i="4"/>
  <c r="CI30" i="4" s="1"/>
  <c r="CI24" i="11"/>
  <c r="CI25" i="11" s="1"/>
  <c r="CI27" i="11" s="1"/>
  <c r="CJ4" i="11"/>
  <c r="CH37" i="6" l="1"/>
  <c r="CH38" i="6" s="1"/>
  <c r="CJ14" i="11"/>
  <c r="CK24" i="5" s="1"/>
  <c r="CJ15" i="11"/>
  <c r="CJ31" i="5"/>
  <c r="CJ32" i="5"/>
  <c r="CJ7" i="4" l="1"/>
  <c r="CJ30" i="4" s="1"/>
  <c r="CJ24" i="11"/>
  <c r="CJ25" i="11" s="1"/>
  <c r="CJ27" i="11" s="1"/>
  <c r="CK4" i="11"/>
  <c r="CM81" i="17"/>
  <c r="CM87" i="17" s="1"/>
  <c r="CK29" i="5"/>
  <c r="CI26" i="6"/>
  <c r="CI37" i="6" s="1"/>
  <c r="CI38" i="6" s="1"/>
  <c r="CK14" i="11" l="1"/>
  <c r="CL24" i="5" s="1"/>
  <c r="CK15" i="11"/>
  <c r="CK31" i="5"/>
  <c r="CK32" i="5"/>
  <c r="CK7" i="4" l="1"/>
  <c r="CK30" i="4" s="1"/>
  <c r="CK24" i="11"/>
  <c r="CK25" i="11" s="1"/>
  <c r="CK27" i="11" s="1"/>
  <c r="CL4" i="11"/>
  <c r="CN81" i="17"/>
  <c r="CN87" i="17" s="1"/>
  <c r="CL29" i="5"/>
  <c r="CJ26" i="6"/>
  <c r="CJ37" i="6" s="1"/>
  <c r="CJ38" i="6" s="1"/>
  <c r="CL32" i="5" l="1"/>
  <c r="CL31" i="5"/>
  <c r="CL14" i="11"/>
  <c r="CM24" i="5" s="1"/>
  <c r="CL15" i="11"/>
  <c r="CL7" i="4" l="1"/>
  <c r="CL30" i="4" s="1"/>
  <c r="CL24" i="11"/>
  <c r="CL25" i="11" s="1"/>
  <c r="CL27" i="11" s="1"/>
  <c r="CM4" i="11"/>
  <c r="CO81" i="17"/>
  <c r="CO87" i="17" s="1"/>
  <c r="CM29" i="5"/>
  <c r="CK26" i="6"/>
  <c r="CK37" i="6" s="1"/>
  <c r="CK38" i="6" s="1"/>
  <c r="CM14" i="11" l="1"/>
  <c r="CN24" i="5" s="1"/>
  <c r="CM15" i="11"/>
  <c r="CM32" i="5"/>
  <c r="CM31" i="5"/>
  <c r="CM7" i="4" l="1"/>
  <c r="CM30" i="4" s="1"/>
  <c r="CM24" i="11"/>
  <c r="CM25" i="11" s="1"/>
  <c r="CM27" i="11" s="1"/>
  <c r="CN4" i="11"/>
  <c r="CN29" i="5"/>
  <c r="CP81" i="17"/>
  <c r="CP87" i="17" s="1"/>
  <c r="CL26" i="6"/>
  <c r="CL37" i="6" s="1"/>
  <c r="CL38" i="6" s="1"/>
  <c r="CN14" i="11" l="1"/>
  <c r="CO24" i="5" s="1"/>
  <c r="CN15" i="11"/>
  <c r="CN31" i="5"/>
  <c r="CN32" i="5"/>
  <c r="CN7" i="4" l="1"/>
  <c r="CN30" i="4" s="1"/>
  <c r="CN24" i="11"/>
  <c r="CN25" i="11" s="1"/>
  <c r="CN27" i="11" s="1"/>
  <c r="CO4" i="11"/>
  <c r="CQ81" i="17"/>
  <c r="CQ87" i="17" s="1"/>
  <c r="CO29" i="5"/>
  <c r="CM26" i="6"/>
  <c r="CM37" i="6" s="1"/>
  <c r="CM38" i="6" s="1"/>
  <c r="CO14" i="11" l="1"/>
  <c r="CP24" i="5" s="1"/>
  <c r="CO15" i="11"/>
  <c r="CO31" i="5"/>
  <c r="CO32" i="5"/>
  <c r="CO7" i="4" l="1"/>
  <c r="CO30" i="4" s="1"/>
  <c r="CO24" i="11"/>
  <c r="CO25" i="11" s="1"/>
  <c r="CO27" i="11" s="1"/>
  <c r="CP4" i="11"/>
  <c r="CR81" i="17"/>
  <c r="CR87" i="17" s="1"/>
  <c r="CP29" i="5"/>
  <c r="CN26" i="6"/>
  <c r="CN37" i="6" s="1"/>
  <c r="CN38" i="6" s="1"/>
  <c r="CP32" i="5" l="1"/>
  <c r="CP31" i="5"/>
  <c r="CP14" i="11"/>
  <c r="CQ24" i="5" s="1"/>
  <c r="CP15" i="11"/>
  <c r="CP24" i="11" l="1"/>
  <c r="CP25" i="11" s="1"/>
  <c r="CP27" i="11" s="1"/>
  <c r="CP7" i="4"/>
  <c r="CQ4" i="11"/>
  <c r="CS81" i="17"/>
  <c r="CS87" i="17" s="1"/>
  <c r="CQ29" i="5"/>
  <c r="CO26" i="6"/>
  <c r="CO37" i="6" s="1"/>
  <c r="CO38" i="6" s="1"/>
  <c r="CP30" i="4" l="1"/>
  <c r="P6" i="2"/>
  <c r="CQ14" i="11"/>
  <c r="CR24" i="5" s="1"/>
  <c r="CQ15" i="11"/>
  <c r="CQ32" i="5"/>
  <c r="CQ31" i="5"/>
  <c r="CQ7" i="4" l="1"/>
  <c r="CQ30" i="4" s="1"/>
  <c r="CQ24" i="11"/>
  <c r="CQ25" i="11" s="1"/>
  <c r="CQ27" i="11" s="1"/>
  <c r="CR4" i="11"/>
  <c r="CT81" i="17"/>
  <c r="CT87" i="17" s="1"/>
  <c r="CR29" i="5"/>
  <c r="CP26" i="6"/>
  <c r="Q14" i="33"/>
  <c r="Q15" i="33" s="1"/>
  <c r="Q16" i="33" s="1"/>
  <c r="Q18" i="33" s="1"/>
  <c r="P24" i="9"/>
  <c r="P27" i="2"/>
  <c r="Q24" i="9"/>
  <c r="P14" i="33"/>
  <c r="P15" i="33" s="1"/>
  <c r="P16" i="33" s="1"/>
  <c r="P18" i="33" s="1"/>
  <c r="Q17" i="33" s="1"/>
  <c r="Q28" i="33"/>
  <c r="P28" i="33"/>
  <c r="P37" i="9" l="1"/>
  <c r="P25" i="9"/>
  <c r="Q37" i="9"/>
  <c r="Q25" i="9"/>
  <c r="CP37" i="6"/>
  <c r="CP38" i="6" s="1"/>
  <c r="CR14" i="11"/>
  <c r="CS24" i="5" s="1"/>
  <c r="CR15" i="11"/>
  <c r="CR32" i="5"/>
  <c r="CR31" i="5"/>
  <c r="CR7" i="4" l="1"/>
  <c r="CR30" i="4" s="1"/>
  <c r="CR24" i="11"/>
  <c r="CR25" i="11" s="1"/>
  <c r="CR27" i="11" s="1"/>
  <c r="CS4" i="11"/>
  <c r="CS29" i="5"/>
  <c r="CU81" i="17"/>
  <c r="CU87" i="17" s="1"/>
  <c r="CQ26" i="6"/>
  <c r="CQ37" i="6" l="1"/>
  <c r="CQ38" i="6" s="1"/>
  <c r="CS32" i="5"/>
  <c r="CS31" i="5"/>
  <c r="CS14" i="11"/>
  <c r="CT24" i="5" s="1"/>
  <c r="CS15" i="11"/>
  <c r="CS24" i="11" l="1"/>
  <c r="CS25" i="11" s="1"/>
  <c r="CS27" i="11" s="1"/>
  <c r="CS7" i="4"/>
  <c r="CS30" i="4" s="1"/>
  <c r="CT4" i="11"/>
  <c r="CT29" i="5"/>
  <c r="CV81" i="17"/>
  <c r="CV87" i="17" s="1"/>
  <c r="CR26" i="6"/>
  <c r="CR37" i="6" l="1"/>
  <c r="CR38" i="6" s="1"/>
  <c r="CT14" i="11"/>
  <c r="CU24" i="5" s="1"/>
  <c r="CT15" i="11"/>
  <c r="CT32" i="5"/>
  <c r="CT31" i="5"/>
  <c r="CT7" i="4" l="1"/>
  <c r="CT30" i="4" s="1"/>
  <c r="CT24" i="11"/>
  <c r="CT25" i="11" s="1"/>
  <c r="CT27" i="11" s="1"/>
  <c r="CU4" i="11"/>
  <c r="CU29" i="5"/>
  <c r="CW81" i="17"/>
  <c r="CW87" i="17" s="1"/>
  <c r="CS26" i="6"/>
  <c r="CS37" i="6" l="1"/>
  <c r="CS38" i="6" s="1"/>
  <c r="CU31" i="5"/>
  <c r="CU32" i="5"/>
  <c r="CU14" i="11"/>
  <c r="CV24" i="5" s="1"/>
  <c r="CU15" i="11"/>
  <c r="CV29" i="5" l="1"/>
  <c r="CX81" i="17"/>
  <c r="CX87" i="17" s="1"/>
  <c r="CT26" i="6"/>
  <c r="CU24" i="11"/>
  <c r="CU25" i="11" s="1"/>
  <c r="CU27" i="11" s="1"/>
  <c r="CU7" i="4"/>
  <c r="CU30" i="4" s="1"/>
  <c r="CV4" i="11"/>
  <c r="CV15" i="11" l="1"/>
  <c r="CV14" i="11"/>
  <c r="CW24" i="5" s="1"/>
  <c r="CT37" i="6"/>
  <c r="CT38" i="6" s="1"/>
  <c r="CV32" i="5"/>
  <c r="CV31" i="5"/>
  <c r="CW29" i="5" l="1"/>
  <c r="CY81" i="17"/>
  <c r="CY87" i="17" s="1"/>
  <c r="CU26" i="6"/>
  <c r="K22" i="3"/>
  <c r="L22" i="3"/>
  <c r="M22" i="3"/>
  <c r="N22" i="3"/>
  <c r="O22" i="3"/>
  <c r="P22" i="3"/>
  <c r="Q22" i="3"/>
  <c r="CV24" i="11"/>
  <c r="CV25" i="11" s="1"/>
  <c r="CV27" i="11" s="1"/>
  <c r="CV7" i="4"/>
  <c r="CV30" i="4" s="1"/>
  <c r="N28" i="3" l="1"/>
  <c r="N36" i="9"/>
  <c r="N38" i="9" s="1"/>
  <c r="N24" i="33"/>
  <c r="N29" i="33" s="1"/>
  <c r="N30" i="33" s="1"/>
  <c r="N23" i="3"/>
  <c r="CU37" i="6"/>
  <c r="CU38" i="6" s="1"/>
  <c r="D25" i="7"/>
  <c r="E25" i="7"/>
  <c r="F25" i="7"/>
  <c r="G25" i="7"/>
  <c r="H25" i="7"/>
  <c r="I25" i="7"/>
  <c r="J25" i="7"/>
  <c r="Q24" i="33"/>
  <c r="Q29" i="33" s="1"/>
  <c r="Q30" i="33" s="1"/>
  <c r="Q28" i="3"/>
  <c r="Q36" i="9"/>
  <c r="Q38" i="9" s="1"/>
  <c r="Q23" i="3"/>
  <c r="M36" i="9"/>
  <c r="M38" i="9" s="1"/>
  <c r="M28" i="3"/>
  <c r="M23" i="3"/>
  <c r="M24" i="33"/>
  <c r="M29" i="33" s="1"/>
  <c r="M30" i="33" s="1"/>
  <c r="P24" i="33"/>
  <c r="P29" i="33" s="1"/>
  <c r="P30" i="33" s="1"/>
  <c r="P28" i="3"/>
  <c r="P23" i="3"/>
  <c r="P36" i="9"/>
  <c r="P38" i="9" s="1"/>
  <c r="P39" i="9" s="1"/>
  <c r="L28" i="3"/>
  <c r="L36" i="9"/>
  <c r="L38" i="9" s="1"/>
  <c r="L24" i="33"/>
  <c r="L29" i="33" s="1"/>
  <c r="L30" i="33" s="1"/>
  <c r="L23" i="3"/>
  <c r="CW32" i="5"/>
  <c r="CW31" i="5"/>
  <c r="O36" i="9"/>
  <c r="O38" i="9" s="1"/>
  <c r="O23" i="3"/>
  <c r="O24" i="33"/>
  <c r="O29" i="33" s="1"/>
  <c r="O30" i="33" s="1"/>
  <c r="O28" i="3"/>
  <c r="K24" i="33"/>
  <c r="K29" i="33" s="1"/>
  <c r="K30" i="33" s="1"/>
  <c r="K28" i="3"/>
  <c r="K36" i="9"/>
  <c r="K38" i="9" s="1"/>
  <c r="R22" i="3"/>
  <c r="R23" i="3" s="1"/>
  <c r="K23" i="3"/>
  <c r="I36" i="7" l="1"/>
  <c r="I37" i="7" s="1"/>
  <c r="O39" i="3"/>
  <c r="L39" i="3"/>
  <c r="Q39" i="3"/>
  <c r="N39" i="3"/>
  <c r="K39" i="3"/>
  <c r="P39" i="3"/>
  <c r="P25" i="3"/>
  <c r="M39" i="3"/>
  <c r="R39" i="3" l="1"/>
  <c r="R41" i="3" s="1"/>
  <c r="R43" i="3" s="1"/>
  <c r="K49" i="3"/>
  <c r="K41" i="3"/>
  <c r="K43" i="3" s="1"/>
  <c r="M41" i="3"/>
  <c r="M43" i="3" s="1"/>
  <c r="L41" i="3"/>
  <c r="L43" i="3" s="1"/>
  <c r="P23" i="33"/>
  <c r="P25" i="33" s="1"/>
  <c r="P31" i="33" s="1"/>
  <c r="P18" i="9"/>
  <c r="P20" i="9" s="1"/>
  <c r="P26" i="9" s="1"/>
  <c r="N41" i="3"/>
  <c r="N43" i="3" s="1"/>
  <c r="Q41" i="3"/>
  <c r="Q43" i="3" s="1"/>
  <c r="P41" i="3"/>
  <c r="P43" i="3" s="1"/>
  <c r="O41" i="3"/>
  <c r="O43" i="3" s="1"/>
  <c r="O44" i="3" l="1"/>
  <c r="Q44" i="3"/>
  <c r="N44" i="3"/>
  <c r="M44" i="3"/>
  <c r="P44" i="3"/>
  <c r="K44" i="3"/>
  <c r="K45" i="3"/>
  <c r="K46" i="3"/>
  <c r="L44" i="3"/>
  <c r="K50" i="3"/>
  <c r="K24" i="3"/>
  <c r="L45" i="3" l="1"/>
  <c r="L49" i="3"/>
  <c r="L46" i="3"/>
  <c r="AI30" i="5"/>
  <c r="K8" i="9"/>
  <c r="K10" i="9" s="1"/>
  <c r="K11" i="9" s="1"/>
  <c r="K25" i="3"/>
  <c r="AG31" i="6" l="1"/>
  <c r="AI31" i="5"/>
  <c r="K23" i="33"/>
  <c r="K25" i="33" s="1"/>
  <c r="K18" i="9"/>
  <c r="K20" i="9" s="1"/>
  <c r="K26" i="9" s="1"/>
  <c r="K26" i="3"/>
  <c r="L50" i="3"/>
  <c r="L24" i="3"/>
  <c r="K32" i="9"/>
  <c r="K33" i="9" s="1"/>
  <c r="K39" i="9" s="1"/>
  <c r="M45" i="3"/>
  <c r="M49" i="3"/>
  <c r="M46" i="3"/>
  <c r="L8" i="9" l="1"/>
  <c r="L10" i="9" s="1"/>
  <c r="L11" i="9" s="1"/>
  <c r="AU30" i="5"/>
  <c r="L25" i="3"/>
  <c r="M50" i="3"/>
  <c r="M24" i="3"/>
  <c r="N45" i="3"/>
  <c r="N49" i="3"/>
  <c r="N46" i="3"/>
  <c r="AH6" i="4"/>
  <c r="D30" i="7"/>
  <c r="D36" i="7" s="1"/>
  <c r="AG37" i="6"/>
  <c r="AG38" i="6" s="1"/>
  <c r="AG40" i="6" s="1"/>
  <c r="AH23" i="4" s="1"/>
  <c r="L32" i="9" l="1"/>
  <c r="L33" i="9" s="1"/>
  <c r="L39" i="9" s="1"/>
  <c r="AH17" i="11"/>
  <c r="AH39" i="6"/>
  <c r="AH40" i="6" s="1"/>
  <c r="AI23" i="4" s="1"/>
  <c r="L18" i="9"/>
  <c r="L20" i="9" s="1"/>
  <c r="L26" i="9" s="1"/>
  <c r="L23" i="33"/>
  <c r="L25" i="33" s="1"/>
  <c r="L26" i="3"/>
  <c r="N50" i="3"/>
  <c r="N24" i="3"/>
  <c r="AH16" i="4"/>
  <c r="K5" i="2"/>
  <c r="AI6" i="4"/>
  <c r="O45" i="3"/>
  <c r="O49" i="3"/>
  <c r="O46" i="3"/>
  <c r="AS31" i="6"/>
  <c r="AU31" i="5"/>
  <c r="M8" i="9"/>
  <c r="M10" i="9" s="1"/>
  <c r="M11" i="9" s="1"/>
  <c r="M32" i="9" s="1"/>
  <c r="M33" i="9" s="1"/>
  <c r="M39" i="9" s="1"/>
  <c r="BG30" i="5"/>
  <c r="M25" i="3"/>
  <c r="K14" i="2" l="1"/>
  <c r="K35" i="2"/>
  <c r="D37" i="7"/>
  <c r="K21" i="2"/>
  <c r="K24" i="2" s="1"/>
  <c r="K26" i="2" s="1"/>
  <c r="AH27" i="4"/>
  <c r="AH29" i="4" s="1"/>
  <c r="L31" i="33"/>
  <c r="P45" i="3"/>
  <c r="Q45" i="3"/>
  <c r="P49" i="3"/>
  <c r="Q49" i="3"/>
  <c r="P46" i="3"/>
  <c r="Q46" i="3"/>
  <c r="N8" i="9"/>
  <c r="N10" i="9" s="1"/>
  <c r="N11" i="9" s="1"/>
  <c r="BS30" i="5"/>
  <c r="N25" i="3"/>
  <c r="BE31" i="6"/>
  <c r="BG31" i="5"/>
  <c r="O50" i="3"/>
  <c r="O24" i="3"/>
  <c r="M26" i="3"/>
  <c r="M18" i="9"/>
  <c r="M20" i="9" s="1"/>
  <c r="M26" i="9" s="1"/>
  <c r="M23" i="33"/>
  <c r="M25" i="33" s="1"/>
  <c r="M31" i="33" s="1"/>
  <c r="E30" i="7"/>
  <c r="E36" i="7" s="1"/>
  <c r="AS37" i="6"/>
  <c r="AS38" i="6" s="1"/>
  <c r="AI16" i="4"/>
  <c r="AJ6" i="4"/>
  <c r="AI17" i="11"/>
  <c r="AI39" i="6"/>
  <c r="AI40" i="6" s="1"/>
  <c r="AJ23" i="4" s="1"/>
  <c r="AI27" i="4"/>
  <c r="D39" i="7" l="1"/>
  <c r="D41" i="7" s="1"/>
  <c r="AI29" i="4"/>
  <c r="N32" i="9"/>
  <c r="N33" i="9" s="1"/>
  <c r="N39" i="9" s="1"/>
  <c r="AJ17" i="11"/>
  <c r="AJ27" i="4"/>
  <c r="AJ39" i="6"/>
  <c r="AJ40" i="6" s="1"/>
  <c r="AK23" i="4" s="1"/>
  <c r="F30" i="7"/>
  <c r="BE37" i="6"/>
  <c r="BE38" i="6" s="1"/>
  <c r="CE30" i="5"/>
  <c r="O8" i="9"/>
  <c r="O10" i="9" s="1"/>
  <c r="O11" i="9" s="1"/>
  <c r="O32" i="9" s="1"/>
  <c r="O33" i="9" s="1"/>
  <c r="O39" i="9" s="1"/>
  <c r="O25" i="3"/>
  <c r="N26" i="3"/>
  <c r="N23" i="33"/>
  <c r="N25" i="33" s="1"/>
  <c r="N31" i="33" s="1"/>
  <c r="N18" i="9"/>
  <c r="N20" i="9" s="1"/>
  <c r="N26" i="9" s="1"/>
  <c r="AJ16" i="4"/>
  <c r="AK6" i="4"/>
  <c r="BQ31" i="6"/>
  <c r="BS31" i="5"/>
  <c r="Q50" i="3"/>
  <c r="Q24" i="3"/>
  <c r="R24" i="3" s="1"/>
  <c r="R25" i="3" s="1"/>
  <c r="B24" i="10" s="1"/>
  <c r="B23" i="10" s="1"/>
  <c r="P50" i="3"/>
  <c r="F36" i="7" l="1"/>
  <c r="F37" i="7" s="1"/>
  <c r="E38" i="7"/>
  <c r="E37" i="7"/>
  <c r="AJ29" i="4"/>
  <c r="O18" i="9"/>
  <c r="O20" i="9" s="1"/>
  <c r="O26" i="9" s="1"/>
  <c r="O23" i="33"/>
  <c r="O25" i="33" s="1"/>
  <c r="O31" i="33" s="1"/>
  <c r="O26" i="3"/>
  <c r="P26" i="3" s="1"/>
  <c r="AK17" i="11"/>
  <c r="AK27" i="4"/>
  <c r="AK39" i="6"/>
  <c r="AK40" i="6" s="1"/>
  <c r="AL23" i="4" s="1"/>
  <c r="G30" i="7"/>
  <c r="BQ37" i="6"/>
  <c r="BQ38" i="6" s="1"/>
  <c r="CC31" i="6"/>
  <c r="CE31" i="5"/>
  <c r="Q8" i="9"/>
  <c r="Q10" i="9" s="1"/>
  <c r="Q11" i="9" s="1"/>
  <c r="DC30" i="5"/>
  <c r="Q25" i="3"/>
  <c r="AK16" i="4"/>
  <c r="AL6" i="4"/>
  <c r="G36" i="7" l="1"/>
  <c r="G37" i="7" s="1"/>
  <c r="E39" i="7"/>
  <c r="AK29" i="4"/>
  <c r="Q32" i="9"/>
  <c r="Q33" i="9" s="1"/>
  <c r="Q39" i="9" s="1"/>
  <c r="B40" i="9" s="1"/>
  <c r="C12" i="9"/>
  <c r="B19" i="10" s="1"/>
  <c r="AL27" i="4"/>
  <c r="AL39" i="6"/>
  <c r="AL40" i="6" s="1"/>
  <c r="AM23" i="4" s="1"/>
  <c r="AL17" i="11"/>
  <c r="Q18" i="9"/>
  <c r="Q20" i="9" s="1"/>
  <c r="Q26" i="9" s="1"/>
  <c r="B27" i="9" s="1"/>
  <c r="B20" i="10" s="1"/>
  <c r="Q26" i="3"/>
  <c r="Q23" i="33"/>
  <c r="Q25" i="33" s="1"/>
  <c r="Q31" i="33" s="1"/>
  <c r="H30" i="7"/>
  <c r="CC37" i="6"/>
  <c r="CC38" i="6" s="1"/>
  <c r="AL16" i="4"/>
  <c r="AM6" i="4"/>
  <c r="DC31" i="5"/>
  <c r="DA31" i="6"/>
  <c r="H36" i="7" l="1"/>
  <c r="H37" i="7" s="1"/>
  <c r="F38" i="7"/>
  <c r="AL29" i="4"/>
  <c r="B32" i="33"/>
  <c r="AM16" i="4"/>
  <c r="AN6" i="4"/>
  <c r="AM27" i="4"/>
  <c r="AM17" i="11"/>
  <c r="AM39" i="6"/>
  <c r="AM40" i="6" s="1"/>
  <c r="AN23" i="4" s="1"/>
  <c r="J30" i="7"/>
  <c r="DA37" i="6"/>
  <c r="DA38" i="6" s="1"/>
  <c r="J36" i="7" l="1"/>
  <c r="F39" i="7"/>
  <c r="AM29" i="4"/>
  <c r="AN16" i="4"/>
  <c r="AO6" i="4"/>
  <c r="AN27" i="4"/>
  <c r="AN17" i="11"/>
  <c r="AN39" i="6"/>
  <c r="AN40" i="6" s="1"/>
  <c r="AO23" i="4" s="1"/>
  <c r="J37" i="7" l="1"/>
  <c r="G38" i="7"/>
  <c r="AN29" i="4"/>
  <c r="AO27" i="4"/>
  <c r="AO39" i="6"/>
  <c r="AO40" i="6" s="1"/>
  <c r="AP23" i="4" s="1"/>
  <c r="AO17" i="11"/>
  <c r="AO16" i="4"/>
  <c r="AP6" i="4"/>
  <c r="G39" i="7" l="1"/>
  <c r="AO29" i="4"/>
  <c r="AP27" i="4"/>
  <c r="AP17" i="11"/>
  <c r="AP39" i="6"/>
  <c r="AP40" i="6" s="1"/>
  <c r="AQ23" i="4" s="1"/>
  <c r="AP16" i="4"/>
  <c r="AQ6" i="4"/>
  <c r="H38" i="7" l="1"/>
  <c r="AP29" i="4"/>
  <c r="AQ16" i="4"/>
  <c r="AR6" i="4"/>
  <c r="AQ17" i="11"/>
  <c r="AQ27" i="4"/>
  <c r="AQ39" i="6"/>
  <c r="AQ40" i="6" s="1"/>
  <c r="AR23" i="4" s="1"/>
  <c r="H39" i="7" l="1"/>
  <c r="AQ29" i="4"/>
  <c r="AR16" i="4"/>
  <c r="AS6" i="4"/>
  <c r="AR27" i="4"/>
  <c r="AR17" i="11"/>
  <c r="AR39" i="6"/>
  <c r="AR40" i="6" s="1"/>
  <c r="AS23" i="4" s="1"/>
  <c r="I38" i="7" l="1"/>
  <c r="I39" i="7" s="1"/>
  <c r="J38" i="7" s="1"/>
  <c r="AR29" i="4"/>
  <c r="AS16" i="4"/>
  <c r="AT6" i="4"/>
  <c r="AS17" i="11"/>
  <c r="AS27" i="4"/>
  <c r="AS39" i="6"/>
  <c r="AS40" i="6" s="1"/>
  <c r="AT23" i="4" s="1"/>
  <c r="J39" i="7" l="1"/>
  <c r="AS29" i="4"/>
  <c r="AT17" i="11"/>
  <c r="AT39" i="6"/>
  <c r="AT40" i="6" s="1"/>
  <c r="AU23" i="4" s="1"/>
  <c r="L5" i="2"/>
  <c r="AT16" i="4"/>
  <c r="AU6" i="4"/>
  <c r="L14" i="2" l="1"/>
  <c r="L35" i="2"/>
  <c r="L21" i="2"/>
  <c r="AT27" i="4"/>
  <c r="AT29" i="4" s="1"/>
  <c r="AU27" i="4"/>
  <c r="AU39" i="6"/>
  <c r="AU40" i="6" s="1"/>
  <c r="AV23" i="4" s="1"/>
  <c r="AU17" i="11"/>
  <c r="AU16" i="4"/>
  <c r="AV6" i="4"/>
  <c r="AU29" i="4" l="1"/>
  <c r="E41" i="7"/>
  <c r="L24" i="2"/>
  <c r="L26" i="2" s="1"/>
  <c r="AV39" i="6"/>
  <c r="AV40" i="6" s="1"/>
  <c r="AW23" i="4" s="1"/>
  <c r="AV27" i="4"/>
  <c r="AV17" i="11"/>
  <c r="AV16" i="4"/>
  <c r="AW6" i="4"/>
  <c r="AV29" i="4" l="1"/>
  <c r="AW39" i="6"/>
  <c r="AW40" i="6" s="1"/>
  <c r="AX23" i="4" s="1"/>
  <c r="AW17" i="11"/>
  <c r="AW27" i="4"/>
  <c r="AW16" i="4"/>
  <c r="AX6" i="4"/>
  <c r="AW29" i="4" l="1"/>
  <c r="AX17" i="11"/>
  <c r="AX39" i="6"/>
  <c r="AX40" i="6" s="1"/>
  <c r="AY23" i="4" s="1"/>
  <c r="AX27" i="4"/>
  <c r="AX16" i="4"/>
  <c r="AY6" i="4"/>
  <c r="AX29" i="4" l="1"/>
  <c r="AY27" i="4"/>
  <c r="AY17" i="11"/>
  <c r="AY39" i="6"/>
  <c r="AY40" i="6" s="1"/>
  <c r="AZ23" i="4" s="1"/>
  <c r="AY16" i="4"/>
  <c r="AZ6" i="4"/>
  <c r="AY29" i="4" l="1"/>
  <c r="AZ27" i="4"/>
  <c r="AZ39" i="6"/>
  <c r="AZ40" i="6" s="1"/>
  <c r="BA23" i="4" s="1"/>
  <c r="AZ17" i="11"/>
  <c r="AZ16" i="4"/>
  <c r="BA6" i="4"/>
  <c r="AZ29" i="4" l="1"/>
  <c r="BA39" i="6"/>
  <c r="BA40" i="6" s="1"/>
  <c r="BB23" i="4" s="1"/>
  <c r="BA27" i="4"/>
  <c r="BA17" i="11"/>
  <c r="BA16" i="4"/>
  <c r="BB6" i="4"/>
  <c r="BA29" i="4" l="1"/>
  <c r="BB39" i="6"/>
  <c r="BB40" i="6" s="1"/>
  <c r="BC23" i="4" s="1"/>
  <c r="BB17" i="11"/>
  <c r="BB27" i="4"/>
  <c r="BB16" i="4"/>
  <c r="BC6" i="4"/>
  <c r="BB29" i="4" l="1"/>
  <c r="BC39" i="6"/>
  <c r="BC40" i="6" s="1"/>
  <c r="BD23" i="4" s="1"/>
  <c r="BC17" i="11"/>
  <c r="BC27" i="4"/>
  <c r="BC16" i="4"/>
  <c r="BD6" i="4"/>
  <c r="BC29" i="4" l="1"/>
  <c r="BD27" i="4"/>
  <c r="BD17" i="11"/>
  <c r="BD39" i="6"/>
  <c r="BD40" i="6" s="1"/>
  <c r="BE23" i="4" s="1"/>
  <c r="BD16" i="4"/>
  <c r="BE6" i="4"/>
  <c r="BD29" i="4" l="1"/>
  <c r="BE39" i="6"/>
  <c r="BE40" i="6" s="1"/>
  <c r="BF23" i="4" s="1"/>
  <c r="BE27" i="4"/>
  <c r="BE17" i="11"/>
  <c r="BE16" i="4"/>
  <c r="BF6" i="4"/>
  <c r="BE29" i="4" l="1"/>
  <c r="BF17" i="11"/>
  <c r="BF39" i="6"/>
  <c r="BF40" i="6" s="1"/>
  <c r="BG23" i="4" s="1"/>
  <c r="M5" i="2"/>
  <c r="BF16" i="4"/>
  <c r="BG6" i="4"/>
  <c r="M14" i="2" l="1"/>
  <c r="M35" i="2"/>
  <c r="M21" i="2"/>
  <c r="BF27" i="4"/>
  <c r="BF29" i="4" s="1"/>
  <c r="BG27" i="4"/>
  <c r="BG17" i="11"/>
  <c r="BG39" i="6"/>
  <c r="BG40" i="6" s="1"/>
  <c r="BH23" i="4" s="1"/>
  <c r="BG16" i="4"/>
  <c r="BH6" i="4"/>
  <c r="BG29" i="4" l="1"/>
  <c r="F41" i="7"/>
  <c r="M24" i="2"/>
  <c r="M26" i="2" s="1"/>
  <c r="BH17" i="11"/>
  <c r="BH27" i="4"/>
  <c r="BH39" i="6"/>
  <c r="BH40" i="6" s="1"/>
  <c r="BI23" i="4" s="1"/>
  <c r="BH16" i="4"/>
  <c r="BI6" i="4"/>
  <c r="BH29" i="4" l="1"/>
  <c r="BI39" i="6"/>
  <c r="BI40" i="6" s="1"/>
  <c r="BJ23" i="4" s="1"/>
  <c r="BI27" i="4"/>
  <c r="BI17" i="11"/>
  <c r="BI16" i="4"/>
  <c r="BJ6" i="4"/>
  <c r="BI29" i="4" l="1"/>
  <c r="BJ27" i="4"/>
  <c r="BJ39" i="6"/>
  <c r="BJ40" i="6" s="1"/>
  <c r="BK23" i="4" s="1"/>
  <c r="BJ17" i="11"/>
  <c r="BJ16" i="4"/>
  <c r="BK6" i="4"/>
  <c r="BJ29" i="4" l="1"/>
  <c r="BK17" i="11"/>
  <c r="BK39" i="6"/>
  <c r="BK40" i="6" s="1"/>
  <c r="BL23" i="4" s="1"/>
  <c r="BK27" i="4"/>
  <c r="BK16" i="4"/>
  <c r="BL6" i="4"/>
  <c r="BK29" i="4" l="1"/>
  <c r="BL17" i="11"/>
  <c r="BL27" i="4"/>
  <c r="BL39" i="6"/>
  <c r="BL40" i="6" s="1"/>
  <c r="BM23" i="4" s="1"/>
  <c r="BL16" i="4"/>
  <c r="BM6" i="4"/>
  <c r="BL29" i="4" l="1"/>
  <c r="BM39" i="6"/>
  <c r="BM40" i="6" s="1"/>
  <c r="BN23" i="4" s="1"/>
  <c r="BM27" i="4"/>
  <c r="BM17" i="11"/>
  <c r="BM16" i="4"/>
  <c r="BN6" i="4"/>
  <c r="BM29" i="4" l="1"/>
  <c r="BN17" i="11"/>
  <c r="BN27" i="4"/>
  <c r="BN39" i="6"/>
  <c r="BN40" i="6" s="1"/>
  <c r="BO23" i="4" s="1"/>
  <c r="BN16" i="4"/>
  <c r="BO6" i="4"/>
  <c r="BN29" i="4" l="1"/>
  <c r="BO39" i="6"/>
  <c r="BO40" i="6" s="1"/>
  <c r="BP23" i="4" s="1"/>
  <c r="BO17" i="11"/>
  <c r="BO27" i="4"/>
  <c r="BO16" i="4"/>
  <c r="BP6" i="4"/>
  <c r="BO29" i="4" l="1"/>
  <c r="BP27" i="4"/>
  <c r="BP17" i="11"/>
  <c r="BP39" i="6"/>
  <c r="BP40" i="6" s="1"/>
  <c r="BQ23" i="4" s="1"/>
  <c r="BP16" i="4"/>
  <c r="BQ6" i="4"/>
  <c r="BP29" i="4" l="1"/>
  <c r="BQ27" i="4"/>
  <c r="BQ17" i="11"/>
  <c r="BQ39" i="6"/>
  <c r="BQ40" i="6" s="1"/>
  <c r="BR23" i="4" s="1"/>
  <c r="BQ16" i="4"/>
  <c r="BR6" i="4"/>
  <c r="BQ29" i="4" l="1"/>
  <c r="BR17" i="11"/>
  <c r="BR39" i="6"/>
  <c r="BR40" i="6" s="1"/>
  <c r="BS23" i="4" s="1"/>
  <c r="BR16" i="4"/>
  <c r="N5" i="2"/>
  <c r="BS6" i="4"/>
  <c r="N14" i="2" l="1"/>
  <c r="N35" i="2"/>
  <c r="N21" i="2"/>
  <c r="BR27" i="4"/>
  <c r="BR29" i="4" s="1"/>
  <c r="BS39" i="6"/>
  <c r="BS40" i="6" s="1"/>
  <c r="BT23" i="4" s="1"/>
  <c r="BS17" i="11"/>
  <c r="BS27" i="4"/>
  <c r="BS16" i="4"/>
  <c r="BT6" i="4"/>
  <c r="BS29" i="4" l="1"/>
  <c r="G41" i="7"/>
  <c r="N24" i="2"/>
  <c r="N26" i="2" s="1"/>
  <c r="BT39" i="6"/>
  <c r="BT40" i="6" s="1"/>
  <c r="BU23" i="4" s="1"/>
  <c r="BT17" i="11"/>
  <c r="BT27" i="4"/>
  <c r="BT16" i="4"/>
  <c r="BU6" i="4"/>
  <c r="BT29" i="4" l="1"/>
  <c r="BU27" i="4"/>
  <c r="BU39" i="6"/>
  <c r="BU40" i="6" s="1"/>
  <c r="BV23" i="4" s="1"/>
  <c r="BU17" i="11"/>
  <c r="BU16" i="4"/>
  <c r="BV6" i="4"/>
  <c r="BU29" i="4" l="1"/>
  <c r="BV17" i="11"/>
  <c r="BV39" i="6"/>
  <c r="BV40" i="6" s="1"/>
  <c r="BW23" i="4" s="1"/>
  <c r="BV27" i="4"/>
  <c r="BV16" i="4"/>
  <c r="BW6" i="4"/>
  <c r="BV29" i="4" l="1"/>
  <c r="BW27" i="4"/>
  <c r="BW39" i="6"/>
  <c r="BW40" i="6" s="1"/>
  <c r="BX23" i="4" s="1"/>
  <c r="BW17" i="11"/>
  <c r="BW16" i="4"/>
  <c r="BX6" i="4"/>
  <c r="BW29" i="4" l="1"/>
  <c r="BX17" i="11"/>
  <c r="BX39" i="6"/>
  <c r="BX40" i="6" s="1"/>
  <c r="BY23" i="4" s="1"/>
  <c r="BX27" i="4"/>
  <c r="BX16" i="4"/>
  <c r="BY6" i="4"/>
  <c r="BX29" i="4" l="1"/>
  <c r="BY27" i="4"/>
  <c r="BY17" i="11"/>
  <c r="BY39" i="6"/>
  <c r="BY40" i="6" s="1"/>
  <c r="BZ23" i="4" s="1"/>
  <c r="BY16" i="4"/>
  <c r="BZ6" i="4"/>
  <c r="BY29" i="4" l="1"/>
  <c r="BZ17" i="11"/>
  <c r="BZ27" i="4"/>
  <c r="BZ39" i="6"/>
  <c r="BZ40" i="6" s="1"/>
  <c r="CA23" i="4" s="1"/>
  <c r="BZ16" i="4"/>
  <c r="CA6" i="4"/>
  <c r="BZ29" i="4" l="1"/>
  <c r="CA39" i="6"/>
  <c r="CA40" i="6" s="1"/>
  <c r="CB23" i="4" s="1"/>
  <c r="CA27" i="4"/>
  <c r="CA17" i="11"/>
  <c r="CA16" i="4"/>
  <c r="CB6" i="4"/>
  <c r="CA29" i="4" l="1"/>
  <c r="CB17" i="11"/>
  <c r="CB39" i="6"/>
  <c r="CB40" i="6" s="1"/>
  <c r="CC23" i="4" s="1"/>
  <c r="CB27" i="4"/>
  <c r="CB16" i="4"/>
  <c r="CC6" i="4"/>
  <c r="CB29" i="4" l="1"/>
  <c r="CC17" i="11"/>
  <c r="CC39" i="6"/>
  <c r="CC40" i="6" s="1"/>
  <c r="CD23" i="4" s="1"/>
  <c r="CC27" i="4"/>
  <c r="CC16" i="4"/>
  <c r="CD6" i="4"/>
  <c r="CC29" i="4" l="1"/>
  <c r="CD17" i="11"/>
  <c r="CD39" i="6"/>
  <c r="CD40" i="6" s="1"/>
  <c r="CE23" i="4" s="1"/>
  <c r="O5" i="2"/>
  <c r="CD16" i="4"/>
  <c r="CE6" i="4"/>
  <c r="O14" i="2" l="1"/>
  <c r="O35" i="2"/>
  <c r="O21" i="2"/>
  <c r="CD27" i="4"/>
  <c r="CD29" i="4" s="1"/>
  <c r="CE17" i="11"/>
  <c r="CE39" i="6"/>
  <c r="CE40" i="6" s="1"/>
  <c r="CF23" i="4" s="1"/>
  <c r="CE27" i="4"/>
  <c r="CE16" i="4"/>
  <c r="CF6" i="4"/>
  <c r="CE29" i="4" l="1"/>
  <c r="H41" i="7"/>
  <c r="O24" i="2"/>
  <c r="O26" i="2" s="1"/>
  <c r="CF17" i="11"/>
  <c r="CF27" i="4"/>
  <c r="CF39" i="6"/>
  <c r="CF40" i="6" s="1"/>
  <c r="CG23" i="4" s="1"/>
  <c r="CF16" i="4"/>
  <c r="CG6" i="4"/>
  <c r="CF29" i="4" l="1"/>
  <c r="CG39" i="6"/>
  <c r="CG40" i="6" s="1"/>
  <c r="CH23" i="4" s="1"/>
  <c r="CG17" i="11"/>
  <c r="CG27" i="4"/>
  <c r="CG16" i="4"/>
  <c r="CH6" i="4"/>
  <c r="CG29" i="4" l="1"/>
  <c r="CH17" i="11"/>
  <c r="CH39" i="6"/>
  <c r="CH40" i="6" s="1"/>
  <c r="CI23" i="4" s="1"/>
  <c r="CH27" i="4"/>
  <c r="CH16" i="4"/>
  <c r="CI6" i="4"/>
  <c r="CH29" i="4" l="1"/>
  <c r="CI27" i="4"/>
  <c r="CI39" i="6"/>
  <c r="CI40" i="6" s="1"/>
  <c r="CJ23" i="4" s="1"/>
  <c r="CI17" i="11"/>
  <c r="CI16" i="4"/>
  <c r="CJ6" i="4"/>
  <c r="CI29" i="4" l="1"/>
  <c r="CJ39" i="6"/>
  <c r="CJ40" i="6" s="1"/>
  <c r="CK23" i="4" s="1"/>
  <c r="CJ27" i="4"/>
  <c r="CJ17" i="11"/>
  <c r="CJ16" i="4"/>
  <c r="CK6" i="4"/>
  <c r="CJ29" i="4" l="1"/>
  <c r="CK27" i="4"/>
  <c r="CK17" i="11"/>
  <c r="CK39" i="6"/>
  <c r="CK40" i="6" s="1"/>
  <c r="CL23" i="4" s="1"/>
  <c r="CK16" i="4"/>
  <c r="CL6" i="4"/>
  <c r="CK29" i="4" l="1"/>
  <c r="CL17" i="11"/>
  <c r="CL39" i="6"/>
  <c r="CL40" i="6" s="1"/>
  <c r="CM23" i="4" s="1"/>
  <c r="CL27" i="4"/>
  <c r="CL16" i="4"/>
  <c r="CM6" i="4"/>
  <c r="CL29" i="4" l="1"/>
  <c r="CM27" i="4"/>
  <c r="CM39" i="6"/>
  <c r="CM40" i="6" s="1"/>
  <c r="CN23" i="4" s="1"/>
  <c r="CM17" i="11"/>
  <c r="CM16" i="4"/>
  <c r="CN6" i="4"/>
  <c r="CM29" i="4" l="1"/>
  <c r="CN39" i="6"/>
  <c r="CN40" i="6" s="1"/>
  <c r="CO23" i="4" s="1"/>
  <c r="CN17" i="11"/>
  <c r="CN27" i="4"/>
  <c r="CN16" i="4"/>
  <c r="CO6" i="4"/>
  <c r="CN29" i="4" l="1"/>
  <c r="CO27" i="4"/>
  <c r="CO39" i="6"/>
  <c r="CO40" i="6" s="1"/>
  <c r="CP23" i="4" s="1"/>
  <c r="CO17" i="11"/>
  <c r="CO16" i="4"/>
  <c r="CP6" i="4"/>
  <c r="CO29" i="4" l="1"/>
  <c r="CP17" i="11"/>
  <c r="CP39" i="6"/>
  <c r="CP40" i="6" s="1"/>
  <c r="CQ23" i="4" s="1"/>
  <c r="CP16" i="4"/>
  <c r="P5" i="2"/>
  <c r="CQ6" i="4"/>
  <c r="P14" i="2" l="1"/>
  <c r="P35" i="2"/>
  <c r="P21" i="2"/>
  <c r="CP27" i="4"/>
  <c r="CP29" i="4" s="1"/>
  <c r="CQ39" i="6"/>
  <c r="CQ40" i="6" s="1"/>
  <c r="CR23" i="4" s="1"/>
  <c r="CQ17" i="11"/>
  <c r="CQ27" i="4"/>
  <c r="CQ16" i="4"/>
  <c r="CR6" i="4"/>
  <c r="CQ29" i="4" l="1"/>
  <c r="I41" i="7"/>
  <c r="P24" i="2"/>
  <c r="P26" i="2" s="1"/>
  <c r="CR27" i="4"/>
  <c r="CR39" i="6"/>
  <c r="CR40" i="6" s="1"/>
  <c r="CS23" i="4" s="1"/>
  <c r="CR17" i="11"/>
  <c r="CR16" i="4"/>
  <c r="CS6" i="4"/>
  <c r="CR29" i="4" l="1"/>
  <c r="CS39" i="6"/>
  <c r="CS40" i="6" s="1"/>
  <c r="CT23" i="4" s="1"/>
  <c r="CS27" i="4"/>
  <c r="CS17" i="11"/>
  <c r="CS16" i="4"/>
  <c r="CT6" i="4"/>
  <c r="CS29" i="4" l="1"/>
  <c r="CT39" i="6"/>
  <c r="CT40" i="6" s="1"/>
  <c r="CU23" i="4" s="1"/>
  <c r="CT27" i="4"/>
  <c r="CT17" i="11"/>
  <c r="CU6" i="4"/>
  <c r="CT16" i="4"/>
  <c r="CT29" i="4" l="1"/>
  <c r="CU17" i="11"/>
  <c r="CU39" i="6"/>
  <c r="CU40" i="6" s="1"/>
  <c r="CV23" i="4" s="1"/>
  <c r="CU27" i="4"/>
  <c r="CU16" i="4"/>
  <c r="CV6" i="4"/>
  <c r="CU29" i="4" l="1"/>
  <c r="CV17" i="11"/>
  <c r="CV39" i="6"/>
  <c r="CV40" i="6" s="1"/>
  <c r="CV27" i="4"/>
  <c r="CV16" i="4"/>
  <c r="CW6" i="4"/>
  <c r="CV29" i="4" l="1"/>
  <c r="CW23" i="4"/>
  <c r="CW27" i="4" s="1"/>
  <c r="CW39" i="6"/>
  <c r="CW40" i="6" s="1"/>
  <c r="CW16" i="4"/>
  <c r="CX6" i="4"/>
  <c r="CW29" i="4" l="1"/>
  <c r="CX23" i="4"/>
  <c r="CX27" i="4" s="1"/>
  <c r="CX39" i="6"/>
  <c r="CX40" i="6" s="1"/>
  <c r="CX16" i="4"/>
  <c r="CY6" i="4"/>
  <c r="CX29" i="4" l="1"/>
  <c r="CY23" i="4"/>
  <c r="CY27" i="4" s="1"/>
  <c r="CY39" i="6"/>
  <c r="CY40" i="6" s="1"/>
  <c r="CY16" i="4"/>
  <c r="CZ6" i="4"/>
  <c r="CY29" i="4" l="1"/>
  <c r="CZ39" i="6"/>
  <c r="CZ40" i="6" s="1"/>
  <c r="CZ23" i="4"/>
  <c r="CZ27" i="4" s="1"/>
  <c r="CZ16" i="4"/>
  <c r="DA6" i="4"/>
  <c r="CZ29" i="4" l="1"/>
  <c r="DA23" i="4"/>
  <c r="DA27" i="4" s="1"/>
  <c r="DA39" i="6"/>
  <c r="DA40" i="6" s="1"/>
  <c r="DA16" i="4"/>
  <c r="DB6" i="4"/>
  <c r="DA29" i="4" l="1"/>
  <c r="DB23" i="4"/>
  <c r="J40" i="7"/>
  <c r="DB16" i="4"/>
  <c r="Q5" i="2"/>
  <c r="Q14" i="2" l="1"/>
  <c r="Q35" i="2"/>
  <c r="Q21" i="2"/>
  <c r="DB27" i="4"/>
  <c r="DB29" i="4" s="1"/>
  <c r="J41" i="7" l="1"/>
  <c r="Q24" i="2"/>
  <c r="Q2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Deepak</author>
  </authors>
  <commentList>
    <comment ref="D2" authorId="0" shapeId="0" xr:uid="{D819C4DE-8B40-4FE4-814C-CD6C56BAB911}">
      <text>
        <r>
          <rPr>
            <b/>
            <sz val="9"/>
            <color indexed="81"/>
            <rFont val="Tahoma"/>
            <family val="2"/>
          </rPr>
          <t>Deepak:</t>
        </r>
        <r>
          <rPr>
            <sz val="9"/>
            <color indexed="81"/>
            <rFont val="Tahoma"/>
            <family val="2"/>
          </rPr>
          <t xml:space="preserve">
Cash Basis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Deepak</author>
  </authors>
  <commentList>
    <comment ref="P6" authorId="0" shapeId="0" xr:uid="{C7A50972-F155-41CE-9DF4-D40A5DB58ECB}">
      <text>
        <r>
          <rPr>
            <b/>
            <sz val="9"/>
            <color indexed="81"/>
            <rFont val="Tahoma"/>
            <family val="2"/>
          </rPr>
          <t>Deepak:</t>
        </r>
        <r>
          <rPr>
            <sz val="9"/>
            <color indexed="81"/>
            <rFont val="Tahoma"/>
            <family val="2"/>
          </rPr>
          <t xml:space="preserve">
Inludes Escalation of Rs 50 Lac</t>
        </r>
      </text>
    </comment>
    <comment ref="AD6" authorId="0" shapeId="0" xr:uid="{56682FA2-34B9-4E03-A4B7-5C72B0CA5E33}">
      <text>
        <r>
          <rPr>
            <b/>
            <sz val="9"/>
            <color indexed="81"/>
            <rFont val="Tahoma"/>
            <family val="2"/>
          </rPr>
          <t>Deepak:</t>
        </r>
        <r>
          <rPr>
            <sz val="9"/>
            <color indexed="81"/>
            <rFont val="Tahoma"/>
            <family val="2"/>
          </rPr>
          <t xml:space="preserve">
Inludes Escalation of Rs 50 Lac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Shantanu Mitra</author>
  </authors>
  <commentList>
    <comment ref="E15" authorId="0" shapeId="0" xr:uid="{76FDC328-79D8-4231-92D5-2CE263C2355F}">
      <text>
        <r>
          <rPr>
            <b/>
            <sz val="9"/>
            <color indexed="81"/>
            <rFont val="Tahoma"/>
            <family val="2"/>
          </rPr>
          <t>inclds 15 cr gst refund</t>
        </r>
      </text>
    </comment>
  </commentList>
</comments>
</file>

<file path=xl/sharedStrings.xml><?xml version="1.0" encoding="utf-8"?>
<sst xmlns="http://schemas.openxmlformats.org/spreadsheetml/2006/main" count="2323" uniqueCount="647">
  <si>
    <t>O&amp;M</t>
  </si>
  <si>
    <t>Remarks</t>
  </si>
  <si>
    <t>Collection of KPIs</t>
  </si>
  <si>
    <t>Receipt of 1 Cr taken in Mar,23.</t>
  </si>
  <si>
    <t>Collection of E&amp;M Receivables</t>
  </si>
  <si>
    <t>NRW</t>
  </si>
  <si>
    <t>Capex</t>
  </si>
  <si>
    <t>Capex Completion</t>
  </si>
  <si>
    <t>Taxes</t>
  </si>
  <si>
    <t>GST Input Cost</t>
  </si>
  <si>
    <t>GST Input cost@18% has been considered for balance works.</t>
  </si>
  <si>
    <t>GST Claim from DJB-Capex</t>
  </si>
  <si>
    <t>GST Claim from DJB-NOR</t>
  </si>
  <si>
    <t>GST claim of Rs 3 Cr has been considered in Mar,23.</t>
  </si>
  <si>
    <t>GST Input Refund</t>
  </si>
  <si>
    <t>GST input remains as it is</t>
  </si>
  <si>
    <t>GST Refund</t>
  </si>
  <si>
    <t>Repayment of Loan</t>
  </si>
  <si>
    <t>General</t>
  </si>
  <si>
    <t>Concession Period Extension</t>
  </si>
  <si>
    <t>Rs Cr</t>
  </si>
  <si>
    <t>Equity &amp; Liabilities</t>
  </si>
  <si>
    <t xml:space="preserve">ST Loan Availed (from OCW) </t>
  </si>
  <si>
    <t>Total Equity &amp; Liabilities</t>
  </si>
  <si>
    <t>Assets</t>
  </si>
  <si>
    <t>Cash &amp; Bank Balances</t>
  </si>
  <si>
    <t>Current Assets</t>
  </si>
  <si>
    <t>Accounts Receivables</t>
  </si>
  <si>
    <t>Total Assets</t>
  </si>
  <si>
    <t>Differences</t>
  </si>
  <si>
    <t>DE Ratio</t>
  </si>
  <si>
    <t>Total Cost</t>
  </si>
  <si>
    <t>Net Project Cost to Operator</t>
  </si>
  <si>
    <t>Working Capital</t>
  </si>
  <si>
    <t>Net Change in Working Capital</t>
  </si>
  <si>
    <t>Audited</t>
  </si>
  <si>
    <t>Projected</t>
  </si>
  <si>
    <t>Particulars</t>
  </si>
  <si>
    <t>2013-14</t>
  </si>
  <si>
    <t>2014-15</t>
  </si>
  <si>
    <t>2015-16</t>
  </si>
  <si>
    <t>2016-17</t>
  </si>
  <si>
    <t>2017-18</t>
  </si>
  <si>
    <t>2018-19</t>
  </si>
  <si>
    <t>2019-20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</si>
  <si>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</si>
  <si>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</si>
  <si>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</si>
  <si>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</si>
  <si>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</si>
  <si>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</si>
  <si>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</si>
  <si>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</si>
  <si>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</si>
  <si>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Total</t>
  </si>
  <si>
    <t>Oct,18 BP</t>
  </si>
  <si>
    <t>Jul,16 BP</t>
  </si>
  <si>
    <t>Bank BP</t>
  </si>
  <si>
    <t>Agreed BP</t>
  </si>
  <si>
    <t>Total Revenue</t>
  </si>
  <si>
    <t>Operation Costs</t>
  </si>
  <si>
    <t>Operations Staff costs - Local Staff</t>
  </si>
  <si>
    <t>Operations Staff Costs - Secondement</t>
  </si>
  <si>
    <t>Total Expenes</t>
  </si>
  <si>
    <t>PBDIT/EBITDA</t>
  </si>
  <si>
    <t>Depreciation</t>
  </si>
  <si>
    <t>Interest on Loan</t>
  </si>
  <si>
    <t>PBT/EBT</t>
  </si>
  <si>
    <t>Provision for Tax</t>
  </si>
  <si>
    <t>PAT/Net Profit</t>
  </si>
  <si>
    <t>Reserve &amp; Surplus</t>
  </si>
  <si>
    <t>Taxation Computation</t>
  </si>
  <si>
    <t>Profit Before Tax (Book Profit)</t>
  </si>
  <si>
    <t>Depreciation as per Books</t>
  </si>
  <si>
    <t>Profit before Depreciation and Tax</t>
  </si>
  <si>
    <t>Depreciation as per Income Tax</t>
  </si>
  <si>
    <t>Profit as per IT Act</t>
  </si>
  <si>
    <t>Loss Carry Forward for the year</t>
  </si>
  <si>
    <t>Cumulative Loss Carry Forward</t>
  </si>
  <si>
    <t>Taxable Profit as per IT Act</t>
  </si>
  <si>
    <t>Normal Tax</t>
  </si>
  <si>
    <t>Deduction u/s 80IA</t>
  </si>
  <si>
    <t>No</t>
  </si>
  <si>
    <t>Yes</t>
  </si>
  <si>
    <t>MAT Tax</t>
  </si>
  <si>
    <t>Cumulative Mat Credit</t>
  </si>
  <si>
    <t>Equity Veolia Water India Pvt Ltd</t>
  </si>
  <si>
    <t>Equity Swach Environment Pvt Ltd</t>
  </si>
  <si>
    <t>Secured Loans</t>
  </si>
  <si>
    <t>OCPIDs</t>
  </si>
  <si>
    <t>Short Term Loan</t>
  </si>
  <si>
    <t>Capital Payables</t>
  </si>
  <si>
    <t>Non Current Liabilities</t>
  </si>
  <si>
    <t>Gross Block including Intangible Assets under Development</t>
  </si>
  <si>
    <r>
      <rPr>
        <b/>
        <sz val="9"/>
        <color theme="1"/>
        <rFont val="Calibri"/>
        <family val="2"/>
        <scheme val="minor"/>
      </rPr>
      <t>Less:</t>
    </r>
    <r>
      <rPr>
        <sz val="9"/>
        <color theme="1"/>
        <rFont val="Calibri"/>
        <family val="2"/>
        <scheme val="minor"/>
      </rPr>
      <t xml:space="preserve"> Accumulated Depreciation</t>
    </r>
  </si>
  <si>
    <t>Net Block</t>
  </si>
  <si>
    <t>Other Non Current Assets</t>
  </si>
  <si>
    <t>Current Account</t>
  </si>
  <si>
    <t>Escrow Account</t>
  </si>
  <si>
    <t>Cash Profit</t>
  </si>
  <si>
    <t>CC Limit</t>
  </si>
  <si>
    <t>Power Incentive</t>
  </si>
  <si>
    <t>ACE Bill</t>
  </si>
  <si>
    <t>Till</t>
  </si>
  <si>
    <t>Financial Year</t>
  </si>
  <si>
    <t>Billings</t>
  </si>
  <si>
    <t>New HSC Revenue Post Capex</t>
  </si>
  <si>
    <t>Tanker Current Bills</t>
  </si>
  <si>
    <t>New HSC Cost Post Capex</t>
  </si>
  <si>
    <t>Contingency-Operation</t>
  </si>
  <si>
    <t>Contingency-Works</t>
  </si>
  <si>
    <t>Interest on Term Loan</t>
  </si>
  <si>
    <t>Interest on Short Term Loan</t>
  </si>
  <si>
    <t>Interest on OCPIDs Short Term</t>
  </si>
  <si>
    <t>Interest on Working Capital Loan</t>
  </si>
  <si>
    <t>PBT</t>
  </si>
  <si>
    <t>Tax Payment</t>
  </si>
  <si>
    <t>PAT</t>
  </si>
  <si>
    <t>Works Including Escalation</t>
  </si>
  <si>
    <t>RR including Escalation</t>
  </si>
  <si>
    <t>Receipt from Customer</t>
  </si>
  <si>
    <t>Tanker Old Bills</t>
  </si>
  <si>
    <t>Key Experts</t>
  </si>
  <si>
    <t>KPIs</t>
  </si>
  <si>
    <t>E&amp;M</t>
  </si>
  <si>
    <t>Receipt Capex</t>
  </si>
  <si>
    <t>Cash Inflow</t>
  </si>
  <si>
    <t>Operations Staff costs</t>
  </si>
  <si>
    <t>OCPIDs Short Term Repayment</t>
  </si>
  <si>
    <t>Income Tax Payment</t>
  </si>
  <si>
    <t>Loan Repayment</t>
  </si>
  <si>
    <t>Operator Capex</t>
  </si>
  <si>
    <t>EDC</t>
  </si>
  <si>
    <t>Payment Capex</t>
  </si>
  <si>
    <t>Cash Outflow</t>
  </si>
  <si>
    <t>Net Cash Flow</t>
  </si>
  <si>
    <t>Opening</t>
  </si>
  <si>
    <t>Closing</t>
  </si>
  <si>
    <t>Opening Balance</t>
  </si>
  <si>
    <t>Closing Balance</t>
  </si>
  <si>
    <t>Cash Inflow-CA</t>
  </si>
  <si>
    <t>Transfer from Escrow Account- Works</t>
  </si>
  <si>
    <t>Transfer from Escrow Account-Works Escalation</t>
  </si>
  <si>
    <t>Transfer from Escrow Account-RR</t>
  </si>
  <si>
    <t>Equity from Promoters</t>
  </si>
  <si>
    <t>OCPIDs Short Term</t>
  </si>
  <si>
    <t>Disbursement of Loan in CA</t>
  </si>
  <si>
    <t>Total Cash Inflow works</t>
  </si>
  <si>
    <t>Cash Outflow-Works</t>
  </si>
  <si>
    <t>Expenditure on works</t>
  </si>
  <si>
    <t>Expenditure on Road</t>
  </si>
  <si>
    <t>Interest during Construction</t>
  </si>
  <si>
    <t>Expenses during Constructions</t>
  </si>
  <si>
    <t>Staff Cost on works</t>
  </si>
  <si>
    <t>Project Development Expenses</t>
  </si>
  <si>
    <t>BG Margin</t>
  </si>
  <si>
    <t>Total Cash Outflow works</t>
  </si>
  <si>
    <t>Net Cash Flow works</t>
  </si>
  <si>
    <t xml:space="preserve">Escrow Account </t>
  </si>
  <si>
    <t xml:space="preserve">Opening </t>
  </si>
  <si>
    <t>Receipt- Equity</t>
  </si>
  <si>
    <t>Receipt- Grant contribution from DJB</t>
  </si>
  <si>
    <t>Transfer to Current</t>
  </si>
  <si>
    <t>Closing Balances</t>
  </si>
  <si>
    <t>EOT-Capex</t>
  </si>
  <si>
    <t>ED on Water Meter-Capex</t>
  </si>
  <si>
    <t xml:space="preserve"> </t>
  </si>
  <si>
    <t>Particular</t>
  </si>
  <si>
    <t>Project cost to the operator</t>
  </si>
  <si>
    <t>Total Cash Outflow</t>
  </si>
  <si>
    <t>PBDI</t>
  </si>
  <si>
    <t>Change in Working Capital</t>
  </si>
  <si>
    <t>Total Cash Inflow</t>
  </si>
  <si>
    <t>Net Cash Flows</t>
  </si>
  <si>
    <t>Project IRR</t>
  </si>
  <si>
    <t>Cash Flow From Equity Prospective</t>
  </si>
  <si>
    <t>Cash Inflows</t>
  </si>
  <si>
    <t>Loan Disbursement</t>
  </si>
  <si>
    <t>PAT + Depreciation</t>
  </si>
  <si>
    <t>Change In Working Capital</t>
  </si>
  <si>
    <t>Cash Outflows</t>
  </si>
  <si>
    <t>Equity IRR</t>
  </si>
  <si>
    <t>Interest payment</t>
  </si>
  <si>
    <t>Balance</t>
  </si>
  <si>
    <t>Estimate</t>
  </si>
  <si>
    <t>Actual</t>
  </si>
  <si>
    <t>Projected Cost on water works</t>
  </si>
  <si>
    <t>Operators Capex</t>
  </si>
  <si>
    <t>Addition to DJB/DPR Capex</t>
  </si>
  <si>
    <t>Interest Cost Capitalised</t>
  </si>
  <si>
    <t>Staff Cost related to Construction</t>
  </si>
  <si>
    <t>Financing of Project Cost</t>
  </si>
  <si>
    <t>Grant Amount on water works</t>
  </si>
  <si>
    <t>Escalation</t>
  </si>
  <si>
    <t>Total Grant from DJB</t>
  </si>
  <si>
    <t>Net cost of Project to NWS</t>
  </si>
  <si>
    <t>RR Margin</t>
  </si>
  <si>
    <t>Net cost of Project to NWS after Road</t>
  </si>
  <si>
    <t>Revenue (Rs Cr)</t>
  </si>
  <si>
    <t>Expenses (Rs Cr)</t>
  </si>
  <si>
    <t>Interest and Depreciation and Taxes</t>
  </si>
  <si>
    <t>Net Profit (Rs Cr)</t>
  </si>
  <si>
    <t>Project Financing</t>
  </si>
  <si>
    <t>Equity</t>
  </si>
  <si>
    <t>Debt</t>
  </si>
  <si>
    <t>Short Term Loan and OCPID</t>
  </si>
  <si>
    <t>Rate of Interest</t>
  </si>
  <si>
    <t>No. of Years</t>
  </si>
  <si>
    <t>Drawdown</t>
  </si>
  <si>
    <t>FITL RTL-2 SREI</t>
  </si>
  <si>
    <t>FITL RTL-1 SREI</t>
  </si>
  <si>
    <t>Interest Moratorium</t>
  </si>
  <si>
    <t>Repayment</t>
  </si>
  <si>
    <t>Interest</t>
  </si>
  <si>
    <t>Interest on RTL</t>
  </si>
  <si>
    <t>Interest on STL</t>
  </si>
  <si>
    <t>BOI</t>
  </si>
  <si>
    <t>SIFL</t>
  </si>
  <si>
    <t>Unit</t>
  </si>
  <si>
    <t>Population</t>
  </si>
  <si>
    <t>Population Increase rate</t>
  </si>
  <si>
    <t>%</t>
  </si>
  <si>
    <t>Inhabitants per connection</t>
  </si>
  <si>
    <t>Network Coverage</t>
  </si>
  <si>
    <t>Present no. of Connections</t>
  </si>
  <si>
    <t>New connection through Capex</t>
  </si>
  <si>
    <t>Total billed connection</t>
  </si>
  <si>
    <t>Usage per connection</t>
  </si>
  <si>
    <t>KL/Day</t>
  </si>
  <si>
    <t>Usage per person</t>
  </si>
  <si>
    <t>LPCD</t>
  </si>
  <si>
    <t>Volume Billed</t>
  </si>
  <si>
    <t>Collection Efficiency</t>
  </si>
  <si>
    <t>No of days in the month</t>
  </si>
  <si>
    <t>Days</t>
  </si>
  <si>
    <t>NOR Volume for the month</t>
  </si>
  <si>
    <t>KL</t>
  </si>
  <si>
    <t>Billing for Arrear Incentive</t>
  </si>
  <si>
    <t>Rs</t>
  </si>
  <si>
    <t>Billing for Power saving incentive</t>
  </si>
  <si>
    <t>No. of habitants per connection</t>
  </si>
  <si>
    <t>Volume billed for the month(gross)</t>
  </si>
  <si>
    <t>Volume available for the month(gross)</t>
  </si>
  <si>
    <t>Water Billed</t>
  </si>
  <si>
    <t>MGD</t>
  </si>
  <si>
    <t>Water Required</t>
  </si>
  <si>
    <t>Water Deficit</t>
  </si>
  <si>
    <t>Usage</t>
  </si>
  <si>
    <t>Actual Collection Efficiency</t>
  </si>
  <si>
    <t>NOR yoy inflation</t>
  </si>
  <si>
    <t>Total Billed Volume</t>
  </si>
  <si>
    <t>NOR Rate NWS</t>
  </si>
  <si>
    <t>NOR Rate DJB</t>
  </si>
  <si>
    <t>NOR Billing RMS (NWS Rates)</t>
  </si>
  <si>
    <t>For sensitivity</t>
  </si>
  <si>
    <t>Capacity</t>
  </si>
  <si>
    <t>NOR Billing RMS (DJB Rates)</t>
  </si>
  <si>
    <t>NOR Difference</t>
  </si>
  <si>
    <t>NOR Rate</t>
  </si>
  <si>
    <t>HSC</t>
  </si>
  <si>
    <t>% Revenue Incraese due to increase in</t>
  </si>
  <si>
    <t>Department-NWS</t>
  </si>
  <si>
    <t>Operation and Maintenance</t>
  </si>
  <si>
    <t>Production</t>
  </si>
  <si>
    <t>HR</t>
  </si>
  <si>
    <t>IT</t>
  </si>
  <si>
    <t>Contracts &amp; PR</t>
  </si>
  <si>
    <t>Finance and Accounts</t>
  </si>
  <si>
    <t>Procurement</t>
  </si>
  <si>
    <t>Mangement</t>
  </si>
  <si>
    <t>Design &amp; Engineering</t>
  </si>
  <si>
    <t>Works</t>
  </si>
  <si>
    <t>Department-FTC</t>
  </si>
  <si>
    <t>Department-O/S</t>
  </si>
  <si>
    <t>Department</t>
  </si>
  <si>
    <t>GL</t>
  </si>
  <si>
    <t>Vehicle Running &amp; Maintainance</t>
  </si>
  <si>
    <t>General &amp; Admin</t>
  </si>
  <si>
    <t>Vehicle Hire &amp; Running Charges</t>
  </si>
  <si>
    <t>Vehicle Hire Charges</t>
  </si>
  <si>
    <t>Conveyance Expenses (NWS/Outsource Employees)</t>
  </si>
  <si>
    <t>Other expenses</t>
  </si>
  <si>
    <t>Electricity &amp; Fuel including DG (H.O. &amp; CSC's)</t>
  </si>
  <si>
    <t>Health Check-Up</t>
  </si>
  <si>
    <t>OPD/Medical Expenses for emergency incident</t>
  </si>
  <si>
    <t xml:space="preserve">Travelling For NWS Employees </t>
  </si>
  <si>
    <t>Security Charges - Nangloi Head office</t>
  </si>
  <si>
    <t>Security Charges</t>
  </si>
  <si>
    <t>Security Charges- WTP</t>
  </si>
  <si>
    <t>Security Charges- Mohan Garden</t>
  </si>
  <si>
    <t>Security Charges- Nangloi OHT</t>
  </si>
  <si>
    <t>Security Charges- Nangloi CSC (Bhaira Enclaive)</t>
  </si>
  <si>
    <t>Security Charges- Najafgarh A (Tanker Filling &amp; UGR)</t>
  </si>
  <si>
    <t>Security Charges- Najafgarh CSC (Nagli Dairy)</t>
  </si>
  <si>
    <t>Security Charges- Najafgarh B UGR</t>
  </si>
  <si>
    <t>Security Charges- Mundka UGR</t>
  </si>
  <si>
    <t>Rent-Office-Head Office</t>
  </si>
  <si>
    <t>Rent-Office</t>
  </si>
  <si>
    <t>Rent-Office-Nangloi CSC (Bhaira Enclave)</t>
  </si>
  <si>
    <t>Rent-Office-Najafgarh CSC (Nangali Dairy)</t>
  </si>
  <si>
    <t>Telephone &amp; Communication Expenses (Airtel Bill)</t>
  </si>
  <si>
    <t>Pantry Expenses -WTP-Production</t>
  </si>
  <si>
    <t>Pantry Expenses -Mohan Garden CSC &amp; UGR</t>
  </si>
  <si>
    <t>Pantry Expenses -Nangloi OHT</t>
  </si>
  <si>
    <t>Pantry Expenses -Nangloi CSC (Bhaira Enclave)</t>
  </si>
  <si>
    <t>Pantry Expenses -Najafgarh OHT</t>
  </si>
  <si>
    <t>Pantry Expenses-Najafgarh CSC</t>
  </si>
  <si>
    <t>Pantry Expenses -HO</t>
  </si>
  <si>
    <t>Printing &amp; Stationery</t>
  </si>
  <si>
    <t>Books &amp; Periodicals</t>
  </si>
  <si>
    <t>Training for Employees</t>
  </si>
  <si>
    <t>Recruitment Expenses</t>
  </si>
  <si>
    <t>Naukri Portal Subscription</t>
  </si>
  <si>
    <t>Diwali Festival Gift/ Staff Get together</t>
  </si>
  <si>
    <t>Postage &amp; Courier</t>
  </si>
  <si>
    <t>HR Legal &amp; Labour Law Consultancy</t>
  </si>
  <si>
    <t>Legal &amp; Professional</t>
  </si>
  <si>
    <t>Mediclaim Insurance/GPA</t>
  </si>
  <si>
    <t>Workmen Compensation Insurance</t>
  </si>
  <si>
    <t>Insunaces-Projects &amp; Opertions</t>
  </si>
  <si>
    <t>Bank Charges (including Processing fee)</t>
  </si>
  <si>
    <t>F&amp;A</t>
  </si>
  <si>
    <t>Legal &amp; Consultancy</t>
  </si>
  <si>
    <t>Rating Fees</t>
  </si>
  <si>
    <t>Certification Exp</t>
  </si>
  <si>
    <t>DMAT Fees</t>
  </si>
  <si>
    <t>Acturial Valuation</t>
  </si>
  <si>
    <t>Insurance Cash &amp; Fidelity</t>
  </si>
  <si>
    <t>Tax Audit Fees</t>
  </si>
  <si>
    <t>Statutory Audit Fees</t>
  </si>
  <si>
    <t>Internal Audit Fees</t>
  </si>
  <si>
    <t>Stock Audit Fees</t>
  </si>
  <si>
    <t>Repair &amp; Maintenance</t>
  </si>
  <si>
    <t>Hire Charges</t>
  </si>
  <si>
    <t>Consumption of Chemicals</t>
  </si>
  <si>
    <t>Hiring of Tankers-DJB</t>
  </si>
  <si>
    <t>Meter Replacement Cost</t>
  </si>
  <si>
    <t xml:space="preserve">NWS Corporate Web Site </t>
  </si>
  <si>
    <t xml:space="preserve">IT </t>
  </si>
  <si>
    <t>Repairs &amp; Maintenance Laptops &amp; Desktops</t>
  </si>
  <si>
    <t>Repairs &amp; maintenance Printers &amp; Plotters</t>
  </si>
  <si>
    <t>Cisco Server, Switch, Firewall and UPS &amp; Battery (A.M.C: 20% total cost)</t>
  </si>
  <si>
    <t>Official email-ID subscription</t>
  </si>
  <si>
    <t>AMC Cost of HR Software</t>
  </si>
  <si>
    <t>AMC Cost of Tally Software</t>
  </si>
  <si>
    <t>Additional interest</t>
  </si>
  <si>
    <t>All</t>
  </si>
  <si>
    <t>Employee benefits expense</t>
  </si>
  <si>
    <t>Contractual Staff Expenses</t>
  </si>
  <si>
    <t>Finance costs- Interest on CC</t>
  </si>
  <si>
    <t>Service fee-operation</t>
  </si>
  <si>
    <t>Project Supervision &amp; Service Fees</t>
  </si>
  <si>
    <t>Service fee-works</t>
  </si>
  <si>
    <t>Revenue NOR</t>
  </si>
  <si>
    <t>Billing Power Incentive</t>
  </si>
  <si>
    <t>Power Saving Incentive</t>
  </si>
  <si>
    <t>New HSC Margin Post Capex</t>
  </si>
  <si>
    <t>Tanker</t>
  </si>
  <si>
    <t>Billings reimburement of Tanker hiring</t>
  </si>
  <si>
    <t>Revenue</t>
  </si>
  <si>
    <t>New UGRs</t>
  </si>
  <si>
    <t>WTP</t>
  </si>
  <si>
    <t>Existing UGRs</t>
  </si>
  <si>
    <t>Automation</t>
  </si>
  <si>
    <t>RWTM-1500mm Dia</t>
  </si>
  <si>
    <t>TM-700mm &amp; 900mm Dia</t>
  </si>
  <si>
    <t>Distribution Network</t>
  </si>
  <si>
    <t>Road Work</t>
  </si>
  <si>
    <t>Cost</t>
  </si>
  <si>
    <t>Margin</t>
  </si>
  <si>
    <t>Revenue Without RR</t>
  </si>
  <si>
    <t>Cost Without RR</t>
  </si>
  <si>
    <t>Project Revenue</t>
  </si>
  <si>
    <t>Escalation Without RR</t>
  </si>
  <si>
    <t>Inflow</t>
  </si>
  <si>
    <t>Procurement@30 Days</t>
  </si>
  <si>
    <t>Execution@60 Days</t>
  </si>
  <si>
    <t>Eascalation@30 Days</t>
  </si>
  <si>
    <t>Total/Month</t>
  </si>
  <si>
    <t>Outflow</t>
  </si>
  <si>
    <t>Procurement@90 Days</t>
  </si>
  <si>
    <t>Execution@30 Days</t>
  </si>
  <si>
    <t>Pipe Line Civil Work@60 Days</t>
  </si>
  <si>
    <t>DI Pipe Procurement@30 Days</t>
  </si>
  <si>
    <t>DI Pipe Work(66%)@60 Days</t>
  </si>
  <si>
    <t>DI Pipe Work(34%)@90 Days</t>
  </si>
  <si>
    <t>HDPE Pipe Procurement@30 Days</t>
  </si>
  <si>
    <t>HDPE Pipe Work (66%)@60 Days</t>
  </si>
  <si>
    <t>HDPE Pipe Work (34%)@90 Days</t>
  </si>
  <si>
    <t>MS Pipe Procurement@30 Days</t>
  </si>
  <si>
    <t>DI Fitting Procurement@90 Days</t>
  </si>
  <si>
    <t>HDPE Fitting Procurement@90 Days</t>
  </si>
  <si>
    <t>Trenchless@90 Days</t>
  </si>
  <si>
    <t>Valve Procurement@30 Days</t>
  </si>
  <si>
    <t>Valve Works@90 Days</t>
  </si>
  <si>
    <t>Flow Meter Procurement@30 Days</t>
  </si>
  <si>
    <t>Flow Meter Work@90 Days</t>
  </si>
  <si>
    <t>Water Meter Procurement@30 Days</t>
  </si>
  <si>
    <t>Water Meter Work@60 Days</t>
  </si>
  <si>
    <t>HSC Procurement@60 Days</t>
  </si>
  <si>
    <t>HSC Work@60 Days</t>
  </si>
  <si>
    <t>Escalation@30 Days</t>
  </si>
  <si>
    <t>Pipe Line Civil Work@90 Days</t>
  </si>
  <si>
    <t>DI Pipe Procurement@90 Days</t>
  </si>
  <si>
    <t>DI Pipe Work(66%)@30 Days</t>
  </si>
  <si>
    <t>DI Pipe Work(34%)@30 Days</t>
  </si>
  <si>
    <t>HDPE Pipe Procurement@90 Days</t>
  </si>
  <si>
    <t>HDPE Pipe Work (66%)@30 Days</t>
  </si>
  <si>
    <t>HDPE Pipe Work (34%)@60 Days</t>
  </si>
  <si>
    <t>MS Pipe Procurement@90 Days</t>
  </si>
  <si>
    <t>Valve Procurement@90 Days</t>
  </si>
  <si>
    <t>Valve Works@30 Days</t>
  </si>
  <si>
    <t>Flow Meter Procurement@90 Days</t>
  </si>
  <si>
    <t>Flow Meter Work@60 Days</t>
  </si>
  <si>
    <t>Water Meter Procurement@90 Days</t>
  </si>
  <si>
    <t>HSC Procurement@90 Days</t>
  </si>
  <si>
    <t>HSC Work@30 Days</t>
  </si>
  <si>
    <t>Road Restoration</t>
  </si>
  <si>
    <t>Civil@60 Days</t>
  </si>
  <si>
    <t>Eascalation@60 Days</t>
  </si>
  <si>
    <t>Execution</t>
  </si>
  <si>
    <t>Eascalation on Revenue</t>
  </si>
  <si>
    <t>Pipe Line Civil Work</t>
  </si>
  <si>
    <t>DI Pipe Procurement</t>
  </si>
  <si>
    <t>DI Pipe Work(66%)</t>
  </si>
  <si>
    <t>DI Pipe Work(34%)</t>
  </si>
  <si>
    <t>HDPE Pipe Procurement(100%)</t>
  </si>
  <si>
    <t>HDPE Pipe Work (66%)</t>
  </si>
  <si>
    <t>HDPE Pipe Work (34%)</t>
  </si>
  <si>
    <t>MS Pipe Procurement</t>
  </si>
  <si>
    <t>DI Fitting Procurement</t>
  </si>
  <si>
    <t>HDPE Fitting Procurement</t>
  </si>
  <si>
    <t>Trenchless</t>
  </si>
  <si>
    <t>Valve Procurement</t>
  </si>
  <si>
    <t>Valve Works</t>
  </si>
  <si>
    <t>Flow Meter Procurement</t>
  </si>
  <si>
    <t>Flow Meter Work</t>
  </si>
  <si>
    <t>Water Meter Procurement</t>
  </si>
  <si>
    <t>Water Meter Work</t>
  </si>
  <si>
    <t>HSC Procurement</t>
  </si>
  <si>
    <t>HSC Work</t>
  </si>
  <si>
    <t>Civil</t>
  </si>
  <si>
    <t>Eascalation</t>
  </si>
  <si>
    <t>Toll Free No monthly charges (IVR- Advance call centre)</t>
  </si>
  <si>
    <t>CRM</t>
  </si>
  <si>
    <t>Cash Carrying Agency</t>
  </si>
  <si>
    <t>Contract for booster operation</t>
  </si>
  <si>
    <t>Hiring Charges</t>
  </si>
  <si>
    <t>Hiring of Pump/Generator</t>
  </si>
  <si>
    <t>Repair &amp; Maintenence</t>
  </si>
  <si>
    <t>2% Network Replacement</t>
  </si>
  <si>
    <t>RMS Connectivity</t>
  </si>
  <si>
    <t>Vehicle Tracking Device Service</t>
  </si>
  <si>
    <t>WTP Repair &amp; Maintenence</t>
  </si>
  <si>
    <t>WTP Power Cost</t>
  </si>
  <si>
    <t>Chemicals</t>
  </si>
  <si>
    <t>Swach</t>
  </si>
  <si>
    <t>Veolia</t>
  </si>
  <si>
    <t>SREI</t>
  </si>
  <si>
    <t>Share Capital - Equity as per Project Cost</t>
  </si>
  <si>
    <t>Warrants - Equity as per Project Cost</t>
  </si>
  <si>
    <t>OCPID (12 Year) - Equity as per Project Cost</t>
  </si>
  <si>
    <t>OCPID (3 Year) - Short Term Funding</t>
  </si>
  <si>
    <t>Long Term Loan as per Original Sanction</t>
  </si>
  <si>
    <t>Funded Interest term Loan</t>
  </si>
  <si>
    <t>Sanctioned Amount</t>
  </si>
  <si>
    <t>Pending Amount</t>
  </si>
  <si>
    <t>TTD</t>
  </si>
  <si>
    <t>Potential Registered Connection</t>
  </si>
  <si>
    <t>G&amp;A</t>
  </si>
  <si>
    <t>Total of IT Opex Expenses</t>
  </si>
  <si>
    <t>AMC</t>
  </si>
  <si>
    <t>Opex</t>
  </si>
  <si>
    <t>LA</t>
  </si>
  <si>
    <t>Printer</t>
  </si>
  <si>
    <t>PC</t>
  </si>
  <si>
    <t>Rs/No</t>
  </si>
  <si>
    <t>Desktop Rentals</t>
  </si>
  <si>
    <t>AMC Cost of HR Software, Tally Software, CCTV</t>
  </si>
  <si>
    <t>Printer Cartridges</t>
  </si>
  <si>
    <t>ISP</t>
  </si>
  <si>
    <t>Airtel WiFi Monthly Billing Charges</t>
  </si>
  <si>
    <t>Symantec Anti-Virus (LA): A.M.C</t>
  </si>
  <si>
    <t>Symantec Backup (LA): A.M.C</t>
  </si>
  <si>
    <t>Repairs &amp; Maintenance Printers &amp; Plotters</t>
  </si>
  <si>
    <t>RMS</t>
  </si>
  <si>
    <t>RMS License Agreement</t>
  </si>
  <si>
    <t>RMS MPLS Connection (ARC)</t>
  </si>
  <si>
    <t>Internet for Zonal office (Najafgargh tanker filling points)</t>
  </si>
  <si>
    <t>NWS Internet Service: Internet lease line HO (1 link 5 Mbps)</t>
  </si>
  <si>
    <t>UoM</t>
  </si>
  <si>
    <t>Nature</t>
  </si>
  <si>
    <t>Exp.</t>
  </si>
  <si>
    <t>Items</t>
  </si>
  <si>
    <t>O&amp;M Working Capital Requirement as WC (In Cr.)</t>
  </si>
  <si>
    <t>Interest on C/C A/c.</t>
  </si>
  <si>
    <t>Grand Total</t>
  </si>
  <si>
    <t>Misc</t>
  </si>
  <si>
    <t>Boarding- Hotel</t>
  </si>
  <si>
    <t>Fare ( 2 person from each lender)</t>
  </si>
  <si>
    <t>Travelling-Banker</t>
  </si>
  <si>
    <t>Fare</t>
  </si>
  <si>
    <t>Travelling-Staff</t>
  </si>
  <si>
    <t>WC Review Charges</t>
  </si>
  <si>
    <t>BG Issue Charges</t>
  </si>
  <si>
    <t>LC Charges</t>
  </si>
  <si>
    <t>RTL Review Charges</t>
  </si>
  <si>
    <t>Inspection Charges</t>
  </si>
  <si>
    <t>Bank Charges</t>
  </si>
  <si>
    <t>Tax Assessments</t>
  </si>
  <si>
    <t>GST Claim Settlement</t>
  </si>
  <si>
    <t>DAB Cases</t>
  </si>
  <si>
    <t>Income Tax-197 Certificates</t>
  </si>
  <si>
    <t>Secretarial+ XBRL Filing</t>
  </si>
  <si>
    <t>Indirect &amp; Direct Tax- GST</t>
  </si>
  <si>
    <t>LIE</t>
  </si>
  <si>
    <t>LIA</t>
  </si>
  <si>
    <t>LLC</t>
  </si>
  <si>
    <t>SBI cap trustee cost</t>
  </si>
  <si>
    <t>GST Certificate</t>
  </si>
  <si>
    <t>CA/ROC Certificates</t>
  </si>
  <si>
    <t>Sources &amp; Utilisation</t>
  </si>
  <si>
    <t xml:space="preserve">Certification Exp </t>
  </si>
  <si>
    <t xml:space="preserve">Total debited to Opeartion Cost (A) </t>
  </si>
  <si>
    <t>Tankers Recoverable</t>
  </si>
  <si>
    <t>Tankers on NWS Account</t>
  </si>
  <si>
    <t>Actual cost</t>
  </si>
  <si>
    <t>Per Tanker cost</t>
  </si>
  <si>
    <t>Tankers cost paid by NWS</t>
  </si>
  <si>
    <t>Per Meter Cost</t>
  </si>
  <si>
    <t>Total for O&amp;M Expenses Including Tanker Cost</t>
  </si>
  <si>
    <t>Hiring of Tankers</t>
  </si>
  <si>
    <t>Insuranaces-Projects &amp; Opertions</t>
  </si>
  <si>
    <t>Diwali Festival Gift/Get together</t>
  </si>
  <si>
    <t>Telephone &amp; Internet Expenses</t>
  </si>
  <si>
    <t>Rent Store Yard-Puth Khurd</t>
  </si>
  <si>
    <t>Rent-Guest House</t>
  </si>
  <si>
    <t>Travelling including Hotel Stay</t>
  </si>
  <si>
    <t xml:space="preserve">G&amp;A Budget </t>
  </si>
  <si>
    <t>Connections</t>
  </si>
  <si>
    <t>Rate</t>
  </si>
  <si>
    <t>ACE</t>
  </si>
  <si>
    <t xml:space="preserve">%Change Due to </t>
  </si>
  <si>
    <t>Total % increase</t>
  </si>
  <si>
    <t xml:space="preserve">Change Due to </t>
  </si>
  <si>
    <t>PL increase in Billings ( Rs. )</t>
  </si>
  <si>
    <t>Total Rs.</t>
  </si>
  <si>
    <t>Utilisation from O&amp;M</t>
  </si>
  <si>
    <t>Amt (Rs)</t>
  </si>
  <si>
    <t>Electrical work</t>
  </si>
  <si>
    <t>Nangloi</t>
  </si>
  <si>
    <t>Mechanical work</t>
  </si>
  <si>
    <t>Najafgarh</t>
  </si>
  <si>
    <t>Civil-Works Rehabilitation Of Existing Facitlities</t>
  </si>
  <si>
    <t>Design &amp; Survey</t>
  </si>
  <si>
    <t>Group</t>
  </si>
  <si>
    <t>Civil-Works Construction Of NEW Facitlities</t>
  </si>
  <si>
    <t>Mundka</t>
  </si>
  <si>
    <t>Soil Improvement</t>
  </si>
  <si>
    <t>Area</t>
  </si>
  <si>
    <t>Design &amp; Survey - E&amp;M</t>
  </si>
  <si>
    <t>Design &amp; Survey - Civil</t>
  </si>
  <si>
    <t>Opening Payables</t>
  </si>
  <si>
    <t>Cash Profit for the period</t>
  </si>
  <si>
    <t>Disbursement of Loan</t>
  </si>
  <si>
    <t>Working Capital Loan</t>
  </si>
  <si>
    <t>Change in other assets</t>
  </si>
  <si>
    <t>Calculation of DSCR</t>
  </si>
  <si>
    <t xml:space="preserve">Interest on Loan </t>
  </si>
  <si>
    <t>Cash for Debt Service</t>
  </si>
  <si>
    <t>Principal Repayment on Term Loan</t>
  </si>
  <si>
    <t>Outflows</t>
  </si>
  <si>
    <t>DSCR</t>
  </si>
  <si>
    <t>Average DSCR</t>
  </si>
  <si>
    <t>Refinancing of Loans - Amount</t>
  </si>
  <si>
    <t>Loan</t>
  </si>
  <si>
    <t>OCPIDs Notional Interest</t>
  </si>
  <si>
    <t>Payables including Provisions</t>
  </si>
  <si>
    <t>Note- Interest in FY 2020-21 and 2021-22 includes notional OCPIDs Interest of Rs 18.16 Cr and Rs 19.93 Cr respectively.</t>
  </si>
  <si>
    <t>Pipe Nov to Mar, 22 Equal</t>
  </si>
  <si>
    <t>Below for Mar,22</t>
  </si>
  <si>
    <t>All above Ground in Nov, to Feb Equal</t>
  </si>
  <si>
    <t>Automation of Distribution System</t>
  </si>
  <si>
    <t>6P</t>
  </si>
  <si>
    <t>6I</t>
  </si>
  <si>
    <t>Automation of New UGRs</t>
  </si>
  <si>
    <t>Automation of Existing UGRs</t>
  </si>
  <si>
    <t>Automation of WTP</t>
  </si>
  <si>
    <t>Amount</t>
  </si>
  <si>
    <t>Quantity</t>
  </si>
  <si>
    <t>-</t>
  </si>
  <si>
    <t>Current</t>
  </si>
  <si>
    <t>NG</t>
  </si>
  <si>
    <t>NA</t>
  </si>
  <si>
    <t>Mohan Garden</t>
  </si>
  <si>
    <t>MG</t>
  </si>
  <si>
    <t>4PNG</t>
  </si>
  <si>
    <t>6E</t>
  </si>
  <si>
    <t>6M</t>
  </si>
  <si>
    <t>4PNA</t>
  </si>
  <si>
    <t>4PMG</t>
  </si>
  <si>
    <t>6C</t>
  </si>
  <si>
    <t>6D</t>
  </si>
  <si>
    <t>3P</t>
  </si>
  <si>
    <t>6S</t>
  </si>
  <si>
    <t>Design &amp; Survey- E&amp;M</t>
  </si>
  <si>
    <t>2P</t>
  </si>
  <si>
    <t>Nos</t>
  </si>
  <si>
    <t>15 mm</t>
  </si>
  <si>
    <t xml:space="preserve">Domestic Water Meter </t>
  </si>
  <si>
    <t>Mtr</t>
  </si>
  <si>
    <t>MS</t>
  </si>
  <si>
    <t>DI</t>
  </si>
  <si>
    <t>HDPE</t>
  </si>
  <si>
    <t>Supply</t>
  </si>
  <si>
    <t>Qty.</t>
  </si>
  <si>
    <t>Dia</t>
  </si>
  <si>
    <t>MOC</t>
  </si>
  <si>
    <t>Domestic Water Meter 15 mm</t>
  </si>
  <si>
    <t>Replacement HSC</t>
  </si>
  <si>
    <t>HSC-Full</t>
  </si>
  <si>
    <t>HSC-Partial to Complete</t>
  </si>
  <si>
    <t>HSC- Partial</t>
  </si>
  <si>
    <t>Base-Amount</t>
  </si>
  <si>
    <t>New Credit Facility</t>
  </si>
  <si>
    <t>Existing UGR</t>
  </si>
  <si>
    <t>Capex completion by Sep,23.</t>
  </si>
  <si>
    <t>GST of Rs 15 Cr considered in Sep,23.</t>
  </si>
  <si>
    <t>Receipt- proportionate input by NWS ( from O &amp; M profit ) to get grant</t>
  </si>
  <si>
    <t>Receipt of Rs 1.5 Cr taken in Mar,23.</t>
  </si>
  <si>
    <t>KPI Deductions</t>
  </si>
  <si>
    <t>No Increase in Concession Period  considered.</t>
  </si>
  <si>
    <t>Execution Distribution</t>
  </si>
  <si>
    <t>Supply Distribution</t>
  </si>
  <si>
    <t>Opening Payables O&amp;M</t>
  </si>
  <si>
    <t>Short Term Loan in Current Account/ RTL 2/New Credit</t>
  </si>
  <si>
    <t>GST claim of Rs 4 Cr has been considered in Mar,23 &amp; Rs 2 cr in Dec, 23</t>
  </si>
  <si>
    <t>Interest Rate</t>
  </si>
  <si>
    <t>Interest Rate is taken @9.5% from Jan,23</t>
  </si>
  <si>
    <t>This gap is due to opening payables.</t>
  </si>
  <si>
    <t>New Credit Facility of Rs 50 Cr is considered which is 70% from Lenders and 30% from Promotors</t>
  </si>
  <si>
    <t>Note - Balance Capex Cost Inludes Rs 34.23 Cr Payment of opening Creditors.</t>
  </si>
  <si>
    <t>Total Loan of RTL-1 including FITLs and RTL-2 along FITL - Refinancing by  Dec23</t>
  </si>
  <si>
    <t>Book OD ( CC )</t>
  </si>
  <si>
    <t>Loan principal adjustment</t>
  </si>
  <si>
    <t>Loan repayment start date is Mar,24 and Loan is Repaid by Sep,28</t>
  </si>
  <si>
    <t>Net worth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</si>
</sst>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 * #,##0.00_ ;_ * \-#,##0.00_ ;_ * &quot;-&quot;??_ ;_ @_ "/>
    <numFmt numFmtId="164" formatCode="_(* #,##0.00_);_(* \(#,##0.00\);_(* &quot;-&quot;??_);_(@_)"/>
    <numFmt numFmtId="165" formatCode="_-* #,##0.00\ [$€]_-;\-* #,##0.00\ [$€]_-;_-* &quot;-&quot;??\ [$€]_-;_-@_-"/>
    <numFmt numFmtId="166" formatCode="#,##0.00_ ;\-#,##0.00\ "/>
    <numFmt numFmtId="167" formatCode="_(* #,##0_);_(* \(#,##0\);_(* &quot;-&quot;??_);_(@_)"/>
    <numFmt numFmtId="168" formatCode="_(* #,##0.000_);_(* \(#,##0.000\);_(* &quot;-&quot;??_);_(@_)"/>
    <numFmt numFmtId="169" formatCode="0.00;[Red]0.00"/>
    <numFmt numFmtId="170" formatCode="[$-409]mmm\-yy;@"/>
    <numFmt numFmtId="171" formatCode="_(* #,##0.0000_);_(* \(#,##0.0000\);_(* &quot;-&quot;??_);_(@_)"/>
    <numFmt numFmtId="172" formatCode="_(* #,##0.0_);_(* \(#,##0.0\);_(* &quot;-&quot;??_);_(@_)"/>
  </numFmts>
  <fonts count="20"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sz val="11"/>
      <color indexed="8"/>
      <name val="Calibri"/>
      <family val="2"/>
    </font>
    <font>
      <b/>
      <sz val="9"/>
      <name val="Calibri"/>
      <family val="2"/>
    </font>
    <font>
      <sz val="11"/>
      <color rgb="FF000000"/>
      <name val="Calibri"/>
      <family val="2"/>
    </font>
    <font>
      <sz val="9"/>
      <color theme="1"/>
      <name val="Calibri"/>
      <family val="2"/>
    </font>
    <font>
      <b/>
      <sz val="9"/>
      <color theme="1"/>
      <name val="Calibri"/>
      <family val="2"/>
    </font>
    <font>
      <sz val="10"/>
      <name val="Calibri"/>
      <family val="2"/>
    </font>
    <font>
      <sz val="10"/>
      <name val="Helv"/>
      <charset val="204"/>
    </font>
    <font>
      <sz val="9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/>
      <diagonal/>
    </border>
  </borders>
  <cellStyleXfs count="3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5" fontId="7" fillId="0" borderId="0"/>
    <xf numFmtId="165" fontId="1" fillId="0" borderId="0"/>
    <xf numFmtId="0" fontId="2" fillId="0" borderId="0"/>
    <xf numFmtId="0" fontId="1" fillId="0" borderId="0"/>
    <xf numFmtId="164" fontId="9" fillId="0" borderId="0" applyFont="0" applyFill="0" applyBorder="0" applyAlignment="0" applyProtection="0"/>
    <xf numFmtId="166" fontId="1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5" fillId="0" borderId="0"/>
    <xf numFmtId="0" fontId="1" fillId="0" borderId="0"/>
  </cellStyleXfs>
  <cellXfs count="269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right"/>
    </xf>
    <xf numFmtId="0" fontId="4" fillId="0" borderId="0" xfId="0" applyFont="1"/>
    <xf numFmtId="17" fontId="5" fillId="0" borderId="0" xfId="3" applyNumberFormat="1" applyFont="1" applyAlignment="1">
      <alignment horizontal="center"/>
    </xf>
    <xf numFmtId="164" fontId="0" fillId="0" borderId="0" xfId="1" applyFont="1"/>
    <xf numFmtId="164" fontId="4" fillId="0" borderId="1" xfId="0" applyNumberFormat="1" applyFont="1" applyBorder="1"/>
    <xf numFmtId="164" fontId="0" fillId="0" borderId="0" xfId="0" applyNumberFormat="1"/>
    <xf numFmtId="164" fontId="6" fillId="0" borderId="0" xfId="1" applyFont="1"/>
    <xf numFmtId="0" fontId="5" fillId="0" borderId="0" xfId="4" applyFont="1"/>
    <xf numFmtId="164" fontId="6" fillId="0" borderId="0" xfId="5" applyFont="1" applyFill="1"/>
    <xf numFmtId="0" fontId="6" fillId="0" borderId="0" xfId="4" applyFont="1"/>
    <xf numFmtId="1" fontId="5" fillId="0" borderId="0" xfId="6" applyNumberFormat="1" applyFont="1" applyAlignment="1">
      <alignment horizontal="center"/>
    </xf>
    <xf numFmtId="164" fontId="5" fillId="0" borderId="0" xfId="5" applyFont="1" applyFill="1" applyBorder="1" applyAlignment="1">
      <alignment horizontal="center"/>
    </xf>
    <xf numFmtId="164" fontId="5" fillId="0" borderId="2" xfId="5" applyFont="1" applyFill="1" applyBorder="1" applyAlignment="1">
      <alignment horizontal="center"/>
    </xf>
    <xf numFmtId="164" fontId="6" fillId="0" borderId="0" xfId="5" applyFont="1" applyFill="1" applyBorder="1"/>
    <xf numFmtId="164" fontId="5" fillId="0" borderId="1" xfId="5" applyFont="1" applyFill="1" applyBorder="1"/>
    <xf numFmtId="164" fontId="5" fillId="0" borderId="3" xfId="5" applyFont="1" applyFill="1" applyBorder="1"/>
    <xf numFmtId="165" fontId="5" fillId="0" borderId="0" xfId="7" applyFont="1" applyAlignment="1">
      <alignment horizontal="left"/>
    </xf>
    <xf numFmtId="164" fontId="5" fillId="0" borderId="0" xfId="5" applyFont="1" applyFill="1" applyBorder="1"/>
    <xf numFmtId="164" fontId="6" fillId="0" borderId="2" xfId="5" applyFont="1" applyFill="1" applyBorder="1"/>
    <xf numFmtId="0" fontId="8" fillId="0" borderId="0" xfId="8" applyFont="1"/>
    <xf numFmtId="164" fontId="5" fillId="0" borderId="2" xfId="5" applyFont="1" applyFill="1" applyBorder="1"/>
    <xf numFmtId="164" fontId="6" fillId="0" borderId="0" xfId="5" applyFont="1" applyFill="1" applyBorder="1" applyAlignment="1">
      <alignment horizontal="center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164" fontId="0" fillId="0" borderId="0" xfId="1" applyFont="1" applyFill="1"/>
    <xf numFmtId="165" fontId="2" fillId="0" borderId="0" xfId="7" applyFont="1" applyAlignment="1">
      <alignment horizontal="center"/>
    </xf>
    <xf numFmtId="164" fontId="0" fillId="0" borderId="0" xfId="1" applyFont="1" applyFill="1" applyBorder="1"/>
    <xf numFmtId="164" fontId="2" fillId="2" borderId="0" xfId="1" applyFont="1" applyFill="1" applyBorder="1"/>
    <xf numFmtId="164" fontId="2" fillId="0" borderId="0" xfId="1" applyFont="1" applyFill="1" applyBorder="1"/>
    <xf numFmtId="165" fontId="2" fillId="0" borderId="0" xfId="7" applyFont="1"/>
    <xf numFmtId="164" fontId="4" fillId="0" borderId="1" xfId="1" applyFont="1" applyFill="1" applyBorder="1"/>
    <xf numFmtId="0" fontId="10" fillId="0" borderId="0" xfId="8" applyFont="1"/>
    <xf numFmtId="165" fontId="2" fillId="0" borderId="0" xfId="7" applyFont="1" applyAlignment="1">
      <alignment horizontal="left"/>
    </xf>
    <xf numFmtId="167" fontId="6" fillId="0" borderId="0" xfId="1" applyNumberFormat="1" applyFont="1" applyFill="1" applyBorder="1" applyAlignment="1"/>
    <xf numFmtId="0" fontId="0" fillId="0" borderId="0" xfId="0" applyAlignment="1">
      <alignment horizontal="center"/>
    </xf>
    <xf numFmtId="165" fontId="4" fillId="0" borderId="0" xfId="7" applyFont="1"/>
    <xf numFmtId="164" fontId="6" fillId="0" borderId="0" xfId="1" applyFont="1" applyFill="1" applyBorder="1" applyAlignment="1">
      <alignment horizontal="center"/>
    </xf>
    <xf numFmtId="164" fontId="4" fillId="0" borderId="0" xfId="1" applyFont="1" applyFill="1" applyBorder="1"/>
    <xf numFmtId="165" fontId="5" fillId="0" borderId="0" xfId="6" applyFont="1" applyAlignment="1">
      <alignment horizontal="left"/>
    </xf>
    <xf numFmtId="165" fontId="0" fillId="0" borderId="0" xfId="7" applyFont="1" applyAlignment="1">
      <alignment horizontal="left"/>
    </xf>
    <xf numFmtId="164" fontId="10" fillId="0" borderId="0" xfId="1" applyFont="1" applyFill="1" applyBorder="1" applyAlignment="1">
      <alignment horizontal="center"/>
    </xf>
    <xf numFmtId="164" fontId="10" fillId="0" borderId="0" xfId="1" applyFont="1" applyFill="1" applyBorder="1" applyAlignment="1">
      <alignment horizontal="right"/>
    </xf>
    <xf numFmtId="164" fontId="8" fillId="0" borderId="0" xfId="12" applyFont="1" applyFill="1" applyBorder="1"/>
    <xf numFmtId="164" fontId="10" fillId="0" borderId="0" xfId="12" applyFont="1" applyFill="1" applyBorder="1"/>
    <xf numFmtId="164" fontId="8" fillId="0" borderId="0" xfId="1" applyFont="1" applyFill="1" applyBorder="1"/>
    <xf numFmtId="164" fontId="10" fillId="0" borderId="1" xfId="1" applyFont="1" applyFill="1" applyBorder="1"/>
    <xf numFmtId="164" fontId="10" fillId="0" borderId="1" xfId="12" applyFont="1" applyFill="1" applyBorder="1"/>
    <xf numFmtId="10" fontId="0" fillId="0" borderId="0" xfId="2" applyNumberFormat="1" applyFont="1" applyFill="1"/>
    <xf numFmtId="0" fontId="3" fillId="0" borderId="0" xfId="0" applyFont="1"/>
    <xf numFmtId="10" fontId="3" fillId="0" borderId="0" xfId="2" applyNumberFormat="1" applyFont="1" applyFill="1"/>
    <xf numFmtId="164" fontId="8" fillId="0" borderId="0" xfId="12" applyFont="1" applyFill="1" applyBorder="1" applyAlignment="1">
      <alignment vertical="center"/>
    </xf>
    <xf numFmtId="164" fontId="8" fillId="0" borderId="0" xfId="12" applyFont="1" applyFill="1" applyBorder="1" applyAlignment="1">
      <alignment horizontal="right"/>
    </xf>
    <xf numFmtId="164" fontId="10" fillId="0" borderId="0" xfId="12" applyFont="1" applyFill="1" applyBorder="1" applyAlignment="1">
      <alignment horizontal="right"/>
    </xf>
    <xf numFmtId="10" fontId="8" fillId="0" borderId="0" xfId="12" applyNumberFormat="1" applyFont="1" applyFill="1" applyBorder="1" applyAlignment="1">
      <alignment horizontal="right"/>
    </xf>
    <xf numFmtId="167" fontId="8" fillId="0" borderId="0" xfId="12" applyNumberFormat="1" applyFont="1" applyFill="1" applyBorder="1" applyAlignment="1">
      <alignment horizontal="right"/>
    </xf>
    <xf numFmtId="164" fontId="8" fillId="0" borderId="0" xfId="1" applyFont="1" applyFill="1" applyBorder="1" applyAlignment="1">
      <alignment horizontal="left"/>
    </xf>
    <xf numFmtId="164" fontId="8" fillId="0" borderId="0" xfId="12" applyFont="1" applyFill="1" applyBorder="1" applyAlignment="1">
      <alignment horizontal="center"/>
    </xf>
    <xf numFmtId="164" fontId="8" fillId="0" borderId="0" xfId="1" applyFont="1" applyFill="1" applyBorder="1" applyAlignment="1">
      <alignment vertical="center"/>
    </xf>
    <xf numFmtId="164" fontId="8" fillId="0" borderId="0" xfId="1" applyFont="1" applyFill="1" applyBorder="1" applyAlignment="1">
      <alignment horizontal="center"/>
    </xf>
    <xf numFmtId="164" fontId="10" fillId="0" borderId="1" xfId="12" applyFont="1" applyFill="1" applyBorder="1" applyAlignment="1">
      <alignment horizontal="center"/>
    </xf>
    <xf numFmtId="0" fontId="5" fillId="0" borderId="0" xfId="3" applyFont="1" applyAlignment="1">
      <alignment horizontal="left" vertical="center"/>
    </xf>
    <xf numFmtId="0" fontId="5" fillId="0" borderId="0" xfId="3" applyFont="1" applyAlignment="1">
      <alignment horizontal="center" vertical="center"/>
    </xf>
    <xf numFmtId="0" fontId="2" fillId="0" borderId="0" xfId="3" applyFont="1"/>
    <xf numFmtId="164" fontId="2" fillId="0" borderId="0" xfId="1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10" fontId="2" fillId="0" borderId="0" xfId="2" applyNumberFormat="1" applyFont="1" applyFill="1" applyBorder="1" applyAlignment="1">
      <alignment horizontal="center"/>
    </xf>
    <xf numFmtId="0" fontId="6" fillId="0" borderId="0" xfId="15" applyNumberFormat="1" applyFont="1" applyAlignment="1">
      <alignment horizontal="center" vertical="center"/>
    </xf>
    <xf numFmtId="9" fontId="2" fillId="0" borderId="0" xfId="2" applyFont="1" applyFill="1" applyBorder="1" applyAlignment="1">
      <alignment horizontal="center"/>
    </xf>
    <xf numFmtId="167" fontId="2" fillId="0" borderId="0" xfId="1" applyNumberFormat="1" applyFont="1" applyFill="1" applyBorder="1"/>
    <xf numFmtId="0" fontId="6" fillId="0" borderId="0" xfId="3" applyFont="1" applyAlignment="1">
      <alignment horizontal="left" vertical="center"/>
    </xf>
    <xf numFmtId="167" fontId="4" fillId="0" borderId="1" xfId="1" applyNumberFormat="1" applyFont="1" applyFill="1" applyBorder="1"/>
    <xf numFmtId="164" fontId="6" fillId="0" borderId="0" xfId="1" applyFont="1" applyFill="1" applyBorder="1"/>
    <xf numFmtId="0" fontId="6" fillId="0" borderId="0" xfId="3" applyFont="1" applyAlignment="1">
      <alignment horizontal="center" vertical="center"/>
    </xf>
    <xf numFmtId="164" fontId="2" fillId="0" borderId="0" xfId="3" applyNumberFormat="1" applyFont="1"/>
    <xf numFmtId="0" fontId="2" fillId="0" borderId="0" xfId="16" applyFont="1"/>
    <xf numFmtId="0" fontId="2" fillId="0" borderId="0" xfId="3" applyFont="1" applyAlignment="1">
      <alignment horizontal="center"/>
    </xf>
    <xf numFmtId="0" fontId="5" fillId="0" borderId="0" xfId="15" applyNumberFormat="1" applyFont="1" applyAlignment="1">
      <alignment horizontal="center" vertical="center"/>
    </xf>
    <xf numFmtId="164" fontId="2" fillId="2" borderId="0" xfId="3" applyNumberFormat="1" applyFont="1" applyFill="1"/>
    <xf numFmtId="0" fontId="4" fillId="0" borderId="0" xfId="3" applyFont="1"/>
    <xf numFmtId="0" fontId="4" fillId="0" borderId="0" xfId="3" applyFont="1" applyAlignment="1">
      <alignment horizontal="center"/>
    </xf>
    <xf numFmtId="169" fontId="2" fillId="0" borderId="0" xfId="3" applyNumberFormat="1" applyFont="1"/>
    <xf numFmtId="43" fontId="2" fillId="0" borderId="0" xfId="3" applyNumberFormat="1" applyFont="1"/>
    <xf numFmtId="0" fontId="4" fillId="0" borderId="0" xfId="16" applyFont="1" applyAlignment="1">
      <alignment horizontal="center"/>
    </xf>
    <xf numFmtId="164" fontId="2" fillId="0" borderId="0" xfId="16" applyNumberFormat="1" applyFont="1"/>
    <xf numFmtId="0" fontId="5" fillId="0" borderId="0" xfId="8" applyFont="1" applyAlignment="1">
      <alignment horizontal="left"/>
    </xf>
    <xf numFmtId="17" fontId="5" fillId="0" borderId="0" xfId="8" applyNumberFormat="1" applyFont="1" applyAlignment="1">
      <alignment horizontal="center"/>
    </xf>
    <xf numFmtId="0" fontId="6" fillId="0" borderId="0" xfId="13" applyFont="1" applyAlignment="1">
      <alignment horizontal="left"/>
    </xf>
    <xf numFmtId="167" fontId="0" fillId="0" borderId="0" xfId="1" applyNumberFormat="1" applyFont="1"/>
    <xf numFmtId="0" fontId="6" fillId="0" borderId="0" xfId="17" applyFont="1" applyAlignment="1">
      <alignment horizontal="left"/>
    </xf>
    <xf numFmtId="0" fontId="6" fillId="0" borderId="0" xfId="8" applyFont="1" applyAlignment="1">
      <alignment horizontal="left"/>
    </xf>
    <xf numFmtId="167" fontId="4" fillId="0" borderId="1" xfId="0" applyNumberFormat="1" applyFont="1" applyBorder="1"/>
    <xf numFmtId="0" fontId="0" fillId="0" borderId="0" xfId="0" applyAlignment="1">
      <alignment horizontal="left"/>
    </xf>
    <xf numFmtId="17" fontId="10" fillId="0" borderId="0" xfId="8" applyNumberFormat="1" applyFont="1" applyAlignment="1">
      <alignment horizontal="center" vertical="top"/>
    </xf>
    <xf numFmtId="0" fontId="2" fillId="0" borderId="0" xfId="18" applyFont="1"/>
    <xf numFmtId="0" fontId="4" fillId="0" borderId="0" xfId="18" applyFont="1" applyAlignment="1">
      <alignment horizontal="center"/>
    </xf>
    <xf numFmtId="0" fontId="4" fillId="0" borderId="0" xfId="18" applyFont="1"/>
    <xf numFmtId="0" fontId="4" fillId="0" borderId="5" xfId="18" applyFont="1" applyBorder="1"/>
    <xf numFmtId="170" fontId="4" fillId="0" borderId="0" xfId="18" applyNumberFormat="1" applyFont="1" applyAlignment="1">
      <alignment horizontal="center"/>
    </xf>
    <xf numFmtId="170" fontId="4" fillId="0" borderId="0" xfId="18" applyNumberFormat="1" applyFont="1"/>
    <xf numFmtId="0" fontId="2" fillId="0" borderId="0" xfId="18" applyFont="1" applyAlignment="1">
      <alignment horizontal="left"/>
    </xf>
    <xf numFmtId="164" fontId="2" fillId="0" borderId="0" xfId="19" applyFont="1" applyFill="1" applyBorder="1" applyAlignment="1">
      <alignment horizontal="center"/>
    </xf>
    <xf numFmtId="164" fontId="2" fillId="0" borderId="0" xfId="19" applyFont="1" applyFill="1" applyBorder="1"/>
    <xf numFmtId="164" fontId="2" fillId="0" borderId="0" xfId="18" applyNumberFormat="1" applyFont="1" applyAlignment="1">
      <alignment horizontal="center"/>
    </xf>
    <xf numFmtId="164" fontId="4" fillId="0" borderId="1" xfId="18" applyNumberFormat="1" applyFont="1" applyBorder="1" applyAlignment="1">
      <alignment horizontal="center"/>
    </xf>
    <xf numFmtId="164" fontId="2" fillId="0" borderId="0" xfId="20" applyNumberFormat="1" applyFont="1" applyAlignment="1">
      <alignment horizontal="center"/>
    </xf>
    <xf numFmtId="0" fontId="2" fillId="0" borderId="0" xfId="18" applyFont="1" applyAlignment="1">
      <alignment horizontal="center"/>
    </xf>
    <xf numFmtId="164" fontId="4" fillId="0" borderId="0" xfId="18" applyNumberFormat="1" applyFont="1" applyAlignment="1">
      <alignment horizontal="center"/>
    </xf>
    <xf numFmtId="0" fontId="0" fillId="0" borderId="0" xfId="18" applyFont="1"/>
    <xf numFmtId="164" fontId="4" fillId="0" borderId="1" xfId="19" applyFont="1" applyFill="1" applyBorder="1" applyAlignment="1">
      <alignment horizontal="center"/>
    </xf>
    <xf numFmtId="164" fontId="4" fillId="0" borderId="1" xfId="19" applyFont="1" applyFill="1" applyBorder="1"/>
    <xf numFmtId="164" fontId="2" fillId="0" borderId="0" xfId="18" applyNumberFormat="1" applyFont="1"/>
    <xf numFmtId="164" fontId="2" fillId="0" borderId="0" xfId="1" applyFont="1" applyFill="1" applyAlignment="1">
      <alignment horizontal="center"/>
    </xf>
    <xf numFmtId="164" fontId="2" fillId="0" borderId="0" xfId="1" applyFont="1" applyFill="1"/>
    <xf numFmtId="164" fontId="4" fillId="0" borderId="0" xfId="19" applyFont="1" applyFill="1" applyBorder="1" applyAlignment="1">
      <alignment horizontal="center"/>
    </xf>
    <xf numFmtId="164" fontId="4" fillId="0" borderId="0" xfId="19" applyFont="1" applyFill="1" applyBorder="1"/>
    <xf numFmtId="0" fontId="0" fillId="0" borderId="5" xfId="18" applyFont="1" applyBorder="1"/>
    <xf numFmtId="164" fontId="4" fillId="0" borderId="0" xfId="1" applyFont="1" applyFill="1" applyBorder="1" applyAlignment="1">
      <alignment horizontal="center"/>
    </xf>
    <xf numFmtId="0" fontId="2" fillId="0" borderId="5" xfId="18" applyFont="1" applyBorder="1"/>
    <xf numFmtId="164" fontId="2" fillId="0" borderId="0" xfId="21" applyFont="1" applyFill="1" applyAlignment="1">
      <alignment horizontal="center"/>
    </xf>
    <xf numFmtId="0" fontId="6" fillId="0" borderId="5" xfId="18" applyFont="1" applyBorder="1"/>
    <xf numFmtId="43" fontId="2" fillId="0" borderId="0" xfId="18" applyNumberFormat="1" applyFont="1"/>
    <xf numFmtId="0" fontId="6" fillId="0" borderId="0" xfId="18" applyFont="1"/>
    <xf numFmtId="0" fontId="10" fillId="0" borderId="0" xfId="13" applyFont="1" applyAlignment="1">
      <alignment horizontal="center"/>
    </xf>
    <xf numFmtId="17" fontId="10" fillId="0" borderId="0" xfId="13" applyNumberFormat="1" applyFont="1" applyAlignment="1">
      <alignment horizontal="center"/>
    </xf>
    <xf numFmtId="0" fontId="8" fillId="0" borderId="0" xfId="13" applyFont="1"/>
    <xf numFmtId="0" fontId="10" fillId="0" borderId="0" xfId="13" applyFont="1" applyAlignment="1">
      <alignment horizontal="left"/>
    </xf>
    <xf numFmtId="0" fontId="8" fillId="0" borderId="0" xfId="13" applyFont="1" applyAlignment="1">
      <alignment horizontal="left"/>
    </xf>
    <xf numFmtId="164" fontId="8" fillId="0" borderId="0" xfId="13" applyNumberFormat="1" applyFont="1"/>
    <xf numFmtId="164" fontId="10" fillId="0" borderId="0" xfId="13" applyNumberFormat="1" applyFont="1" applyAlignment="1">
      <alignment horizontal="center"/>
    </xf>
    <xf numFmtId="164" fontId="8" fillId="0" borderId="0" xfId="13" applyNumberFormat="1" applyFont="1" applyAlignment="1">
      <alignment horizontal="left"/>
    </xf>
    <xf numFmtId="164" fontId="10" fillId="0" borderId="0" xfId="13" applyNumberFormat="1" applyFont="1" applyAlignment="1">
      <alignment horizontal="left"/>
    </xf>
    <xf numFmtId="164" fontId="10" fillId="0" borderId="0" xfId="1" applyFont="1" applyBorder="1" applyAlignment="1">
      <alignment horizontal="right"/>
    </xf>
    <xf numFmtId="164" fontId="8" fillId="0" borderId="0" xfId="1" applyFont="1" applyBorder="1" applyAlignment="1">
      <alignment horizontal="right"/>
    </xf>
    <xf numFmtId="0" fontId="8" fillId="0" borderId="0" xfId="13" applyFont="1" applyAlignment="1">
      <alignment horizontal="right"/>
    </xf>
    <xf numFmtId="164" fontId="10" fillId="0" borderId="0" xfId="13" applyNumberFormat="1" applyFont="1" applyAlignment="1">
      <alignment horizontal="right"/>
    </xf>
    <xf numFmtId="0" fontId="10" fillId="0" borderId="0" xfId="13" applyFont="1" applyAlignment="1">
      <alignment horizontal="right"/>
    </xf>
    <xf numFmtId="164" fontId="8" fillId="0" borderId="0" xfId="13" applyNumberFormat="1" applyFont="1" applyAlignment="1">
      <alignment horizontal="right"/>
    </xf>
    <xf numFmtId="164" fontId="4" fillId="0" borderId="0" xfId="18" applyNumberFormat="1" applyFont="1"/>
    <xf numFmtId="0" fontId="8" fillId="0" borderId="0" xfId="0" applyFont="1"/>
    <xf numFmtId="164" fontId="10" fillId="0" borderId="1" xfId="0" applyNumberFormat="1" applyFont="1" applyBorder="1"/>
    <xf numFmtId="0" fontId="10" fillId="0" borderId="0" xfId="0" applyFont="1"/>
    <xf numFmtId="164" fontId="8" fillId="0" borderId="0" xfId="0" applyNumberFormat="1" applyFont="1"/>
    <xf numFmtId="0" fontId="10" fillId="0" borderId="0" xfId="0" applyFont="1" applyAlignment="1">
      <alignment horizontal="right"/>
    </xf>
    <xf numFmtId="164" fontId="12" fillId="0" borderId="0" xfId="1" applyFont="1" applyFill="1" applyBorder="1"/>
    <xf numFmtId="164" fontId="10" fillId="0" borderId="0" xfId="1" applyFont="1" applyFill="1" applyBorder="1"/>
    <xf numFmtId="164" fontId="10" fillId="0" borderId="1" xfId="1" applyFont="1" applyFill="1" applyBorder="1" applyAlignment="1">
      <alignment horizontal="center" vertical="top"/>
    </xf>
    <xf numFmtId="167" fontId="8" fillId="0" borderId="0" xfId="1" applyNumberFormat="1" applyFont="1" applyFill="1" applyBorder="1"/>
    <xf numFmtId="167" fontId="14" fillId="0" borderId="0" xfId="1" applyNumberFormat="1" applyFont="1" applyFill="1" applyBorder="1"/>
    <xf numFmtId="167" fontId="10" fillId="0" borderId="1" xfId="1" applyNumberFormat="1" applyFont="1" applyFill="1" applyBorder="1"/>
    <xf numFmtId="167" fontId="8" fillId="0" borderId="0" xfId="1" applyNumberFormat="1" applyFont="1" applyFill="1" applyBorder="1" applyAlignment="1">
      <alignment horizontal="left"/>
    </xf>
    <xf numFmtId="167" fontId="4" fillId="0" borderId="0" xfId="1" applyNumberFormat="1" applyFont="1"/>
    <xf numFmtId="167" fontId="0" fillId="0" borderId="0" xfId="0" applyNumberFormat="1"/>
    <xf numFmtId="167" fontId="4" fillId="0" borderId="0" xfId="0" applyNumberFormat="1" applyFont="1"/>
    <xf numFmtId="9" fontId="0" fillId="0" borderId="0" xfId="2" applyFont="1"/>
    <xf numFmtId="0" fontId="5" fillId="0" borderId="0" xfId="4" applyFont="1" applyAlignment="1">
      <alignment horizontal="right"/>
    </xf>
    <xf numFmtId="0" fontId="5" fillId="0" borderId="2" xfId="4" applyFont="1" applyBorder="1" applyAlignment="1">
      <alignment horizontal="right"/>
    </xf>
    <xf numFmtId="165" fontId="6" fillId="0" borderId="0" xfId="7" applyFont="1" applyAlignment="1">
      <alignment horizontal="center"/>
    </xf>
    <xf numFmtId="165" fontId="6" fillId="0" borderId="0" xfId="7" applyFont="1"/>
    <xf numFmtId="166" fontId="5" fillId="0" borderId="1" xfId="7" applyNumberFormat="1" applyFont="1" applyBorder="1"/>
    <xf numFmtId="166" fontId="5" fillId="0" borderId="3" xfId="7" applyNumberFormat="1" applyFont="1" applyBorder="1"/>
    <xf numFmtId="165" fontId="6" fillId="0" borderId="0" xfId="7" applyFont="1" applyAlignment="1">
      <alignment horizontal="left"/>
    </xf>
    <xf numFmtId="166" fontId="6" fillId="0" borderId="0" xfId="7" applyNumberFormat="1" applyFont="1"/>
    <xf numFmtId="167" fontId="6" fillId="0" borderId="0" xfId="1" applyNumberFormat="1" applyFont="1" applyFill="1"/>
    <xf numFmtId="0" fontId="5" fillId="0" borderId="0" xfId="27" applyFont="1" applyAlignment="1">
      <alignment horizontal="center" vertical="center"/>
    </xf>
    <xf numFmtId="167" fontId="0" fillId="0" borderId="0" xfId="1" applyNumberFormat="1" applyFont="1" applyFill="1"/>
    <xf numFmtId="0" fontId="6" fillId="0" borderId="0" xfId="0" applyFont="1"/>
    <xf numFmtId="17" fontId="5" fillId="0" borderId="0" xfId="27" applyNumberFormat="1" applyFont="1" applyAlignment="1">
      <alignment horizontal="center" vertical="center"/>
    </xf>
    <xf numFmtId="167" fontId="6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1" applyFont="1" applyFill="1"/>
    <xf numFmtId="167" fontId="5" fillId="0" borderId="1" xfId="1" applyNumberFormat="1" applyFont="1" applyFill="1" applyBorder="1"/>
    <xf numFmtId="0" fontId="5" fillId="0" borderId="0" xfId="28" applyFont="1" applyAlignment="1">
      <alignment horizontal="center" vertical="center"/>
    </xf>
    <xf numFmtId="0" fontId="16" fillId="0" borderId="0" xfId="0" applyFont="1"/>
    <xf numFmtId="0" fontId="10" fillId="0" borderId="0" xfId="24" applyFont="1"/>
    <xf numFmtId="17" fontId="10" fillId="0" borderId="0" xfId="8" applyNumberFormat="1" applyFont="1" applyAlignment="1">
      <alignment horizontal="center"/>
    </xf>
    <xf numFmtId="0" fontId="8" fillId="0" borderId="0" xfId="8" applyFont="1" applyAlignment="1">
      <alignment horizontal="center"/>
    </xf>
    <xf numFmtId="0" fontId="6" fillId="0" borderId="0" xfId="24" applyFont="1"/>
    <xf numFmtId="0" fontId="8" fillId="0" borderId="0" xfId="23" applyFont="1"/>
    <xf numFmtId="167" fontId="8" fillId="0" borderId="0" xfId="8" applyNumberFormat="1" applyFont="1"/>
    <xf numFmtId="164" fontId="8" fillId="0" borderId="0" xfId="8" applyNumberFormat="1" applyFont="1"/>
    <xf numFmtId="0" fontId="10" fillId="0" borderId="0" xfId="8" applyFont="1" applyAlignment="1">
      <alignment horizontal="center"/>
    </xf>
    <xf numFmtId="17" fontId="5" fillId="0" borderId="0" xfId="16" applyNumberFormat="1" applyFont="1" applyAlignment="1">
      <alignment horizontal="center"/>
    </xf>
    <xf numFmtId="0" fontId="14" fillId="0" borderId="0" xfId="8" applyFont="1"/>
    <xf numFmtId="0" fontId="10" fillId="0" borderId="0" xfId="3" applyFont="1" applyAlignment="1">
      <alignment horizontal="center" vertical="center"/>
    </xf>
    <xf numFmtId="164" fontId="8" fillId="0" borderId="0" xfId="1" applyFont="1" applyFill="1" applyBorder="1" applyAlignment="1">
      <alignment horizontal="right"/>
    </xf>
    <xf numFmtId="17" fontId="10" fillId="0" borderId="0" xfId="0" applyNumberFormat="1" applyFont="1" applyAlignment="1">
      <alignment horizontal="center"/>
    </xf>
    <xf numFmtId="0" fontId="10" fillId="0" borderId="0" xfId="22" applyFont="1"/>
    <xf numFmtId="0" fontId="10" fillId="0" borderId="0" xfId="22" applyFont="1" applyAlignment="1">
      <alignment horizontal="center"/>
    </xf>
    <xf numFmtId="17" fontId="10" fillId="0" borderId="0" xfId="22" applyNumberFormat="1" applyFont="1" applyAlignment="1">
      <alignment horizontal="center"/>
    </xf>
    <xf numFmtId="0" fontId="12" fillId="0" borderId="0" xfId="22" applyFont="1"/>
    <xf numFmtId="0" fontId="12" fillId="0" borderId="0" xfId="22" applyFont="1" applyAlignment="1">
      <alignment horizontal="center"/>
    </xf>
    <xf numFmtId="0" fontId="8" fillId="0" borderId="0" xfId="22" applyFont="1"/>
    <xf numFmtId="0" fontId="13" fillId="0" borderId="0" xfId="22" applyFont="1" applyAlignment="1">
      <alignment horizontal="center"/>
    </xf>
    <xf numFmtId="164" fontId="2" fillId="0" borderId="0" xfId="1" applyFont="1"/>
    <xf numFmtId="43" fontId="0" fillId="0" borderId="0" xfId="0" applyNumberFormat="1"/>
    <xf numFmtId="164" fontId="10" fillId="0" borderId="0" xfId="12" applyFont="1" applyFill="1" applyBorder="1" applyAlignment="1">
      <alignment vertical="center"/>
    </xf>
    <xf numFmtId="167" fontId="4" fillId="0" borderId="0" xfId="1" applyNumberFormat="1" applyFont="1" applyFill="1" applyAlignment="1">
      <alignment horizontal="center"/>
    </xf>
    <xf numFmtId="167" fontId="5" fillId="0" borderId="0" xfId="28" applyNumberFormat="1" applyFont="1" applyAlignment="1">
      <alignment horizontal="center" vertical="center"/>
    </xf>
    <xf numFmtId="0" fontId="5" fillId="0" borderId="0" xfId="28" applyFont="1" applyAlignment="1">
      <alignment vertical="center"/>
    </xf>
    <xf numFmtId="167" fontId="4" fillId="0" borderId="0" xfId="1" applyNumberFormat="1" applyFont="1" applyFill="1" applyBorder="1"/>
    <xf numFmtId="167" fontId="5" fillId="0" borderId="0" xfId="1" applyNumberFormat="1" applyFont="1" applyFill="1" applyAlignment="1">
      <alignment horizontal="center"/>
    </xf>
    <xf numFmtId="167" fontId="5" fillId="0" borderId="0" xfId="1" applyNumberFormat="1" applyFont="1" applyFill="1" applyBorder="1"/>
    <xf numFmtId="168" fontId="6" fillId="0" borderId="0" xfId="1" applyNumberFormat="1" applyFont="1" applyFill="1"/>
    <xf numFmtId="171" fontId="6" fillId="0" borderId="0" xfId="1" applyNumberFormat="1" applyFont="1" applyFill="1"/>
    <xf numFmtId="0" fontId="2" fillId="0" borderId="0" xfId="29" applyFont="1"/>
    <xf numFmtId="0" fontId="2" fillId="0" borderId="2" xfId="29" applyFont="1" applyBorder="1"/>
    <xf numFmtId="167" fontId="2" fillId="0" borderId="0" xfId="1" applyNumberFormat="1" applyFont="1" applyBorder="1"/>
    <xf numFmtId="167" fontId="2" fillId="0" borderId="2" xfId="1" applyNumberFormat="1" applyFont="1" applyBorder="1"/>
    <xf numFmtId="164" fontId="2" fillId="0" borderId="0" xfId="1" applyFont="1" applyBorder="1"/>
    <xf numFmtId="0" fontId="2" fillId="0" borderId="0" xfId="29" applyFont="1" applyAlignment="1">
      <alignment horizontal="center"/>
    </xf>
    <xf numFmtId="170" fontId="4" fillId="0" borderId="0" xfId="29" applyNumberFormat="1" applyFont="1" applyAlignment="1">
      <alignment horizontal="center"/>
    </xf>
    <xf numFmtId="170" fontId="4" fillId="0" borderId="2" xfId="29" applyNumberFormat="1" applyFont="1" applyBorder="1" applyAlignment="1">
      <alignment horizontal="center"/>
    </xf>
    <xf numFmtId="0" fontId="4" fillId="0" borderId="0" xfId="29" applyFont="1" applyAlignment="1">
      <alignment horizontal="center"/>
    </xf>
    <xf numFmtId="167" fontId="2" fillId="0" borderId="2" xfId="1" applyNumberFormat="1" applyFont="1" applyFill="1" applyBorder="1"/>
    <xf numFmtId="167" fontId="2" fillId="0" borderId="0" xfId="29" applyNumberFormat="1" applyFont="1"/>
    <xf numFmtId="2" fontId="2" fillId="0" borderId="0" xfId="29" applyNumberFormat="1" applyFont="1"/>
    <xf numFmtId="170" fontId="4" fillId="0" borderId="0" xfId="29" applyNumberFormat="1" applyFont="1"/>
    <xf numFmtId="170" fontId="4" fillId="0" borderId="2" xfId="29" applyNumberFormat="1" applyFont="1" applyBorder="1"/>
    <xf numFmtId="0" fontId="4" fillId="0" borderId="0" xfId="29" applyFont="1"/>
    <xf numFmtId="167" fontId="0" fillId="0" borderId="0" xfId="1" applyNumberFormat="1" applyFont="1" applyBorder="1"/>
    <xf numFmtId="43" fontId="8" fillId="0" borderId="0" xfId="13" applyNumberFormat="1" applyFont="1" applyAlignment="1">
      <alignment horizontal="left"/>
    </xf>
    <xf numFmtId="43" fontId="8" fillId="0" borderId="0" xfId="13" applyNumberFormat="1" applyFont="1"/>
    <xf numFmtId="164" fontId="4" fillId="0" borderId="0" xfId="0" applyNumberFormat="1" applyFont="1"/>
    <xf numFmtId="2" fontId="8" fillId="0" borderId="0" xfId="13" applyNumberFormat="1" applyFont="1"/>
    <xf numFmtId="164" fontId="4" fillId="0" borderId="1" xfId="1" applyFont="1" applyBorder="1"/>
    <xf numFmtId="164" fontId="0" fillId="0" borderId="0" xfId="1" applyFont="1" applyBorder="1"/>
    <xf numFmtId="164" fontId="4" fillId="0" borderId="0" xfId="1" applyFont="1" applyBorder="1"/>
    <xf numFmtId="164" fontId="8" fillId="0" borderId="0" xfId="1" applyFont="1" applyFill="1"/>
    <xf numFmtId="169" fontId="6" fillId="0" borderId="0" xfId="15" applyNumberFormat="1" applyFont="1" applyAlignment="1">
      <alignment horizontal="center" vertical="center"/>
    </xf>
    <xf numFmtId="0" fontId="6" fillId="0" borderId="0" xfId="16" applyFont="1" applyAlignment="1">
      <alignment horizontal="left" vertical="center"/>
    </xf>
    <xf numFmtId="0" fontId="0" fillId="0" borderId="0" xfId="16" applyFont="1" applyAlignment="1">
      <alignment horizontal="center"/>
    </xf>
    <xf numFmtId="43" fontId="2" fillId="0" borderId="0" xfId="16" applyNumberFormat="1" applyFont="1"/>
    <xf numFmtId="43" fontId="0" fillId="0" borderId="0" xfId="16" applyNumberFormat="1" applyFont="1"/>
    <xf numFmtId="0" fontId="0" fillId="0" borderId="0" xfId="3" applyFont="1"/>
    <xf numFmtId="0" fontId="10" fillId="0" borderId="0" xfId="14" applyFont="1" applyAlignment="1">
      <alignment horizontal="left"/>
    </xf>
    <xf numFmtId="0" fontId="8" fillId="0" borderId="0" xfId="0" applyFont="1" applyAlignment="1">
      <alignment horizontal="center"/>
    </xf>
    <xf numFmtId="164" fontId="8" fillId="0" borderId="0" xfId="1" applyFont="1" applyFill="1" applyAlignment="1">
      <alignment horizontal="center"/>
    </xf>
    <xf numFmtId="0" fontId="8" fillId="0" borderId="0" xfId="14" applyFont="1"/>
    <xf numFmtId="0" fontId="10" fillId="0" borderId="0" xfId="14" applyFont="1" applyAlignment="1">
      <alignment horizontal="center"/>
    </xf>
    <xf numFmtId="17" fontId="10" fillId="0" borderId="0" xfId="14" applyNumberFormat="1" applyFont="1" applyAlignment="1">
      <alignment horizontal="center"/>
    </xf>
    <xf numFmtId="0" fontId="8" fillId="0" borderId="0" xfId="14" applyFont="1" applyAlignment="1">
      <alignment horizontal="left"/>
    </xf>
    <xf numFmtId="0" fontId="8" fillId="0" borderId="0" xfId="14" applyFont="1" applyAlignment="1">
      <alignment horizontal="center"/>
    </xf>
    <xf numFmtId="164" fontId="8" fillId="0" borderId="0" xfId="14" applyNumberFormat="1" applyFont="1" applyAlignment="1">
      <alignment horizontal="center"/>
    </xf>
    <xf numFmtId="164" fontId="10" fillId="0" borderId="1" xfId="14" applyNumberFormat="1" applyFont="1" applyBorder="1" applyAlignment="1">
      <alignment horizontal="center"/>
    </xf>
    <xf numFmtId="164" fontId="10" fillId="0" borderId="0" xfId="14" applyNumberFormat="1" applyFont="1" applyAlignment="1">
      <alignment horizontal="center"/>
    </xf>
    <xf numFmtId="164" fontId="8" fillId="0" borderId="0" xfId="14" applyNumberFormat="1" applyFont="1"/>
    <xf numFmtId="168" fontId="10" fillId="0" borderId="0" xfId="8" applyNumberFormat="1" applyFont="1" applyAlignment="1">
      <alignment horizontal="center"/>
    </xf>
    <xf numFmtId="165" fontId="10" fillId="0" borderId="0" xfId="11" applyNumberFormat="1" applyFont="1" applyAlignment="1">
      <alignment horizontal="center"/>
    </xf>
    <xf numFmtId="164" fontId="10" fillId="0" borderId="1" xfId="8" applyNumberFormat="1" applyFont="1" applyBorder="1"/>
    <xf numFmtId="164" fontId="10" fillId="0" borderId="0" xfId="8" applyNumberFormat="1" applyFont="1"/>
    <xf numFmtId="0" fontId="0" fillId="0" borderId="0" xfId="0" quotePrefix="1"/>
    <xf numFmtId="0" fontId="2" fillId="0" borderId="0" xfId="0" applyFont="1"/>
    <xf numFmtId="0" fontId="11" fillId="0" borderId="4" xfId="0" applyFont="1" applyBorder="1" applyAlignment="1">
      <alignment horizontal="center" vertical="center" wrapText="1" readingOrder="1"/>
    </xf>
    <xf numFmtId="168" fontId="2" fillId="0" borderId="0" xfId="1" applyNumberFormat="1" applyFont="1" applyFill="1" applyBorder="1"/>
    <xf numFmtId="172" fontId="0" fillId="0" borderId="0" xfId="1" applyNumberFormat="1" applyFont="1"/>
    <xf numFmtId="172" fontId="0" fillId="0" borderId="0" xfId="0" applyNumberFormat="1"/>
    <xf numFmtId="167" fontId="19" fillId="0" borderId="0" xfId="0" applyNumberFormat="1" applyFont="1"/>
    <xf numFmtId="0" fontId="4" fillId="0" borderId="0" xfId="0" applyFont="1" applyAlignment="1">
      <alignment vertical="top" wrapText="1"/>
    </xf>
    <xf numFmtId="0" fontId="4" fillId="0" borderId="0" xfId="0" quotePrefix="1" applyFont="1" applyAlignment="1">
      <alignment vertical="top" wrapText="1"/>
    </xf>
    <xf numFmtId="9" fontId="8" fillId="0" borderId="0" xfId="2" applyFont="1"/>
    <xf numFmtId="9" fontId="10" fillId="0" borderId="0" xfId="2" applyFont="1"/>
    <xf numFmtId="43" fontId="0" fillId="2" borderId="0" xfId="0" applyNumberFormat="1" applyFill="1"/>
    <xf numFmtId="164" fontId="5" fillId="0" borderId="0" xfId="5" applyFont="1" applyFill="1" applyAlignment="1">
      <alignment horizontal="center"/>
    </xf>
  </cellXfs>
  <cellStyles count="30">
    <cellStyle name="Comma" xfId="1" builtinId="3"/>
    <cellStyle name="Comma 100 2" xfId="10" xr:uid="{00000000-0005-0000-0000-000001000000}"/>
    <cellStyle name="Comma 11 5" xfId="26" xr:uid="{00000000-0005-0000-0000-000002000000}"/>
    <cellStyle name="Comma 2 3" xfId="12" xr:uid="{00000000-0005-0000-0000-000003000000}"/>
    <cellStyle name="Comma 3 2 4" xfId="19" xr:uid="{00000000-0005-0000-0000-000004000000}"/>
    <cellStyle name="Comma 4 3" xfId="21" xr:uid="{00000000-0005-0000-0000-000005000000}"/>
    <cellStyle name="Comma 67" xfId="5" xr:uid="{00000000-0005-0000-0000-000006000000}"/>
    <cellStyle name="Normal" xfId="0" builtinId="0"/>
    <cellStyle name="Normal 10 4 2" xfId="9" xr:uid="{00000000-0005-0000-0000-000008000000}"/>
    <cellStyle name="Normal 11" xfId="17" xr:uid="{00000000-0005-0000-0000-000009000000}"/>
    <cellStyle name="Normal 2 10" xfId="13" xr:uid="{00000000-0005-0000-0000-00000A000000}"/>
    <cellStyle name="Normal 2 3 2 2 4" xfId="25" xr:uid="{00000000-0005-0000-0000-00000B000000}"/>
    <cellStyle name="Normal 2 4 2 3 3" xfId="11" xr:uid="{00000000-0005-0000-0000-00000C000000}"/>
    <cellStyle name="Normal 2 4 4" xfId="15" xr:uid="{00000000-0005-0000-0000-00000D000000}"/>
    <cellStyle name="Normal 2 8 2" xfId="7" xr:uid="{00000000-0005-0000-0000-00000E000000}"/>
    <cellStyle name="Normal 3 2" xfId="8" xr:uid="{00000000-0005-0000-0000-00000F000000}"/>
    <cellStyle name="Normal 3 4" xfId="6" xr:uid="{00000000-0005-0000-0000-000010000000}"/>
    <cellStyle name="Normal 4 2 2 3" xfId="23" xr:uid="{00000000-0005-0000-0000-000011000000}"/>
    <cellStyle name="Normal 4 2 2 5" xfId="18" xr:uid="{00000000-0005-0000-0000-000012000000}"/>
    <cellStyle name="Normal 4 2 2 5 2" xfId="20" xr:uid="{00000000-0005-0000-0000-000013000000}"/>
    <cellStyle name="Normal 5 2 2" xfId="27" xr:uid="{00000000-0005-0000-0000-000014000000}"/>
    <cellStyle name="Normal 6 2 3" xfId="3" xr:uid="{00000000-0005-0000-0000-000015000000}"/>
    <cellStyle name="Normal 6 2 3 2" xfId="16" xr:uid="{00000000-0005-0000-0000-000016000000}"/>
    <cellStyle name="Normal 6 3 4" xfId="14" xr:uid="{00000000-0005-0000-0000-000017000000}"/>
    <cellStyle name="Normal 7 4" xfId="22" xr:uid="{00000000-0005-0000-0000-000018000000}"/>
    <cellStyle name="Normal 74" xfId="4" xr:uid="{00000000-0005-0000-0000-000019000000}"/>
    <cellStyle name="Normal 82" xfId="29" xr:uid="{BB83E513-1761-41A1-A107-84F004A18BCD}"/>
    <cellStyle name="Normal 9" xfId="24" xr:uid="{00000000-0005-0000-0000-00001A000000}"/>
    <cellStyle name="Normal_1000mm dia_30092011_JNNURM (1A)" xfId="28" xr:uid="{00000000-0005-0000-0000-00001B000000}"/>
    <cellStyle name="Per cent" xfId="2" builtinId="5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externalLink" Target="externalLinks/externalLink4.xml"/><Relationship Id="rId47" Type="http://schemas.openxmlformats.org/officeDocument/2006/relationships/externalLink" Target="externalLinks/externalLink9.xml"/><Relationship Id="rId63" Type="http://schemas.openxmlformats.org/officeDocument/2006/relationships/externalLink" Target="externalLinks/externalLink25.xml"/><Relationship Id="rId68" Type="http://schemas.openxmlformats.org/officeDocument/2006/relationships/externalLink" Target="externalLinks/externalLink30.xml"/><Relationship Id="rId84" Type="http://schemas.openxmlformats.org/officeDocument/2006/relationships/theme" Target="theme/theme1.xml"/><Relationship Id="rId16" Type="http://schemas.openxmlformats.org/officeDocument/2006/relationships/worksheet" Target="worksheets/sheet16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externalLink" Target="externalLinks/externalLink15.xml"/><Relationship Id="rId58" Type="http://schemas.openxmlformats.org/officeDocument/2006/relationships/externalLink" Target="externalLinks/externalLink20.xml"/><Relationship Id="rId74" Type="http://schemas.openxmlformats.org/officeDocument/2006/relationships/externalLink" Target="externalLinks/externalLink36.xml"/><Relationship Id="rId79" Type="http://schemas.openxmlformats.org/officeDocument/2006/relationships/externalLink" Target="externalLinks/externalLink4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5.xml"/><Relationship Id="rId48" Type="http://schemas.openxmlformats.org/officeDocument/2006/relationships/externalLink" Target="externalLinks/externalLink10.xml"/><Relationship Id="rId56" Type="http://schemas.openxmlformats.org/officeDocument/2006/relationships/externalLink" Target="externalLinks/externalLink18.xml"/><Relationship Id="rId64" Type="http://schemas.openxmlformats.org/officeDocument/2006/relationships/externalLink" Target="externalLinks/externalLink26.xml"/><Relationship Id="rId69" Type="http://schemas.openxmlformats.org/officeDocument/2006/relationships/externalLink" Target="externalLinks/externalLink31.xml"/><Relationship Id="rId77" Type="http://schemas.openxmlformats.org/officeDocument/2006/relationships/externalLink" Target="externalLinks/externalLink39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13.xml"/><Relationship Id="rId72" Type="http://schemas.openxmlformats.org/officeDocument/2006/relationships/externalLink" Target="externalLinks/externalLink34.xml"/><Relationship Id="rId80" Type="http://schemas.openxmlformats.org/officeDocument/2006/relationships/externalLink" Target="externalLinks/externalLink42.xml"/><Relationship Id="rId85" Type="http://schemas.openxmlformats.org/officeDocument/2006/relationships/styles" Target="style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8.xml"/><Relationship Id="rId59" Type="http://schemas.openxmlformats.org/officeDocument/2006/relationships/externalLink" Target="externalLinks/externalLink21.xml"/><Relationship Id="rId67" Type="http://schemas.openxmlformats.org/officeDocument/2006/relationships/externalLink" Target="externalLinks/externalLink29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3.xml"/><Relationship Id="rId54" Type="http://schemas.openxmlformats.org/officeDocument/2006/relationships/externalLink" Target="externalLinks/externalLink16.xml"/><Relationship Id="rId62" Type="http://schemas.openxmlformats.org/officeDocument/2006/relationships/externalLink" Target="externalLinks/externalLink24.xml"/><Relationship Id="rId70" Type="http://schemas.openxmlformats.org/officeDocument/2006/relationships/externalLink" Target="externalLinks/externalLink32.xml"/><Relationship Id="rId75" Type="http://schemas.openxmlformats.org/officeDocument/2006/relationships/externalLink" Target="externalLinks/externalLink37.xml"/><Relationship Id="rId83" Type="http://schemas.openxmlformats.org/officeDocument/2006/relationships/externalLink" Target="externalLinks/externalLink4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11.xml"/><Relationship Id="rId57" Type="http://schemas.openxmlformats.org/officeDocument/2006/relationships/externalLink" Target="externalLinks/externalLink19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6.xml"/><Relationship Id="rId52" Type="http://schemas.openxmlformats.org/officeDocument/2006/relationships/externalLink" Target="externalLinks/externalLink14.xml"/><Relationship Id="rId60" Type="http://schemas.openxmlformats.org/officeDocument/2006/relationships/externalLink" Target="externalLinks/externalLink22.xml"/><Relationship Id="rId65" Type="http://schemas.openxmlformats.org/officeDocument/2006/relationships/externalLink" Target="externalLinks/externalLink27.xml"/><Relationship Id="rId73" Type="http://schemas.openxmlformats.org/officeDocument/2006/relationships/externalLink" Target="externalLinks/externalLink35.xml"/><Relationship Id="rId78" Type="http://schemas.openxmlformats.org/officeDocument/2006/relationships/externalLink" Target="externalLinks/externalLink40.xml"/><Relationship Id="rId81" Type="http://schemas.openxmlformats.org/officeDocument/2006/relationships/externalLink" Target="externalLinks/externalLink43.xml"/><Relationship Id="rId86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externalLink" Target="externalLinks/externalLink1.xml"/><Relationship Id="rId34" Type="http://schemas.openxmlformats.org/officeDocument/2006/relationships/worksheet" Target="worksheets/sheet34.xml"/><Relationship Id="rId50" Type="http://schemas.openxmlformats.org/officeDocument/2006/relationships/externalLink" Target="externalLinks/externalLink12.xml"/><Relationship Id="rId55" Type="http://schemas.openxmlformats.org/officeDocument/2006/relationships/externalLink" Target="externalLinks/externalLink17.xml"/><Relationship Id="rId76" Type="http://schemas.openxmlformats.org/officeDocument/2006/relationships/externalLink" Target="externalLinks/externalLink38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33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externalLink" Target="externalLinks/externalLink2.xml"/><Relationship Id="rId45" Type="http://schemas.openxmlformats.org/officeDocument/2006/relationships/externalLink" Target="externalLinks/externalLink7.xml"/><Relationship Id="rId66" Type="http://schemas.openxmlformats.org/officeDocument/2006/relationships/externalLink" Target="externalLinks/externalLink28.xml"/><Relationship Id="rId87" Type="http://schemas.openxmlformats.org/officeDocument/2006/relationships/calcChain" Target="calcChain.xml"/><Relationship Id="rId61" Type="http://schemas.openxmlformats.org/officeDocument/2006/relationships/externalLink" Target="externalLinks/externalLink23.xml"/><Relationship Id="rId82" Type="http://schemas.openxmlformats.org/officeDocument/2006/relationships/externalLink" Target="externalLinks/externalLink44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SBAST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pin/Desktop/trial%20balance%20monthly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Book1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hul/AppData/Local/Microsoft/Windows/Temporary%20Internet%20Files/Content.Outlook/OHV1Z9P8/Doc-intro-DKI%20(1)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Specific%20focus-Turnover%20and%20margin%20analyses_Dez.09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microsoft.com/office/2006/relationships/xlExternalLinkPath/xlPathMissing" Target="Synth&#232;se%20Europe%202008.1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2001024A_Kreisliste-AU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microsoft.com/office/2006/relationships/xlExternalLinkPath/xlPathMissing" Target="Slides%20Croissanc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microsoft.com/office/2006/relationships/xlExternalLinkPath/xlPathMissing" Target="Continental%20Europe%200410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hul/AppData/Local/Microsoft/Windows/Temporary%20Internet%20Files/Content.Outlook/OHV1Z9P8/LondonOilCommentary-XP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Controle%20Gestion%20Bridges%20PAO%20CAFop%20BL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BVAG-AVHGB-BAS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lanz%20BS%20Energy%20FC%201%202009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fa%20Langfristbetrachtung%20IFRS%20FC1_neu%20v%2013%2003%2009_mit%20Erg&#228;nzungen%20%20FRB%20v%2028%2007%2009%20mit%20Aufwertungskorrektur%202010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PathMissing" Target="Specific%20focus-Turnover%20and%20margin%20analyses_Dezember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BENSUR\HI-OF\OFERTA\EDAR\SUECA\PIEZSU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_puneet\AppData\Local\Microsoft\Windows\Temporary%20Internet%20Files\Content.Outlook\C9JRYK3V\PIEZSU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HI-OF\OFERTA\EDAR\NOVELDA\NOVELDA1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_puneet\AppData\Local\Microsoft\Windows\Temporary%20Internet%20Files\Content.Outlook\C9JRYK3V\NOVELDA1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hul/AppData/Local/Microsoft/Windows/Temporary%20Internet%20Files/Content.Outlook/OHV1Z9P8/LOC_20061019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nairu/Local%20Settings/Temporary%20Internet%20Files/OLK6E/IPU%20Mundra%20MIS%20Aug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hul/AppData/Local/Microsoft/Windows/Temporary%20Internet%20Files/Content.Outlook/OHV1Z9P8/CD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bilan%20V25-01-08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microsoft.com/office/2006/relationships/xlExternalLinkPath/xlPathMissing" Target="Budget%20Template%20File%20Dalkia%20Canada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CA2004E2_V2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DATEN01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zimbra.free.fr/service/home/~/VTest%20Maquette%20de%20saisie%20DALKIA%20(yc%20N&amp;N+1)%20-%20PBZ.xls?auth=co&amp;loc=fr&amp;id=24804&amp;part=2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microsoft.com/office/2006/relationships/xlExternalLinkPath/xlPathMissing" Target="TX%20G&#233;n&#233;raux%20par%20UGT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nancials%20Nangloi%20Water%20Services%20Pvt%20Ltd%20FY%202012-13%20Version%202.xlsx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microsoft.com/office/2006/relationships/xlExternalLinkPath/xlPathMissing" Target="PA%20RH%2006042011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/NWS_TECH/6_DESIGN/POP/IMP%20WARD%20WISE%20POP%20WORK/Ward%20Wise%20Population%20v07%20for%20stup%20report.xlsx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R_Comex_Groupe%20EN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microsoft.com/office/2006/relationships/xlExternalLinkPath/xlPathMissing" Target="Etape%203%20CA%20v1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Nikhil/ACCOUNTS/Accounts%202004-05/Accounts%2004-05/Final%20Financial%20Statement%2004%2005/Signed%20FY%202004-05/Linked%20Financial%20%20Statement%2004-05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_rajnish/Downloads/150618_All%20Payables.xlsx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microsoft.com/office/2006/relationships/xlExternalLinkPath/xlPathMissing" Target="EAU%20DIVISION%20-%20BRIDGE%20Q4%202012%20-%202013_01_17%20FINAL%20apr&#232;s%20CMEO%20Hellebore.xlsx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isk%20F1-2013_250313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microsoft.com/office/2006/relationships/xlExternalLinkPath/xlPathMissing" Target="IND+150817+Efficiency%20Plan%202016-2018%204R%20.xlsx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microsoft.com/office/2006/relationships/xlExternalLinkPath/xlPathMissing" Target="OCF%20Bridge%20New%20Framework%202013%20for%20BU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PLT%20par%20UO%20consolid&#233;%20v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Nikhil\ACCOUNTS\Accounts%202004-05\Accounts%2004-05\Final%20Financial%20Statement%2004%2005\Signed%20FY%202004-05\Linked%20Financial%20%20Statement%2004-05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_puneet/AppData/Local/Microsoft/Windows/Temporary%20Internet%20Files/Content.Outlook/C9JRYK3V/BVAG-PA-ASSET-M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HI-OF\OFERTA\EDAR\VALLADO\CFVALLA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_puneet\AppData\Local\Microsoft\Windows\Temporary%20Internet%20Files\Content.Outlook\C9JRYK3V\CFVALLA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ABENSUR\HI-OF\OFERTA\EDAR\BARCARRO\MEMORIA\CALCBAR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EGADA"/>
      <sheetName val="DESBASTE"/>
      <sheetName val="DESBAST"/>
      <sheetName val="Sheet1"/>
      <sheetName val="Labour"/>
      <sheetName val="Plant &amp;  Machinery"/>
      <sheetName val="Material"/>
      <sheetName val="water prop."/>
      <sheetName val="Sheet11"/>
      <sheetName val="int-Dia-pvc"/>
      <sheetName val="sh-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g 03"/>
      <sheetName val="Sep 03"/>
      <sheetName val="Monthly P&amp;L"/>
      <sheetName val="July 03"/>
      <sheetName val="Oct 03"/>
      <sheetName val="Nov 03"/>
      <sheetName val="C.S. FTTC"/>
    </sheetNames>
    <sheetDataSet>
      <sheetData sheetId="0">
        <row r="131">
          <cell r="A131" t="str">
            <v>40000</v>
          </cell>
          <cell r="B131" t="str">
            <v>Sales</v>
          </cell>
          <cell r="C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A132" t="str">
            <v>40000-8100</v>
          </cell>
          <cell r="B132" t="str">
            <v>Sales - Primary Pipes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40000-8200</v>
          </cell>
          <cell r="B133" t="str">
            <v>Revenue - Stocking charges</v>
          </cell>
          <cell r="D133">
            <v>16557.18</v>
          </cell>
          <cell r="E133">
            <v>0</v>
          </cell>
          <cell r="F133">
            <v>16557.18</v>
          </cell>
          <cell r="G133">
            <v>0</v>
          </cell>
          <cell r="H133">
            <v>0</v>
          </cell>
        </row>
        <row r="134">
          <cell r="A134" t="str">
            <v>40000-8300</v>
          </cell>
          <cell r="B134" t="str">
            <v>Sales - Scrap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A135" t="str">
            <v>40000-8400</v>
          </cell>
          <cell r="B135" t="str">
            <v>Sales - Used Oil</v>
          </cell>
          <cell r="C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</row>
        <row r="136">
          <cell r="A136" t="str">
            <v>40000-8500</v>
          </cell>
          <cell r="B136" t="str">
            <v>Sales - Conversion</v>
          </cell>
          <cell r="D136">
            <v>1256724.6499999999</v>
          </cell>
          <cell r="E136">
            <v>0</v>
          </cell>
          <cell r="F136">
            <v>937305.58</v>
          </cell>
          <cell r="G136">
            <v>0</v>
          </cell>
          <cell r="H136">
            <v>319419.06999999995</v>
          </cell>
        </row>
        <row r="137">
          <cell r="A137" t="str">
            <v>40100</v>
          </cell>
          <cell r="B137" t="str">
            <v>Sales Returns &amp; Allowances</v>
          </cell>
          <cell r="C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A138" t="str">
            <v>40150</v>
          </cell>
          <cell r="B138" t="str">
            <v>Sales Discounts</v>
          </cell>
          <cell r="C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40170</v>
          </cell>
          <cell r="B139" t="str">
            <v>Sales Commissions - USS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A140" t="str">
            <v>40180</v>
          </cell>
          <cell r="B140" t="str">
            <v>Sales Commissions - Other</v>
          </cell>
          <cell r="C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40200</v>
          </cell>
          <cell r="B141" t="str">
            <v>Delivery Revenue</v>
          </cell>
          <cell r="C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A142" t="str">
            <v>40205</v>
          </cell>
          <cell r="B142" t="str">
            <v>Income - Change in Dep. Method</v>
          </cell>
          <cell r="C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A143" t="str">
            <v>40206</v>
          </cell>
          <cell r="B143" t="str">
            <v>Gain/Loss on Disposal of Asset</v>
          </cell>
          <cell r="C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A144" t="str">
            <v>40210</v>
          </cell>
          <cell r="B144" t="str">
            <v>Income-Forgiveness of Interest</v>
          </cell>
          <cell r="C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40220</v>
          </cell>
          <cell r="B145" t="str">
            <v>Interest Income</v>
          </cell>
          <cell r="C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40230</v>
          </cell>
          <cell r="B146" t="str">
            <v>Misc. Income</v>
          </cell>
          <cell r="D146">
            <v>1510</v>
          </cell>
          <cell r="E146">
            <v>0</v>
          </cell>
          <cell r="F146">
            <v>0</v>
          </cell>
          <cell r="G146">
            <v>0</v>
          </cell>
          <cell r="H146">
            <v>1510</v>
          </cell>
        </row>
        <row r="147">
          <cell r="A147" t="str">
            <v>40240</v>
          </cell>
          <cell r="B147" t="str">
            <v>Claims on Plates</v>
          </cell>
          <cell r="C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40250</v>
          </cell>
          <cell r="B148" t="str">
            <v>Income/Loss from CR SAW Invsmt</v>
          </cell>
          <cell r="C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A149" t="str">
            <v>40260</v>
          </cell>
          <cell r="B149" t="str">
            <v>Income/Loss from USD Invsmt</v>
          </cell>
          <cell r="C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40270</v>
          </cell>
          <cell r="B150" t="str">
            <v>Extraordinary Gain-Insrnc Clm</v>
          </cell>
          <cell r="C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50000-1030</v>
          </cell>
          <cell r="B151" t="str">
            <v>U-Press Cylinder Repairs</v>
          </cell>
          <cell r="C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A152" t="str">
            <v>50109-1000</v>
          </cell>
          <cell r="B152" t="str">
            <v>Oils &amp; Lubs. PP/PPEP</v>
          </cell>
          <cell r="C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50115-1000</v>
          </cell>
          <cell r="B153" t="str">
            <v>Hardware PP/PPEP</v>
          </cell>
          <cell r="C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50117-1000</v>
          </cell>
          <cell r="B154" t="str">
            <v>Electrical/Elect. item PP/PPEP</v>
          </cell>
          <cell r="C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</row>
        <row r="155">
          <cell r="A155" t="str">
            <v>50119-1000</v>
          </cell>
          <cell r="B155" t="str">
            <v>Tools PP/PPEP</v>
          </cell>
          <cell r="C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50121-1000</v>
          </cell>
          <cell r="B156" t="str">
            <v>Rep. &amp; Maint. PP/PPEP</v>
          </cell>
          <cell r="C156">
            <v>7600</v>
          </cell>
          <cell r="E156">
            <v>0</v>
          </cell>
          <cell r="F156">
            <v>0</v>
          </cell>
          <cell r="G156">
            <v>7600</v>
          </cell>
          <cell r="H156">
            <v>0</v>
          </cell>
        </row>
        <row r="157">
          <cell r="A157" t="str">
            <v>50123-1000</v>
          </cell>
          <cell r="B157" t="str">
            <v>Other Factory Supplies PP/PPEP</v>
          </cell>
          <cell r="C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</row>
        <row r="158">
          <cell r="A158" t="str">
            <v>50209-1010</v>
          </cell>
          <cell r="B158" t="str">
            <v>Oils &amp; Lub. EP/PPEP</v>
          </cell>
          <cell r="C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50215-1010</v>
          </cell>
          <cell r="B159" t="str">
            <v>Hardware EP/PPEP</v>
          </cell>
          <cell r="C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A160" t="str">
            <v>50217-1010</v>
          </cell>
          <cell r="B160" t="str">
            <v>Electrical/Elec.item EP/PPEP</v>
          </cell>
          <cell r="C160">
            <v>0.91</v>
          </cell>
          <cell r="E160">
            <v>0.91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50219-1010</v>
          </cell>
          <cell r="B161" t="str">
            <v>Tools EP/PPEP</v>
          </cell>
          <cell r="C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50221-1010</v>
          </cell>
          <cell r="B162" t="str">
            <v>Rep. &amp; Maint. EP/PPEP</v>
          </cell>
          <cell r="C162">
            <v>1705.67</v>
          </cell>
          <cell r="E162">
            <v>1705.67</v>
          </cell>
          <cell r="F162">
            <v>0</v>
          </cell>
          <cell r="G162">
            <v>0</v>
          </cell>
          <cell r="H162">
            <v>0</v>
          </cell>
        </row>
        <row r="163">
          <cell r="A163" t="str">
            <v>50223-1010</v>
          </cell>
          <cell r="B163" t="str">
            <v>Other Factory Supplies EP/PPEP</v>
          </cell>
          <cell r="C163">
            <v>5769.3</v>
          </cell>
          <cell r="E163">
            <v>5769.3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50309-1020</v>
          </cell>
          <cell r="B164" t="str">
            <v>Oils &amp; Lub. EC/FL</v>
          </cell>
          <cell r="C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</row>
        <row r="165">
          <cell r="A165" t="str">
            <v>50315-1020</v>
          </cell>
          <cell r="B165" t="str">
            <v>Hardware EC/FL</v>
          </cell>
          <cell r="C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50317-1020</v>
          </cell>
          <cell r="B166" t="str">
            <v>Electrical/Elect. items EC/FL</v>
          </cell>
          <cell r="C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</row>
        <row r="167">
          <cell r="A167" t="str">
            <v>50319-1020</v>
          </cell>
          <cell r="B167" t="str">
            <v>Tools EC/FL</v>
          </cell>
          <cell r="C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50321-1020</v>
          </cell>
          <cell r="B168" t="str">
            <v>Rep. &amp; Maint. EC/FL</v>
          </cell>
          <cell r="C168">
            <v>2811</v>
          </cell>
          <cell r="E168">
            <v>984</v>
          </cell>
          <cell r="F168">
            <v>0</v>
          </cell>
          <cell r="G168">
            <v>1827</v>
          </cell>
          <cell r="H168">
            <v>0</v>
          </cell>
        </row>
        <row r="169">
          <cell r="A169" t="str">
            <v>50323-1020</v>
          </cell>
          <cell r="B169" t="str">
            <v>Other Factory Supplies EC/FL</v>
          </cell>
          <cell r="C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</row>
        <row r="170">
          <cell r="A170" t="str">
            <v>50409-1030</v>
          </cell>
          <cell r="B170" t="str">
            <v>Oils &amp; Lub. UP/FL</v>
          </cell>
          <cell r="C170">
            <v>1041.7</v>
          </cell>
          <cell r="E170">
            <v>0</v>
          </cell>
          <cell r="F170">
            <v>0</v>
          </cell>
          <cell r="G170">
            <v>1041.7</v>
          </cell>
          <cell r="H170">
            <v>0</v>
          </cell>
        </row>
        <row r="171">
          <cell r="A171" t="str">
            <v>50415-1030</v>
          </cell>
          <cell r="B171" t="str">
            <v>Hardware UP/FL</v>
          </cell>
          <cell r="C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</row>
        <row r="172">
          <cell r="A172" t="str">
            <v>50417-1030</v>
          </cell>
          <cell r="B172" t="str">
            <v>Electrical/Elect. items UP/FL</v>
          </cell>
          <cell r="C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</row>
        <row r="173">
          <cell r="A173" t="str">
            <v>50419-1030</v>
          </cell>
          <cell r="B173" t="str">
            <v>Tools UP/FL</v>
          </cell>
          <cell r="C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50421-1030</v>
          </cell>
          <cell r="B174" t="str">
            <v>Rep &amp; Maint.UP/FL</v>
          </cell>
          <cell r="C174">
            <v>952.5</v>
          </cell>
          <cell r="E174">
            <v>952.5</v>
          </cell>
          <cell r="F174">
            <v>0</v>
          </cell>
          <cell r="G174">
            <v>0</v>
          </cell>
          <cell r="H174">
            <v>0</v>
          </cell>
        </row>
        <row r="175">
          <cell r="A175" t="str">
            <v>50423-1030</v>
          </cell>
          <cell r="B175" t="str">
            <v>Other Factory Supplies UP/FL</v>
          </cell>
          <cell r="C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</row>
        <row r="176">
          <cell r="A176" t="str">
            <v>50509-1040</v>
          </cell>
          <cell r="B176" t="str">
            <v>Oils &amp; Lub. OP/FL</v>
          </cell>
          <cell r="C176">
            <v>71.48</v>
          </cell>
          <cell r="E176">
            <v>71.48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50515-1040</v>
          </cell>
          <cell r="B177" t="str">
            <v>Hardware OP/FL</v>
          </cell>
          <cell r="C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</row>
        <row r="178">
          <cell r="A178" t="str">
            <v>50517-1040</v>
          </cell>
          <cell r="B178" t="str">
            <v>Electrical/Elect. items OP/FL</v>
          </cell>
          <cell r="C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</row>
        <row r="179">
          <cell r="A179" t="str">
            <v>50519-1040</v>
          </cell>
          <cell r="B179" t="str">
            <v>Tools OP/FL</v>
          </cell>
          <cell r="C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</row>
        <row r="180">
          <cell r="A180" t="str">
            <v>50521-1040</v>
          </cell>
          <cell r="B180" t="str">
            <v>Rep. &amp; Maint.OP/FL</v>
          </cell>
          <cell r="C180">
            <v>2697.68</v>
          </cell>
          <cell r="E180">
            <v>1151.69</v>
          </cell>
          <cell r="F180">
            <v>0</v>
          </cell>
          <cell r="G180">
            <v>1545.9899999999998</v>
          </cell>
          <cell r="H180">
            <v>0</v>
          </cell>
        </row>
        <row r="181">
          <cell r="A181" t="str">
            <v>50523-1040</v>
          </cell>
          <cell r="B181" t="str">
            <v>Other Factory Supplies OP/FL</v>
          </cell>
          <cell r="C181">
            <v>4.18</v>
          </cell>
          <cell r="E181">
            <v>4.18</v>
          </cell>
          <cell r="F181">
            <v>0</v>
          </cell>
          <cell r="G181">
            <v>0</v>
          </cell>
          <cell r="H181">
            <v>0</v>
          </cell>
        </row>
        <row r="182">
          <cell r="A182" t="str">
            <v>50605-1050</v>
          </cell>
          <cell r="B182" t="str">
            <v>Flux TC/W</v>
          </cell>
          <cell r="C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</row>
        <row r="183">
          <cell r="A183" t="str">
            <v>50607-1050</v>
          </cell>
          <cell r="B183" t="str">
            <v>Welding Wire TC/W</v>
          </cell>
          <cell r="C183">
            <v>2887.91</v>
          </cell>
          <cell r="E183">
            <v>0</v>
          </cell>
          <cell r="F183">
            <v>0</v>
          </cell>
          <cell r="G183">
            <v>2887.91</v>
          </cell>
          <cell r="H183">
            <v>0</v>
          </cell>
        </row>
        <row r="184">
          <cell r="A184" t="str">
            <v>50609-1050</v>
          </cell>
          <cell r="B184" t="str">
            <v>Oils &amp; Lub  TC/W</v>
          </cell>
          <cell r="C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50611-1050</v>
          </cell>
          <cell r="B185" t="str">
            <v>Welding Equip./items TC/W</v>
          </cell>
          <cell r="C185">
            <v>493.71</v>
          </cell>
          <cell r="E185">
            <v>417.95</v>
          </cell>
          <cell r="F185">
            <v>0</v>
          </cell>
          <cell r="G185">
            <v>75.759999999999991</v>
          </cell>
          <cell r="H185">
            <v>0</v>
          </cell>
        </row>
        <row r="186">
          <cell r="A186" t="str">
            <v>50613-1050</v>
          </cell>
          <cell r="B186" t="str">
            <v>Gases TC/W</v>
          </cell>
          <cell r="C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50615-1050</v>
          </cell>
          <cell r="B187" t="str">
            <v>Hardware TC/W</v>
          </cell>
          <cell r="C187">
            <v>1080</v>
          </cell>
          <cell r="E187">
            <v>1080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50617-1050</v>
          </cell>
          <cell r="B188" t="str">
            <v>Electrical/Elect items TC/W</v>
          </cell>
          <cell r="C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50619-1050</v>
          </cell>
          <cell r="B189" t="str">
            <v>Tools TC/W</v>
          </cell>
          <cell r="C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50621-1050</v>
          </cell>
          <cell r="B190" t="str">
            <v>Rep &amp; Maint TC/W</v>
          </cell>
          <cell r="C190">
            <v>10891.77</v>
          </cell>
          <cell r="E190">
            <v>9935.7099999999991</v>
          </cell>
          <cell r="F190">
            <v>0</v>
          </cell>
          <cell r="G190">
            <v>956.06000000000131</v>
          </cell>
          <cell r="H190">
            <v>0</v>
          </cell>
        </row>
        <row r="191">
          <cell r="A191" t="str">
            <v>50623-1050</v>
          </cell>
          <cell r="B191" t="str">
            <v>Other Factory Supplies TC/W</v>
          </cell>
          <cell r="C191">
            <v>686.41</v>
          </cell>
          <cell r="E191">
            <v>588.63</v>
          </cell>
          <cell r="F191">
            <v>0</v>
          </cell>
          <cell r="G191">
            <v>97.779999999999973</v>
          </cell>
          <cell r="H191">
            <v>0</v>
          </cell>
        </row>
        <row r="192">
          <cell r="A192" t="str">
            <v>50705-1060</v>
          </cell>
          <cell r="B192" t="str">
            <v>Flux TB/W</v>
          </cell>
          <cell r="C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50707-1060</v>
          </cell>
          <cell r="B193" t="str">
            <v>Welding Wire TB/W</v>
          </cell>
          <cell r="C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50709-1060</v>
          </cell>
          <cell r="B194" t="str">
            <v>Oils &amp; Lub TB/W</v>
          </cell>
          <cell r="C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50711-1060</v>
          </cell>
          <cell r="B195" t="str">
            <v>Welding Equip./items TB/W</v>
          </cell>
          <cell r="C195">
            <v>114.7</v>
          </cell>
          <cell r="E195">
            <v>114.7</v>
          </cell>
          <cell r="F195">
            <v>0</v>
          </cell>
          <cell r="G195">
            <v>0</v>
          </cell>
          <cell r="H195">
            <v>0</v>
          </cell>
        </row>
        <row r="196">
          <cell r="A196" t="str">
            <v>50713-1060</v>
          </cell>
          <cell r="B196" t="str">
            <v>Gases TB/W</v>
          </cell>
          <cell r="C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50715-1060</v>
          </cell>
          <cell r="B197" t="str">
            <v>Hardware TB/W</v>
          </cell>
          <cell r="C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50717-1060</v>
          </cell>
          <cell r="B198" t="str">
            <v>Electrical/Elect. items TB/W</v>
          </cell>
          <cell r="C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50719-1060</v>
          </cell>
          <cell r="B199" t="str">
            <v>Tools TB/W</v>
          </cell>
          <cell r="C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50721-1060</v>
          </cell>
          <cell r="B200" t="str">
            <v>Rep. &amp; Maint. TB/W</v>
          </cell>
          <cell r="C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50723-1060</v>
          </cell>
          <cell r="B201" t="str">
            <v>Other Factory Supplies TB/W</v>
          </cell>
          <cell r="C201">
            <v>153.74</v>
          </cell>
          <cell r="E201">
            <v>0</v>
          </cell>
          <cell r="F201">
            <v>0</v>
          </cell>
          <cell r="G201">
            <v>153.74</v>
          </cell>
          <cell r="H201">
            <v>0</v>
          </cell>
        </row>
        <row r="202">
          <cell r="A202" t="str">
            <v>50805-1070</v>
          </cell>
          <cell r="B202" t="str">
            <v>Flux ID/W</v>
          </cell>
          <cell r="D202">
            <v>7800</v>
          </cell>
          <cell r="E202">
            <v>0</v>
          </cell>
          <cell r="F202">
            <v>7800</v>
          </cell>
          <cell r="G202">
            <v>0</v>
          </cell>
          <cell r="H202">
            <v>0</v>
          </cell>
        </row>
        <row r="203">
          <cell r="A203" t="str">
            <v>50807-1070</v>
          </cell>
          <cell r="B203" t="str">
            <v>Welding Wire ID/W</v>
          </cell>
          <cell r="D203">
            <v>6630</v>
          </cell>
          <cell r="E203">
            <v>0</v>
          </cell>
          <cell r="F203">
            <v>6630</v>
          </cell>
          <cell r="G203">
            <v>0</v>
          </cell>
          <cell r="H203">
            <v>0</v>
          </cell>
        </row>
        <row r="204">
          <cell r="A204" t="str">
            <v>50809-1070</v>
          </cell>
          <cell r="B204" t="str">
            <v>Oils &amp; Lub. ID/W</v>
          </cell>
          <cell r="C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</row>
        <row r="205">
          <cell r="A205" t="str">
            <v>50811-1070</v>
          </cell>
          <cell r="B205" t="str">
            <v>Welding Equip./Items ID/W</v>
          </cell>
          <cell r="D205">
            <v>7021.1</v>
          </cell>
          <cell r="E205">
            <v>0</v>
          </cell>
          <cell r="F205">
            <v>7021.1</v>
          </cell>
          <cell r="G205">
            <v>0</v>
          </cell>
          <cell r="H205">
            <v>0</v>
          </cell>
        </row>
        <row r="206">
          <cell r="A206" t="str">
            <v>50813-1070</v>
          </cell>
          <cell r="B206" t="str">
            <v>Gases ID/W</v>
          </cell>
          <cell r="C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50815-1070</v>
          </cell>
          <cell r="B207" t="str">
            <v>Hardware ID/W</v>
          </cell>
          <cell r="C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</row>
        <row r="208">
          <cell r="A208" t="str">
            <v>50817-1070</v>
          </cell>
          <cell r="B208" t="str">
            <v>Electrical/Elect. items ID/W</v>
          </cell>
          <cell r="C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50819-1070</v>
          </cell>
          <cell r="B209" t="str">
            <v>Tools ID/W</v>
          </cell>
          <cell r="C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50821-1070</v>
          </cell>
          <cell r="B210" t="str">
            <v>Rep. &amp; Maint. ID/W</v>
          </cell>
          <cell r="C210">
            <v>7523.61</v>
          </cell>
          <cell r="E210">
            <v>5018.13</v>
          </cell>
          <cell r="F210">
            <v>0</v>
          </cell>
          <cell r="G210">
            <v>2505.4799999999996</v>
          </cell>
          <cell r="H210">
            <v>0</v>
          </cell>
        </row>
        <row r="211">
          <cell r="A211" t="str">
            <v>50823-1070</v>
          </cell>
          <cell r="B211" t="str">
            <v>Other Factory Supplies ID/W</v>
          </cell>
          <cell r="C211">
            <v>440.95</v>
          </cell>
          <cell r="E211">
            <v>381.48</v>
          </cell>
          <cell r="F211">
            <v>0</v>
          </cell>
          <cell r="G211">
            <v>59.46999999999997</v>
          </cell>
          <cell r="H211">
            <v>0</v>
          </cell>
        </row>
        <row r="212">
          <cell r="A212" t="str">
            <v>50905-1080</v>
          </cell>
          <cell r="B212" t="str">
            <v>Flux OD/W</v>
          </cell>
          <cell r="C212">
            <v>89066.8</v>
          </cell>
          <cell r="E212">
            <v>75358</v>
          </cell>
          <cell r="F212">
            <v>0</v>
          </cell>
          <cell r="G212">
            <v>13708.800000000003</v>
          </cell>
          <cell r="H212">
            <v>0</v>
          </cell>
        </row>
        <row r="213">
          <cell r="A213" t="str">
            <v>50907-1080</v>
          </cell>
          <cell r="B213" t="str">
            <v>Welding Wire OD/W</v>
          </cell>
          <cell r="C213">
            <v>19587.900000000001</v>
          </cell>
          <cell r="E213">
            <v>19587.900000000001</v>
          </cell>
          <cell r="F213">
            <v>0</v>
          </cell>
          <cell r="G213">
            <v>0</v>
          </cell>
          <cell r="H213">
            <v>0</v>
          </cell>
        </row>
        <row r="214">
          <cell r="A214" t="str">
            <v>50909-1080</v>
          </cell>
          <cell r="B214" t="str">
            <v>Oils &amp; Lub OD/W</v>
          </cell>
          <cell r="C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</row>
        <row r="215">
          <cell r="A215" t="str">
            <v>50911-1080</v>
          </cell>
          <cell r="B215" t="str">
            <v>Welding Equip/items OD/W</v>
          </cell>
          <cell r="C215">
            <v>10037.18</v>
          </cell>
          <cell r="E215">
            <v>10037.18</v>
          </cell>
          <cell r="F215">
            <v>0</v>
          </cell>
          <cell r="G215">
            <v>0</v>
          </cell>
          <cell r="H215">
            <v>0</v>
          </cell>
        </row>
        <row r="216">
          <cell r="A216" t="str">
            <v>50913-1080</v>
          </cell>
          <cell r="B216" t="str">
            <v>Gases OD/W</v>
          </cell>
          <cell r="C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A217" t="str">
            <v>50915-1080</v>
          </cell>
          <cell r="B217" t="str">
            <v>Hardware OD/W</v>
          </cell>
          <cell r="C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</row>
        <row r="218">
          <cell r="A218" t="str">
            <v>50917-1080</v>
          </cell>
          <cell r="B218" t="str">
            <v>Electrical/Elect. items OD/W</v>
          </cell>
          <cell r="C218">
            <v>549.39</v>
          </cell>
          <cell r="E218">
            <v>549.39</v>
          </cell>
          <cell r="F218">
            <v>0</v>
          </cell>
          <cell r="G218">
            <v>0</v>
          </cell>
          <cell r="H218">
            <v>0</v>
          </cell>
        </row>
        <row r="219">
          <cell r="A219" t="str">
            <v>50919-1080</v>
          </cell>
          <cell r="B219" t="str">
            <v>Tools OD/W</v>
          </cell>
          <cell r="C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</row>
        <row r="220">
          <cell r="A220" t="str">
            <v>50921-1080</v>
          </cell>
          <cell r="B220" t="str">
            <v>Rep. &amp; Maint. OD/W</v>
          </cell>
          <cell r="C220">
            <v>691.2</v>
          </cell>
          <cell r="E220">
            <v>691.2</v>
          </cell>
          <cell r="F220">
            <v>0</v>
          </cell>
          <cell r="G220">
            <v>0</v>
          </cell>
          <cell r="H220">
            <v>0</v>
          </cell>
        </row>
        <row r="221">
          <cell r="A221" t="str">
            <v>50923-1080</v>
          </cell>
          <cell r="B221" t="str">
            <v>Other Factory items  OD/W</v>
          </cell>
          <cell r="C221">
            <v>16.79</v>
          </cell>
          <cell r="E221">
            <v>16.79</v>
          </cell>
          <cell r="F221">
            <v>0</v>
          </cell>
          <cell r="G221">
            <v>0</v>
          </cell>
          <cell r="H221">
            <v>0</v>
          </cell>
        </row>
        <row r="222">
          <cell r="A222" t="str">
            <v>51105-1090</v>
          </cell>
          <cell r="B222" t="str">
            <v>Flux WR/W</v>
          </cell>
          <cell r="C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</row>
        <row r="223">
          <cell r="A223" t="str">
            <v>51107-1090</v>
          </cell>
          <cell r="B223" t="str">
            <v>Welding Wire WR/W</v>
          </cell>
          <cell r="C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</row>
        <row r="224">
          <cell r="A224" t="str">
            <v>51109-1090</v>
          </cell>
          <cell r="B224" t="str">
            <v>Oils &amp; Lub WR/W</v>
          </cell>
          <cell r="C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</row>
        <row r="225">
          <cell r="A225" t="str">
            <v>51111-1090</v>
          </cell>
          <cell r="B225" t="str">
            <v>Welding Equip./items WR/W</v>
          </cell>
          <cell r="C225">
            <v>509.56</v>
          </cell>
          <cell r="E225">
            <v>463</v>
          </cell>
          <cell r="F225">
            <v>0</v>
          </cell>
          <cell r="G225">
            <v>46.56</v>
          </cell>
          <cell r="H225">
            <v>0</v>
          </cell>
        </row>
        <row r="226">
          <cell r="A226" t="str">
            <v>51113-1090</v>
          </cell>
          <cell r="B226" t="str">
            <v>Gases WR/W</v>
          </cell>
          <cell r="C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</row>
        <row r="227">
          <cell r="A227" t="str">
            <v>51115-1090</v>
          </cell>
          <cell r="B227" t="str">
            <v>Hardware WR/W</v>
          </cell>
          <cell r="C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</row>
        <row r="228">
          <cell r="A228" t="str">
            <v>51117-1090</v>
          </cell>
          <cell r="B228" t="str">
            <v>Electrical/Elect. items WR/W</v>
          </cell>
          <cell r="C228">
            <v>29.65</v>
          </cell>
          <cell r="E228">
            <v>29.65</v>
          </cell>
          <cell r="F228">
            <v>0</v>
          </cell>
          <cell r="G228">
            <v>0</v>
          </cell>
          <cell r="H228">
            <v>0</v>
          </cell>
        </row>
        <row r="229">
          <cell r="A229" t="str">
            <v>51119-1090</v>
          </cell>
          <cell r="B229" t="str">
            <v>Tools WR/W</v>
          </cell>
          <cell r="C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</row>
        <row r="230">
          <cell r="A230" t="str">
            <v>51121-1090</v>
          </cell>
          <cell r="B230" t="str">
            <v>Rep. &amp; Maint. WR/W</v>
          </cell>
          <cell r="C230">
            <v>87.4</v>
          </cell>
          <cell r="E230">
            <v>87.4</v>
          </cell>
          <cell r="F230">
            <v>0</v>
          </cell>
          <cell r="G230">
            <v>0</v>
          </cell>
          <cell r="H230">
            <v>0</v>
          </cell>
        </row>
        <row r="231">
          <cell r="A231" t="str">
            <v>51123-1090</v>
          </cell>
          <cell r="B231" t="str">
            <v>Other Factory Supplies WR/W</v>
          </cell>
          <cell r="C231">
            <v>1844.97</v>
          </cell>
          <cell r="E231">
            <v>1548.24</v>
          </cell>
          <cell r="F231">
            <v>0</v>
          </cell>
          <cell r="G231">
            <v>296.73</v>
          </cell>
          <cell r="H231">
            <v>0</v>
          </cell>
        </row>
        <row r="232">
          <cell r="A232" t="str">
            <v>51209-1100</v>
          </cell>
          <cell r="B232" t="str">
            <v>Oils &amp; Lub. EX/EXHT</v>
          </cell>
          <cell r="C232">
            <v>8533.1200000000008</v>
          </cell>
          <cell r="E232">
            <v>4959.3999999999996</v>
          </cell>
          <cell r="F232">
            <v>0</v>
          </cell>
          <cell r="G232">
            <v>3573.7200000000012</v>
          </cell>
          <cell r="H232">
            <v>0</v>
          </cell>
        </row>
        <row r="233">
          <cell r="A233" t="str">
            <v>51215-1100</v>
          </cell>
          <cell r="B233" t="str">
            <v>Hardware EX/EXHT</v>
          </cell>
          <cell r="C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</row>
        <row r="234">
          <cell r="A234" t="str">
            <v>51217-1100</v>
          </cell>
          <cell r="B234" t="str">
            <v>Electrical/Elect. item EX/EXHT</v>
          </cell>
          <cell r="C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</row>
        <row r="235">
          <cell r="A235" t="str">
            <v>51219-1100</v>
          </cell>
          <cell r="B235" t="str">
            <v>Tools EX/EXHT</v>
          </cell>
          <cell r="C235">
            <v>150.22</v>
          </cell>
          <cell r="E235">
            <v>150.22</v>
          </cell>
          <cell r="F235">
            <v>0</v>
          </cell>
          <cell r="G235">
            <v>0</v>
          </cell>
          <cell r="H235">
            <v>0</v>
          </cell>
        </row>
        <row r="236">
          <cell r="A236" t="str">
            <v>51221-1100</v>
          </cell>
          <cell r="B236" t="str">
            <v>Rep &amp; Maint. EX/EXHT</v>
          </cell>
          <cell r="C236">
            <v>483.65</v>
          </cell>
          <cell r="E236">
            <v>159.51</v>
          </cell>
          <cell r="F236">
            <v>0</v>
          </cell>
          <cell r="G236">
            <v>324.14</v>
          </cell>
          <cell r="H236">
            <v>0</v>
          </cell>
        </row>
        <row r="237">
          <cell r="A237" t="str">
            <v>51223-1100</v>
          </cell>
          <cell r="B237" t="str">
            <v>Other Factory Supplies EX/EXHT</v>
          </cell>
          <cell r="C237">
            <v>1798.18</v>
          </cell>
          <cell r="E237">
            <v>1535.4</v>
          </cell>
          <cell r="F237">
            <v>0</v>
          </cell>
          <cell r="G237">
            <v>262.77999999999997</v>
          </cell>
          <cell r="H237">
            <v>0</v>
          </cell>
        </row>
        <row r="238">
          <cell r="A238" t="str">
            <v>51309-1110</v>
          </cell>
          <cell r="B238" t="str">
            <v>Oils &amp; Lub HT/EXHT</v>
          </cell>
          <cell r="C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A239" t="str">
            <v>51315-1110</v>
          </cell>
          <cell r="B239" t="str">
            <v>Hardware HT/EXHT</v>
          </cell>
          <cell r="C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A240" t="str">
            <v>51317-1110</v>
          </cell>
          <cell r="B240" t="str">
            <v>Electrical/Elect items HT/EXHT</v>
          </cell>
          <cell r="C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A241" t="str">
            <v>51319-1110</v>
          </cell>
          <cell r="B241" t="str">
            <v>Tools HT/EXHT</v>
          </cell>
          <cell r="C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</row>
        <row r="242">
          <cell r="A242" t="str">
            <v>51321-1110</v>
          </cell>
          <cell r="B242" t="str">
            <v>Rep &amp; Maint. HT/EXHT</v>
          </cell>
          <cell r="C242">
            <v>4365.1499999999996</v>
          </cell>
          <cell r="E242">
            <v>1345.15</v>
          </cell>
          <cell r="F242">
            <v>0</v>
          </cell>
          <cell r="G242">
            <v>3019.9999999999995</v>
          </cell>
          <cell r="H242">
            <v>0</v>
          </cell>
        </row>
        <row r="243">
          <cell r="A243" t="str">
            <v>51323-1110</v>
          </cell>
          <cell r="B243" t="str">
            <v>Other Factory Supplies HT/EXHT</v>
          </cell>
          <cell r="C243">
            <v>45.49</v>
          </cell>
          <cell r="E243">
            <v>45.49</v>
          </cell>
          <cell r="F243">
            <v>0</v>
          </cell>
          <cell r="G243">
            <v>0</v>
          </cell>
          <cell r="H243">
            <v>0</v>
          </cell>
        </row>
        <row r="244">
          <cell r="A244" t="str">
            <v>52105-2000</v>
          </cell>
          <cell r="B244" t="str">
            <v>Flux F1/IPIR</v>
          </cell>
          <cell r="C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A245" t="str">
            <v>52107-2000</v>
          </cell>
          <cell r="B245" t="str">
            <v>Welding Wire F1/IPIR</v>
          </cell>
          <cell r="C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</row>
        <row r="246">
          <cell r="A246" t="str">
            <v>52109-2000</v>
          </cell>
          <cell r="B246" t="str">
            <v>Oils &amp; Lub. F1/IPIR</v>
          </cell>
          <cell r="C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</row>
        <row r="247">
          <cell r="A247" t="str">
            <v>52111-2000</v>
          </cell>
          <cell r="B247" t="str">
            <v>Welding Equip/items F1/IPIR</v>
          </cell>
          <cell r="C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A248" t="str">
            <v>52113-2000</v>
          </cell>
          <cell r="B248" t="str">
            <v>Gases F1/IPIR</v>
          </cell>
          <cell r="C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</row>
        <row r="249">
          <cell r="A249" t="str">
            <v>52115-2000</v>
          </cell>
          <cell r="B249" t="str">
            <v>Hardware F1/IPIR</v>
          </cell>
          <cell r="C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0">
          <cell r="A250" t="str">
            <v>52117-2000</v>
          </cell>
          <cell r="B250" t="str">
            <v>Electrical/Elect.items F1/IPIR</v>
          </cell>
          <cell r="C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</row>
        <row r="251">
          <cell r="A251" t="str">
            <v>52119-2000</v>
          </cell>
          <cell r="B251" t="str">
            <v>Tools F1/IPIR</v>
          </cell>
          <cell r="C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A252" t="str">
            <v>52121-2000</v>
          </cell>
          <cell r="B252" t="str">
            <v>Repair &amp; Maint.F1/IPIR</v>
          </cell>
          <cell r="C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</row>
        <row r="253">
          <cell r="A253" t="str">
            <v>52123-2000</v>
          </cell>
          <cell r="B253" t="str">
            <v>Other Factory Supplies F1/IPIR</v>
          </cell>
          <cell r="C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A254" t="str">
            <v>52209-2010</v>
          </cell>
          <cell r="B254" t="str">
            <v>Oils &amp; Lub. RX/IPIR</v>
          </cell>
          <cell r="C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5">
          <cell r="A255" t="str">
            <v>52211-2010</v>
          </cell>
          <cell r="B255" t="str">
            <v>Welding Equip./items RX/IPIR</v>
          </cell>
          <cell r="C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</row>
        <row r="256">
          <cell r="A256" t="str">
            <v>52213-2010</v>
          </cell>
          <cell r="B256" t="str">
            <v>Gases RX/IPIR</v>
          </cell>
          <cell r="C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</row>
        <row r="257">
          <cell r="A257" t="str">
            <v>52215-2010</v>
          </cell>
          <cell r="B257" t="str">
            <v>Hardware RX/IPIR</v>
          </cell>
          <cell r="C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52217-2010</v>
          </cell>
          <cell r="B258" t="str">
            <v>Electrical/Elect.items RX/IPIR</v>
          </cell>
          <cell r="C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</row>
        <row r="259">
          <cell r="A259" t="str">
            <v>52219-2010</v>
          </cell>
          <cell r="B259" t="str">
            <v>Tools RX/IPIR</v>
          </cell>
          <cell r="C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</row>
        <row r="260">
          <cell r="A260" t="str">
            <v>52221-2010</v>
          </cell>
          <cell r="B260" t="str">
            <v>Rep &amp; Maint. RX/IPIR</v>
          </cell>
          <cell r="C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</row>
        <row r="261">
          <cell r="A261" t="str">
            <v>52223-2010</v>
          </cell>
          <cell r="B261" t="str">
            <v>Other Factory Supplies RX/IPIR</v>
          </cell>
          <cell r="C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</row>
        <row r="262">
          <cell r="A262" t="str">
            <v>52305-2020</v>
          </cell>
          <cell r="B262" t="str">
            <v>Flux CO/IPIR</v>
          </cell>
          <cell r="C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</row>
        <row r="263">
          <cell r="A263" t="str">
            <v>52307-2020</v>
          </cell>
          <cell r="B263" t="str">
            <v>Welding Wire CO/IPIR</v>
          </cell>
          <cell r="C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52309-2020</v>
          </cell>
          <cell r="B264" t="str">
            <v>Oils &amp; Lub CO/IPIR</v>
          </cell>
          <cell r="C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</row>
        <row r="265">
          <cell r="A265" t="str">
            <v>52311-2020</v>
          </cell>
          <cell r="B265" t="str">
            <v>Welding Equip./items CO/IPIR</v>
          </cell>
          <cell r="C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</row>
        <row r="266">
          <cell r="A266" t="str">
            <v>52313-2020</v>
          </cell>
          <cell r="B266" t="str">
            <v>Gases CO/IPIR</v>
          </cell>
          <cell r="C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</row>
        <row r="267">
          <cell r="A267" t="str">
            <v>52315-2020</v>
          </cell>
          <cell r="B267" t="str">
            <v>Hardware CO/IPIR</v>
          </cell>
          <cell r="C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</row>
        <row r="268">
          <cell r="A268" t="str">
            <v>52317-2020</v>
          </cell>
          <cell r="B268" t="str">
            <v>Electrical/Elect. item CO/IPIR</v>
          </cell>
          <cell r="C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</row>
        <row r="269">
          <cell r="A269" t="str">
            <v>52319-2020</v>
          </cell>
          <cell r="B269" t="str">
            <v>Tools CO/IPIR</v>
          </cell>
          <cell r="C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52321-2020</v>
          </cell>
          <cell r="B270" t="str">
            <v>Rep &amp; Maint CO/IPIR</v>
          </cell>
          <cell r="C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</row>
        <row r="271">
          <cell r="A271" t="str">
            <v>52323-2020</v>
          </cell>
          <cell r="B271" t="str">
            <v>Other Factory Supplies CO/IPIR</v>
          </cell>
          <cell r="C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</row>
        <row r="272">
          <cell r="A272" t="str">
            <v>52353-2025</v>
          </cell>
          <cell r="B272" t="str">
            <v>Gases PAT/FI</v>
          </cell>
          <cell r="C272">
            <v>0</v>
          </cell>
          <cell r="E272">
            <v>0</v>
          </cell>
          <cell r="F272">
            <v>0</v>
          </cell>
          <cell r="G272">
            <v>0</v>
          </cell>
          <cell r="H272">
            <v>0</v>
          </cell>
        </row>
        <row r="273">
          <cell r="A273" t="str">
            <v>52355-2025</v>
          </cell>
          <cell r="B273" t="str">
            <v>Cutting Supplies PAT/FI</v>
          </cell>
          <cell r="C273">
            <v>3081.61</v>
          </cell>
          <cell r="E273">
            <v>2636.21</v>
          </cell>
          <cell r="F273">
            <v>0</v>
          </cell>
          <cell r="G273">
            <v>445.40000000000009</v>
          </cell>
          <cell r="H273">
            <v>0</v>
          </cell>
        </row>
        <row r="274">
          <cell r="A274" t="str">
            <v>52357-2025</v>
          </cell>
          <cell r="B274" t="str">
            <v>Electrical Items PAT/FI</v>
          </cell>
          <cell r="C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</row>
        <row r="275">
          <cell r="A275" t="str">
            <v>52361-2025</v>
          </cell>
          <cell r="B275" t="str">
            <v>Rep. &amp; Maint PAT/FI</v>
          </cell>
          <cell r="C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52363-2025</v>
          </cell>
          <cell r="B276" t="str">
            <v>Other Fact. Supplies PAT/FI</v>
          </cell>
          <cell r="C276">
            <v>3.34</v>
          </cell>
          <cell r="E276">
            <v>3.34</v>
          </cell>
          <cell r="F276">
            <v>0</v>
          </cell>
          <cell r="G276">
            <v>0</v>
          </cell>
          <cell r="H276">
            <v>0</v>
          </cell>
        </row>
        <row r="277">
          <cell r="A277" t="str">
            <v>52409-2030</v>
          </cell>
          <cell r="B277" t="str">
            <v>Oils &amp; Lub EF/FI</v>
          </cell>
          <cell r="C277">
            <v>2420.04</v>
          </cell>
          <cell r="E277">
            <v>2016.7</v>
          </cell>
          <cell r="F277">
            <v>0</v>
          </cell>
          <cell r="G277">
            <v>403.33999999999992</v>
          </cell>
          <cell r="H277">
            <v>0</v>
          </cell>
        </row>
        <row r="278">
          <cell r="A278" t="str">
            <v>52415-2030</v>
          </cell>
          <cell r="B278" t="str">
            <v>Hardware EF/FI</v>
          </cell>
          <cell r="C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</row>
        <row r="279">
          <cell r="A279" t="str">
            <v>52417-2030</v>
          </cell>
          <cell r="B279" t="str">
            <v>Electrical/Elect.item EF/FI</v>
          </cell>
          <cell r="C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</row>
        <row r="280">
          <cell r="A280" t="str">
            <v>52419-2030</v>
          </cell>
          <cell r="B280" t="str">
            <v>Tools EF/FI</v>
          </cell>
          <cell r="C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</row>
        <row r="281">
          <cell r="A281" t="str">
            <v>52421-2030</v>
          </cell>
          <cell r="B281" t="str">
            <v>Rep &amp; Maint. EF/FI</v>
          </cell>
          <cell r="C281">
            <v>313.85000000000002</v>
          </cell>
          <cell r="E281">
            <v>313.85000000000002</v>
          </cell>
          <cell r="F281">
            <v>0</v>
          </cell>
          <cell r="G281">
            <v>0</v>
          </cell>
          <cell r="H281">
            <v>0</v>
          </cell>
        </row>
        <row r="282">
          <cell r="A282" t="str">
            <v>52423-2030</v>
          </cell>
          <cell r="B282" t="str">
            <v>Other Factory Supplies EF/FI</v>
          </cell>
          <cell r="C282">
            <v>1409.08</v>
          </cell>
          <cell r="E282">
            <v>1163.56</v>
          </cell>
          <cell r="F282">
            <v>0</v>
          </cell>
          <cell r="G282">
            <v>245.51999999999998</v>
          </cell>
          <cell r="H282">
            <v>0</v>
          </cell>
        </row>
        <row r="283">
          <cell r="A283" t="str">
            <v>52425-2030</v>
          </cell>
          <cell r="B283" t="str">
            <v>Gauges EF/FI</v>
          </cell>
          <cell r="C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52509-2040</v>
          </cell>
          <cell r="B284" t="str">
            <v>Oils &amp; Lub ND/FI</v>
          </cell>
          <cell r="C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52515-2040</v>
          </cell>
          <cell r="B285" t="str">
            <v>Hardware ND/FI</v>
          </cell>
          <cell r="C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</row>
        <row r="286">
          <cell r="A286" t="str">
            <v>52517-2040</v>
          </cell>
          <cell r="B286" t="str">
            <v>Electrical/Elect.item ND/FI</v>
          </cell>
          <cell r="C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</row>
        <row r="287">
          <cell r="A287" t="str">
            <v>52519-2040</v>
          </cell>
          <cell r="B287" t="str">
            <v>Toools ND/FI</v>
          </cell>
          <cell r="C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52521-2040</v>
          </cell>
          <cell r="B288" t="str">
            <v>Rep &amp; Maint NT/FI</v>
          </cell>
          <cell r="C288">
            <v>5916</v>
          </cell>
          <cell r="E288">
            <v>5916</v>
          </cell>
          <cell r="F288">
            <v>0</v>
          </cell>
          <cell r="G288">
            <v>0</v>
          </cell>
          <cell r="H288">
            <v>0</v>
          </cell>
        </row>
        <row r="289">
          <cell r="A289" t="str">
            <v>52523-2040</v>
          </cell>
          <cell r="B289" t="str">
            <v>Other Factory Supplies ND/FI</v>
          </cell>
          <cell r="C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A290" t="str">
            <v>52609-2050</v>
          </cell>
          <cell r="B290" t="str">
            <v>Oils &amp; Lub CI/FI</v>
          </cell>
          <cell r="C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</row>
        <row r="291">
          <cell r="A291" t="str">
            <v>52615-2050</v>
          </cell>
          <cell r="B291" t="str">
            <v>Hardware CI/FI</v>
          </cell>
          <cell r="C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A292" t="str">
            <v>52617-2050</v>
          </cell>
          <cell r="B292" t="str">
            <v>Electrical/Elect item CI/FI</v>
          </cell>
          <cell r="C292">
            <v>7.02</v>
          </cell>
          <cell r="E292">
            <v>7.02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52619-2050</v>
          </cell>
          <cell r="B293" t="str">
            <v>Tools CI/FI</v>
          </cell>
          <cell r="C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</row>
        <row r="294">
          <cell r="A294" t="str">
            <v>52621-2050</v>
          </cell>
          <cell r="B294" t="str">
            <v>Rep &amp; Maint CI/FI</v>
          </cell>
          <cell r="C294">
            <v>1.41</v>
          </cell>
          <cell r="E294">
            <v>1.41</v>
          </cell>
          <cell r="F294">
            <v>0</v>
          </cell>
          <cell r="G294">
            <v>0</v>
          </cell>
          <cell r="H294">
            <v>0</v>
          </cell>
        </row>
        <row r="295">
          <cell r="A295" t="str">
            <v>52623-2050</v>
          </cell>
          <cell r="B295" t="str">
            <v>Other Factory Supplies CI/FI</v>
          </cell>
          <cell r="C295">
            <v>496.63</v>
          </cell>
          <cell r="E295">
            <v>477.5</v>
          </cell>
          <cell r="F295">
            <v>0</v>
          </cell>
          <cell r="G295">
            <v>19.129999999999995</v>
          </cell>
          <cell r="H295">
            <v>0</v>
          </cell>
        </row>
        <row r="296">
          <cell r="A296" t="str">
            <v>52709-2060</v>
          </cell>
          <cell r="B296" t="str">
            <v>Oils &amp; Lub EX/FI</v>
          </cell>
          <cell r="C296">
            <v>604.4</v>
          </cell>
          <cell r="E296">
            <v>604.4</v>
          </cell>
          <cell r="F296">
            <v>0</v>
          </cell>
          <cell r="G296">
            <v>0</v>
          </cell>
          <cell r="H296">
            <v>0</v>
          </cell>
        </row>
        <row r="297">
          <cell r="A297" t="str">
            <v>52715-2060</v>
          </cell>
          <cell r="B297" t="str">
            <v>Hardware EX/FI</v>
          </cell>
          <cell r="C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</row>
        <row r="298">
          <cell r="A298" t="str">
            <v>52717-2060</v>
          </cell>
          <cell r="B298" t="str">
            <v>Electrical/Elect item EX/FI</v>
          </cell>
          <cell r="C298">
            <v>11.44</v>
          </cell>
          <cell r="E298">
            <v>11.44</v>
          </cell>
          <cell r="F298">
            <v>0</v>
          </cell>
          <cell r="G298">
            <v>0</v>
          </cell>
          <cell r="H298">
            <v>0</v>
          </cell>
        </row>
        <row r="299">
          <cell r="A299" t="str">
            <v>52719-2060</v>
          </cell>
          <cell r="B299" t="str">
            <v>Tools EX/FI</v>
          </cell>
          <cell r="C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52721-2060</v>
          </cell>
          <cell r="B300" t="str">
            <v>Rep &amp; Maint EX/FI</v>
          </cell>
          <cell r="C300">
            <v>7780</v>
          </cell>
          <cell r="E300">
            <v>0</v>
          </cell>
          <cell r="F300">
            <v>0</v>
          </cell>
          <cell r="G300">
            <v>7780</v>
          </cell>
          <cell r="H300">
            <v>0</v>
          </cell>
        </row>
        <row r="301">
          <cell r="A301" t="str">
            <v>52723-2060</v>
          </cell>
          <cell r="B301" t="str">
            <v>Other Factory Supplies EX/FI</v>
          </cell>
          <cell r="C301">
            <v>275.42</v>
          </cell>
          <cell r="E301">
            <v>275.42</v>
          </cell>
          <cell r="F301">
            <v>0</v>
          </cell>
          <cell r="G301">
            <v>0</v>
          </cell>
          <cell r="H301">
            <v>0</v>
          </cell>
        </row>
        <row r="302">
          <cell r="A302" t="str">
            <v>52735-2060</v>
          </cell>
          <cell r="B302" t="str">
            <v>Film EX/FI</v>
          </cell>
          <cell r="C302">
            <v>881.76</v>
          </cell>
          <cell r="E302">
            <v>744.75</v>
          </cell>
          <cell r="F302">
            <v>0</v>
          </cell>
          <cell r="G302">
            <v>137.01</v>
          </cell>
          <cell r="H302">
            <v>0</v>
          </cell>
        </row>
        <row r="303">
          <cell r="A303" t="str">
            <v>52735-2070</v>
          </cell>
          <cell r="B303" t="str">
            <v>Film EX/FI</v>
          </cell>
          <cell r="C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</row>
        <row r="304">
          <cell r="A304" t="str">
            <v>52809-2070</v>
          </cell>
          <cell r="B304" t="str">
            <v>Oils &amp; Lub WS/FI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</row>
        <row r="305">
          <cell r="A305" t="str">
            <v>52815-2070</v>
          </cell>
          <cell r="B305" t="str">
            <v>Hardware WS/FI</v>
          </cell>
          <cell r="C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</row>
        <row r="306">
          <cell r="A306" t="str">
            <v>52817-2070</v>
          </cell>
          <cell r="B306" t="str">
            <v>Electrical/Elect item WS/FI</v>
          </cell>
          <cell r="C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</row>
        <row r="307">
          <cell r="A307" t="str">
            <v>52819-2070</v>
          </cell>
          <cell r="B307" t="str">
            <v>Tools WS/FI</v>
          </cell>
          <cell r="C307">
            <v>21.06</v>
          </cell>
          <cell r="E307">
            <v>21.06</v>
          </cell>
          <cell r="F307">
            <v>0</v>
          </cell>
          <cell r="G307">
            <v>0</v>
          </cell>
          <cell r="H307">
            <v>0</v>
          </cell>
        </row>
        <row r="308">
          <cell r="A308" t="str">
            <v>52821-2070</v>
          </cell>
          <cell r="B308" t="str">
            <v>Rep &amp; Maint WS/FI</v>
          </cell>
          <cell r="C308">
            <v>1270.23</v>
          </cell>
          <cell r="E308">
            <v>691.88</v>
          </cell>
          <cell r="F308">
            <v>0</v>
          </cell>
          <cell r="G308">
            <v>578.35</v>
          </cell>
          <cell r="H308">
            <v>0</v>
          </cell>
        </row>
        <row r="309">
          <cell r="A309" t="str">
            <v>52823-2070</v>
          </cell>
          <cell r="B309" t="str">
            <v>Other Factory Supplies WS/FI</v>
          </cell>
          <cell r="C309">
            <v>71.48</v>
          </cell>
          <cell r="E309">
            <v>71.48</v>
          </cell>
          <cell r="F309">
            <v>0</v>
          </cell>
          <cell r="G309">
            <v>0</v>
          </cell>
          <cell r="H309">
            <v>0</v>
          </cell>
        </row>
        <row r="310">
          <cell r="A310" t="str">
            <v>52925-2080</v>
          </cell>
          <cell r="B310" t="str">
            <v>Mill Laquer ML/C</v>
          </cell>
          <cell r="C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</row>
        <row r="311">
          <cell r="A311" t="str">
            <v>52927-2080</v>
          </cell>
          <cell r="B311" t="str">
            <v>Mops ML/C</v>
          </cell>
          <cell r="C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</row>
        <row r="312">
          <cell r="A312" t="str">
            <v>52929-2080</v>
          </cell>
          <cell r="B312" t="str">
            <v>Spray Guns ML/C</v>
          </cell>
          <cell r="C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</row>
        <row r="313">
          <cell r="A313" t="str">
            <v>52931-2080</v>
          </cell>
          <cell r="B313" t="str">
            <v>Other Coating Exp ML/C</v>
          </cell>
          <cell r="C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</row>
        <row r="314">
          <cell r="A314" t="str">
            <v>53123-2090</v>
          </cell>
          <cell r="B314" t="str">
            <v>Other Factory Supplies</v>
          </cell>
          <cell r="C314">
            <v>614.41</v>
          </cell>
          <cell r="E314">
            <v>573.95000000000005</v>
          </cell>
          <cell r="F314">
            <v>0</v>
          </cell>
          <cell r="G314">
            <v>40.459999999999923</v>
          </cell>
          <cell r="H314">
            <v>0</v>
          </cell>
        </row>
        <row r="315">
          <cell r="A315" t="str">
            <v>53125-2090</v>
          </cell>
          <cell r="B315" t="str">
            <v>Banding MK/Sh</v>
          </cell>
          <cell r="C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</row>
        <row r="316">
          <cell r="A316" t="str">
            <v>53127-2090</v>
          </cell>
          <cell r="B316" t="str">
            <v>Hard Wood MK/Sh</v>
          </cell>
          <cell r="C316">
            <v>756</v>
          </cell>
          <cell r="E316">
            <v>756</v>
          </cell>
          <cell r="F316">
            <v>0</v>
          </cell>
          <cell r="G316">
            <v>0</v>
          </cell>
          <cell r="H316">
            <v>0</v>
          </cell>
        </row>
        <row r="317">
          <cell r="A317" t="str">
            <v>53129-2090</v>
          </cell>
          <cell r="B317" t="str">
            <v>Nails MK/Sh</v>
          </cell>
          <cell r="C317">
            <v>422.26</v>
          </cell>
          <cell r="E317">
            <v>226.8</v>
          </cell>
          <cell r="F317">
            <v>0</v>
          </cell>
          <cell r="G317">
            <v>195.45999999999998</v>
          </cell>
          <cell r="H317">
            <v>0</v>
          </cell>
        </row>
        <row r="318">
          <cell r="A318" t="str">
            <v>53131-2090</v>
          </cell>
          <cell r="B318" t="str">
            <v>Inks MK/Sh</v>
          </cell>
          <cell r="C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</row>
        <row r="319">
          <cell r="A319" t="str">
            <v>53133-2090</v>
          </cell>
          <cell r="B319" t="str">
            <v>Stencils MK/Sh</v>
          </cell>
          <cell r="C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</row>
        <row r="320">
          <cell r="A320" t="str">
            <v>53215-2100</v>
          </cell>
          <cell r="B320" t="str">
            <v>Hardware WM/Sh</v>
          </cell>
          <cell r="C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</row>
        <row r="321">
          <cell r="A321" t="str">
            <v>53217-2100</v>
          </cell>
          <cell r="B321" t="str">
            <v>Electrical/Elect items WM/Sh</v>
          </cell>
          <cell r="C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</row>
        <row r="322">
          <cell r="A322" t="str">
            <v>53219-2100</v>
          </cell>
          <cell r="B322" t="str">
            <v>Tools WM/Sh</v>
          </cell>
          <cell r="C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</row>
        <row r="323">
          <cell r="A323" t="str">
            <v>53221-2100</v>
          </cell>
          <cell r="B323" t="str">
            <v>Rep &amp; Maint WM/Sh</v>
          </cell>
          <cell r="C323">
            <v>4056.71</v>
          </cell>
          <cell r="E323">
            <v>3324.29</v>
          </cell>
          <cell r="F323">
            <v>0</v>
          </cell>
          <cell r="G323">
            <v>732.42000000000007</v>
          </cell>
          <cell r="H323">
            <v>0</v>
          </cell>
        </row>
        <row r="324">
          <cell r="A324" t="str">
            <v>53223-2100</v>
          </cell>
          <cell r="B324" t="str">
            <v>Other Factory Supplies WM/Sh</v>
          </cell>
          <cell r="C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</row>
        <row r="325">
          <cell r="A325" t="str">
            <v>53225-2100</v>
          </cell>
          <cell r="B325" t="str">
            <v>Gauges WM/Sh</v>
          </cell>
          <cell r="C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</row>
        <row r="326">
          <cell r="A326" t="str">
            <v>53227-2100</v>
          </cell>
          <cell r="B326" t="str">
            <v>Tapes WM/Sh</v>
          </cell>
          <cell r="C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</row>
        <row r="327">
          <cell r="A327" t="str">
            <v>53229-2100</v>
          </cell>
          <cell r="B327" t="str">
            <v>Other WM/Sh</v>
          </cell>
          <cell r="C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</row>
        <row r="328">
          <cell r="A328" t="str">
            <v>54105-3100</v>
          </cell>
          <cell r="B328" t="str">
            <v>Flux  GE/PM</v>
          </cell>
          <cell r="C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A329" t="str">
            <v>54109-3100</v>
          </cell>
          <cell r="B329" t="str">
            <v>Oils &amp; Lub GE/PM</v>
          </cell>
          <cell r="C329">
            <v>807.23</v>
          </cell>
          <cell r="E329">
            <v>7.23</v>
          </cell>
          <cell r="F329">
            <v>0</v>
          </cell>
          <cell r="G329">
            <v>800</v>
          </cell>
          <cell r="H329">
            <v>0</v>
          </cell>
        </row>
        <row r="330">
          <cell r="A330" t="str">
            <v>54115-3100</v>
          </cell>
          <cell r="B330" t="str">
            <v>Hardware GE/PM</v>
          </cell>
          <cell r="C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</row>
        <row r="331">
          <cell r="A331" t="str">
            <v>54117-3100</v>
          </cell>
          <cell r="B331" t="str">
            <v>Electrtical/Elect items GE/PM</v>
          </cell>
          <cell r="C331">
            <v>19151.560000000001</v>
          </cell>
          <cell r="E331">
            <v>18612.96</v>
          </cell>
          <cell r="F331">
            <v>0</v>
          </cell>
          <cell r="G331">
            <v>538.60000000000218</v>
          </cell>
          <cell r="H331">
            <v>0</v>
          </cell>
        </row>
        <row r="332">
          <cell r="A332" t="str">
            <v>54119-3100</v>
          </cell>
          <cell r="B332" t="str">
            <v>Tools GE/PM</v>
          </cell>
          <cell r="C332">
            <v>536.9</v>
          </cell>
          <cell r="E332">
            <v>536.9</v>
          </cell>
          <cell r="F332">
            <v>0</v>
          </cell>
          <cell r="G332">
            <v>0</v>
          </cell>
          <cell r="H332">
            <v>0</v>
          </cell>
        </row>
        <row r="333">
          <cell r="A333" t="str">
            <v>54121-3100</v>
          </cell>
          <cell r="B333" t="str">
            <v>Rep &amp; Maint GE/PM</v>
          </cell>
          <cell r="C333">
            <v>5831.92</v>
          </cell>
          <cell r="E333">
            <v>5379.26</v>
          </cell>
          <cell r="F333">
            <v>0</v>
          </cell>
          <cell r="G333">
            <v>452.65999999999985</v>
          </cell>
          <cell r="H333">
            <v>0</v>
          </cell>
        </row>
        <row r="334">
          <cell r="A334" t="str">
            <v>54123-3100</v>
          </cell>
          <cell r="B334" t="str">
            <v>Other Factory Supplies GE/PM</v>
          </cell>
          <cell r="C334">
            <v>53112.78</v>
          </cell>
          <cell r="E334">
            <v>51739.18</v>
          </cell>
          <cell r="F334">
            <v>0</v>
          </cell>
          <cell r="G334">
            <v>1373.5999999999985</v>
          </cell>
          <cell r="H334">
            <v>0</v>
          </cell>
        </row>
        <row r="335">
          <cell r="A335" t="str">
            <v>54200</v>
          </cell>
          <cell r="B335" t="str">
            <v>Repairs &amp; Maintenance -General</v>
          </cell>
          <cell r="C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</row>
        <row r="336">
          <cell r="A336" t="str">
            <v>54201</v>
          </cell>
          <cell r="B336" t="str">
            <v>Shot Blaster Repair Supplies</v>
          </cell>
          <cell r="C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</row>
        <row r="337">
          <cell r="A337" t="str">
            <v>54202-3200</v>
          </cell>
          <cell r="B337" t="str">
            <v>Shots Shtblstr</v>
          </cell>
          <cell r="C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</row>
        <row r="338">
          <cell r="A338" t="str">
            <v>54203-3200</v>
          </cell>
          <cell r="B338" t="str">
            <v>Oils &amp; Lub ShtBlstr</v>
          </cell>
          <cell r="C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A339" t="str">
            <v>54204-3200</v>
          </cell>
          <cell r="B339" t="str">
            <v>Hardware ShtBlstr</v>
          </cell>
          <cell r="C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</row>
        <row r="340">
          <cell r="A340" t="str">
            <v>54205-3200</v>
          </cell>
          <cell r="B340" t="str">
            <v>Electrical Items ShtBlstr</v>
          </cell>
          <cell r="C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</row>
        <row r="341">
          <cell r="A341" t="str">
            <v>54206-3200</v>
          </cell>
          <cell r="B341" t="str">
            <v>Tools ShtBlstr</v>
          </cell>
          <cell r="C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</row>
        <row r="342">
          <cell r="A342" t="str">
            <v>54207-3200</v>
          </cell>
          <cell r="B342" t="str">
            <v>Rep &amp; Maint ShtBlstr</v>
          </cell>
          <cell r="C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</row>
        <row r="343">
          <cell r="A343" t="str">
            <v>54208-3200</v>
          </cell>
          <cell r="B343" t="str">
            <v>Othr Factory Supplies ShtBlstr</v>
          </cell>
          <cell r="C343">
            <v>31.13</v>
          </cell>
          <cell r="E343">
            <v>31.13</v>
          </cell>
          <cell r="F343">
            <v>0</v>
          </cell>
          <cell r="G343">
            <v>0</v>
          </cell>
          <cell r="H343">
            <v>0</v>
          </cell>
        </row>
        <row r="344">
          <cell r="A344" t="str">
            <v>54209-3300</v>
          </cell>
          <cell r="B344" t="str">
            <v>Oils &amp; Lub Ovrhd Cranes</v>
          </cell>
          <cell r="C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</row>
        <row r="345">
          <cell r="A345" t="str">
            <v>54210-3300</v>
          </cell>
          <cell r="B345" t="str">
            <v>Hardware Ovrhd Cranes</v>
          </cell>
          <cell r="C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</row>
        <row r="346">
          <cell r="A346" t="str">
            <v>54211-3300</v>
          </cell>
          <cell r="B346" t="str">
            <v>Electrical Items Ovrhd Cranes</v>
          </cell>
          <cell r="C346">
            <v>0.05</v>
          </cell>
          <cell r="E346">
            <v>0.05</v>
          </cell>
          <cell r="F346">
            <v>0</v>
          </cell>
          <cell r="G346">
            <v>0</v>
          </cell>
          <cell r="H346">
            <v>0</v>
          </cell>
        </row>
        <row r="347">
          <cell r="A347" t="str">
            <v>54212-3300</v>
          </cell>
          <cell r="B347" t="str">
            <v>Tools Ovrhd Cranes</v>
          </cell>
          <cell r="C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</row>
        <row r="348">
          <cell r="A348" t="str">
            <v>54213-3300</v>
          </cell>
          <cell r="B348" t="str">
            <v>Rep &amp; Maint Ovrhd Cranes</v>
          </cell>
          <cell r="C348">
            <v>3683.28</v>
          </cell>
          <cell r="E348">
            <v>2922.75</v>
          </cell>
          <cell r="F348">
            <v>0</v>
          </cell>
          <cell r="G348">
            <v>760.5300000000002</v>
          </cell>
          <cell r="H348">
            <v>0</v>
          </cell>
        </row>
        <row r="349">
          <cell r="A349" t="str">
            <v>54214-3300</v>
          </cell>
          <cell r="B349" t="str">
            <v>Othr Fctry Sppls Ovrhd Cranes</v>
          </cell>
          <cell r="C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</row>
        <row r="350">
          <cell r="A350" t="str">
            <v>55001</v>
          </cell>
          <cell r="B350" t="str">
            <v>Plate Cost</v>
          </cell>
          <cell r="C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</row>
        <row r="351">
          <cell r="A351" t="str">
            <v>55010</v>
          </cell>
          <cell r="B351" t="str">
            <v>Cost of Sales - Other</v>
          </cell>
          <cell r="D351">
            <v>44346.05</v>
          </cell>
          <cell r="E351">
            <v>0</v>
          </cell>
          <cell r="F351">
            <v>44346.05</v>
          </cell>
          <cell r="G351">
            <v>0</v>
          </cell>
          <cell r="H351">
            <v>0</v>
          </cell>
        </row>
        <row r="352">
          <cell r="A352" t="str">
            <v>55011</v>
          </cell>
          <cell r="B352" t="str">
            <v>Organizational Costs - Plant</v>
          </cell>
          <cell r="C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</row>
        <row r="353">
          <cell r="A353" t="str">
            <v>55012</v>
          </cell>
          <cell r="B353" t="str">
            <v>Pipe Sample Testing</v>
          </cell>
          <cell r="C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</row>
        <row r="354">
          <cell r="A354" t="str">
            <v>55013</v>
          </cell>
          <cell r="B354" t="str">
            <v>Customs Duties</v>
          </cell>
          <cell r="C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</row>
        <row r="355">
          <cell r="A355" t="str">
            <v>55014</v>
          </cell>
          <cell r="B355" t="str">
            <v>OSHA Penalties</v>
          </cell>
          <cell r="C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</row>
        <row r="356">
          <cell r="A356" t="str">
            <v>55015</v>
          </cell>
          <cell r="B356" t="str">
            <v>Consulting Fees - Operations</v>
          </cell>
          <cell r="C356">
            <v>8191.01</v>
          </cell>
          <cell r="E356">
            <v>8191.01</v>
          </cell>
          <cell r="F356">
            <v>0</v>
          </cell>
          <cell r="G356">
            <v>0</v>
          </cell>
          <cell r="H356">
            <v>0</v>
          </cell>
        </row>
        <row r="357">
          <cell r="A357" t="str">
            <v>55016</v>
          </cell>
          <cell r="B357" t="str">
            <v>Mill Claims (Pipes)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</row>
        <row r="358">
          <cell r="A358" t="str">
            <v>60010</v>
          </cell>
          <cell r="B358" t="str">
            <v>Accounting</v>
          </cell>
          <cell r="C358">
            <v>3904.47</v>
          </cell>
          <cell r="E358">
            <v>1603.04</v>
          </cell>
          <cell r="F358">
            <v>0</v>
          </cell>
          <cell r="G358">
            <v>2301.4299999999998</v>
          </cell>
          <cell r="H358">
            <v>0</v>
          </cell>
        </row>
        <row r="359">
          <cell r="A359" t="str">
            <v>60011</v>
          </cell>
          <cell r="B359" t="str">
            <v>Audit Fees</v>
          </cell>
          <cell r="C359">
            <v>8052</v>
          </cell>
          <cell r="E359">
            <v>0</v>
          </cell>
          <cell r="F359">
            <v>0</v>
          </cell>
          <cell r="G359">
            <v>8052</v>
          </cell>
          <cell r="H359">
            <v>0</v>
          </cell>
        </row>
        <row r="360">
          <cell r="A360" t="str">
            <v>60012</v>
          </cell>
          <cell r="B360" t="str">
            <v>Amort. Org. Costs</v>
          </cell>
          <cell r="C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</row>
        <row r="361">
          <cell r="A361" t="str">
            <v>60015</v>
          </cell>
          <cell r="B361" t="str">
            <v>Legal &amp; Professional Fees</v>
          </cell>
          <cell r="C361">
            <v>10000</v>
          </cell>
          <cell r="E361">
            <v>5000</v>
          </cell>
          <cell r="F361">
            <v>0</v>
          </cell>
          <cell r="G361">
            <v>5000</v>
          </cell>
          <cell r="H361">
            <v>0</v>
          </cell>
        </row>
        <row r="362">
          <cell r="A362" t="str">
            <v>60017</v>
          </cell>
          <cell r="B362" t="str">
            <v>Consulting Fees</v>
          </cell>
          <cell r="C362">
            <v>6000</v>
          </cell>
          <cell r="E362">
            <v>4800</v>
          </cell>
          <cell r="F362">
            <v>0</v>
          </cell>
          <cell r="G362">
            <v>1200</v>
          </cell>
          <cell r="H362">
            <v>0</v>
          </cell>
        </row>
        <row r="363">
          <cell r="A363" t="str">
            <v>60020</v>
          </cell>
          <cell r="B363" t="str">
            <v>Advertising</v>
          </cell>
          <cell r="C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</row>
        <row r="364">
          <cell r="A364" t="str">
            <v>60080</v>
          </cell>
          <cell r="B364" t="str">
            <v>Automobile Expenses</v>
          </cell>
          <cell r="C364">
            <v>197.71</v>
          </cell>
          <cell r="E364">
            <v>0</v>
          </cell>
          <cell r="F364">
            <v>0</v>
          </cell>
          <cell r="G364">
            <v>197.71</v>
          </cell>
          <cell r="H364">
            <v>0</v>
          </cell>
        </row>
        <row r="365">
          <cell r="A365" t="str">
            <v>60090</v>
          </cell>
          <cell r="B365" t="str">
            <v>Auto Rental</v>
          </cell>
          <cell r="C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</row>
        <row r="366">
          <cell r="A366" t="str">
            <v>60100</v>
          </cell>
          <cell r="B366" t="str">
            <v>Bad Debts</v>
          </cell>
          <cell r="C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</row>
        <row r="367">
          <cell r="A367" t="str">
            <v>60110</v>
          </cell>
          <cell r="B367" t="str">
            <v>Bank Charges</v>
          </cell>
          <cell r="C367">
            <v>0</v>
          </cell>
          <cell r="E367">
            <v>0</v>
          </cell>
          <cell r="F367">
            <v>0</v>
          </cell>
          <cell r="G367">
            <v>0</v>
          </cell>
          <cell r="H367">
            <v>0</v>
          </cell>
        </row>
        <row r="368">
          <cell r="A368" t="str">
            <v>60115</v>
          </cell>
          <cell r="B368" t="str">
            <v>Bids &amp; Proposals</v>
          </cell>
          <cell r="C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A369" t="str">
            <v>60120</v>
          </cell>
          <cell r="B369" t="str">
            <v>Commissions</v>
          </cell>
          <cell r="C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A370" t="str">
            <v>60140</v>
          </cell>
          <cell r="B370" t="str">
            <v>Delivery &amp; Distribution</v>
          </cell>
          <cell r="C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</row>
        <row r="371">
          <cell r="A371" t="str">
            <v>60160</v>
          </cell>
          <cell r="B371" t="str">
            <v>Depreciation</v>
          </cell>
          <cell r="C371">
            <v>108700</v>
          </cell>
          <cell r="E371">
            <v>54350</v>
          </cell>
          <cell r="F371">
            <v>0</v>
          </cell>
          <cell r="G371">
            <v>54350</v>
          </cell>
          <cell r="H371">
            <v>0</v>
          </cell>
        </row>
        <row r="372">
          <cell r="A372" t="str">
            <v>60180</v>
          </cell>
          <cell r="B372" t="str">
            <v>Donations</v>
          </cell>
          <cell r="C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</row>
        <row r="373">
          <cell r="A373" t="str">
            <v>60200</v>
          </cell>
          <cell r="B373" t="str">
            <v>Dues &amp; Subscriptions</v>
          </cell>
          <cell r="C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</row>
        <row r="374">
          <cell r="A374" t="str">
            <v>60205</v>
          </cell>
          <cell r="B374" t="str">
            <v>Educational Expenses</v>
          </cell>
          <cell r="C374">
            <v>0</v>
          </cell>
          <cell r="E374">
            <v>0</v>
          </cell>
          <cell r="F374">
            <v>0</v>
          </cell>
          <cell r="G374">
            <v>0</v>
          </cell>
          <cell r="H374">
            <v>0</v>
          </cell>
        </row>
        <row r="375">
          <cell r="A375" t="str">
            <v>60210</v>
          </cell>
          <cell r="B375" t="str">
            <v>Employee Medical Exp.</v>
          </cell>
          <cell r="C375">
            <v>1019</v>
          </cell>
          <cell r="E375">
            <v>962</v>
          </cell>
          <cell r="F375">
            <v>0</v>
          </cell>
          <cell r="G375">
            <v>57</v>
          </cell>
          <cell r="H375">
            <v>0</v>
          </cell>
        </row>
        <row r="376">
          <cell r="A376" t="str">
            <v>60211</v>
          </cell>
          <cell r="B376" t="str">
            <v>Employee Medical Expenses</v>
          </cell>
          <cell r="C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</row>
        <row r="377">
          <cell r="A377" t="str">
            <v>60212</v>
          </cell>
          <cell r="B377" t="str">
            <v>Employee Uniforms</v>
          </cell>
          <cell r="C377">
            <v>902.43</v>
          </cell>
          <cell r="E377">
            <v>594.82000000000005</v>
          </cell>
          <cell r="F377">
            <v>0</v>
          </cell>
          <cell r="G377">
            <v>307.6099999999999</v>
          </cell>
          <cell r="H377">
            <v>0</v>
          </cell>
        </row>
        <row r="378">
          <cell r="A378" t="str">
            <v>60220</v>
          </cell>
          <cell r="B378" t="str">
            <v>Employee Benefit Plan</v>
          </cell>
          <cell r="C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</row>
        <row r="379">
          <cell r="A379" t="str">
            <v>60260</v>
          </cell>
          <cell r="B379" t="str">
            <v>Equipment Lease or Rent</v>
          </cell>
          <cell r="C379">
            <v>1944.87</v>
          </cell>
          <cell r="E379">
            <v>724.42</v>
          </cell>
          <cell r="F379">
            <v>0</v>
          </cell>
          <cell r="G379">
            <v>1220.4499999999998</v>
          </cell>
          <cell r="H379">
            <v>0</v>
          </cell>
        </row>
        <row r="380">
          <cell r="A380" t="str">
            <v>60270</v>
          </cell>
          <cell r="B380" t="str">
            <v>Worker's Comp. Ins.</v>
          </cell>
          <cell r="C380">
            <v>88733.83</v>
          </cell>
          <cell r="E380">
            <v>33678.230000000003</v>
          </cell>
          <cell r="F380">
            <v>0</v>
          </cell>
          <cell r="G380">
            <v>55055.6</v>
          </cell>
          <cell r="H380">
            <v>0</v>
          </cell>
        </row>
        <row r="381">
          <cell r="A381" t="str">
            <v>60280</v>
          </cell>
          <cell r="B381" t="str">
            <v>Insurance</v>
          </cell>
          <cell r="C381">
            <v>483.34</v>
          </cell>
          <cell r="E381">
            <v>441.67</v>
          </cell>
          <cell r="F381">
            <v>0</v>
          </cell>
          <cell r="G381">
            <v>41.669999999999959</v>
          </cell>
          <cell r="H381">
            <v>0</v>
          </cell>
        </row>
        <row r="382">
          <cell r="A382" t="str">
            <v>60281</v>
          </cell>
          <cell r="B382" t="str">
            <v>Insurance - Life</v>
          </cell>
          <cell r="C382">
            <v>3513.3</v>
          </cell>
          <cell r="E382">
            <v>3513.3</v>
          </cell>
          <cell r="F382">
            <v>0</v>
          </cell>
          <cell r="G382">
            <v>0</v>
          </cell>
          <cell r="H382">
            <v>0</v>
          </cell>
        </row>
        <row r="383">
          <cell r="A383" t="str">
            <v>60282</v>
          </cell>
          <cell r="B383" t="str">
            <v>Insurance - Medical</v>
          </cell>
          <cell r="C383">
            <v>61562.34</v>
          </cell>
          <cell r="E383">
            <v>32123.74</v>
          </cell>
          <cell r="F383">
            <v>0</v>
          </cell>
          <cell r="G383">
            <v>29438.599999999995</v>
          </cell>
          <cell r="H383">
            <v>0</v>
          </cell>
        </row>
        <row r="384">
          <cell r="A384" t="str">
            <v>60283</v>
          </cell>
          <cell r="B384" t="str">
            <v>Insurance - Dental</v>
          </cell>
          <cell r="C384">
            <v>1628.79</v>
          </cell>
          <cell r="E384">
            <v>833.53</v>
          </cell>
          <cell r="F384">
            <v>0</v>
          </cell>
          <cell r="G384">
            <v>795.26</v>
          </cell>
          <cell r="H384">
            <v>0</v>
          </cell>
        </row>
        <row r="385">
          <cell r="A385" t="str">
            <v>60284</v>
          </cell>
          <cell r="B385" t="str">
            <v>Insurance - Supplementary</v>
          </cell>
          <cell r="C385">
            <v>1704.84</v>
          </cell>
          <cell r="E385">
            <v>210.31</v>
          </cell>
          <cell r="F385">
            <v>0</v>
          </cell>
          <cell r="G385">
            <v>1494.53</v>
          </cell>
          <cell r="H385">
            <v>0</v>
          </cell>
        </row>
        <row r="386">
          <cell r="A386" t="str">
            <v>60285</v>
          </cell>
          <cell r="B386" t="str">
            <v>Property Insurance</v>
          </cell>
          <cell r="C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</row>
        <row r="387">
          <cell r="A387" t="str">
            <v>60286</v>
          </cell>
          <cell r="B387" t="str">
            <v>Insurance - GL</v>
          </cell>
          <cell r="C387">
            <v>9524.16</v>
          </cell>
          <cell r="E387">
            <v>4762.08</v>
          </cell>
          <cell r="F387">
            <v>0</v>
          </cell>
          <cell r="G387">
            <v>4762.08</v>
          </cell>
          <cell r="H387">
            <v>0</v>
          </cell>
        </row>
        <row r="388">
          <cell r="A388" t="str">
            <v>60287</v>
          </cell>
          <cell r="B388" t="str">
            <v>Insurance - UMB</v>
          </cell>
          <cell r="C388">
            <v>13268.84</v>
          </cell>
          <cell r="E388">
            <v>6634.42</v>
          </cell>
          <cell r="F388">
            <v>0</v>
          </cell>
          <cell r="G388">
            <v>6634.42</v>
          </cell>
          <cell r="H388">
            <v>0</v>
          </cell>
        </row>
        <row r="389">
          <cell r="A389" t="str">
            <v>60288</v>
          </cell>
          <cell r="B389" t="str">
            <v>Insurance - Cargo</v>
          </cell>
          <cell r="C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</row>
        <row r="390">
          <cell r="A390" t="str">
            <v>60290</v>
          </cell>
          <cell r="B390" t="str">
            <v>Insurance - Auto</v>
          </cell>
          <cell r="C390">
            <v>3951.16</v>
          </cell>
          <cell r="E390">
            <v>1975.58</v>
          </cell>
          <cell r="F390">
            <v>0</v>
          </cell>
          <cell r="G390">
            <v>1975.58</v>
          </cell>
          <cell r="H390">
            <v>0</v>
          </cell>
        </row>
        <row r="391">
          <cell r="A391" t="str">
            <v>60295</v>
          </cell>
          <cell r="B391" t="str">
            <v>Misc. expense-401(k) plan</v>
          </cell>
          <cell r="C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</row>
        <row r="392">
          <cell r="A392" t="str">
            <v>60296</v>
          </cell>
          <cell r="B392" t="str">
            <v>Company Contribution - 401(k)</v>
          </cell>
          <cell r="C392">
            <v>4637</v>
          </cell>
          <cell r="E392">
            <v>2318.5</v>
          </cell>
          <cell r="F392">
            <v>0</v>
          </cell>
          <cell r="G392">
            <v>2318.5</v>
          </cell>
          <cell r="H392">
            <v>0</v>
          </cell>
        </row>
        <row r="393">
          <cell r="A393" t="str">
            <v>60300</v>
          </cell>
          <cell r="B393" t="str">
            <v>Interest - Long Term</v>
          </cell>
          <cell r="C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</row>
        <row r="394">
          <cell r="A394" t="str">
            <v>60320</v>
          </cell>
          <cell r="B394" t="str">
            <v>Interest - Other</v>
          </cell>
          <cell r="C394">
            <v>65820.710000000006</v>
          </cell>
          <cell r="E394">
            <v>32923.51</v>
          </cell>
          <cell r="F394">
            <v>0</v>
          </cell>
          <cell r="G394">
            <v>32897.200000000004</v>
          </cell>
          <cell r="H394">
            <v>0</v>
          </cell>
        </row>
        <row r="395">
          <cell r="A395" t="str">
            <v>60330</v>
          </cell>
          <cell r="B395" t="str">
            <v>Loan Financing Expenses</v>
          </cell>
          <cell r="C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</row>
        <row r="396">
          <cell r="A396" t="str">
            <v>60331</v>
          </cell>
          <cell r="B396" t="str">
            <v>Interest and Finance Charges</v>
          </cell>
          <cell r="C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</row>
        <row r="397">
          <cell r="A397" t="str">
            <v>60340</v>
          </cell>
          <cell r="B397" t="str">
            <v>Inventory Adjustment</v>
          </cell>
          <cell r="C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</row>
        <row r="398">
          <cell r="A398" t="str">
            <v>60360</v>
          </cell>
          <cell r="B398" t="str">
            <v>License &amp; Memberships</v>
          </cell>
          <cell r="C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</row>
        <row r="399">
          <cell r="A399" t="str">
            <v>60365</v>
          </cell>
          <cell r="B399" t="str">
            <v>Lodging</v>
          </cell>
          <cell r="C399">
            <v>2137.59</v>
          </cell>
          <cell r="E399">
            <v>950.04</v>
          </cell>
          <cell r="F399">
            <v>0</v>
          </cell>
          <cell r="G399">
            <v>1187.5500000000002</v>
          </cell>
          <cell r="H399">
            <v>0</v>
          </cell>
        </row>
        <row r="400">
          <cell r="A400" t="str">
            <v>60370</v>
          </cell>
          <cell r="B400" t="str">
            <v>Marketing</v>
          </cell>
          <cell r="C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</row>
        <row r="401">
          <cell r="A401" t="str">
            <v>60380</v>
          </cell>
          <cell r="B401" t="str">
            <v>Misc. Expenses</v>
          </cell>
          <cell r="C401">
            <v>334.49</v>
          </cell>
          <cell r="E401">
            <v>280.36</v>
          </cell>
          <cell r="F401">
            <v>0</v>
          </cell>
          <cell r="G401">
            <v>54.129999999999995</v>
          </cell>
          <cell r="H401">
            <v>0</v>
          </cell>
        </row>
        <row r="402">
          <cell r="A402" t="str">
            <v>60390</v>
          </cell>
          <cell r="B402" t="str">
            <v>Apartment Expenses- Misc.</v>
          </cell>
          <cell r="C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</row>
        <row r="403">
          <cell r="A403" t="str">
            <v>60400</v>
          </cell>
          <cell r="B403" t="str">
            <v>Moving</v>
          </cell>
          <cell r="C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</row>
        <row r="404">
          <cell r="A404" t="str">
            <v>60410</v>
          </cell>
          <cell r="B404" t="str">
            <v>Office Supplies</v>
          </cell>
          <cell r="C404">
            <v>2779.74</v>
          </cell>
          <cell r="E404">
            <v>1394.53</v>
          </cell>
          <cell r="F404">
            <v>0</v>
          </cell>
          <cell r="G404">
            <v>1385.2099999999998</v>
          </cell>
          <cell r="H404">
            <v>0</v>
          </cell>
        </row>
        <row r="405">
          <cell r="A405" t="str">
            <v>60500</v>
          </cell>
          <cell r="B405" t="str">
            <v>Overhead Costs</v>
          </cell>
          <cell r="C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</row>
        <row r="406">
          <cell r="A406" t="str">
            <v>60510</v>
          </cell>
          <cell r="B406" t="str">
            <v>Internet Connection expenses</v>
          </cell>
          <cell r="C406">
            <v>2490.89</v>
          </cell>
          <cell r="E406">
            <v>1225.83</v>
          </cell>
          <cell r="F406">
            <v>0</v>
          </cell>
          <cell r="G406">
            <v>1265.06</v>
          </cell>
          <cell r="H406">
            <v>0</v>
          </cell>
        </row>
        <row r="407">
          <cell r="A407" t="str">
            <v>60520</v>
          </cell>
          <cell r="B407" t="str">
            <v>Postage Expenses</v>
          </cell>
          <cell r="C407">
            <v>200</v>
          </cell>
          <cell r="E407">
            <v>100</v>
          </cell>
          <cell r="F407">
            <v>0</v>
          </cell>
          <cell r="G407">
            <v>100</v>
          </cell>
          <cell r="H407">
            <v>0</v>
          </cell>
        </row>
        <row r="408">
          <cell r="A408" t="str">
            <v>60540</v>
          </cell>
          <cell r="B408" t="str">
            <v>Meals &amp; Entertainment</v>
          </cell>
          <cell r="C408">
            <v>932.01</v>
          </cell>
          <cell r="E408">
            <v>765.75</v>
          </cell>
          <cell r="F408">
            <v>0</v>
          </cell>
          <cell r="G408">
            <v>166.26</v>
          </cell>
          <cell r="H408">
            <v>0</v>
          </cell>
        </row>
        <row r="409">
          <cell r="A409" t="str">
            <v>60550</v>
          </cell>
          <cell r="B409" t="str">
            <v>Purchase Discounts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</row>
        <row r="410">
          <cell r="A410" t="str">
            <v>60560</v>
          </cell>
          <cell r="B410" t="str">
            <v>Rent - Office</v>
          </cell>
          <cell r="C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</row>
        <row r="411">
          <cell r="A411" t="str">
            <v>60565</v>
          </cell>
          <cell r="B411" t="str">
            <v>Rent - Housing</v>
          </cell>
          <cell r="C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</row>
        <row r="412">
          <cell r="A412" t="str">
            <v>60566</v>
          </cell>
          <cell r="B412" t="str">
            <v>APT. RENT - BOB SCHAAL</v>
          </cell>
          <cell r="C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</row>
        <row r="413">
          <cell r="A413" t="str">
            <v>60567</v>
          </cell>
          <cell r="B413" t="str">
            <v>Rent - Equipment</v>
          </cell>
          <cell r="C413">
            <v>5437.28</v>
          </cell>
          <cell r="E413">
            <v>3159.33</v>
          </cell>
          <cell r="F413">
            <v>0</v>
          </cell>
          <cell r="G413">
            <v>2277.9499999999998</v>
          </cell>
          <cell r="H413">
            <v>0</v>
          </cell>
        </row>
        <row r="414">
          <cell r="A414" t="str">
            <v>60580</v>
          </cell>
          <cell r="B414" t="str">
            <v>Repairs &amp; Maint. - Office</v>
          </cell>
          <cell r="C414">
            <v>87.24</v>
          </cell>
          <cell r="E414">
            <v>87.24</v>
          </cell>
          <cell r="F414">
            <v>0</v>
          </cell>
          <cell r="G414">
            <v>0</v>
          </cell>
          <cell r="H414">
            <v>0</v>
          </cell>
        </row>
        <row r="415">
          <cell r="A415" t="str">
            <v>60585</v>
          </cell>
          <cell r="B415" t="str">
            <v>Repairs &amp; Maint.-Housing</v>
          </cell>
          <cell r="C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</row>
        <row r="416">
          <cell r="A416" t="str">
            <v>60590</v>
          </cell>
          <cell r="B416" t="str">
            <v>Safety Supplies &amp; Expenses</v>
          </cell>
          <cell r="C416">
            <v>1555.73</v>
          </cell>
          <cell r="E416">
            <v>768.9</v>
          </cell>
          <cell r="F416">
            <v>0</v>
          </cell>
          <cell r="G416">
            <v>786.83</v>
          </cell>
          <cell r="H416">
            <v>0</v>
          </cell>
        </row>
        <row r="417">
          <cell r="A417" t="str">
            <v>60591</v>
          </cell>
          <cell r="B417" t="str">
            <v>Environmental Maintenance</v>
          </cell>
          <cell r="C417">
            <v>2400.79</v>
          </cell>
          <cell r="E417">
            <v>0</v>
          </cell>
          <cell r="F417">
            <v>0</v>
          </cell>
          <cell r="G417">
            <v>2400.79</v>
          </cell>
          <cell r="H417">
            <v>0</v>
          </cell>
        </row>
        <row r="418">
          <cell r="A418" t="str">
            <v>60600</v>
          </cell>
          <cell r="B418" t="str">
            <v>Shipping and Freight Expenses</v>
          </cell>
          <cell r="C418">
            <v>2943.36</v>
          </cell>
          <cell r="E418">
            <v>270.26</v>
          </cell>
          <cell r="F418">
            <v>0</v>
          </cell>
          <cell r="G418">
            <v>2673.1000000000004</v>
          </cell>
          <cell r="H418">
            <v>0</v>
          </cell>
        </row>
        <row r="419">
          <cell r="A419" t="str">
            <v>60650</v>
          </cell>
          <cell r="B419" t="str">
            <v>Stationary &amp; Printing</v>
          </cell>
          <cell r="C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</row>
        <row r="420">
          <cell r="A420" t="str">
            <v>60660</v>
          </cell>
          <cell r="B420" t="str">
            <v>Travel</v>
          </cell>
          <cell r="C420">
            <v>188.85</v>
          </cell>
          <cell r="E420">
            <v>167.85</v>
          </cell>
          <cell r="F420">
            <v>0</v>
          </cell>
          <cell r="G420">
            <v>21</v>
          </cell>
          <cell r="H420">
            <v>0</v>
          </cell>
        </row>
        <row r="421">
          <cell r="A421" t="str">
            <v>60680</v>
          </cell>
          <cell r="B421" t="str">
            <v>Telephone, FAX &amp; Telex</v>
          </cell>
          <cell r="C421">
            <v>5509.36</v>
          </cell>
          <cell r="E421">
            <v>2667.79</v>
          </cell>
          <cell r="F421">
            <v>0</v>
          </cell>
          <cell r="G421">
            <v>2841.5699999999997</v>
          </cell>
          <cell r="H421">
            <v>0</v>
          </cell>
        </row>
        <row r="422">
          <cell r="A422" t="str">
            <v>60700</v>
          </cell>
          <cell r="B422" t="str">
            <v>Utilities</v>
          </cell>
          <cell r="C422">
            <v>1007.5</v>
          </cell>
          <cell r="E422">
            <v>1007.5</v>
          </cell>
          <cell r="F422">
            <v>0</v>
          </cell>
          <cell r="G422">
            <v>0</v>
          </cell>
          <cell r="H422">
            <v>0</v>
          </cell>
        </row>
        <row r="423">
          <cell r="A423" t="str">
            <v>60700-8600</v>
          </cell>
          <cell r="B423" t="str">
            <v>Utilities - Electricity</v>
          </cell>
          <cell r="C423">
            <v>150000</v>
          </cell>
          <cell r="E423">
            <v>75000</v>
          </cell>
          <cell r="F423">
            <v>0</v>
          </cell>
          <cell r="G423">
            <v>75000</v>
          </cell>
          <cell r="H423">
            <v>0</v>
          </cell>
        </row>
        <row r="424">
          <cell r="A424" t="str">
            <v>60700-8700</v>
          </cell>
          <cell r="B424" t="str">
            <v>Utilities - Gas</v>
          </cell>
          <cell r="C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</row>
        <row r="425">
          <cell r="A425" t="str">
            <v>60700-8800</v>
          </cell>
          <cell r="B425" t="str">
            <v>Utilities - Water</v>
          </cell>
          <cell r="C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</row>
        <row r="426">
          <cell r="A426" t="str">
            <v>60701</v>
          </cell>
          <cell r="B426" t="str">
            <v>ISO EXPENSES</v>
          </cell>
          <cell r="C426">
            <v>740</v>
          </cell>
          <cell r="E426">
            <v>740</v>
          </cell>
          <cell r="F426">
            <v>0</v>
          </cell>
          <cell r="G426">
            <v>0</v>
          </cell>
          <cell r="H426">
            <v>0</v>
          </cell>
        </row>
        <row r="427">
          <cell r="A427" t="str">
            <v>60705</v>
          </cell>
          <cell r="B427" t="str">
            <v>Waste Management</v>
          </cell>
          <cell r="C427">
            <v>575.04</v>
          </cell>
          <cell r="E427">
            <v>500.04</v>
          </cell>
          <cell r="F427">
            <v>0</v>
          </cell>
          <cell r="G427">
            <v>74.999999999999943</v>
          </cell>
          <cell r="H427">
            <v>0</v>
          </cell>
        </row>
        <row r="428">
          <cell r="A428" t="str">
            <v>60710</v>
          </cell>
          <cell r="B428" t="str">
            <v>Salaries &amp; Wages</v>
          </cell>
          <cell r="C428">
            <v>24438.44</v>
          </cell>
          <cell r="E428">
            <v>102946.61</v>
          </cell>
          <cell r="F428">
            <v>0</v>
          </cell>
          <cell r="G428">
            <v>-78508.17</v>
          </cell>
          <cell r="H428">
            <v>0</v>
          </cell>
        </row>
        <row r="429">
          <cell r="A429" t="str">
            <v>60710-1000</v>
          </cell>
          <cell r="B429" t="str">
            <v>Salaries and wages-Office</v>
          </cell>
          <cell r="C429">
            <v>4931.4399999999996</v>
          </cell>
          <cell r="E429">
            <v>2670.53</v>
          </cell>
          <cell r="F429">
            <v>0</v>
          </cell>
          <cell r="G429">
            <v>2260.9099999999994</v>
          </cell>
          <cell r="H429">
            <v>0</v>
          </cell>
        </row>
        <row r="430">
          <cell r="A430" t="str">
            <v>60710-1100</v>
          </cell>
          <cell r="B430" t="str">
            <v>Salaries and wages-Accounting</v>
          </cell>
          <cell r="C430">
            <v>12244.9</v>
          </cell>
          <cell r="E430">
            <v>5510</v>
          </cell>
          <cell r="F430">
            <v>0</v>
          </cell>
          <cell r="G430">
            <v>6734.9</v>
          </cell>
          <cell r="H430">
            <v>0</v>
          </cell>
        </row>
        <row r="431">
          <cell r="A431" t="str">
            <v>60710-1200</v>
          </cell>
          <cell r="B431" t="str">
            <v>Salaries and wages-Marketing</v>
          </cell>
          <cell r="C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</row>
        <row r="432">
          <cell r="A432" t="str">
            <v>60710-1300</v>
          </cell>
          <cell r="B432" t="str">
            <v>Salaries and wages-Engineering</v>
          </cell>
          <cell r="C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</row>
        <row r="433">
          <cell r="A433" t="str">
            <v>60710-1400</v>
          </cell>
          <cell r="B433" t="str">
            <v>Salaries and wages-Prod. Mgmt</v>
          </cell>
          <cell r="C433">
            <v>33652.92</v>
          </cell>
          <cell r="E433">
            <v>15768.86</v>
          </cell>
          <cell r="F433">
            <v>0</v>
          </cell>
          <cell r="G433">
            <v>17884.059999999998</v>
          </cell>
          <cell r="H433">
            <v>0</v>
          </cell>
        </row>
        <row r="434">
          <cell r="A434" t="str">
            <v>60710-1500</v>
          </cell>
          <cell r="B434" t="str">
            <v>Salaries &amp; wages - HR/ Safety</v>
          </cell>
          <cell r="C434">
            <v>22539.97</v>
          </cell>
          <cell r="E434">
            <v>11790.26</v>
          </cell>
          <cell r="F434">
            <v>0</v>
          </cell>
          <cell r="G434">
            <v>10749.710000000001</v>
          </cell>
          <cell r="H434">
            <v>0</v>
          </cell>
        </row>
        <row r="435">
          <cell r="A435" t="str">
            <v>60710-1600</v>
          </cell>
          <cell r="B435" t="str">
            <v>Salaries and wages-Exec. Mgmt.</v>
          </cell>
          <cell r="C435">
            <v>4807.6000000000004</v>
          </cell>
          <cell r="E435">
            <v>4807.6000000000004</v>
          </cell>
          <cell r="F435">
            <v>0</v>
          </cell>
          <cell r="G435">
            <v>0</v>
          </cell>
          <cell r="H435">
            <v>0</v>
          </cell>
        </row>
        <row r="436">
          <cell r="A436" t="str">
            <v>60710-1700</v>
          </cell>
          <cell r="B436" t="str">
            <v>Salaries and wages-Purchasing</v>
          </cell>
          <cell r="C436">
            <v>6600</v>
          </cell>
          <cell r="E436">
            <v>2640</v>
          </cell>
          <cell r="F436">
            <v>0</v>
          </cell>
          <cell r="G436">
            <v>3960</v>
          </cell>
          <cell r="H436">
            <v>0</v>
          </cell>
        </row>
        <row r="437">
          <cell r="A437" t="str">
            <v>60710-2100</v>
          </cell>
          <cell r="B437" t="str">
            <v>Salaries and wages-Forming</v>
          </cell>
          <cell r="C437">
            <v>29367.45</v>
          </cell>
          <cell r="E437">
            <v>16480.8</v>
          </cell>
          <cell r="F437">
            <v>0</v>
          </cell>
          <cell r="G437">
            <v>12886.650000000001</v>
          </cell>
          <cell r="H437">
            <v>0</v>
          </cell>
        </row>
        <row r="438">
          <cell r="A438" t="str">
            <v>60710-2200</v>
          </cell>
          <cell r="B438" t="str">
            <v>Salaries and wages-Welding</v>
          </cell>
          <cell r="C438">
            <v>72372.25</v>
          </cell>
          <cell r="E438">
            <v>43184.74</v>
          </cell>
          <cell r="F438">
            <v>0</v>
          </cell>
          <cell r="G438">
            <v>29187.510000000002</v>
          </cell>
          <cell r="H438">
            <v>0</v>
          </cell>
        </row>
        <row r="439">
          <cell r="A439" t="str">
            <v>60710-2300</v>
          </cell>
          <cell r="B439" t="str">
            <v>Salaries and wages-Finishing</v>
          </cell>
          <cell r="C439">
            <v>50486.66</v>
          </cell>
          <cell r="E439">
            <v>26449.19</v>
          </cell>
          <cell r="F439">
            <v>0</v>
          </cell>
          <cell r="G439">
            <v>24037.470000000005</v>
          </cell>
          <cell r="H439">
            <v>0</v>
          </cell>
        </row>
        <row r="440">
          <cell r="A440" t="str">
            <v>60710-2400</v>
          </cell>
          <cell r="B440" t="str">
            <v>Salaries and wages-Maintenance</v>
          </cell>
          <cell r="C440">
            <v>132266</v>
          </cell>
          <cell r="E440">
            <v>66401.98</v>
          </cell>
          <cell r="F440">
            <v>0</v>
          </cell>
          <cell r="G440">
            <v>65864.02</v>
          </cell>
          <cell r="H440">
            <v>0</v>
          </cell>
        </row>
        <row r="441">
          <cell r="A441" t="str">
            <v>60710-2500</v>
          </cell>
          <cell r="B441" t="str">
            <v>Salaries and wages - QA/QC</v>
          </cell>
          <cell r="C441">
            <v>84943.11</v>
          </cell>
          <cell r="E441">
            <v>44425.16</v>
          </cell>
          <cell r="F441">
            <v>0</v>
          </cell>
          <cell r="G441">
            <v>40517.949999999997</v>
          </cell>
          <cell r="H441">
            <v>0</v>
          </cell>
        </row>
        <row r="442">
          <cell r="A442" t="str">
            <v>60710-2600</v>
          </cell>
          <cell r="B442" t="str">
            <v>Salaries and wages-Shipping</v>
          </cell>
          <cell r="C442">
            <v>44407.71</v>
          </cell>
          <cell r="E442">
            <v>23154.14</v>
          </cell>
          <cell r="F442">
            <v>0</v>
          </cell>
          <cell r="G442">
            <v>21253.57</v>
          </cell>
          <cell r="H442">
            <v>0</v>
          </cell>
        </row>
        <row r="443">
          <cell r="A443" t="str">
            <v>60710-2700</v>
          </cell>
          <cell r="B443" t="str">
            <v>Salaries and wages-Cranemen</v>
          </cell>
          <cell r="C443">
            <v>12284.88</v>
          </cell>
          <cell r="E443">
            <v>7969.58</v>
          </cell>
          <cell r="F443">
            <v>0</v>
          </cell>
          <cell r="G443">
            <v>4315.2999999999993</v>
          </cell>
          <cell r="H443">
            <v>0</v>
          </cell>
        </row>
        <row r="444">
          <cell r="A444" t="str">
            <v>60710-2800</v>
          </cell>
          <cell r="B444" t="str">
            <v>Salaries and wages-Storeroom</v>
          </cell>
          <cell r="C444">
            <v>12408.47</v>
          </cell>
          <cell r="E444">
            <v>6204.62</v>
          </cell>
          <cell r="F444">
            <v>0</v>
          </cell>
          <cell r="G444">
            <v>6203.8499999999995</v>
          </cell>
          <cell r="H444">
            <v>0</v>
          </cell>
        </row>
        <row r="445">
          <cell r="A445" t="str">
            <v>60710-2900</v>
          </cell>
          <cell r="B445" t="str">
            <v>Salaries and wages-General</v>
          </cell>
          <cell r="C445">
            <v>2389.5</v>
          </cell>
          <cell r="E445">
            <v>1381.5</v>
          </cell>
          <cell r="F445">
            <v>0</v>
          </cell>
          <cell r="G445">
            <v>1008</v>
          </cell>
          <cell r="H445">
            <v>0</v>
          </cell>
        </row>
        <row r="446">
          <cell r="A446" t="str">
            <v>60710-3000</v>
          </cell>
          <cell r="B446" t="str">
            <v>Salaries and Wages-Plate Mill</v>
          </cell>
          <cell r="C446">
            <v>0</v>
          </cell>
          <cell r="E446">
            <v>0</v>
          </cell>
          <cell r="F446">
            <v>0</v>
          </cell>
          <cell r="G446">
            <v>0</v>
          </cell>
          <cell r="H446">
            <v>0</v>
          </cell>
        </row>
        <row r="447">
          <cell r="A447" t="str">
            <v>60711</v>
          </cell>
          <cell r="B447" t="str">
            <v>Salary - Escrow CPW</v>
          </cell>
          <cell r="C447">
            <v>26086.959999999999</v>
          </cell>
          <cell r="E447">
            <v>13043.48</v>
          </cell>
          <cell r="F447">
            <v>0</v>
          </cell>
          <cell r="G447">
            <v>13043.48</v>
          </cell>
          <cell r="H447">
            <v>0</v>
          </cell>
        </row>
        <row r="448">
          <cell r="A448" t="str">
            <v>60715</v>
          </cell>
          <cell r="B448" t="str">
            <v>Recruitment Expenses</v>
          </cell>
          <cell r="C448">
            <v>4085</v>
          </cell>
          <cell r="E448">
            <v>2105</v>
          </cell>
          <cell r="F448">
            <v>0</v>
          </cell>
          <cell r="G448">
            <v>1980</v>
          </cell>
          <cell r="H448">
            <v>0</v>
          </cell>
        </row>
        <row r="449">
          <cell r="A449" t="str">
            <v>60720</v>
          </cell>
          <cell r="B449" t="str">
            <v>Employee Bonus</v>
          </cell>
          <cell r="C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</row>
        <row r="450">
          <cell r="A450" t="str">
            <v>60730</v>
          </cell>
          <cell r="B450" t="str">
            <v>Wages - Contract</v>
          </cell>
          <cell r="C450">
            <v>50624.15</v>
          </cell>
          <cell r="E450">
            <v>36197.15</v>
          </cell>
          <cell r="F450">
            <v>0</v>
          </cell>
          <cell r="G450">
            <v>14427</v>
          </cell>
          <cell r="H450">
            <v>0</v>
          </cell>
        </row>
        <row r="451">
          <cell r="A451" t="str">
            <v>60750</v>
          </cell>
          <cell r="B451" t="str">
            <v>SAW Pipes Ltd.-exp on behalf</v>
          </cell>
          <cell r="C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</row>
        <row r="452">
          <cell r="A452" t="str">
            <v>60755</v>
          </cell>
          <cell r="B452" t="str">
            <v>ST. JAMES-Exp on behalf</v>
          </cell>
          <cell r="C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</row>
        <row r="453">
          <cell r="A453" t="str">
            <v>60756</v>
          </cell>
          <cell r="B453" t="str">
            <v>Expenses Incurred-Sable</v>
          </cell>
          <cell r="C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</row>
        <row r="454">
          <cell r="A454" t="str">
            <v>60760</v>
          </cell>
          <cell r="B454" t="str">
            <v>Loss on Impairment of Asset</v>
          </cell>
          <cell r="C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</row>
        <row r="455">
          <cell r="A455" t="str">
            <v>80000</v>
          </cell>
          <cell r="B455" t="str">
            <v>Disposal of Assets-Proceeds</v>
          </cell>
          <cell r="C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</row>
        <row r="456">
          <cell r="A456" t="str">
            <v>80100</v>
          </cell>
          <cell r="B456" t="str">
            <v>Disposal of Assets-Cost</v>
          </cell>
          <cell r="C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</row>
        <row r="457">
          <cell r="A457" t="str">
            <v>90000</v>
          </cell>
          <cell r="B457" t="str">
            <v>Corporate Income Taxes</v>
          </cell>
          <cell r="C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</row>
        <row r="458">
          <cell r="A458" t="str">
            <v>90050</v>
          </cell>
          <cell r="B458" t="str">
            <v>Payroll Taxes</v>
          </cell>
          <cell r="C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</row>
        <row r="459">
          <cell r="A459" t="str">
            <v>90050-1100</v>
          </cell>
          <cell r="B459" t="str">
            <v>Payroll Taxes-Social security</v>
          </cell>
          <cell r="C459">
            <v>31376.39</v>
          </cell>
          <cell r="E459">
            <v>16581.53</v>
          </cell>
          <cell r="F459">
            <v>0</v>
          </cell>
          <cell r="G459">
            <v>14794.86</v>
          </cell>
          <cell r="H459">
            <v>0</v>
          </cell>
        </row>
        <row r="460">
          <cell r="A460" t="str">
            <v>90050-1200</v>
          </cell>
          <cell r="B460" t="str">
            <v>Payroll Taxes-Medicare</v>
          </cell>
          <cell r="C460">
            <v>7407.24</v>
          </cell>
          <cell r="E460">
            <v>3947.14</v>
          </cell>
          <cell r="F460">
            <v>0</v>
          </cell>
          <cell r="G460">
            <v>3460.1</v>
          </cell>
          <cell r="H460">
            <v>0</v>
          </cell>
        </row>
        <row r="461">
          <cell r="A461" t="str">
            <v>90050-1300</v>
          </cell>
          <cell r="B461" t="str">
            <v>Payroll Taxes-FUTA</v>
          </cell>
          <cell r="C461">
            <v>775.97</v>
          </cell>
          <cell r="E461">
            <v>430.5</v>
          </cell>
          <cell r="F461">
            <v>0</v>
          </cell>
          <cell r="G461">
            <v>345.47</v>
          </cell>
          <cell r="H461">
            <v>0</v>
          </cell>
        </row>
        <row r="462">
          <cell r="A462" t="str">
            <v>90050-1400</v>
          </cell>
          <cell r="B462" t="str">
            <v>Payroll Taxes-SUTA</v>
          </cell>
          <cell r="C462">
            <v>6819.54</v>
          </cell>
          <cell r="E462">
            <v>3764.28</v>
          </cell>
          <cell r="F462">
            <v>0</v>
          </cell>
          <cell r="G462">
            <v>3055.2599999999998</v>
          </cell>
          <cell r="H462">
            <v>0</v>
          </cell>
        </row>
        <row r="463">
          <cell r="A463" t="str">
            <v>90060</v>
          </cell>
          <cell r="B463" t="str">
            <v>Misc. Taxes</v>
          </cell>
          <cell r="C463">
            <v>1303.08</v>
          </cell>
          <cell r="E463">
            <v>651.54</v>
          </cell>
          <cell r="F463">
            <v>0</v>
          </cell>
          <cell r="G463">
            <v>651.54</v>
          </cell>
          <cell r="H463">
            <v>0</v>
          </cell>
        </row>
        <row r="464">
          <cell r="A464" t="str">
            <v>90100</v>
          </cell>
          <cell r="B464" t="str">
            <v>Income tax benefit</v>
          </cell>
          <cell r="C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</row>
        <row r="465">
          <cell r="A465" t="str">
            <v>90150</v>
          </cell>
          <cell r="B465" t="str">
            <v>Franchise Tax</v>
          </cell>
          <cell r="C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</row>
        <row r="466">
          <cell r="A466" t="str">
            <v>90159</v>
          </cell>
          <cell r="B466" t="str">
            <v>Property Tax - Prior year</v>
          </cell>
          <cell r="C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</row>
        <row r="467">
          <cell r="A467" t="str">
            <v>90160</v>
          </cell>
          <cell r="B467" t="str">
            <v>Property Tax - Current year</v>
          </cell>
          <cell r="C467">
            <v>40000</v>
          </cell>
          <cell r="E467">
            <v>20000</v>
          </cell>
          <cell r="F467">
            <v>0</v>
          </cell>
          <cell r="G467">
            <v>20000</v>
          </cell>
          <cell r="H467">
            <v>0</v>
          </cell>
        </row>
        <row r="468">
          <cell r="A468" t="str">
            <v>90161</v>
          </cell>
          <cell r="B468" t="str">
            <v>Property Tax - Prior Years</v>
          </cell>
          <cell r="C468">
            <v>0</v>
          </cell>
          <cell r="E468">
            <v>0</v>
          </cell>
          <cell r="F468">
            <v>0</v>
          </cell>
          <cell r="G468">
            <v>0</v>
          </cell>
          <cell r="H468">
            <v>0</v>
          </cell>
        </row>
        <row r="469">
          <cell r="A469" t="str">
            <v>90200</v>
          </cell>
          <cell r="B469" t="str">
            <v>Federal Unemployment Tax</v>
          </cell>
          <cell r="C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</row>
        <row r="470">
          <cell r="A470" t="str">
            <v>90300</v>
          </cell>
          <cell r="B470" t="str">
            <v>State Unemployment Tax</v>
          </cell>
          <cell r="C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</row>
        <row r="471">
          <cell r="A471" t="str">
            <v>90500</v>
          </cell>
          <cell r="B471" t="str">
            <v>Deferred Taxes Adjustment</v>
          </cell>
          <cell r="C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</row>
      </sheetData>
      <sheetData sheetId="1">
        <row r="131">
          <cell r="A131" t="str">
            <v>40000</v>
          </cell>
          <cell r="B131" t="str">
            <v>Sales</v>
          </cell>
          <cell r="C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</row>
        <row r="132">
          <cell r="A132" t="str">
            <v>40000-8100</v>
          </cell>
          <cell r="B132" t="str">
            <v>Sales - Primary Pipes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40000-8200</v>
          </cell>
          <cell r="B133" t="str">
            <v>Revenue - Stocking charges</v>
          </cell>
          <cell r="D133">
            <v>16557.18</v>
          </cell>
          <cell r="E133">
            <v>0</v>
          </cell>
          <cell r="F133">
            <v>16557.18</v>
          </cell>
          <cell r="G133">
            <v>0</v>
          </cell>
          <cell r="H133">
            <v>0</v>
          </cell>
        </row>
        <row r="134">
          <cell r="A134" t="str">
            <v>40000-8300</v>
          </cell>
          <cell r="B134" t="str">
            <v>Sales - Scrap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A135" t="str">
            <v>40000-8400</v>
          </cell>
          <cell r="B135" t="str">
            <v>Sales - Used Oil</v>
          </cell>
          <cell r="C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</row>
        <row r="136">
          <cell r="A136" t="str">
            <v>40000-8500</v>
          </cell>
          <cell r="B136" t="str">
            <v>Sales - Conversion</v>
          </cell>
          <cell r="D136">
            <v>1256724.6499999999</v>
          </cell>
          <cell r="E136">
            <v>0</v>
          </cell>
          <cell r="F136">
            <v>1256724.6499999999</v>
          </cell>
          <cell r="G136">
            <v>0</v>
          </cell>
          <cell r="H136">
            <v>0</v>
          </cell>
        </row>
        <row r="137">
          <cell r="A137" t="str">
            <v>40100</v>
          </cell>
          <cell r="B137" t="str">
            <v>Sales Returns &amp; Allowances</v>
          </cell>
          <cell r="C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A138" t="str">
            <v>40150</v>
          </cell>
          <cell r="B138" t="str">
            <v>Sales Discounts</v>
          </cell>
          <cell r="C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40170</v>
          </cell>
          <cell r="B139" t="str">
            <v>Sales Commissions - USS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A140" t="str">
            <v>40180</v>
          </cell>
          <cell r="B140" t="str">
            <v>Sales Commissions - Other</v>
          </cell>
          <cell r="C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40200</v>
          </cell>
          <cell r="B141" t="str">
            <v>Delivery Revenue</v>
          </cell>
          <cell r="C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A142" t="str">
            <v>40205</v>
          </cell>
          <cell r="B142" t="str">
            <v>Income - Change in Dep. Method</v>
          </cell>
          <cell r="C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A143" t="str">
            <v>40206</v>
          </cell>
          <cell r="B143" t="str">
            <v>Gain/Loss on Disposal of Asset</v>
          </cell>
          <cell r="C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</row>
        <row r="144">
          <cell r="A144" t="str">
            <v>40210</v>
          </cell>
          <cell r="B144" t="str">
            <v>Income-Forgiveness of Interest</v>
          </cell>
          <cell r="C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40220</v>
          </cell>
          <cell r="B145" t="str">
            <v>Interest Income</v>
          </cell>
          <cell r="C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40230</v>
          </cell>
          <cell r="B146" t="str">
            <v>Misc. Income</v>
          </cell>
          <cell r="D146">
            <v>45435.67</v>
          </cell>
          <cell r="E146">
            <v>0</v>
          </cell>
          <cell r="F146">
            <v>1510</v>
          </cell>
          <cell r="G146">
            <v>0</v>
          </cell>
          <cell r="H146">
            <v>43925.67</v>
          </cell>
        </row>
        <row r="147">
          <cell r="A147" t="str">
            <v>40240</v>
          </cell>
          <cell r="B147" t="str">
            <v>Claims on Plates</v>
          </cell>
          <cell r="C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40250</v>
          </cell>
          <cell r="B148" t="str">
            <v>Income/Loss from CR SAW Invsmt</v>
          </cell>
          <cell r="C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A149" t="str">
            <v>40260</v>
          </cell>
          <cell r="B149" t="str">
            <v>Income/Loss from USD Invsmt</v>
          </cell>
          <cell r="C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40270</v>
          </cell>
          <cell r="B150" t="str">
            <v>Extraordinary Gain-Insrnc Clm</v>
          </cell>
          <cell r="C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50000-1030</v>
          </cell>
          <cell r="B151" t="str">
            <v>U-Press Cylinder Repairs</v>
          </cell>
          <cell r="C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A152" t="str">
            <v>50109-1000</v>
          </cell>
          <cell r="B152" t="str">
            <v>Oils &amp; Lubs. PP/PPEP</v>
          </cell>
          <cell r="C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50115-1000</v>
          </cell>
          <cell r="B153" t="str">
            <v>Hardware PP/PPEP</v>
          </cell>
          <cell r="C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50117-1000</v>
          </cell>
          <cell r="B154" t="str">
            <v>Electrical/Elect. item PP/PPEP</v>
          </cell>
          <cell r="C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</row>
        <row r="155">
          <cell r="A155" t="str">
            <v>50119-1000</v>
          </cell>
          <cell r="B155" t="str">
            <v>Tools PP/PPEP</v>
          </cell>
          <cell r="C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50121-1000</v>
          </cell>
          <cell r="B156" t="str">
            <v>Rep. &amp; Maint. PP/PPEP</v>
          </cell>
          <cell r="C156">
            <v>7600</v>
          </cell>
          <cell r="E156">
            <v>7600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50123-1000</v>
          </cell>
          <cell r="B157" t="str">
            <v>Other Factory Supplies PP/PPEP</v>
          </cell>
          <cell r="C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</row>
        <row r="158">
          <cell r="A158" t="str">
            <v>50209-1010</v>
          </cell>
          <cell r="B158" t="str">
            <v>Oils &amp; Lub. EP/PPEP</v>
          </cell>
          <cell r="C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50215-1010</v>
          </cell>
          <cell r="B159" t="str">
            <v>Hardware EP/PPEP</v>
          </cell>
          <cell r="C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A160" t="str">
            <v>50217-1010</v>
          </cell>
          <cell r="B160" t="str">
            <v>Electrical/Elec.item EP/PPEP</v>
          </cell>
          <cell r="C160">
            <v>0.91</v>
          </cell>
          <cell r="E160">
            <v>0.91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50219-1010</v>
          </cell>
          <cell r="B161" t="str">
            <v>Tools EP/PPEP</v>
          </cell>
          <cell r="C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50221-1010</v>
          </cell>
          <cell r="B162" t="str">
            <v>Rep. &amp; Maint. EP/PPEP</v>
          </cell>
          <cell r="C162">
            <v>1705.67</v>
          </cell>
          <cell r="E162">
            <v>1705.67</v>
          </cell>
          <cell r="F162">
            <v>0</v>
          </cell>
          <cell r="G162">
            <v>0</v>
          </cell>
          <cell r="H162">
            <v>0</v>
          </cell>
        </row>
        <row r="163">
          <cell r="A163" t="str">
            <v>50223-1010</v>
          </cell>
          <cell r="B163" t="str">
            <v>Other Factory Supplies EP/PPEP</v>
          </cell>
          <cell r="C163">
            <v>5769.3</v>
          </cell>
          <cell r="E163">
            <v>5769.3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50309-1020</v>
          </cell>
          <cell r="B164" t="str">
            <v>Oils &amp; Lub. EC/FL</v>
          </cell>
          <cell r="C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</row>
        <row r="165">
          <cell r="A165" t="str">
            <v>50315-1020</v>
          </cell>
          <cell r="B165" t="str">
            <v>Hardware EC/FL</v>
          </cell>
          <cell r="C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50317-1020</v>
          </cell>
          <cell r="B166" t="str">
            <v>Electrical/Elect. items EC/FL</v>
          </cell>
          <cell r="C166">
            <v>0</v>
          </cell>
          <cell r="E166">
            <v>0</v>
          </cell>
          <cell r="F166">
            <v>0</v>
          </cell>
          <cell r="G166">
            <v>0</v>
          </cell>
          <cell r="H166">
            <v>0</v>
          </cell>
        </row>
        <row r="167">
          <cell r="A167" t="str">
            <v>50319-1020</v>
          </cell>
          <cell r="B167" t="str">
            <v>Tools EC/FL</v>
          </cell>
          <cell r="C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50321-1020</v>
          </cell>
          <cell r="B168" t="str">
            <v>Rep. &amp; Maint. EC/FL</v>
          </cell>
          <cell r="C168">
            <v>5805</v>
          </cell>
          <cell r="E168">
            <v>2811</v>
          </cell>
          <cell r="F168">
            <v>0</v>
          </cell>
          <cell r="G168">
            <v>2994</v>
          </cell>
          <cell r="H168">
            <v>0</v>
          </cell>
        </row>
        <row r="169">
          <cell r="A169" t="str">
            <v>50323-1020</v>
          </cell>
          <cell r="B169" t="str">
            <v>Other Factory Supplies EC/FL</v>
          </cell>
          <cell r="C169">
            <v>0</v>
          </cell>
          <cell r="E169">
            <v>0</v>
          </cell>
          <cell r="F169">
            <v>0</v>
          </cell>
          <cell r="G169">
            <v>0</v>
          </cell>
          <cell r="H169">
            <v>0</v>
          </cell>
        </row>
        <row r="170">
          <cell r="A170" t="str">
            <v>50409-1030</v>
          </cell>
          <cell r="B170" t="str">
            <v>Oils &amp; Lub. UP/FL</v>
          </cell>
          <cell r="C170">
            <v>1041.7</v>
          </cell>
          <cell r="E170">
            <v>1041.7</v>
          </cell>
          <cell r="F170">
            <v>0</v>
          </cell>
          <cell r="G170">
            <v>0</v>
          </cell>
          <cell r="H170">
            <v>0</v>
          </cell>
        </row>
        <row r="171">
          <cell r="A171" t="str">
            <v>50415-1030</v>
          </cell>
          <cell r="B171" t="str">
            <v>Hardware UP/FL</v>
          </cell>
          <cell r="C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</row>
        <row r="172">
          <cell r="A172" t="str">
            <v>50417-1030</v>
          </cell>
          <cell r="B172" t="str">
            <v>Electrical/Elect. items UP/FL</v>
          </cell>
          <cell r="C172">
            <v>0</v>
          </cell>
          <cell r="E172">
            <v>0</v>
          </cell>
          <cell r="F172">
            <v>0</v>
          </cell>
          <cell r="G172">
            <v>0</v>
          </cell>
          <cell r="H172">
            <v>0</v>
          </cell>
        </row>
        <row r="173">
          <cell r="A173" t="str">
            <v>50419-1030</v>
          </cell>
          <cell r="B173" t="str">
            <v>Tools UP/FL</v>
          </cell>
          <cell r="C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50421-1030</v>
          </cell>
          <cell r="B174" t="str">
            <v>Rep &amp; Maint.UP/FL</v>
          </cell>
          <cell r="C174">
            <v>952.5</v>
          </cell>
          <cell r="E174">
            <v>952.5</v>
          </cell>
          <cell r="F174">
            <v>0</v>
          </cell>
          <cell r="G174">
            <v>0</v>
          </cell>
          <cell r="H174">
            <v>0</v>
          </cell>
        </row>
        <row r="175">
          <cell r="A175" t="str">
            <v>50423-1030</v>
          </cell>
          <cell r="B175" t="str">
            <v>Other Factory Supplies UP/FL</v>
          </cell>
          <cell r="C175">
            <v>0</v>
          </cell>
          <cell r="E175">
            <v>0</v>
          </cell>
          <cell r="F175">
            <v>0</v>
          </cell>
          <cell r="G175">
            <v>0</v>
          </cell>
          <cell r="H175">
            <v>0</v>
          </cell>
        </row>
        <row r="176">
          <cell r="A176" t="str">
            <v>50509-1040</v>
          </cell>
          <cell r="B176" t="str">
            <v>Oils &amp; Lub. OP/FL</v>
          </cell>
          <cell r="C176">
            <v>71.48</v>
          </cell>
          <cell r="E176">
            <v>71.48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50515-1040</v>
          </cell>
          <cell r="B177" t="str">
            <v>Hardware OP/FL</v>
          </cell>
          <cell r="C177">
            <v>0</v>
          </cell>
          <cell r="E177">
            <v>0</v>
          </cell>
          <cell r="F177">
            <v>0</v>
          </cell>
          <cell r="G177">
            <v>0</v>
          </cell>
          <cell r="H177">
            <v>0</v>
          </cell>
        </row>
        <row r="178">
          <cell r="A178" t="str">
            <v>50517-1040</v>
          </cell>
          <cell r="B178" t="str">
            <v>Electrical/Elect. items OP/FL</v>
          </cell>
          <cell r="C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</row>
        <row r="179">
          <cell r="A179" t="str">
            <v>50519-1040</v>
          </cell>
          <cell r="B179" t="str">
            <v>Tools OP/FL</v>
          </cell>
          <cell r="C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</row>
        <row r="180">
          <cell r="A180" t="str">
            <v>50521-1040</v>
          </cell>
          <cell r="B180" t="str">
            <v>Rep. &amp; Maint.OP/FL</v>
          </cell>
          <cell r="C180">
            <v>2697.68</v>
          </cell>
          <cell r="E180">
            <v>2697.68</v>
          </cell>
          <cell r="F180">
            <v>0</v>
          </cell>
          <cell r="G180">
            <v>0</v>
          </cell>
          <cell r="H180">
            <v>0</v>
          </cell>
        </row>
        <row r="181">
          <cell r="A181" t="str">
            <v>50523-1040</v>
          </cell>
          <cell r="B181" t="str">
            <v>Other Factory Supplies OP/FL</v>
          </cell>
          <cell r="C181">
            <v>4.18</v>
          </cell>
          <cell r="E181">
            <v>4.18</v>
          </cell>
          <cell r="F181">
            <v>0</v>
          </cell>
          <cell r="G181">
            <v>0</v>
          </cell>
          <cell r="H181">
            <v>0</v>
          </cell>
        </row>
        <row r="182">
          <cell r="A182" t="str">
            <v>50605-1050</v>
          </cell>
          <cell r="B182" t="str">
            <v>Flux TC/W</v>
          </cell>
          <cell r="C182">
            <v>0</v>
          </cell>
          <cell r="E182">
            <v>0</v>
          </cell>
          <cell r="F182">
            <v>0</v>
          </cell>
          <cell r="G182">
            <v>0</v>
          </cell>
          <cell r="H182">
            <v>0</v>
          </cell>
        </row>
        <row r="183">
          <cell r="A183" t="str">
            <v>50607-1050</v>
          </cell>
          <cell r="B183" t="str">
            <v>Welding Wire TC/W</v>
          </cell>
          <cell r="C183">
            <v>2887.91</v>
          </cell>
          <cell r="E183">
            <v>2887.91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50609-1050</v>
          </cell>
          <cell r="B184" t="str">
            <v>Oils &amp; Lub  TC/W</v>
          </cell>
          <cell r="C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50611-1050</v>
          </cell>
          <cell r="B185" t="str">
            <v>Welding Equip./items TC/W</v>
          </cell>
          <cell r="C185">
            <v>493.71</v>
          </cell>
          <cell r="E185">
            <v>493.71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50613-1050</v>
          </cell>
          <cell r="B186" t="str">
            <v>Gases TC/W</v>
          </cell>
          <cell r="C186">
            <v>1281.3399999999999</v>
          </cell>
          <cell r="E186">
            <v>0</v>
          </cell>
          <cell r="F186">
            <v>0</v>
          </cell>
          <cell r="G186">
            <v>1281.3399999999999</v>
          </cell>
          <cell r="H186">
            <v>0</v>
          </cell>
        </row>
        <row r="187">
          <cell r="A187" t="str">
            <v>50615-1050</v>
          </cell>
          <cell r="B187" t="str">
            <v>Hardware TC/W</v>
          </cell>
          <cell r="C187">
            <v>1080</v>
          </cell>
          <cell r="E187">
            <v>1080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50617-1050</v>
          </cell>
          <cell r="B188" t="str">
            <v>Electrical/Elect items TC/W</v>
          </cell>
          <cell r="C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50619-1050</v>
          </cell>
          <cell r="B189" t="str">
            <v>Tools TC/W</v>
          </cell>
          <cell r="C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50621-1050</v>
          </cell>
          <cell r="B190" t="str">
            <v>Rep &amp; Maint TC/W</v>
          </cell>
          <cell r="C190">
            <v>10891.77</v>
          </cell>
          <cell r="E190">
            <v>10891.77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50623-1050</v>
          </cell>
          <cell r="B191" t="str">
            <v>Other Factory Supplies TC/W</v>
          </cell>
          <cell r="C191">
            <v>686.41</v>
          </cell>
          <cell r="E191">
            <v>686.41</v>
          </cell>
          <cell r="F191">
            <v>0</v>
          </cell>
          <cell r="G191">
            <v>0</v>
          </cell>
          <cell r="H191">
            <v>0</v>
          </cell>
        </row>
        <row r="192">
          <cell r="A192" t="str">
            <v>50705-1060</v>
          </cell>
          <cell r="B192" t="str">
            <v>Flux TB/W</v>
          </cell>
          <cell r="C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50707-1060</v>
          </cell>
          <cell r="B193" t="str">
            <v>Welding Wire TB/W</v>
          </cell>
          <cell r="C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50709-1060</v>
          </cell>
          <cell r="B194" t="str">
            <v>Oils &amp; Lub TB/W</v>
          </cell>
          <cell r="C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50711-1060</v>
          </cell>
          <cell r="B195" t="str">
            <v>Welding Equip./items TB/W</v>
          </cell>
          <cell r="C195">
            <v>114.7</v>
          </cell>
          <cell r="E195">
            <v>114.7</v>
          </cell>
          <cell r="F195">
            <v>0</v>
          </cell>
          <cell r="G195">
            <v>0</v>
          </cell>
          <cell r="H195">
            <v>0</v>
          </cell>
        </row>
        <row r="196">
          <cell r="A196" t="str">
            <v>50713-1060</v>
          </cell>
          <cell r="B196" t="str">
            <v>Gases TB/W</v>
          </cell>
          <cell r="C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50715-1060</v>
          </cell>
          <cell r="B197" t="str">
            <v>Hardware TB/W</v>
          </cell>
          <cell r="C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50717-1060</v>
          </cell>
          <cell r="B198" t="str">
            <v>Electrical/Elect. items TB/W</v>
          </cell>
          <cell r="C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50719-1060</v>
          </cell>
          <cell r="B199" t="str">
            <v>Tools TB/W</v>
          </cell>
          <cell r="C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50721-1060</v>
          </cell>
          <cell r="B200" t="str">
            <v>Rep. &amp; Maint. TB/W</v>
          </cell>
          <cell r="C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50723-1060</v>
          </cell>
          <cell r="B201" t="str">
            <v>Other Factory Supplies TB/W</v>
          </cell>
          <cell r="C201">
            <v>153.74</v>
          </cell>
          <cell r="E201">
            <v>153.74</v>
          </cell>
          <cell r="F201">
            <v>0</v>
          </cell>
          <cell r="G201">
            <v>0</v>
          </cell>
          <cell r="H201">
            <v>0</v>
          </cell>
        </row>
        <row r="202">
          <cell r="A202" t="str">
            <v>50805-1070</v>
          </cell>
          <cell r="B202" t="str">
            <v>Flux ID/W</v>
          </cell>
          <cell r="D202">
            <v>7800</v>
          </cell>
          <cell r="E202">
            <v>0</v>
          </cell>
          <cell r="F202">
            <v>7800</v>
          </cell>
          <cell r="G202">
            <v>0</v>
          </cell>
          <cell r="H202">
            <v>0</v>
          </cell>
        </row>
        <row r="203">
          <cell r="A203" t="str">
            <v>50807-1070</v>
          </cell>
          <cell r="B203" t="str">
            <v>Welding Wire ID/W</v>
          </cell>
          <cell r="D203">
            <v>6630</v>
          </cell>
          <cell r="E203">
            <v>0</v>
          </cell>
          <cell r="F203">
            <v>6630</v>
          </cell>
          <cell r="G203">
            <v>0</v>
          </cell>
          <cell r="H203">
            <v>0</v>
          </cell>
        </row>
        <row r="204">
          <cell r="A204" t="str">
            <v>50809-1070</v>
          </cell>
          <cell r="B204" t="str">
            <v>Oils &amp; Lub. ID/W</v>
          </cell>
          <cell r="C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</row>
        <row r="205">
          <cell r="A205" t="str">
            <v>50811-1070</v>
          </cell>
          <cell r="B205" t="str">
            <v>Welding Equip./Items ID/W</v>
          </cell>
          <cell r="D205">
            <v>7021.1</v>
          </cell>
          <cell r="E205">
            <v>0</v>
          </cell>
          <cell r="F205">
            <v>7021.1</v>
          </cell>
          <cell r="G205">
            <v>0</v>
          </cell>
          <cell r="H205">
            <v>0</v>
          </cell>
        </row>
        <row r="206">
          <cell r="A206" t="str">
            <v>50813-1070</v>
          </cell>
          <cell r="B206" t="str">
            <v>Gases ID/W</v>
          </cell>
          <cell r="C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50815-1070</v>
          </cell>
          <cell r="B207" t="str">
            <v>Hardware ID/W</v>
          </cell>
          <cell r="C207">
            <v>0</v>
          </cell>
          <cell r="E207">
            <v>0</v>
          </cell>
          <cell r="F207">
            <v>0</v>
          </cell>
          <cell r="G207">
            <v>0</v>
          </cell>
          <cell r="H207">
            <v>0</v>
          </cell>
        </row>
        <row r="208">
          <cell r="A208" t="str">
            <v>50817-1070</v>
          </cell>
          <cell r="B208" t="str">
            <v>Electrical/Elect. items ID/W</v>
          </cell>
          <cell r="C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50819-1070</v>
          </cell>
          <cell r="B209" t="str">
            <v>Tools ID/W</v>
          </cell>
          <cell r="C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50821-1070</v>
          </cell>
          <cell r="B210" t="str">
            <v>Rep. &amp; Maint. ID/W</v>
          </cell>
          <cell r="C210">
            <v>11203.03</v>
          </cell>
          <cell r="E210">
            <v>7523.61</v>
          </cell>
          <cell r="F210">
            <v>0</v>
          </cell>
          <cell r="G210">
            <v>3679.420000000001</v>
          </cell>
          <cell r="H210">
            <v>0</v>
          </cell>
        </row>
        <row r="211">
          <cell r="A211" t="str">
            <v>50823-1070</v>
          </cell>
          <cell r="B211" t="str">
            <v>Other Factory Supplies ID/W</v>
          </cell>
          <cell r="C211">
            <v>440.95</v>
          </cell>
          <cell r="E211">
            <v>440.95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50905-1080</v>
          </cell>
          <cell r="B212" t="str">
            <v>Flux OD/W</v>
          </cell>
          <cell r="C212">
            <v>89066.8</v>
          </cell>
          <cell r="E212">
            <v>89066.8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50907-1080</v>
          </cell>
          <cell r="B213" t="str">
            <v>Welding Wire OD/W</v>
          </cell>
          <cell r="C213">
            <v>19587.900000000001</v>
          </cell>
          <cell r="E213">
            <v>19587.900000000001</v>
          </cell>
          <cell r="F213">
            <v>0</v>
          </cell>
          <cell r="G213">
            <v>0</v>
          </cell>
          <cell r="H213">
            <v>0</v>
          </cell>
        </row>
        <row r="214">
          <cell r="A214" t="str">
            <v>50909-1080</v>
          </cell>
          <cell r="B214" t="str">
            <v>Oils &amp; Lub OD/W</v>
          </cell>
          <cell r="C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</row>
        <row r="215">
          <cell r="A215" t="str">
            <v>50911-1080</v>
          </cell>
          <cell r="B215" t="str">
            <v>Welding Equip/items OD/W</v>
          </cell>
          <cell r="C215">
            <v>10037.18</v>
          </cell>
          <cell r="E215">
            <v>10037.18</v>
          </cell>
          <cell r="F215">
            <v>0</v>
          </cell>
          <cell r="G215">
            <v>0</v>
          </cell>
          <cell r="H215">
            <v>0</v>
          </cell>
        </row>
        <row r="216">
          <cell r="A216" t="str">
            <v>50913-1080</v>
          </cell>
          <cell r="B216" t="str">
            <v>Gases OD/W</v>
          </cell>
          <cell r="C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A217" t="str">
            <v>50915-1080</v>
          </cell>
          <cell r="B217" t="str">
            <v>Hardware OD/W</v>
          </cell>
          <cell r="C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</row>
        <row r="218">
          <cell r="A218" t="str">
            <v>50917-1080</v>
          </cell>
          <cell r="B218" t="str">
            <v>Electrical/Elect. items OD/W</v>
          </cell>
          <cell r="C218">
            <v>549.39</v>
          </cell>
          <cell r="E218">
            <v>549.39</v>
          </cell>
          <cell r="F218">
            <v>0</v>
          </cell>
          <cell r="G218">
            <v>0</v>
          </cell>
          <cell r="H218">
            <v>0</v>
          </cell>
        </row>
        <row r="219">
          <cell r="A219" t="str">
            <v>50919-1080</v>
          </cell>
          <cell r="B219" t="str">
            <v>Tools OD/W</v>
          </cell>
          <cell r="C219">
            <v>0</v>
          </cell>
          <cell r="E219">
            <v>0</v>
          </cell>
          <cell r="F219">
            <v>0</v>
          </cell>
          <cell r="G219">
            <v>0</v>
          </cell>
          <cell r="H219">
            <v>0</v>
          </cell>
        </row>
        <row r="220">
          <cell r="A220" t="str">
            <v>50921-1080</v>
          </cell>
          <cell r="B220" t="str">
            <v>Rep. &amp; Maint. OD/W</v>
          </cell>
          <cell r="C220">
            <v>1049.48</v>
          </cell>
          <cell r="E220">
            <v>691.2</v>
          </cell>
          <cell r="F220">
            <v>0</v>
          </cell>
          <cell r="G220">
            <v>358.28</v>
          </cell>
          <cell r="H220">
            <v>0</v>
          </cell>
        </row>
        <row r="221">
          <cell r="A221" t="str">
            <v>50923-1080</v>
          </cell>
          <cell r="B221" t="str">
            <v>Other Factory items  OD/W</v>
          </cell>
          <cell r="C221">
            <v>16.79</v>
          </cell>
          <cell r="E221">
            <v>16.79</v>
          </cell>
          <cell r="F221">
            <v>0</v>
          </cell>
          <cell r="G221">
            <v>0</v>
          </cell>
          <cell r="H221">
            <v>0</v>
          </cell>
        </row>
        <row r="222">
          <cell r="A222" t="str">
            <v>51105-1090</v>
          </cell>
          <cell r="B222" t="str">
            <v>Flux WR/W</v>
          </cell>
          <cell r="C222">
            <v>0</v>
          </cell>
          <cell r="E222">
            <v>0</v>
          </cell>
          <cell r="F222">
            <v>0</v>
          </cell>
          <cell r="G222">
            <v>0</v>
          </cell>
          <cell r="H222">
            <v>0</v>
          </cell>
        </row>
        <row r="223">
          <cell r="A223" t="str">
            <v>51107-1090</v>
          </cell>
          <cell r="B223" t="str">
            <v>Welding Wire WR/W</v>
          </cell>
          <cell r="C223">
            <v>0</v>
          </cell>
          <cell r="E223">
            <v>0</v>
          </cell>
          <cell r="F223">
            <v>0</v>
          </cell>
          <cell r="G223">
            <v>0</v>
          </cell>
          <cell r="H223">
            <v>0</v>
          </cell>
        </row>
        <row r="224">
          <cell r="A224" t="str">
            <v>51109-1090</v>
          </cell>
          <cell r="B224" t="str">
            <v>Oils &amp; Lub WR/W</v>
          </cell>
          <cell r="C224">
            <v>0</v>
          </cell>
          <cell r="E224">
            <v>0</v>
          </cell>
          <cell r="F224">
            <v>0</v>
          </cell>
          <cell r="G224">
            <v>0</v>
          </cell>
          <cell r="H224">
            <v>0</v>
          </cell>
        </row>
        <row r="225">
          <cell r="A225" t="str">
            <v>51111-1090</v>
          </cell>
          <cell r="B225" t="str">
            <v>Welding Equip./items WR/W</v>
          </cell>
          <cell r="C225">
            <v>509.56</v>
          </cell>
          <cell r="E225">
            <v>509.56</v>
          </cell>
          <cell r="F225">
            <v>0</v>
          </cell>
          <cell r="G225">
            <v>0</v>
          </cell>
          <cell r="H225">
            <v>0</v>
          </cell>
        </row>
        <row r="226">
          <cell r="A226" t="str">
            <v>51113-1090</v>
          </cell>
          <cell r="B226" t="str">
            <v>Gases WR/W</v>
          </cell>
          <cell r="C226">
            <v>0</v>
          </cell>
          <cell r="E226">
            <v>0</v>
          </cell>
          <cell r="F226">
            <v>0</v>
          </cell>
          <cell r="G226">
            <v>0</v>
          </cell>
          <cell r="H226">
            <v>0</v>
          </cell>
        </row>
        <row r="227">
          <cell r="A227" t="str">
            <v>51115-1090</v>
          </cell>
          <cell r="B227" t="str">
            <v>Hardware WR/W</v>
          </cell>
          <cell r="C227">
            <v>0</v>
          </cell>
          <cell r="E227">
            <v>0</v>
          </cell>
          <cell r="F227">
            <v>0</v>
          </cell>
          <cell r="G227">
            <v>0</v>
          </cell>
          <cell r="H227">
            <v>0</v>
          </cell>
        </row>
        <row r="228">
          <cell r="A228" t="str">
            <v>51117-1090</v>
          </cell>
          <cell r="B228" t="str">
            <v>Electrical/Elect. items WR/W</v>
          </cell>
          <cell r="C228">
            <v>29.65</v>
          </cell>
          <cell r="E228">
            <v>29.65</v>
          </cell>
          <cell r="F228">
            <v>0</v>
          </cell>
          <cell r="G228">
            <v>0</v>
          </cell>
          <cell r="H228">
            <v>0</v>
          </cell>
        </row>
        <row r="229">
          <cell r="A229" t="str">
            <v>51119-1090</v>
          </cell>
          <cell r="B229" t="str">
            <v>Tools WR/W</v>
          </cell>
          <cell r="C229">
            <v>0</v>
          </cell>
          <cell r="E229">
            <v>0</v>
          </cell>
          <cell r="F229">
            <v>0</v>
          </cell>
          <cell r="G229">
            <v>0</v>
          </cell>
          <cell r="H229">
            <v>0</v>
          </cell>
        </row>
        <row r="230">
          <cell r="A230" t="str">
            <v>51121-1090</v>
          </cell>
          <cell r="B230" t="str">
            <v>Rep. &amp; Maint. WR/W</v>
          </cell>
          <cell r="C230">
            <v>87.4</v>
          </cell>
          <cell r="E230">
            <v>87.4</v>
          </cell>
          <cell r="F230">
            <v>0</v>
          </cell>
          <cell r="G230">
            <v>0</v>
          </cell>
          <cell r="H230">
            <v>0</v>
          </cell>
        </row>
        <row r="231">
          <cell r="A231" t="str">
            <v>51123-1090</v>
          </cell>
          <cell r="B231" t="str">
            <v>Other Factory Supplies WR/W</v>
          </cell>
          <cell r="C231">
            <v>1844.97</v>
          </cell>
          <cell r="E231">
            <v>1844.97</v>
          </cell>
          <cell r="F231">
            <v>0</v>
          </cell>
          <cell r="G231">
            <v>0</v>
          </cell>
          <cell r="H231">
            <v>0</v>
          </cell>
        </row>
        <row r="232">
          <cell r="A232" t="str">
            <v>51209-1100</v>
          </cell>
          <cell r="B232" t="str">
            <v>Oils &amp; Lub. EX/EXHT</v>
          </cell>
          <cell r="C232">
            <v>8850.77</v>
          </cell>
          <cell r="E232">
            <v>8533.1200000000008</v>
          </cell>
          <cell r="F232">
            <v>0</v>
          </cell>
          <cell r="G232">
            <v>317.64999999999964</v>
          </cell>
          <cell r="H232">
            <v>0</v>
          </cell>
        </row>
        <row r="233">
          <cell r="A233" t="str">
            <v>51215-1100</v>
          </cell>
          <cell r="B233" t="str">
            <v>Hardware EX/EXHT</v>
          </cell>
          <cell r="C233">
            <v>0</v>
          </cell>
          <cell r="E233">
            <v>0</v>
          </cell>
          <cell r="F233">
            <v>0</v>
          </cell>
          <cell r="G233">
            <v>0</v>
          </cell>
          <cell r="H233">
            <v>0</v>
          </cell>
        </row>
        <row r="234">
          <cell r="A234" t="str">
            <v>51217-1100</v>
          </cell>
          <cell r="B234" t="str">
            <v>Electrical/Elect. item EX/EXHT</v>
          </cell>
          <cell r="C234">
            <v>0</v>
          </cell>
          <cell r="E234">
            <v>0</v>
          </cell>
          <cell r="F234">
            <v>0</v>
          </cell>
          <cell r="G234">
            <v>0</v>
          </cell>
          <cell r="H234">
            <v>0</v>
          </cell>
        </row>
        <row r="235">
          <cell r="A235" t="str">
            <v>51219-1100</v>
          </cell>
          <cell r="B235" t="str">
            <v>Tools EX/EXHT</v>
          </cell>
          <cell r="C235">
            <v>150.22</v>
          </cell>
          <cell r="E235">
            <v>150.22</v>
          </cell>
          <cell r="F235">
            <v>0</v>
          </cell>
          <cell r="G235">
            <v>0</v>
          </cell>
          <cell r="H235">
            <v>0</v>
          </cell>
        </row>
        <row r="236">
          <cell r="A236" t="str">
            <v>51221-1100</v>
          </cell>
          <cell r="B236" t="str">
            <v>Rep &amp; Maint. EX/EXHT</v>
          </cell>
          <cell r="C236">
            <v>483.65</v>
          </cell>
          <cell r="E236">
            <v>483.65</v>
          </cell>
          <cell r="F236">
            <v>0</v>
          </cell>
          <cell r="G236">
            <v>0</v>
          </cell>
          <cell r="H236">
            <v>0</v>
          </cell>
        </row>
        <row r="237">
          <cell r="A237" t="str">
            <v>51223-1100</v>
          </cell>
          <cell r="B237" t="str">
            <v>Other Factory Supplies EX/EXHT</v>
          </cell>
          <cell r="C237">
            <v>1798.18</v>
          </cell>
          <cell r="E237">
            <v>1798.18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51309-1110</v>
          </cell>
          <cell r="B238" t="str">
            <v>Oils &amp; Lub HT/EXHT</v>
          </cell>
          <cell r="C238">
            <v>0</v>
          </cell>
          <cell r="E238">
            <v>0</v>
          </cell>
          <cell r="F238">
            <v>0</v>
          </cell>
          <cell r="G238">
            <v>0</v>
          </cell>
          <cell r="H238">
            <v>0</v>
          </cell>
        </row>
        <row r="239">
          <cell r="A239" t="str">
            <v>51315-1110</v>
          </cell>
          <cell r="B239" t="str">
            <v>Hardware HT/EXHT</v>
          </cell>
          <cell r="C239">
            <v>0</v>
          </cell>
          <cell r="E239">
            <v>0</v>
          </cell>
          <cell r="F239">
            <v>0</v>
          </cell>
          <cell r="G239">
            <v>0</v>
          </cell>
          <cell r="H239">
            <v>0</v>
          </cell>
        </row>
        <row r="240">
          <cell r="A240" t="str">
            <v>51317-1110</v>
          </cell>
          <cell r="B240" t="str">
            <v>Electrical/Elect items HT/EXHT</v>
          </cell>
          <cell r="C240">
            <v>0</v>
          </cell>
          <cell r="E240">
            <v>0</v>
          </cell>
          <cell r="F240">
            <v>0</v>
          </cell>
          <cell r="G240">
            <v>0</v>
          </cell>
          <cell r="H240">
            <v>0</v>
          </cell>
        </row>
        <row r="241">
          <cell r="A241" t="str">
            <v>51319-1110</v>
          </cell>
          <cell r="B241" t="str">
            <v>Tools HT/EXHT</v>
          </cell>
          <cell r="C241">
            <v>0</v>
          </cell>
          <cell r="E241">
            <v>0</v>
          </cell>
          <cell r="F241">
            <v>0</v>
          </cell>
          <cell r="G241">
            <v>0</v>
          </cell>
          <cell r="H241">
            <v>0</v>
          </cell>
        </row>
        <row r="242">
          <cell r="A242" t="str">
            <v>51321-1110</v>
          </cell>
          <cell r="B242" t="str">
            <v>Rep &amp; Maint. HT/EXHT</v>
          </cell>
          <cell r="C242">
            <v>4365.1499999999996</v>
          </cell>
          <cell r="E242">
            <v>4365.1499999999996</v>
          </cell>
          <cell r="F242">
            <v>0</v>
          </cell>
          <cell r="G242">
            <v>0</v>
          </cell>
          <cell r="H242">
            <v>0</v>
          </cell>
        </row>
        <row r="243">
          <cell r="A243" t="str">
            <v>51323-1110</v>
          </cell>
          <cell r="B243" t="str">
            <v>Other Factory Supplies HT/EXHT</v>
          </cell>
          <cell r="C243">
            <v>45.49</v>
          </cell>
          <cell r="E243">
            <v>45.49</v>
          </cell>
          <cell r="F243">
            <v>0</v>
          </cell>
          <cell r="G243">
            <v>0</v>
          </cell>
          <cell r="H243">
            <v>0</v>
          </cell>
        </row>
        <row r="244">
          <cell r="A244" t="str">
            <v>52105-2000</v>
          </cell>
          <cell r="B244" t="str">
            <v>Flux F1/IPIR</v>
          </cell>
          <cell r="C244">
            <v>0</v>
          </cell>
          <cell r="E244">
            <v>0</v>
          </cell>
          <cell r="F244">
            <v>0</v>
          </cell>
          <cell r="G244">
            <v>0</v>
          </cell>
          <cell r="H244">
            <v>0</v>
          </cell>
        </row>
        <row r="245">
          <cell r="A245" t="str">
            <v>52107-2000</v>
          </cell>
          <cell r="B245" t="str">
            <v>Welding Wire F1/IPIR</v>
          </cell>
          <cell r="C245">
            <v>0</v>
          </cell>
          <cell r="E245">
            <v>0</v>
          </cell>
          <cell r="F245">
            <v>0</v>
          </cell>
          <cell r="G245">
            <v>0</v>
          </cell>
          <cell r="H245">
            <v>0</v>
          </cell>
        </row>
        <row r="246">
          <cell r="A246" t="str">
            <v>52109-2000</v>
          </cell>
          <cell r="B246" t="str">
            <v>Oils &amp; Lub. F1/IPIR</v>
          </cell>
          <cell r="C246">
            <v>0</v>
          </cell>
          <cell r="E246">
            <v>0</v>
          </cell>
          <cell r="F246">
            <v>0</v>
          </cell>
          <cell r="G246">
            <v>0</v>
          </cell>
          <cell r="H246">
            <v>0</v>
          </cell>
        </row>
        <row r="247">
          <cell r="A247" t="str">
            <v>52111-2000</v>
          </cell>
          <cell r="B247" t="str">
            <v>Welding Equip/items F1/IPIR</v>
          </cell>
          <cell r="C247">
            <v>0</v>
          </cell>
          <cell r="E247">
            <v>0</v>
          </cell>
          <cell r="F247">
            <v>0</v>
          </cell>
          <cell r="G247">
            <v>0</v>
          </cell>
          <cell r="H247">
            <v>0</v>
          </cell>
        </row>
        <row r="248">
          <cell r="A248" t="str">
            <v>52113-2000</v>
          </cell>
          <cell r="B248" t="str">
            <v>Gases F1/IPIR</v>
          </cell>
          <cell r="C248">
            <v>0</v>
          </cell>
          <cell r="E248">
            <v>0</v>
          </cell>
          <cell r="F248">
            <v>0</v>
          </cell>
          <cell r="G248">
            <v>0</v>
          </cell>
          <cell r="H248">
            <v>0</v>
          </cell>
        </row>
        <row r="249">
          <cell r="A249" t="str">
            <v>52115-2000</v>
          </cell>
          <cell r="B249" t="str">
            <v>Hardware F1/IPIR</v>
          </cell>
          <cell r="C249">
            <v>0</v>
          </cell>
          <cell r="E249">
            <v>0</v>
          </cell>
          <cell r="F249">
            <v>0</v>
          </cell>
          <cell r="G249">
            <v>0</v>
          </cell>
          <cell r="H249">
            <v>0</v>
          </cell>
        </row>
        <row r="250">
          <cell r="A250" t="str">
            <v>52117-2000</v>
          </cell>
          <cell r="B250" t="str">
            <v>Electrical/Elect.items F1/IPIR</v>
          </cell>
          <cell r="C250">
            <v>0</v>
          </cell>
          <cell r="E250">
            <v>0</v>
          </cell>
          <cell r="F250">
            <v>0</v>
          </cell>
          <cell r="G250">
            <v>0</v>
          </cell>
          <cell r="H250">
            <v>0</v>
          </cell>
        </row>
        <row r="251">
          <cell r="A251" t="str">
            <v>52119-2000</v>
          </cell>
          <cell r="B251" t="str">
            <v>Tools F1/IPIR</v>
          </cell>
          <cell r="C251">
            <v>0</v>
          </cell>
          <cell r="E251">
            <v>0</v>
          </cell>
          <cell r="F251">
            <v>0</v>
          </cell>
          <cell r="G251">
            <v>0</v>
          </cell>
          <cell r="H251">
            <v>0</v>
          </cell>
        </row>
        <row r="252">
          <cell r="A252" t="str">
            <v>52121-2000</v>
          </cell>
          <cell r="B252" t="str">
            <v>Repair &amp; Maint.F1/IPIR</v>
          </cell>
          <cell r="C252">
            <v>0</v>
          </cell>
          <cell r="E252">
            <v>0</v>
          </cell>
          <cell r="F252">
            <v>0</v>
          </cell>
          <cell r="G252">
            <v>0</v>
          </cell>
          <cell r="H252">
            <v>0</v>
          </cell>
        </row>
        <row r="253">
          <cell r="A253" t="str">
            <v>52123-2000</v>
          </cell>
          <cell r="B253" t="str">
            <v>Other Factory Supplies F1/IPIR</v>
          </cell>
          <cell r="C253">
            <v>0</v>
          </cell>
          <cell r="E253">
            <v>0</v>
          </cell>
          <cell r="F253">
            <v>0</v>
          </cell>
          <cell r="G253">
            <v>0</v>
          </cell>
          <cell r="H253">
            <v>0</v>
          </cell>
        </row>
        <row r="254">
          <cell r="A254" t="str">
            <v>52209-2010</v>
          </cell>
          <cell r="B254" t="str">
            <v>Oils &amp; Lub. RX/IPIR</v>
          </cell>
          <cell r="C254">
            <v>0</v>
          </cell>
          <cell r="E254">
            <v>0</v>
          </cell>
          <cell r="F254">
            <v>0</v>
          </cell>
          <cell r="G254">
            <v>0</v>
          </cell>
          <cell r="H254">
            <v>0</v>
          </cell>
        </row>
        <row r="255">
          <cell r="A255" t="str">
            <v>52211-2010</v>
          </cell>
          <cell r="B255" t="str">
            <v>Welding Equip./items RX/IPIR</v>
          </cell>
          <cell r="C255">
            <v>0</v>
          </cell>
          <cell r="E255">
            <v>0</v>
          </cell>
          <cell r="F255">
            <v>0</v>
          </cell>
          <cell r="G255">
            <v>0</v>
          </cell>
          <cell r="H255">
            <v>0</v>
          </cell>
        </row>
        <row r="256">
          <cell r="A256" t="str">
            <v>52213-2010</v>
          </cell>
          <cell r="B256" t="str">
            <v>Gases RX/IPIR</v>
          </cell>
          <cell r="C256">
            <v>0</v>
          </cell>
          <cell r="E256">
            <v>0</v>
          </cell>
          <cell r="F256">
            <v>0</v>
          </cell>
          <cell r="G256">
            <v>0</v>
          </cell>
          <cell r="H256">
            <v>0</v>
          </cell>
        </row>
        <row r="257">
          <cell r="A257" t="str">
            <v>52215-2010</v>
          </cell>
          <cell r="B257" t="str">
            <v>Hardware RX/IPIR</v>
          </cell>
          <cell r="C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52217-2010</v>
          </cell>
          <cell r="B258" t="str">
            <v>Electrical/Elect.items RX/IPIR</v>
          </cell>
          <cell r="C258">
            <v>0</v>
          </cell>
          <cell r="E258">
            <v>0</v>
          </cell>
          <cell r="F258">
            <v>0</v>
          </cell>
          <cell r="G258">
            <v>0</v>
          </cell>
          <cell r="H258">
            <v>0</v>
          </cell>
        </row>
        <row r="259">
          <cell r="A259" t="str">
            <v>52219-2010</v>
          </cell>
          <cell r="B259" t="str">
            <v>Tools RX/IPIR</v>
          </cell>
          <cell r="C259">
            <v>0</v>
          </cell>
          <cell r="E259">
            <v>0</v>
          </cell>
          <cell r="F259">
            <v>0</v>
          </cell>
          <cell r="G259">
            <v>0</v>
          </cell>
          <cell r="H259">
            <v>0</v>
          </cell>
        </row>
        <row r="260">
          <cell r="A260" t="str">
            <v>52221-2010</v>
          </cell>
          <cell r="B260" t="str">
            <v>Rep &amp; Maint. RX/IPIR</v>
          </cell>
          <cell r="C260">
            <v>0</v>
          </cell>
          <cell r="E260">
            <v>0</v>
          </cell>
          <cell r="F260">
            <v>0</v>
          </cell>
          <cell r="G260">
            <v>0</v>
          </cell>
          <cell r="H260">
            <v>0</v>
          </cell>
        </row>
        <row r="261">
          <cell r="A261" t="str">
            <v>52223-2010</v>
          </cell>
          <cell r="B261" t="str">
            <v>Other Factory Supplies RX/IPIR</v>
          </cell>
          <cell r="C261">
            <v>0</v>
          </cell>
          <cell r="E261">
            <v>0</v>
          </cell>
          <cell r="F261">
            <v>0</v>
          </cell>
          <cell r="G261">
            <v>0</v>
          </cell>
          <cell r="H261">
            <v>0</v>
          </cell>
        </row>
        <row r="262">
          <cell r="A262" t="str">
            <v>52305-2020</v>
          </cell>
          <cell r="B262" t="str">
            <v>Flux CO/IPIR</v>
          </cell>
          <cell r="C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</row>
        <row r="263">
          <cell r="A263" t="str">
            <v>52307-2020</v>
          </cell>
          <cell r="B263" t="str">
            <v>Welding Wire CO/IPIR</v>
          </cell>
          <cell r="C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52309-2020</v>
          </cell>
          <cell r="B264" t="str">
            <v>Oils &amp; Lub CO/IPIR</v>
          </cell>
          <cell r="C264">
            <v>0</v>
          </cell>
          <cell r="E264">
            <v>0</v>
          </cell>
          <cell r="F264">
            <v>0</v>
          </cell>
          <cell r="G264">
            <v>0</v>
          </cell>
          <cell r="H264">
            <v>0</v>
          </cell>
        </row>
        <row r="265">
          <cell r="A265" t="str">
            <v>52311-2020</v>
          </cell>
          <cell r="B265" t="str">
            <v>Welding Equip./items CO/IPIR</v>
          </cell>
          <cell r="C265">
            <v>0</v>
          </cell>
          <cell r="E265">
            <v>0</v>
          </cell>
          <cell r="F265">
            <v>0</v>
          </cell>
          <cell r="G265">
            <v>0</v>
          </cell>
          <cell r="H265">
            <v>0</v>
          </cell>
        </row>
        <row r="266">
          <cell r="A266" t="str">
            <v>52313-2020</v>
          </cell>
          <cell r="B266" t="str">
            <v>Gases CO/IPIR</v>
          </cell>
          <cell r="C266">
            <v>0</v>
          </cell>
          <cell r="E266">
            <v>0</v>
          </cell>
          <cell r="F266">
            <v>0</v>
          </cell>
          <cell r="G266">
            <v>0</v>
          </cell>
          <cell r="H266">
            <v>0</v>
          </cell>
        </row>
        <row r="267">
          <cell r="A267" t="str">
            <v>52315-2020</v>
          </cell>
          <cell r="B267" t="str">
            <v>Hardware CO/IPIR</v>
          </cell>
          <cell r="C267">
            <v>0</v>
          </cell>
          <cell r="E267">
            <v>0</v>
          </cell>
          <cell r="F267">
            <v>0</v>
          </cell>
          <cell r="G267">
            <v>0</v>
          </cell>
          <cell r="H267">
            <v>0</v>
          </cell>
        </row>
        <row r="268">
          <cell r="A268" t="str">
            <v>52317-2020</v>
          </cell>
          <cell r="B268" t="str">
            <v>Electrical/Elect. item CO/IPIR</v>
          </cell>
          <cell r="C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</row>
        <row r="269">
          <cell r="A269" t="str">
            <v>52319-2020</v>
          </cell>
          <cell r="B269" t="str">
            <v>Tools CO/IPIR</v>
          </cell>
          <cell r="C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52321-2020</v>
          </cell>
          <cell r="B270" t="str">
            <v>Rep &amp; Maint CO/IPIR</v>
          </cell>
          <cell r="C270">
            <v>0</v>
          </cell>
          <cell r="E270">
            <v>0</v>
          </cell>
          <cell r="F270">
            <v>0</v>
          </cell>
          <cell r="G270">
            <v>0</v>
          </cell>
          <cell r="H270">
            <v>0</v>
          </cell>
        </row>
        <row r="271">
          <cell r="A271" t="str">
            <v>52323-2020</v>
          </cell>
          <cell r="B271" t="str">
            <v>Other Factory Supplies CO/IPIR</v>
          </cell>
          <cell r="C271">
            <v>0</v>
          </cell>
          <cell r="E271">
            <v>0</v>
          </cell>
          <cell r="F271">
            <v>0</v>
          </cell>
          <cell r="G271">
            <v>0</v>
          </cell>
          <cell r="H271">
            <v>0</v>
          </cell>
        </row>
        <row r="272">
          <cell r="A272" t="str">
            <v>52353-2025</v>
          </cell>
          <cell r="B272" t="str">
            <v>Gases PAT/FI</v>
          </cell>
          <cell r="C272">
            <v>339.46</v>
          </cell>
          <cell r="E272">
            <v>0</v>
          </cell>
          <cell r="F272">
            <v>0</v>
          </cell>
          <cell r="G272">
            <v>339.46</v>
          </cell>
          <cell r="H272">
            <v>0</v>
          </cell>
        </row>
        <row r="273">
          <cell r="A273" t="str">
            <v>52355-2025</v>
          </cell>
          <cell r="B273" t="str">
            <v>Cutting Supplies PAT/FI</v>
          </cell>
          <cell r="C273">
            <v>3081.61</v>
          </cell>
          <cell r="E273">
            <v>3081.61</v>
          </cell>
          <cell r="F273">
            <v>0</v>
          </cell>
          <cell r="G273">
            <v>0</v>
          </cell>
          <cell r="H273">
            <v>0</v>
          </cell>
        </row>
        <row r="274">
          <cell r="A274" t="str">
            <v>52357-2025</v>
          </cell>
          <cell r="B274" t="str">
            <v>Electrical Items PAT/FI</v>
          </cell>
          <cell r="C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</row>
        <row r="275">
          <cell r="A275" t="str">
            <v>52361-2025</v>
          </cell>
          <cell r="B275" t="str">
            <v>Rep. &amp; Maint PAT/FI</v>
          </cell>
          <cell r="C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52363-2025</v>
          </cell>
          <cell r="B276" t="str">
            <v>Other Fact. Supplies PAT/FI</v>
          </cell>
          <cell r="C276">
            <v>3.34</v>
          </cell>
          <cell r="E276">
            <v>3.34</v>
          </cell>
          <cell r="F276">
            <v>0</v>
          </cell>
          <cell r="G276">
            <v>0</v>
          </cell>
          <cell r="H276">
            <v>0</v>
          </cell>
        </row>
        <row r="277">
          <cell r="A277" t="str">
            <v>52409-2030</v>
          </cell>
          <cell r="B277" t="str">
            <v>Oils &amp; Lub EF/FI</v>
          </cell>
          <cell r="C277">
            <v>2420.04</v>
          </cell>
          <cell r="E277">
            <v>2420.04</v>
          </cell>
          <cell r="F277">
            <v>0</v>
          </cell>
          <cell r="G277">
            <v>0</v>
          </cell>
          <cell r="H277">
            <v>0</v>
          </cell>
        </row>
        <row r="278">
          <cell r="A278" t="str">
            <v>52415-2030</v>
          </cell>
          <cell r="B278" t="str">
            <v>Hardware EF/FI</v>
          </cell>
          <cell r="C278">
            <v>0</v>
          </cell>
          <cell r="E278">
            <v>0</v>
          </cell>
          <cell r="F278">
            <v>0</v>
          </cell>
          <cell r="G278">
            <v>0</v>
          </cell>
          <cell r="H278">
            <v>0</v>
          </cell>
        </row>
        <row r="279">
          <cell r="A279" t="str">
            <v>52417-2030</v>
          </cell>
          <cell r="B279" t="str">
            <v>Electrical/Elect.item EF/FI</v>
          </cell>
          <cell r="C279">
            <v>0</v>
          </cell>
          <cell r="E279">
            <v>0</v>
          </cell>
          <cell r="F279">
            <v>0</v>
          </cell>
          <cell r="G279">
            <v>0</v>
          </cell>
          <cell r="H279">
            <v>0</v>
          </cell>
        </row>
        <row r="280">
          <cell r="A280" t="str">
            <v>52419-2030</v>
          </cell>
          <cell r="B280" t="str">
            <v>Tools EF/FI</v>
          </cell>
          <cell r="C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</row>
        <row r="281">
          <cell r="A281" t="str">
            <v>52421-2030</v>
          </cell>
          <cell r="B281" t="str">
            <v>Rep &amp; Maint. EF/FI</v>
          </cell>
          <cell r="C281">
            <v>553.85</v>
          </cell>
          <cell r="E281">
            <v>313.85000000000002</v>
          </cell>
          <cell r="F281">
            <v>0</v>
          </cell>
          <cell r="G281">
            <v>240</v>
          </cell>
          <cell r="H281">
            <v>0</v>
          </cell>
        </row>
        <row r="282">
          <cell r="A282" t="str">
            <v>52423-2030</v>
          </cell>
          <cell r="B282" t="str">
            <v>Other Factory Supplies EF/FI</v>
          </cell>
          <cell r="C282">
            <v>1409.08</v>
          </cell>
          <cell r="E282">
            <v>1409.08</v>
          </cell>
          <cell r="F282">
            <v>0</v>
          </cell>
          <cell r="G282">
            <v>0</v>
          </cell>
          <cell r="H282">
            <v>0</v>
          </cell>
        </row>
        <row r="283">
          <cell r="A283" t="str">
            <v>52425-2030</v>
          </cell>
          <cell r="B283" t="str">
            <v>Gauges EF/FI</v>
          </cell>
          <cell r="C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52509-2040</v>
          </cell>
          <cell r="B284" t="str">
            <v>Oils &amp; Lub ND/FI</v>
          </cell>
          <cell r="C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52515-2040</v>
          </cell>
          <cell r="B285" t="str">
            <v>Hardware ND/FI</v>
          </cell>
          <cell r="C285">
            <v>0</v>
          </cell>
          <cell r="E285">
            <v>0</v>
          </cell>
          <cell r="F285">
            <v>0</v>
          </cell>
          <cell r="G285">
            <v>0</v>
          </cell>
          <cell r="H285">
            <v>0</v>
          </cell>
        </row>
        <row r="286">
          <cell r="A286" t="str">
            <v>52517-2040</v>
          </cell>
          <cell r="B286" t="str">
            <v>Electrical/Elect.item ND/FI</v>
          </cell>
          <cell r="C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</row>
        <row r="287">
          <cell r="A287" t="str">
            <v>52519-2040</v>
          </cell>
          <cell r="B287" t="str">
            <v>Toools ND/FI</v>
          </cell>
          <cell r="C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52521-2040</v>
          </cell>
          <cell r="B288" t="str">
            <v>Rep &amp; Maint NT/FI</v>
          </cell>
          <cell r="C288">
            <v>5916</v>
          </cell>
          <cell r="E288">
            <v>5916</v>
          </cell>
          <cell r="F288">
            <v>0</v>
          </cell>
          <cell r="G288">
            <v>0</v>
          </cell>
          <cell r="H288">
            <v>0</v>
          </cell>
        </row>
        <row r="289">
          <cell r="A289" t="str">
            <v>52523-2040</v>
          </cell>
          <cell r="B289" t="str">
            <v>Other Factory Supplies ND/FI</v>
          </cell>
          <cell r="C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A290" t="str">
            <v>52609-2050</v>
          </cell>
          <cell r="B290" t="str">
            <v>Oils &amp; Lub CI/FI</v>
          </cell>
          <cell r="C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</row>
        <row r="291">
          <cell r="A291" t="str">
            <v>52615-2050</v>
          </cell>
          <cell r="B291" t="str">
            <v>Hardware CI/FI</v>
          </cell>
          <cell r="C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A292" t="str">
            <v>52617-2050</v>
          </cell>
          <cell r="B292" t="str">
            <v>Electrical/Elect item CI/FI</v>
          </cell>
          <cell r="C292">
            <v>7.02</v>
          </cell>
          <cell r="E292">
            <v>7.02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52619-2050</v>
          </cell>
          <cell r="B293" t="str">
            <v>Tools CI/FI</v>
          </cell>
          <cell r="C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</row>
        <row r="294">
          <cell r="A294" t="str">
            <v>52621-2050</v>
          </cell>
          <cell r="B294" t="str">
            <v>Rep &amp; Maint CI/FI</v>
          </cell>
          <cell r="C294">
            <v>1.41</v>
          </cell>
          <cell r="E294">
            <v>1.41</v>
          </cell>
          <cell r="F294">
            <v>0</v>
          </cell>
          <cell r="G294">
            <v>0</v>
          </cell>
          <cell r="H294">
            <v>0</v>
          </cell>
        </row>
        <row r="295">
          <cell r="A295" t="str">
            <v>52623-2050</v>
          </cell>
          <cell r="B295" t="str">
            <v>Other Factory Supplies CI/FI</v>
          </cell>
          <cell r="C295">
            <v>496.63</v>
          </cell>
          <cell r="E295">
            <v>496.63</v>
          </cell>
          <cell r="F295">
            <v>0</v>
          </cell>
          <cell r="G295">
            <v>0</v>
          </cell>
          <cell r="H295">
            <v>0</v>
          </cell>
        </row>
        <row r="296">
          <cell r="A296" t="str">
            <v>52709-2060</v>
          </cell>
          <cell r="B296" t="str">
            <v>Oils &amp; Lub EX/FI</v>
          </cell>
          <cell r="C296">
            <v>604.4</v>
          </cell>
          <cell r="E296">
            <v>604.4</v>
          </cell>
          <cell r="F296">
            <v>0</v>
          </cell>
          <cell r="G296">
            <v>0</v>
          </cell>
          <cell r="H296">
            <v>0</v>
          </cell>
        </row>
        <row r="297">
          <cell r="A297" t="str">
            <v>52715-2060</v>
          </cell>
          <cell r="B297" t="str">
            <v>Hardware EX/FI</v>
          </cell>
          <cell r="C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</row>
        <row r="298">
          <cell r="A298" t="str">
            <v>52717-2060</v>
          </cell>
          <cell r="B298" t="str">
            <v>Electrical/Elect item EX/FI</v>
          </cell>
          <cell r="C298">
            <v>11.44</v>
          </cell>
          <cell r="E298">
            <v>11.44</v>
          </cell>
          <cell r="F298">
            <v>0</v>
          </cell>
          <cell r="G298">
            <v>0</v>
          </cell>
          <cell r="H298">
            <v>0</v>
          </cell>
        </row>
        <row r="299">
          <cell r="A299" t="str">
            <v>52719-2060</v>
          </cell>
          <cell r="B299" t="str">
            <v>Tools EX/FI</v>
          </cell>
          <cell r="C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52721-2060</v>
          </cell>
          <cell r="B300" t="str">
            <v>Rep &amp; Maint EX/FI</v>
          </cell>
          <cell r="C300">
            <v>7780</v>
          </cell>
          <cell r="E300">
            <v>7780</v>
          </cell>
          <cell r="F300">
            <v>0</v>
          </cell>
          <cell r="G300">
            <v>0</v>
          </cell>
          <cell r="H300">
            <v>0</v>
          </cell>
        </row>
        <row r="301">
          <cell r="A301" t="str">
            <v>52723-2060</v>
          </cell>
          <cell r="B301" t="str">
            <v>Other Factory Supplies EX/FI</v>
          </cell>
          <cell r="C301">
            <v>275.42</v>
          </cell>
          <cell r="E301">
            <v>275.42</v>
          </cell>
          <cell r="F301">
            <v>0</v>
          </cell>
          <cell r="G301">
            <v>0</v>
          </cell>
          <cell r="H301">
            <v>0</v>
          </cell>
        </row>
        <row r="302">
          <cell r="A302" t="str">
            <v>52735-2060</v>
          </cell>
          <cell r="B302" t="str">
            <v>Film EX/FI</v>
          </cell>
          <cell r="C302">
            <v>881.76</v>
          </cell>
          <cell r="E302">
            <v>881.76</v>
          </cell>
          <cell r="F302">
            <v>0</v>
          </cell>
          <cell r="G302">
            <v>0</v>
          </cell>
          <cell r="H302">
            <v>0</v>
          </cell>
        </row>
        <row r="303">
          <cell r="A303" t="str">
            <v>52735-2070</v>
          </cell>
          <cell r="B303" t="str">
            <v>Film EX/FI</v>
          </cell>
          <cell r="C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</row>
        <row r="304">
          <cell r="A304" t="str">
            <v>52809-2070</v>
          </cell>
          <cell r="B304" t="str">
            <v>Oils &amp; Lub WS/FI</v>
          </cell>
          <cell r="C304">
            <v>3781.8</v>
          </cell>
          <cell r="E304">
            <v>0</v>
          </cell>
          <cell r="F304">
            <v>0</v>
          </cell>
          <cell r="G304">
            <v>3781.8</v>
          </cell>
          <cell r="H304">
            <v>0</v>
          </cell>
        </row>
        <row r="305">
          <cell r="A305" t="str">
            <v>52815-2070</v>
          </cell>
          <cell r="B305" t="str">
            <v>Hardware WS/FI</v>
          </cell>
          <cell r="C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</row>
        <row r="306">
          <cell r="A306" t="str">
            <v>52817-2070</v>
          </cell>
          <cell r="B306" t="str">
            <v>Electrical/Elect item WS/FI</v>
          </cell>
          <cell r="C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</row>
        <row r="307">
          <cell r="A307" t="str">
            <v>52819-2070</v>
          </cell>
          <cell r="B307" t="str">
            <v>Tools WS/FI</v>
          </cell>
          <cell r="C307">
            <v>21.06</v>
          </cell>
          <cell r="E307">
            <v>21.06</v>
          </cell>
          <cell r="F307">
            <v>0</v>
          </cell>
          <cell r="G307">
            <v>0</v>
          </cell>
          <cell r="H307">
            <v>0</v>
          </cell>
        </row>
        <row r="308">
          <cell r="A308" t="str">
            <v>52821-2070</v>
          </cell>
          <cell r="B308" t="str">
            <v>Rep &amp; Maint WS/FI</v>
          </cell>
          <cell r="C308">
            <v>1566.84</v>
          </cell>
          <cell r="E308">
            <v>1270.23</v>
          </cell>
          <cell r="F308">
            <v>0</v>
          </cell>
          <cell r="G308">
            <v>296.6099999999999</v>
          </cell>
          <cell r="H308">
            <v>0</v>
          </cell>
        </row>
        <row r="309">
          <cell r="A309" t="str">
            <v>52823-2070</v>
          </cell>
          <cell r="B309" t="str">
            <v>Other Factory Supplies WS/FI</v>
          </cell>
          <cell r="C309">
            <v>71.48</v>
          </cell>
          <cell r="E309">
            <v>71.48</v>
          </cell>
          <cell r="F309">
            <v>0</v>
          </cell>
          <cell r="G309">
            <v>0</v>
          </cell>
          <cell r="H309">
            <v>0</v>
          </cell>
        </row>
        <row r="310">
          <cell r="A310" t="str">
            <v>52925-2080</v>
          </cell>
          <cell r="B310" t="str">
            <v>Mill Laquer ML/C</v>
          </cell>
          <cell r="C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</row>
        <row r="311">
          <cell r="A311" t="str">
            <v>52927-2080</v>
          </cell>
          <cell r="B311" t="str">
            <v>Mops ML/C</v>
          </cell>
          <cell r="C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</row>
        <row r="312">
          <cell r="A312" t="str">
            <v>52929-2080</v>
          </cell>
          <cell r="B312" t="str">
            <v>Spray Guns ML/C</v>
          </cell>
          <cell r="C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</row>
        <row r="313">
          <cell r="A313" t="str">
            <v>52931-2080</v>
          </cell>
          <cell r="B313" t="str">
            <v>Other Coating Exp ML/C</v>
          </cell>
          <cell r="C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</row>
        <row r="314">
          <cell r="A314" t="str">
            <v>53123-2090</v>
          </cell>
          <cell r="B314" t="str">
            <v>Other Factory Supplies</v>
          </cell>
          <cell r="C314">
            <v>614.41</v>
          </cell>
          <cell r="E314">
            <v>614.41</v>
          </cell>
          <cell r="F314">
            <v>0</v>
          </cell>
          <cell r="G314">
            <v>0</v>
          </cell>
          <cell r="H314">
            <v>0</v>
          </cell>
        </row>
        <row r="315">
          <cell r="A315" t="str">
            <v>53125-2090</v>
          </cell>
          <cell r="B315" t="str">
            <v>Banding MK/Sh</v>
          </cell>
          <cell r="C315">
            <v>0</v>
          </cell>
          <cell r="E315">
            <v>0</v>
          </cell>
          <cell r="F315">
            <v>0</v>
          </cell>
          <cell r="G315">
            <v>0</v>
          </cell>
          <cell r="H315">
            <v>0</v>
          </cell>
        </row>
        <row r="316">
          <cell r="A316" t="str">
            <v>53127-2090</v>
          </cell>
          <cell r="B316" t="str">
            <v>Hard Wood MK/Sh</v>
          </cell>
          <cell r="C316">
            <v>756</v>
          </cell>
          <cell r="E316">
            <v>756</v>
          </cell>
          <cell r="F316">
            <v>0</v>
          </cell>
          <cell r="G316">
            <v>0</v>
          </cell>
          <cell r="H316">
            <v>0</v>
          </cell>
        </row>
        <row r="317">
          <cell r="A317" t="str">
            <v>53129-2090</v>
          </cell>
          <cell r="B317" t="str">
            <v>Nails MK/Sh</v>
          </cell>
          <cell r="C317">
            <v>588.16</v>
          </cell>
          <cell r="E317">
            <v>422.26</v>
          </cell>
          <cell r="F317">
            <v>0</v>
          </cell>
          <cell r="G317">
            <v>165.89999999999998</v>
          </cell>
          <cell r="H317">
            <v>0</v>
          </cell>
        </row>
        <row r="318">
          <cell r="A318" t="str">
            <v>53131-2090</v>
          </cell>
          <cell r="B318" t="str">
            <v>Inks MK/Sh</v>
          </cell>
          <cell r="C318">
            <v>0</v>
          </cell>
          <cell r="E318">
            <v>0</v>
          </cell>
          <cell r="F318">
            <v>0</v>
          </cell>
          <cell r="G318">
            <v>0</v>
          </cell>
          <cell r="H318">
            <v>0</v>
          </cell>
        </row>
        <row r="319">
          <cell r="A319" t="str">
            <v>53133-2090</v>
          </cell>
          <cell r="B319" t="str">
            <v>Stencils MK/Sh</v>
          </cell>
          <cell r="C319">
            <v>0</v>
          </cell>
          <cell r="E319">
            <v>0</v>
          </cell>
          <cell r="F319">
            <v>0</v>
          </cell>
          <cell r="G319">
            <v>0</v>
          </cell>
          <cell r="H319">
            <v>0</v>
          </cell>
        </row>
        <row r="320">
          <cell r="A320" t="str">
            <v>53215-2100</v>
          </cell>
          <cell r="B320" t="str">
            <v>Hardware WM/Sh</v>
          </cell>
          <cell r="C320">
            <v>0</v>
          </cell>
          <cell r="E320">
            <v>0</v>
          </cell>
          <cell r="F320">
            <v>0</v>
          </cell>
          <cell r="G320">
            <v>0</v>
          </cell>
          <cell r="H320">
            <v>0</v>
          </cell>
        </row>
        <row r="321">
          <cell r="A321" t="str">
            <v>53217-2100</v>
          </cell>
          <cell r="B321" t="str">
            <v>Electrical/Elect items WM/Sh</v>
          </cell>
          <cell r="C321">
            <v>0</v>
          </cell>
          <cell r="E321">
            <v>0</v>
          </cell>
          <cell r="F321">
            <v>0</v>
          </cell>
          <cell r="G321">
            <v>0</v>
          </cell>
          <cell r="H321">
            <v>0</v>
          </cell>
        </row>
        <row r="322">
          <cell r="A322" t="str">
            <v>53219-2100</v>
          </cell>
          <cell r="B322" t="str">
            <v>Tools WM/Sh</v>
          </cell>
          <cell r="C322">
            <v>0</v>
          </cell>
          <cell r="E322">
            <v>0</v>
          </cell>
          <cell r="F322">
            <v>0</v>
          </cell>
          <cell r="G322">
            <v>0</v>
          </cell>
          <cell r="H322">
            <v>0</v>
          </cell>
        </row>
        <row r="323">
          <cell r="A323" t="str">
            <v>53221-2100</v>
          </cell>
          <cell r="B323" t="str">
            <v>Rep &amp; Maint WM/Sh</v>
          </cell>
          <cell r="C323">
            <v>10058.83</v>
          </cell>
          <cell r="E323">
            <v>4056.71</v>
          </cell>
          <cell r="F323">
            <v>0</v>
          </cell>
          <cell r="G323">
            <v>6002.12</v>
          </cell>
          <cell r="H323">
            <v>0</v>
          </cell>
        </row>
        <row r="324">
          <cell r="A324" t="str">
            <v>53223-2100</v>
          </cell>
          <cell r="B324" t="str">
            <v>Other Factory Supplies WM/Sh</v>
          </cell>
          <cell r="C324">
            <v>0</v>
          </cell>
          <cell r="E324">
            <v>0</v>
          </cell>
          <cell r="F324">
            <v>0</v>
          </cell>
          <cell r="G324">
            <v>0</v>
          </cell>
          <cell r="H324">
            <v>0</v>
          </cell>
        </row>
        <row r="325">
          <cell r="A325" t="str">
            <v>53225-2100</v>
          </cell>
          <cell r="B325" t="str">
            <v>Gauges WM/Sh</v>
          </cell>
          <cell r="C325">
            <v>0</v>
          </cell>
          <cell r="E325">
            <v>0</v>
          </cell>
          <cell r="F325">
            <v>0</v>
          </cell>
          <cell r="G325">
            <v>0</v>
          </cell>
          <cell r="H325">
            <v>0</v>
          </cell>
        </row>
        <row r="326">
          <cell r="A326" t="str">
            <v>53227-2100</v>
          </cell>
          <cell r="B326" t="str">
            <v>Tapes WM/Sh</v>
          </cell>
          <cell r="C326">
            <v>0</v>
          </cell>
          <cell r="E326">
            <v>0</v>
          </cell>
          <cell r="F326">
            <v>0</v>
          </cell>
          <cell r="G326">
            <v>0</v>
          </cell>
          <cell r="H326">
            <v>0</v>
          </cell>
        </row>
        <row r="327">
          <cell r="A327" t="str">
            <v>53229-2100</v>
          </cell>
          <cell r="B327" t="str">
            <v>Other WM/Sh</v>
          </cell>
          <cell r="C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</row>
        <row r="328">
          <cell r="A328" t="str">
            <v>54105-3100</v>
          </cell>
          <cell r="B328" t="str">
            <v>Flux  GE/PM</v>
          </cell>
          <cell r="C328">
            <v>0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</row>
        <row r="329">
          <cell r="A329" t="str">
            <v>54109-3100</v>
          </cell>
          <cell r="B329" t="str">
            <v>Oils &amp; Lub GE/PM</v>
          </cell>
          <cell r="C329">
            <v>807.23</v>
          </cell>
          <cell r="E329">
            <v>807.23</v>
          </cell>
          <cell r="F329">
            <v>0</v>
          </cell>
          <cell r="G329">
            <v>0</v>
          </cell>
          <cell r="H329">
            <v>0</v>
          </cell>
        </row>
        <row r="330">
          <cell r="A330" t="str">
            <v>54115-3100</v>
          </cell>
          <cell r="B330" t="str">
            <v>Hardware GE/PM</v>
          </cell>
          <cell r="C330">
            <v>0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</row>
        <row r="331">
          <cell r="A331" t="str">
            <v>54117-3100</v>
          </cell>
          <cell r="B331" t="str">
            <v>Electrtical/Elect items GE/PM</v>
          </cell>
          <cell r="C331">
            <v>19151.560000000001</v>
          </cell>
          <cell r="E331">
            <v>19151.560000000001</v>
          </cell>
          <cell r="F331">
            <v>0</v>
          </cell>
          <cell r="G331">
            <v>0</v>
          </cell>
          <cell r="H331">
            <v>0</v>
          </cell>
        </row>
        <row r="332">
          <cell r="A332" t="str">
            <v>54119-3100</v>
          </cell>
          <cell r="B332" t="str">
            <v>Tools GE/PM</v>
          </cell>
          <cell r="C332">
            <v>500.21</v>
          </cell>
          <cell r="E332">
            <v>536.9</v>
          </cell>
          <cell r="F332">
            <v>0</v>
          </cell>
          <cell r="G332">
            <v>-36.69</v>
          </cell>
          <cell r="H332">
            <v>0</v>
          </cell>
        </row>
        <row r="333">
          <cell r="A333" t="str">
            <v>54121-3100</v>
          </cell>
          <cell r="B333" t="str">
            <v>Rep &amp; Maint GE/PM</v>
          </cell>
          <cell r="C333">
            <v>7192.72</v>
          </cell>
          <cell r="E333">
            <v>5831.92</v>
          </cell>
          <cell r="F333">
            <v>0</v>
          </cell>
          <cell r="G333">
            <v>1360.8000000000002</v>
          </cell>
          <cell r="H333">
            <v>0</v>
          </cell>
        </row>
        <row r="334">
          <cell r="A334" t="str">
            <v>54123-3100</v>
          </cell>
          <cell r="B334" t="str">
            <v>Other Factory Supplies GE/PM</v>
          </cell>
          <cell r="C334">
            <v>54784.6</v>
          </cell>
          <cell r="E334">
            <v>53112.78</v>
          </cell>
          <cell r="F334">
            <v>0</v>
          </cell>
          <cell r="G334">
            <v>1671.8199999999997</v>
          </cell>
          <cell r="H334">
            <v>0</v>
          </cell>
        </row>
        <row r="335">
          <cell r="A335" t="str">
            <v>54200</v>
          </cell>
          <cell r="B335" t="str">
            <v>Repairs &amp; Maintenance -General</v>
          </cell>
          <cell r="C335">
            <v>0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</row>
        <row r="336">
          <cell r="A336" t="str">
            <v>54201</v>
          </cell>
          <cell r="B336" t="str">
            <v>Shot Blaster Repair Supplies</v>
          </cell>
          <cell r="C336">
            <v>0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</row>
        <row r="337">
          <cell r="A337" t="str">
            <v>54202-3200</v>
          </cell>
          <cell r="B337" t="str">
            <v>Shots Shtblstr</v>
          </cell>
          <cell r="C337">
            <v>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</row>
        <row r="338">
          <cell r="A338" t="str">
            <v>54203-3200</v>
          </cell>
          <cell r="B338" t="str">
            <v>Oils &amp; Lub ShtBlstr</v>
          </cell>
          <cell r="C338">
            <v>0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</row>
        <row r="339">
          <cell r="A339" t="str">
            <v>54204-3200</v>
          </cell>
          <cell r="B339" t="str">
            <v>Hardware ShtBlstr</v>
          </cell>
          <cell r="C339">
            <v>0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</row>
        <row r="340">
          <cell r="A340" t="str">
            <v>54205-3200</v>
          </cell>
          <cell r="B340" t="str">
            <v>Electrical Items ShtBlstr</v>
          </cell>
          <cell r="C340">
            <v>0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</row>
        <row r="341">
          <cell r="A341" t="str">
            <v>54206-3200</v>
          </cell>
          <cell r="B341" t="str">
            <v>Tools ShtBlstr</v>
          </cell>
          <cell r="C341">
            <v>0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</row>
        <row r="342">
          <cell r="A342" t="str">
            <v>54207-3200</v>
          </cell>
          <cell r="B342" t="str">
            <v>Rep &amp; Maint ShtBlstr</v>
          </cell>
          <cell r="C342">
            <v>0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</row>
        <row r="343">
          <cell r="A343" t="str">
            <v>54208-3200</v>
          </cell>
          <cell r="B343" t="str">
            <v>Othr Factory Supplies ShtBlstr</v>
          </cell>
          <cell r="C343">
            <v>31.13</v>
          </cell>
          <cell r="E343">
            <v>31.13</v>
          </cell>
          <cell r="F343">
            <v>0</v>
          </cell>
          <cell r="G343">
            <v>0</v>
          </cell>
          <cell r="H343">
            <v>0</v>
          </cell>
        </row>
        <row r="344">
          <cell r="A344" t="str">
            <v>54209-3300</v>
          </cell>
          <cell r="B344" t="str">
            <v>Oils &amp; Lub Ovrhd Cranes</v>
          </cell>
          <cell r="C344">
            <v>0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</row>
        <row r="345">
          <cell r="A345" t="str">
            <v>54210-3300</v>
          </cell>
          <cell r="B345" t="str">
            <v>Hardware Ovrhd Cranes</v>
          </cell>
          <cell r="C345">
            <v>0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</row>
        <row r="346">
          <cell r="A346" t="str">
            <v>54211-3300</v>
          </cell>
          <cell r="B346" t="str">
            <v>Electrical Items Ovrhd Cranes</v>
          </cell>
          <cell r="C346">
            <v>0.05</v>
          </cell>
          <cell r="E346">
            <v>0.05</v>
          </cell>
          <cell r="F346">
            <v>0</v>
          </cell>
          <cell r="G346">
            <v>0</v>
          </cell>
          <cell r="H346">
            <v>0</v>
          </cell>
        </row>
        <row r="347">
          <cell r="A347" t="str">
            <v>54212-3300</v>
          </cell>
          <cell r="B347" t="str">
            <v>Tools Ovrhd Cranes</v>
          </cell>
          <cell r="C347">
            <v>0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</row>
        <row r="348">
          <cell r="A348" t="str">
            <v>54213-3300</v>
          </cell>
          <cell r="B348" t="str">
            <v>Rep &amp; Maint Ovrhd Cranes</v>
          </cell>
          <cell r="C348">
            <v>3880.99</v>
          </cell>
          <cell r="E348">
            <v>3683.28</v>
          </cell>
          <cell r="F348">
            <v>0</v>
          </cell>
          <cell r="G348">
            <v>197.70999999999958</v>
          </cell>
          <cell r="H348">
            <v>0</v>
          </cell>
        </row>
        <row r="349">
          <cell r="A349" t="str">
            <v>54214-3300</v>
          </cell>
          <cell r="B349" t="str">
            <v>Othr Fctry Sppls Ovrhd Cranes</v>
          </cell>
          <cell r="C349">
            <v>0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</row>
        <row r="350">
          <cell r="A350" t="str">
            <v>55001</v>
          </cell>
          <cell r="B350" t="str">
            <v>Plate Cost</v>
          </cell>
          <cell r="C350">
            <v>0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</row>
        <row r="351">
          <cell r="A351" t="str">
            <v>55010</v>
          </cell>
          <cell r="B351" t="str">
            <v>Cost of Sales - Other</v>
          </cell>
          <cell r="D351">
            <v>44242.55</v>
          </cell>
          <cell r="E351">
            <v>0</v>
          </cell>
          <cell r="F351">
            <v>44346.05</v>
          </cell>
          <cell r="G351">
            <v>0</v>
          </cell>
          <cell r="H351">
            <v>-103.5</v>
          </cell>
        </row>
        <row r="352">
          <cell r="A352" t="str">
            <v>55011</v>
          </cell>
          <cell r="B352" t="str">
            <v>Organizational Costs - Plant</v>
          </cell>
          <cell r="C352">
            <v>0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</row>
        <row r="353">
          <cell r="A353" t="str">
            <v>55012</v>
          </cell>
          <cell r="B353" t="str">
            <v>Pipe Sample Testing</v>
          </cell>
          <cell r="C353">
            <v>0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</row>
        <row r="354">
          <cell r="A354" t="str">
            <v>55013</v>
          </cell>
          <cell r="B354" t="str">
            <v>Customs Duties</v>
          </cell>
          <cell r="C354">
            <v>0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</row>
        <row r="355">
          <cell r="A355" t="str">
            <v>55014</v>
          </cell>
          <cell r="B355" t="str">
            <v>OSHA Penalties</v>
          </cell>
          <cell r="C355">
            <v>0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</row>
        <row r="356">
          <cell r="A356" t="str">
            <v>55015</v>
          </cell>
          <cell r="B356" t="str">
            <v>Consulting Fees - Operations</v>
          </cell>
          <cell r="C356">
            <v>8191.01</v>
          </cell>
          <cell r="E356">
            <v>8191.01</v>
          </cell>
          <cell r="F356">
            <v>0</v>
          </cell>
          <cell r="G356">
            <v>0</v>
          </cell>
          <cell r="H356">
            <v>0</v>
          </cell>
        </row>
        <row r="357">
          <cell r="A357" t="str">
            <v>55016</v>
          </cell>
          <cell r="B357" t="str">
            <v>Mill Claims (Pipes)</v>
          </cell>
          <cell r="D357">
            <v>0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</row>
        <row r="358">
          <cell r="A358" t="str">
            <v>60010</v>
          </cell>
          <cell r="B358" t="str">
            <v>Accounting</v>
          </cell>
          <cell r="C358">
            <v>4631.0600000000004</v>
          </cell>
          <cell r="E358">
            <v>3904.47</v>
          </cell>
          <cell r="F358">
            <v>0</v>
          </cell>
          <cell r="G358">
            <v>726.5900000000006</v>
          </cell>
          <cell r="H358">
            <v>0</v>
          </cell>
        </row>
        <row r="359">
          <cell r="A359" t="str">
            <v>60011</v>
          </cell>
          <cell r="B359" t="str">
            <v>Audit Fees</v>
          </cell>
          <cell r="C359">
            <v>12052</v>
          </cell>
          <cell r="E359">
            <v>8052</v>
          </cell>
          <cell r="F359">
            <v>0</v>
          </cell>
          <cell r="G359">
            <v>4000</v>
          </cell>
          <cell r="H359">
            <v>0</v>
          </cell>
        </row>
        <row r="360">
          <cell r="A360" t="str">
            <v>60012</v>
          </cell>
          <cell r="B360" t="str">
            <v>Amort. Org. Costs</v>
          </cell>
          <cell r="C360">
            <v>0</v>
          </cell>
          <cell r="E360">
            <v>0</v>
          </cell>
          <cell r="F360">
            <v>0</v>
          </cell>
          <cell r="G360">
            <v>0</v>
          </cell>
          <cell r="H360">
            <v>0</v>
          </cell>
        </row>
        <row r="361">
          <cell r="A361" t="str">
            <v>60015</v>
          </cell>
          <cell r="B361" t="str">
            <v>Legal &amp; Professional Fees</v>
          </cell>
          <cell r="C361">
            <v>15000</v>
          </cell>
          <cell r="E361">
            <v>10000</v>
          </cell>
          <cell r="F361">
            <v>0</v>
          </cell>
          <cell r="G361">
            <v>5000</v>
          </cell>
          <cell r="H361">
            <v>0</v>
          </cell>
        </row>
        <row r="362">
          <cell r="A362" t="str">
            <v>60017</v>
          </cell>
          <cell r="B362" t="str">
            <v>Consulting Fees</v>
          </cell>
          <cell r="C362">
            <v>6000</v>
          </cell>
          <cell r="E362">
            <v>6000</v>
          </cell>
          <cell r="F362">
            <v>0</v>
          </cell>
          <cell r="G362">
            <v>0</v>
          </cell>
          <cell r="H362">
            <v>0</v>
          </cell>
        </row>
        <row r="363">
          <cell r="A363" t="str">
            <v>60020</v>
          </cell>
          <cell r="B363" t="str">
            <v>Advertising</v>
          </cell>
          <cell r="C363">
            <v>0</v>
          </cell>
          <cell r="E363">
            <v>0</v>
          </cell>
          <cell r="F363">
            <v>0</v>
          </cell>
          <cell r="G363">
            <v>0</v>
          </cell>
          <cell r="H363">
            <v>0</v>
          </cell>
        </row>
        <row r="364">
          <cell r="A364" t="str">
            <v>60080</v>
          </cell>
          <cell r="B364" t="str">
            <v>Automobile Expenses</v>
          </cell>
          <cell r="C364">
            <v>260.51</v>
          </cell>
          <cell r="E364">
            <v>197.71</v>
          </cell>
          <cell r="F364">
            <v>0</v>
          </cell>
          <cell r="G364">
            <v>62.799999999999983</v>
          </cell>
          <cell r="H364">
            <v>0</v>
          </cell>
        </row>
        <row r="365">
          <cell r="A365" t="str">
            <v>60090</v>
          </cell>
          <cell r="B365" t="str">
            <v>Auto Rental</v>
          </cell>
          <cell r="C365">
            <v>0</v>
          </cell>
          <cell r="E365">
            <v>0</v>
          </cell>
          <cell r="F365">
            <v>0</v>
          </cell>
          <cell r="G365">
            <v>0</v>
          </cell>
          <cell r="H365">
            <v>0</v>
          </cell>
        </row>
        <row r="366">
          <cell r="A366" t="str">
            <v>60100</v>
          </cell>
          <cell r="B366" t="str">
            <v>Bad Debts</v>
          </cell>
          <cell r="C366">
            <v>0</v>
          </cell>
          <cell r="E366">
            <v>0</v>
          </cell>
          <cell r="F366">
            <v>0</v>
          </cell>
          <cell r="G366">
            <v>0</v>
          </cell>
          <cell r="H366">
            <v>0</v>
          </cell>
        </row>
        <row r="367">
          <cell r="A367" t="str">
            <v>60110</v>
          </cell>
          <cell r="B367" t="str">
            <v>Bank Charges</v>
          </cell>
          <cell r="C367">
            <v>56</v>
          </cell>
          <cell r="E367">
            <v>0</v>
          </cell>
          <cell r="F367">
            <v>0</v>
          </cell>
          <cell r="G367">
            <v>56</v>
          </cell>
          <cell r="H367">
            <v>0</v>
          </cell>
        </row>
        <row r="368">
          <cell r="A368" t="str">
            <v>60115</v>
          </cell>
          <cell r="B368" t="str">
            <v>Bids &amp; Proposals</v>
          </cell>
          <cell r="C368">
            <v>0</v>
          </cell>
          <cell r="E368">
            <v>0</v>
          </cell>
          <cell r="F368">
            <v>0</v>
          </cell>
          <cell r="G368">
            <v>0</v>
          </cell>
          <cell r="H368">
            <v>0</v>
          </cell>
        </row>
        <row r="369">
          <cell r="A369" t="str">
            <v>60120</v>
          </cell>
          <cell r="B369" t="str">
            <v>Commissions</v>
          </cell>
          <cell r="C369">
            <v>0</v>
          </cell>
          <cell r="E369">
            <v>0</v>
          </cell>
          <cell r="F369">
            <v>0</v>
          </cell>
          <cell r="G369">
            <v>0</v>
          </cell>
          <cell r="H369">
            <v>0</v>
          </cell>
        </row>
        <row r="370">
          <cell r="A370" t="str">
            <v>60140</v>
          </cell>
          <cell r="B370" t="str">
            <v>Delivery &amp; Distribution</v>
          </cell>
          <cell r="C370">
            <v>0</v>
          </cell>
          <cell r="E370">
            <v>0</v>
          </cell>
          <cell r="F370">
            <v>0</v>
          </cell>
          <cell r="G370">
            <v>0</v>
          </cell>
          <cell r="H370">
            <v>0</v>
          </cell>
        </row>
        <row r="371">
          <cell r="A371" t="str">
            <v>60160</v>
          </cell>
          <cell r="B371" t="str">
            <v>Depreciation</v>
          </cell>
          <cell r="C371">
            <v>163050</v>
          </cell>
          <cell r="E371">
            <v>108700</v>
          </cell>
          <cell r="F371">
            <v>0</v>
          </cell>
          <cell r="G371">
            <v>54350</v>
          </cell>
          <cell r="H371">
            <v>0</v>
          </cell>
        </row>
        <row r="372">
          <cell r="A372" t="str">
            <v>60180</v>
          </cell>
          <cell r="B372" t="str">
            <v>Donations</v>
          </cell>
          <cell r="C372">
            <v>0</v>
          </cell>
          <cell r="E372">
            <v>0</v>
          </cell>
          <cell r="F372">
            <v>0</v>
          </cell>
          <cell r="G372">
            <v>0</v>
          </cell>
          <cell r="H372">
            <v>0</v>
          </cell>
        </row>
        <row r="373">
          <cell r="A373" t="str">
            <v>60200</v>
          </cell>
          <cell r="B373" t="str">
            <v>Dues &amp; Subscriptions</v>
          </cell>
          <cell r="C373">
            <v>0</v>
          </cell>
          <cell r="E373">
            <v>0</v>
          </cell>
          <cell r="F373">
            <v>0</v>
          </cell>
          <cell r="G373">
            <v>0</v>
          </cell>
          <cell r="H373">
            <v>0</v>
          </cell>
        </row>
        <row r="374">
          <cell r="A374" t="str">
            <v>60205</v>
          </cell>
          <cell r="B374" t="str">
            <v>Educational Expenses</v>
          </cell>
          <cell r="D374">
            <v>45</v>
          </cell>
          <cell r="E374">
            <v>0</v>
          </cell>
          <cell r="F374">
            <v>0</v>
          </cell>
          <cell r="G374">
            <v>0</v>
          </cell>
          <cell r="H374">
            <v>45</v>
          </cell>
        </row>
        <row r="375">
          <cell r="A375" t="str">
            <v>60210</v>
          </cell>
          <cell r="B375" t="str">
            <v>Employee Medical Exp.</v>
          </cell>
          <cell r="C375">
            <v>1019</v>
          </cell>
          <cell r="E375">
            <v>1019</v>
          </cell>
          <cell r="F375">
            <v>0</v>
          </cell>
          <cell r="G375">
            <v>0</v>
          </cell>
          <cell r="H375">
            <v>0</v>
          </cell>
        </row>
        <row r="376">
          <cell r="A376" t="str">
            <v>60211</v>
          </cell>
          <cell r="B376" t="str">
            <v>Employee Medical Expenses</v>
          </cell>
          <cell r="C376">
            <v>0</v>
          </cell>
          <cell r="E376">
            <v>0</v>
          </cell>
          <cell r="F376">
            <v>0</v>
          </cell>
          <cell r="G376">
            <v>0</v>
          </cell>
          <cell r="H376">
            <v>0</v>
          </cell>
        </row>
        <row r="377">
          <cell r="A377" t="str">
            <v>60212</v>
          </cell>
          <cell r="B377" t="str">
            <v>Employee Uniforms</v>
          </cell>
          <cell r="C377">
            <v>758.73</v>
          </cell>
          <cell r="E377">
            <v>902.43</v>
          </cell>
          <cell r="F377">
            <v>0</v>
          </cell>
          <cell r="G377">
            <v>-143.69999999999993</v>
          </cell>
          <cell r="H377">
            <v>0</v>
          </cell>
        </row>
        <row r="378">
          <cell r="A378" t="str">
            <v>60220</v>
          </cell>
          <cell r="B378" t="str">
            <v>Employee Benefit Plan</v>
          </cell>
          <cell r="C378">
            <v>0</v>
          </cell>
          <cell r="E378">
            <v>0</v>
          </cell>
          <cell r="F378">
            <v>0</v>
          </cell>
          <cell r="G378">
            <v>0</v>
          </cell>
          <cell r="H378">
            <v>0</v>
          </cell>
        </row>
        <row r="379">
          <cell r="A379" t="str">
            <v>60260</v>
          </cell>
          <cell r="B379" t="str">
            <v>Equipment Lease or Rent</v>
          </cell>
          <cell r="C379">
            <v>2558.69</v>
          </cell>
          <cell r="E379">
            <v>1944.87</v>
          </cell>
          <cell r="F379">
            <v>0</v>
          </cell>
          <cell r="G379">
            <v>613.82000000000016</v>
          </cell>
          <cell r="H379">
            <v>0</v>
          </cell>
        </row>
        <row r="380">
          <cell r="A380" t="str">
            <v>60270</v>
          </cell>
          <cell r="B380" t="str">
            <v>Worker's Comp. Ins.</v>
          </cell>
          <cell r="C380">
            <v>122412.06</v>
          </cell>
          <cell r="E380">
            <v>88733.83</v>
          </cell>
          <cell r="F380">
            <v>0</v>
          </cell>
          <cell r="G380">
            <v>33678.229999999996</v>
          </cell>
          <cell r="H380">
            <v>0</v>
          </cell>
        </row>
        <row r="381">
          <cell r="A381" t="str">
            <v>60280</v>
          </cell>
          <cell r="B381" t="str">
            <v>Insurance</v>
          </cell>
          <cell r="C381">
            <v>525.01</v>
          </cell>
          <cell r="E381">
            <v>483.34</v>
          </cell>
          <cell r="F381">
            <v>0</v>
          </cell>
          <cell r="G381">
            <v>41.670000000000016</v>
          </cell>
          <cell r="H381">
            <v>0</v>
          </cell>
        </row>
        <row r="382">
          <cell r="A382" t="str">
            <v>60281</v>
          </cell>
          <cell r="B382" t="str">
            <v>Insurance - Life</v>
          </cell>
          <cell r="C382">
            <v>4640.7299999999996</v>
          </cell>
          <cell r="E382">
            <v>3513.3</v>
          </cell>
          <cell r="F382">
            <v>0</v>
          </cell>
          <cell r="G382">
            <v>1127.4299999999994</v>
          </cell>
          <cell r="H382">
            <v>0</v>
          </cell>
        </row>
        <row r="383">
          <cell r="A383" t="str">
            <v>60282</v>
          </cell>
          <cell r="B383" t="str">
            <v>Insurance - Medical</v>
          </cell>
          <cell r="C383">
            <v>89734.68</v>
          </cell>
          <cell r="E383">
            <v>61562.34</v>
          </cell>
          <cell r="F383">
            <v>0</v>
          </cell>
          <cell r="G383">
            <v>28172.339999999997</v>
          </cell>
          <cell r="H383">
            <v>0</v>
          </cell>
        </row>
        <row r="384">
          <cell r="A384" t="str">
            <v>60283</v>
          </cell>
          <cell r="B384" t="str">
            <v>Insurance - Dental</v>
          </cell>
          <cell r="C384">
            <v>1628.79</v>
          </cell>
          <cell r="E384">
            <v>1628.79</v>
          </cell>
          <cell r="F384">
            <v>0</v>
          </cell>
          <cell r="G384">
            <v>0</v>
          </cell>
          <cell r="H384">
            <v>0</v>
          </cell>
        </row>
        <row r="385">
          <cell r="A385" t="str">
            <v>60284</v>
          </cell>
          <cell r="B385" t="str">
            <v>Insurance - Supplementary</v>
          </cell>
          <cell r="C385">
            <v>1704.84</v>
          </cell>
          <cell r="E385">
            <v>1704.84</v>
          </cell>
          <cell r="F385">
            <v>0</v>
          </cell>
          <cell r="G385">
            <v>0</v>
          </cell>
          <cell r="H385">
            <v>0</v>
          </cell>
        </row>
        <row r="386">
          <cell r="A386" t="str">
            <v>60285</v>
          </cell>
          <cell r="B386" t="str">
            <v>Property Insurance</v>
          </cell>
          <cell r="C386">
            <v>0</v>
          </cell>
          <cell r="E386">
            <v>0</v>
          </cell>
          <cell r="F386">
            <v>0</v>
          </cell>
          <cell r="G386">
            <v>0</v>
          </cell>
          <cell r="H386">
            <v>0</v>
          </cell>
        </row>
        <row r="387">
          <cell r="A387" t="str">
            <v>60286</v>
          </cell>
          <cell r="B387" t="str">
            <v>Insurance - GL</v>
          </cell>
          <cell r="C387">
            <v>14286.24</v>
          </cell>
          <cell r="E387">
            <v>9524.16</v>
          </cell>
          <cell r="F387">
            <v>0</v>
          </cell>
          <cell r="G387">
            <v>4762.08</v>
          </cell>
          <cell r="H387">
            <v>0</v>
          </cell>
        </row>
        <row r="388">
          <cell r="A388" t="str">
            <v>60287</v>
          </cell>
          <cell r="B388" t="str">
            <v>Insurance - UMB</v>
          </cell>
          <cell r="C388">
            <v>19903.259999999998</v>
          </cell>
          <cell r="E388">
            <v>13268.84</v>
          </cell>
          <cell r="F388">
            <v>0</v>
          </cell>
          <cell r="G388">
            <v>6634.4199999999983</v>
          </cell>
          <cell r="H388">
            <v>0</v>
          </cell>
        </row>
        <row r="389">
          <cell r="A389" t="str">
            <v>60288</v>
          </cell>
          <cell r="B389" t="str">
            <v>Insurance - Cargo</v>
          </cell>
          <cell r="C389">
            <v>0</v>
          </cell>
          <cell r="E389">
            <v>0</v>
          </cell>
          <cell r="F389">
            <v>0</v>
          </cell>
          <cell r="G389">
            <v>0</v>
          </cell>
          <cell r="H389">
            <v>0</v>
          </cell>
        </row>
        <row r="390">
          <cell r="A390" t="str">
            <v>60290</v>
          </cell>
          <cell r="B390" t="str">
            <v>Insurance - Auto</v>
          </cell>
          <cell r="C390">
            <v>5926.74</v>
          </cell>
          <cell r="E390">
            <v>3951.16</v>
          </cell>
          <cell r="F390">
            <v>0</v>
          </cell>
          <cell r="G390">
            <v>1975.58</v>
          </cell>
          <cell r="H390">
            <v>0</v>
          </cell>
        </row>
        <row r="391">
          <cell r="A391" t="str">
            <v>60295</v>
          </cell>
          <cell r="B391" t="str">
            <v>Misc. expense-401(k) plan</v>
          </cell>
          <cell r="C391">
            <v>0</v>
          </cell>
          <cell r="E391">
            <v>0</v>
          </cell>
          <cell r="F391">
            <v>0</v>
          </cell>
          <cell r="G391">
            <v>0</v>
          </cell>
          <cell r="H391">
            <v>0</v>
          </cell>
        </row>
        <row r="392">
          <cell r="A392" t="str">
            <v>60296</v>
          </cell>
          <cell r="B392" t="str">
            <v>Company Contribution - 401(k)</v>
          </cell>
          <cell r="C392">
            <v>4844.7</v>
          </cell>
          <cell r="E392">
            <v>4637</v>
          </cell>
          <cell r="F392">
            <v>0</v>
          </cell>
          <cell r="G392">
            <v>207.69999999999982</v>
          </cell>
          <cell r="H392">
            <v>0</v>
          </cell>
        </row>
        <row r="393">
          <cell r="A393" t="str">
            <v>60300</v>
          </cell>
          <cell r="B393" t="str">
            <v>Interest - Long Term</v>
          </cell>
          <cell r="C393">
            <v>0</v>
          </cell>
          <cell r="E393">
            <v>0</v>
          </cell>
          <cell r="F393">
            <v>0</v>
          </cell>
          <cell r="G393">
            <v>0</v>
          </cell>
          <cell r="H393">
            <v>0</v>
          </cell>
        </row>
        <row r="394">
          <cell r="A394" t="str">
            <v>60320</v>
          </cell>
          <cell r="B394" t="str">
            <v>Interest - Other</v>
          </cell>
          <cell r="C394">
            <v>98702.95</v>
          </cell>
          <cell r="E394">
            <v>65820.710000000006</v>
          </cell>
          <cell r="F394">
            <v>0</v>
          </cell>
          <cell r="G394">
            <v>32882.239999999991</v>
          </cell>
          <cell r="H394">
            <v>0</v>
          </cell>
        </row>
        <row r="395">
          <cell r="A395" t="str">
            <v>60330</v>
          </cell>
          <cell r="B395" t="str">
            <v>Loan Financing Expenses</v>
          </cell>
          <cell r="C395">
            <v>0</v>
          </cell>
          <cell r="E395">
            <v>0</v>
          </cell>
          <cell r="F395">
            <v>0</v>
          </cell>
          <cell r="G395">
            <v>0</v>
          </cell>
          <cell r="H395">
            <v>0</v>
          </cell>
        </row>
        <row r="396">
          <cell r="A396" t="str">
            <v>60331</v>
          </cell>
          <cell r="B396" t="str">
            <v>Interest and Finance Charges</v>
          </cell>
          <cell r="C396">
            <v>0</v>
          </cell>
          <cell r="E396">
            <v>0</v>
          </cell>
          <cell r="F396">
            <v>0</v>
          </cell>
          <cell r="G396">
            <v>0</v>
          </cell>
          <cell r="H396">
            <v>0</v>
          </cell>
        </row>
        <row r="397">
          <cell r="A397" t="str">
            <v>60340</v>
          </cell>
          <cell r="B397" t="str">
            <v>Inventory Adjustment</v>
          </cell>
          <cell r="C397">
            <v>0</v>
          </cell>
          <cell r="E397">
            <v>0</v>
          </cell>
          <cell r="F397">
            <v>0</v>
          </cell>
          <cell r="G397">
            <v>0</v>
          </cell>
          <cell r="H397">
            <v>0</v>
          </cell>
        </row>
        <row r="398">
          <cell r="A398" t="str">
            <v>60360</v>
          </cell>
          <cell r="B398" t="str">
            <v>License &amp; Memberships</v>
          </cell>
          <cell r="C398">
            <v>0</v>
          </cell>
          <cell r="E398">
            <v>0</v>
          </cell>
          <cell r="F398">
            <v>0</v>
          </cell>
          <cell r="G398">
            <v>0</v>
          </cell>
          <cell r="H398">
            <v>0</v>
          </cell>
        </row>
        <row r="399">
          <cell r="A399" t="str">
            <v>60365</v>
          </cell>
          <cell r="B399" t="str">
            <v>Lodging</v>
          </cell>
          <cell r="C399">
            <v>2137.59</v>
          </cell>
          <cell r="E399">
            <v>2137.59</v>
          </cell>
          <cell r="F399">
            <v>0</v>
          </cell>
          <cell r="G399">
            <v>0</v>
          </cell>
          <cell r="H399">
            <v>0</v>
          </cell>
        </row>
        <row r="400">
          <cell r="A400" t="str">
            <v>60370</v>
          </cell>
          <cell r="B400" t="str">
            <v>Marketing</v>
          </cell>
          <cell r="C400">
            <v>0</v>
          </cell>
          <cell r="E400">
            <v>0</v>
          </cell>
          <cell r="F400">
            <v>0</v>
          </cell>
          <cell r="G400">
            <v>0</v>
          </cell>
          <cell r="H400">
            <v>0</v>
          </cell>
        </row>
        <row r="401">
          <cell r="A401" t="str">
            <v>60380</v>
          </cell>
          <cell r="B401" t="str">
            <v>Misc. Expenses</v>
          </cell>
          <cell r="C401">
            <v>398.37</v>
          </cell>
          <cell r="E401">
            <v>334.49</v>
          </cell>
          <cell r="F401">
            <v>0</v>
          </cell>
          <cell r="G401">
            <v>63.879999999999995</v>
          </cell>
          <cell r="H401">
            <v>0</v>
          </cell>
        </row>
        <row r="402">
          <cell r="A402" t="str">
            <v>60390</v>
          </cell>
          <cell r="B402" t="str">
            <v>Apartment Expenses- Misc.</v>
          </cell>
          <cell r="C402">
            <v>0</v>
          </cell>
          <cell r="E402">
            <v>0</v>
          </cell>
          <cell r="F402">
            <v>0</v>
          </cell>
          <cell r="G402">
            <v>0</v>
          </cell>
          <cell r="H402">
            <v>0</v>
          </cell>
        </row>
        <row r="403">
          <cell r="A403" t="str">
            <v>60400</v>
          </cell>
          <cell r="B403" t="str">
            <v>Moving</v>
          </cell>
          <cell r="C403">
            <v>0</v>
          </cell>
          <cell r="E403">
            <v>0</v>
          </cell>
          <cell r="F403">
            <v>0</v>
          </cell>
          <cell r="G403">
            <v>0</v>
          </cell>
          <cell r="H403">
            <v>0</v>
          </cell>
        </row>
        <row r="404">
          <cell r="A404" t="str">
            <v>60410</v>
          </cell>
          <cell r="B404" t="str">
            <v>Office Supplies</v>
          </cell>
          <cell r="C404">
            <v>3024.13</v>
          </cell>
          <cell r="E404">
            <v>2779.74</v>
          </cell>
          <cell r="F404">
            <v>0</v>
          </cell>
          <cell r="G404">
            <v>244.39000000000033</v>
          </cell>
          <cell r="H404">
            <v>0</v>
          </cell>
        </row>
        <row r="405">
          <cell r="A405" t="str">
            <v>60500</v>
          </cell>
          <cell r="B405" t="str">
            <v>Overhead Costs</v>
          </cell>
          <cell r="C405">
            <v>0</v>
          </cell>
          <cell r="E405">
            <v>0</v>
          </cell>
          <cell r="F405">
            <v>0</v>
          </cell>
          <cell r="G405">
            <v>0</v>
          </cell>
          <cell r="H405">
            <v>0</v>
          </cell>
        </row>
        <row r="406">
          <cell r="A406" t="str">
            <v>60510</v>
          </cell>
          <cell r="B406" t="str">
            <v>Internet Connection expenses</v>
          </cell>
          <cell r="C406">
            <v>2490.89</v>
          </cell>
          <cell r="E406">
            <v>2490.89</v>
          </cell>
          <cell r="F406">
            <v>0</v>
          </cell>
          <cell r="G406">
            <v>0</v>
          </cell>
          <cell r="H406">
            <v>0</v>
          </cell>
        </row>
        <row r="407">
          <cell r="A407" t="str">
            <v>60520</v>
          </cell>
          <cell r="B407" t="str">
            <v>Postage Expenses</v>
          </cell>
          <cell r="C407">
            <v>360.11</v>
          </cell>
          <cell r="E407">
            <v>200</v>
          </cell>
          <cell r="F407">
            <v>0</v>
          </cell>
          <cell r="G407">
            <v>160.11000000000001</v>
          </cell>
          <cell r="H407">
            <v>0</v>
          </cell>
        </row>
        <row r="408">
          <cell r="A408" t="str">
            <v>60540</v>
          </cell>
          <cell r="B408" t="str">
            <v>Meals &amp; Entertainment</v>
          </cell>
          <cell r="C408">
            <v>1095.75</v>
          </cell>
          <cell r="E408">
            <v>932.01</v>
          </cell>
          <cell r="F408">
            <v>0</v>
          </cell>
          <cell r="G408">
            <v>163.74</v>
          </cell>
          <cell r="H408">
            <v>0</v>
          </cell>
        </row>
        <row r="409">
          <cell r="A409" t="str">
            <v>60550</v>
          </cell>
          <cell r="B409" t="str">
            <v>Purchase Discounts</v>
          </cell>
          <cell r="D409">
            <v>0</v>
          </cell>
          <cell r="E409">
            <v>0</v>
          </cell>
          <cell r="F409">
            <v>0</v>
          </cell>
          <cell r="G409">
            <v>0</v>
          </cell>
          <cell r="H409">
            <v>0</v>
          </cell>
        </row>
        <row r="410">
          <cell r="A410" t="str">
            <v>60560</v>
          </cell>
          <cell r="B410" t="str">
            <v>Rent - Office</v>
          </cell>
          <cell r="C410">
            <v>0</v>
          </cell>
          <cell r="E410">
            <v>0</v>
          </cell>
          <cell r="F410">
            <v>0</v>
          </cell>
          <cell r="G410">
            <v>0</v>
          </cell>
          <cell r="H410">
            <v>0</v>
          </cell>
        </row>
        <row r="411">
          <cell r="A411" t="str">
            <v>60565</v>
          </cell>
          <cell r="B411" t="str">
            <v>Rent - Housing</v>
          </cell>
          <cell r="C411">
            <v>0</v>
          </cell>
          <cell r="E411">
            <v>0</v>
          </cell>
          <cell r="F411">
            <v>0</v>
          </cell>
          <cell r="G411">
            <v>0</v>
          </cell>
          <cell r="H411">
            <v>0</v>
          </cell>
        </row>
        <row r="412">
          <cell r="A412" t="str">
            <v>60566</v>
          </cell>
          <cell r="B412" t="str">
            <v>APT. RENT - BOB SCHAAL</v>
          </cell>
          <cell r="C412">
            <v>0</v>
          </cell>
          <cell r="E412">
            <v>0</v>
          </cell>
          <cell r="F412">
            <v>0</v>
          </cell>
          <cell r="G412">
            <v>0</v>
          </cell>
          <cell r="H412">
            <v>0</v>
          </cell>
        </row>
        <row r="413">
          <cell r="A413" t="str">
            <v>60567</v>
          </cell>
          <cell r="B413" t="str">
            <v>Rent - Equipment</v>
          </cell>
          <cell r="C413">
            <v>6072.95</v>
          </cell>
          <cell r="E413">
            <v>5437.28</v>
          </cell>
          <cell r="F413">
            <v>0</v>
          </cell>
          <cell r="G413">
            <v>635.67000000000007</v>
          </cell>
          <cell r="H413">
            <v>0</v>
          </cell>
        </row>
        <row r="414">
          <cell r="A414" t="str">
            <v>60580</v>
          </cell>
          <cell r="B414" t="str">
            <v>Repairs &amp; Maint. - Office</v>
          </cell>
          <cell r="C414">
            <v>87.24</v>
          </cell>
          <cell r="E414">
            <v>87.24</v>
          </cell>
          <cell r="F414">
            <v>0</v>
          </cell>
          <cell r="G414">
            <v>0</v>
          </cell>
          <cell r="H414">
            <v>0</v>
          </cell>
        </row>
        <row r="415">
          <cell r="A415" t="str">
            <v>60585</v>
          </cell>
          <cell r="B415" t="str">
            <v>Repairs &amp; Maint.-Housing</v>
          </cell>
          <cell r="C415">
            <v>0</v>
          </cell>
          <cell r="E415">
            <v>0</v>
          </cell>
          <cell r="F415">
            <v>0</v>
          </cell>
          <cell r="G415">
            <v>0</v>
          </cell>
          <cell r="H415">
            <v>0</v>
          </cell>
        </row>
        <row r="416">
          <cell r="A416" t="str">
            <v>60590</v>
          </cell>
          <cell r="B416" t="str">
            <v>Safety Supplies &amp; Expenses</v>
          </cell>
          <cell r="C416">
            <v>2188.4299999999998</v>
          </cell>
          <cell r="E416">
            <v>1555.73</v>
          </cell>
          <cell r="F416">
            <v>0</v>
          </cell>
          <cell r="G416">
            <v>632.69999999999982</v>
          </cell>
          <cell r="H416">
            <v>0</v>
          </cell>
        </row>
        <row r="417">
          <cell r="A417" t="str">
            <v>60591</v>
          </cell>
          <cell r="B417" t="str">
            <v>Environmental Maintenance</v>
          </cell>
          <cell r="C417">
            <v>4716.32</v>
          </cell>
          <cell r="E417">
            <v>2400.79</v>
          </cell>
          <cell r="F417">
            <v>0</v>
          </cell>
          <cell r="G417">
            <v>2315.5299999999997</v>
          </cell>
          <cell r="H417">
            <v>0</v>
          </cell>
        </row>
        <row r="418">
          <cell r="A418" t="str">
            <v>60600</v>
          </cell>
          <cell r="B418" t="str">
            <v>Shipping and Freight Expenses</v>
          </cell>
          <cell r="C418">
            <v>2953.33</v>
          </cell>
          <cell r="E418">
            <v>2943.36</v>
          </cell>
          <cell r="F418">
            <v>0</v>
          </cell>
          <cell r="G418">
            <v>9.9699999999997999</v>
          </cell>
          <cell r="H418">
            <v>0</v>
          </cell>
        </row>
        <row r="419">
          <cell r="A419" t="str">
            <v>60650</v>
          </cell>
          <cell r="B419" t="str">
            <v>Stationary &amp; Printing</v>
          </cell>
          <cell r="C419">
            <v>0</v>
          </cell>
          <cell r="E419">
            <v>0</v>
          </cell>
          <cell r="F419">
            <v>0</v>
          </cell>
          <cell r="G419">
            <v>0</v>
          </cell>
          <cell r="H419">
            <v>0</v>
          </cell>
        </row>
        <row r="420">
          <cell r="A420" t="str">
            <v>60660</v>
          </cell>
          <cell r="B420" t="str">
            <v>Travel</v>
          </cell>
          <cell r="C420">
            <v>188.85</v>
          </cell>
          <cell r="E420">
            <v>188.85</v>
          </cell>
          <cell r="F420">
            <v>0</v>
          </cell>
          <cell r="G420">
            <v>0</v>
          </cell>
          <cell r="H420">
            <v>0</v>
          </cell>
        </row>
        <row r="421">
          <cell r="A421" t="str">
            <v>60680</v>
          </cell>
          <cell r="B421" t="str">
            <v>Telephone, FAX &amp; Telex</v>
          </cell>
          <cell r="C421">
            <v>5696.46</v>
          </cell>
          <cell r="E421">
            <v>5509.36</v>
          </cell>
          <cell r="F421">
            <v>0</v>
          </cell>
          <cell r="G421">
            <v>187.10000000000036</v>
          </cell>
          <cell r="H421">
            <v>0</v>
          </cell>
        </row>
        <row r="422">
          <cell r="A422" t="str">
            <v>60700</v>
          </cell>
          <cell r="B422" t="str">
            <v>Utilities</v>
          </cell>
          <cell r="C422">
            <v>1007.5</v>
          </cell>
          <cell r="E422">
            <v>1007.5</v>
          </cell>
          <cell r="F422">
            <v>0</v>
          </cell>
          <cell r="G422">
            <v>0</v>
          </cell>
          <cell r="H422">
            <v>0</v>
          </cell>
        </row>
        <row r="423">
          <cell r="A423" t="str">
            <v>60700-8600</v>
          </cell>
          <cell r="B423" t="str">
            <v>Utilities - Electricity</v>
          </cell>
          <cell r="C423">
            <v>143581</v>
          </cell>
          <cell r="E423">
            <v>150000</v>
          </cell>
          <cell r="F423">
            <v>0</v>
          </cell>
          <cell r="G423">
            <v>-6419</v>
          </cell>
          <cell r="H423">
            <v>0</v>
          </cell>
        </row>
        <row r="424">
          <cell r="A424" t="str">
            <v>60700-8700</v>
          </cell>
          <cell r="B424" t="str">
            <v>Utilities - Gas</v>
          </cell>
          <cell r="C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0</v>
          </cell>
        </row>
        <row r="425">
          <cell r="A425" t="str">
            <v>60700-8800</v>
          </cell>
          <cell r="B425" t="str">
            <v>Utilities - Water</v>
          </cell>
          <cell r="C425">
            <v>0</v>
          </cell>
          <cell r="E425">
            <v>0</v>
          </cell>
          <cell r="F425">
            <v>0</v>
          </cell>
          <cell r="G425">
            <v>0</v>
          </cell>
          <cell r="H425">
            <v>0</v>
          </cell>
        </row>
        <row r="426">
          <cell r="A426" t="str">
            <v>60701</v>
          </cell>
          <cell r="B426" t="str">
            <v>ISO EXPENSES</v>
          </cell>
          <cell r="C426">
            <v>740</v>
          </cell>
          <cell r="E426">
            <v>740</v>
          </cell>
          <cell r="F426">
            <v>0</v>
          </cell>
          <cell r="G426">
            <v>0</v>
          </cell>
          <cell r="H426">
            <v>0</v>
          </cell>
        </row>
        <row r="427">
          <cell r="A427" t="str">
            <v>60705</v>
          </cell>
          <cell r="B427" t="str">
            <v>Waste Management</v>
          </cell>
          <cell r="C427">
            <v>2762.46</v>
          </cell>
          <cell r="E427">
            <v>575.04</v>
          </cell>
          <cell r="F427">
            <v>0</v>
          </cell>
          <cell r="G427">
            <v>2187.42</v>
          </cell>
          <cell r="H427">
            <v>0</v>
          </cell>
        </row>
        <row r="428">
          <cell r="A428" t="str">
            <v>60710</v>
          </cell>
          <cell r="B428" t="str">
            <v>Salaries &amp; Wages</v>
          </cell>
          <cell r="C428">
            <v>17705.580000000002</v>
          </cell>
          <cell r="E428">
            <v>24438.44</v>
          </cell>
          <cell r="F428">
            <v>0</v>
          </cell>
          <cell r="G428">
            <v>-6732.8599999999969</v>
          </cell>
          <cell r="H428">
            <v>0</v>
          </cell>
        </row>
        <row r="429">
          <cell r="A429" t="str">
            <v>60710-1000</v>
          </cell>
          <cell r="B429" t="str">
            <v>Salaries and wages-Office</v>
          </cell>
          <cell r="C429">
            <v>7640.5</v>
          </cell>
          <cell r="E429">
            <v>4931.4399999999996</v>
          </cell>
          <cell r="F429">
            <v>0</v>
          </cell>
          <cell r="G429">
            <v>2709.0600000000004</v>
          </cell>
          <cell r="H429">
            <v>0</v>
          </cell>
        </row>
        <row r="430">
          <cell r="A430" t="str">
            <v>60710-1100</v>
          </cell>
          <cell r="B430" t="str">
            <v>Salaries and wages-Accounting</v>
          </cell>
          <cell r="C430">
            <v>14489.9</v>
          </cell>
          <cell r="E430">
            <v>12244.9</v>
          </cell>
          <cell r="F430">
            <v>0</v>
          </cell>
          <cell r="G430">
            <v>2245</v>
          </cell>
          <cell r="H430">
            <v>0</v>
          </cell>
        </row>
        <row r="431">
          <cell r="A431" t="str">
            <v>60710-1200</v>
          </cell>
          <cell r="B431" t="str">
            <v>Salaries and wages-Marketing</v>
          </cell>
          <cell r="C431">
            <v>0</v>
          </cell>
          <cell r="E431">
            <v>0</v>
          </cell>
          <cell r="F431">
            <v>0</v>
          </cell>
          <cell r="G431">
            <v>0</v>
          </cell>
          <cell r="H431">
            <v>0</v>
          </cell>
        </row>
        <row r="432">
          <cell r="A432" t="str">
            <v>60710-1300</v>
          </cell>
          <cell r="B432" t="str">
            <v>Salaries and wages-Engineering</v>
          </cell>
          <cell r="C432">
            <v>0</v>
          </cell>
          <cell r="E432">
            <v>0</v>
          </cell>
          <cell r="F432">
            <v>0</v>
          </cell>
          <cell r="G432">
            <v>0</v>
          </cell>
          <cell r="H432">
            <v>0</v>
          </cell>
        </row>
        <row r="433">
          <cell r="A433" t="str">
            <v>60710-1400</v>
          </cell>
          <cell r="B433" t="str">
            <v>Salaries and wages-Prod. Mgmt</v>
          </cell>
          <cell r="C433">
            <v>49421.78</v>
          </cell>
          <cell r="E433">
            <v>33652.92</v>
          </cell>
          <cell r="F433">
            <v>0</v>
          </cell>
          <cell r="G433">
            <v>15768.86</v>
          </cell>
          <cell r="H433">
            <v>0</v>
          </cell>
        </row>
        <row r="434">
          <cell r="A434" t="str">
            <v>60710-1500</v>
          </cell>
          <cell r="B434" t="str">
            <v>Salaries &amp; wages - HR/ Safety</v>
          </cell>
          <cell r="C434">
            <v>22539.97</v>
          </cell>
          <cell r="E434">
            <v>22539.97</v>
          </cell>
          <cell r="F434">
            <v>0</v>
          </cell>
          <cell r="G434">
            <v>0</v>
          </cell>
          <cell r="H434">
            <v>0</v>
          </cell>
        </row>
        <row r="435">
          <cell r="A435" t="str">
            <v>60710-1600</v>
          </cell>
          <cell r="B435" t="str">
            <v>Salaries and wages-Exec. Mgmt.</v>
          </cell>
          <cell r="C435">
            <v>4807.6000000000004</v>
          </cell>
          <cell r="E435">
            <v>4807.6000000000004</v>
          </cell>
          <cell r="F435">
            <v>0</v>
          </cell>
          <cell r="G435">
            <v>0</v>
          </cell>
          <cell r="H435">
            <v>0</v>
          </cell>
        </row>
        <row r="436">
          <cell r="A436" t="str">
            <v>60710-1700</v>
          </cell>
          <cell r="B436" t="str">
            <v>Salaries and wages-Purchasing</v>
          </cell>
          <cell r="C436">
            <v>9976.57</v>
          </cell>
          <cell r="E436">
            <v>6600</v>
          </cell>
          <cell r="F436">
            <v>0</v>
          </cell>
          <cell r="G436">
            <v>3376.5699999999997</v>
          </cell>
          <cell r="H436">
            <v>0</v>
          </cell>
        </row>
        <row r="437">
          <cell r="A437" t="str">
            <v>60710-2100</v>
          </cell>
          <cell r="B437" t="str">
            <v>Salaries and wages-Forming</v>
          </cell>
          <cell r="C437">
            <v>29367.45</v>
          </cell>
          <cell r="E437">
            <v>29367.45</v>
          </cell>
          <cell r="F437">
            <v>0</v>
          </cell>
          <cell r="G437">
            <v>0</v>
          </cell>
          <cell r="H437">
            <v>0</v>
          </cell>
        </row>
        <row r="438">
          <cell r="A438" t="str">
            <v>60710-2200</v>
          </cell>
          <cell r="B438" t="str">
            <v>Salaries and wages-Welding</v>
          </cell>
          <cell r="C438">
            <v>79755.399999999994</v>
          </cell>
          <cell r="E438">
            <v>72372.25</v>
          </cell>
          <cell r="F438">
            <v>0</v>
          </cell>
          <cell r="G438">
            <v>7383.1499999999942</v>
          </cell>
          <cell r="H438">
            <v>0</v>
          </cell>
        </row>
        <row r="439">
          <cell r="A439" t="str">
            <v>60710-2300</v>
          </cell>
          <cell r="B439" t="str">
            <v>Salaries and wages-Finishing</v>
          </cell>
          <cell r="C439">
            <v>57574.36</v>
          </cell>
          <cell r="E439">
            <v>50486.66</v>
          </cell>
          <cell r="F439">
            <v>0</v>
          </cell>
          <cell r="G439">
            <v>7087.6999999999971</v>
          </cell>
          <cell r="H439">
            <v>0</v>
          </cell>
        </row>
        <row r="440">
          <cell r="A440" t="str">
            <v>60710-2400</v>
          </cell>
          <cell r="B440" t="str">
            <v>Salaries and wages-Maintenance</v>
          </cell>
          <cell r="C440">
            <v>154733.64000000001</v>
          </cell>
          <cell r="E440">
            <v>132266</v>
          </cell>
          <cell r="F440">
            <v>0</v>
          </cell>
          <cell r="G440">
            <v>22467.640000000014</v>
          </cell>
          <cell r="H440">
            <v>0</v>
          </cell>
        </row>
        <row r="441">
          <cell r="A441" t="str">
            <v>60710-2500</v>
          </cell>
          <cell r="B441" t="str">
            <v>Salaries and wages - QA/QC</v>
          </cell>
          <cell r="C441">
            <v>99945.17</v>
          </cell>
          <cell r="E441">
            <v>84943.11</v>
          </cell>
          <cell r="F441">
            <v>0</v>
          </cell>
          <cell r="G441">
            <v>15002.059999999998</v>
          </cell>
          <cell r="H441">
            <v>0</v>
          </cell>
        </row>
        <row r="442">
          <cell r="A442" t="str">
            <v>60710-2600</v>
          </cell>
          <cell r="B442" t="str">
            <v>Salaries and wages-Shipping</v>
          </cell>
          <cell r="C442">
            <v>52521.61</v>
          </cell>
          <cell r="E442">
            <v>44407.71</v>
          </cell>
          <cell r="F442">
            <v>0</v>
          </cell>
          <cell r="G442">
            <v>8113.9000000000015</v>
          </cell>
          <cell r="H442">
            <v>0</v>
          </cell>
        </row>
        <row r="443">
          <cell r="A443" t="str">
            <v>60710-2700</v>
          </cell>
          <cell r="B443" t="str">
            <v>Salaries and wages-Cranemen</v>
          </cell>
          <cell r="C443">
            <v>12284.88</v>
          </cell>
          <cell r="E443">
            <v>12284.88</v>
          </cell>
          <cell r="F443">
            <v>0</v>
          </cell>
          <cell r="G443">
            <v>0</v>
          </cell>
          <cell r="H443">
            <v>0</v>
          </cell>
        </row>
        <row r="444">
          <cell r="A444" t="str">
            <v>60710-2800</v>
          </cell>
          <cell r="B444" t="str">
            <v>Salaries and wages-Storeroom</v>
          </cell>
          <cell r="C444">
            <v>14938.07</v>
          </cell>
          <cell r="E444">
            <v>12408.47</v>
          </cell>
          <cell r="F444">
            <v>0</v>
          </cell>
          <cell r="G444">
            <v>2529.6000000000004</v>
          </cell>
          <cell r="H444">
            <v>0</v>
          </cell>
        </row>
        <row r="445">
          <cell r="A445" t="str">
            <v>60710-2900</v>
          </cell>
          <cell r="B445" t="str">
            <v>Salaries and wages-General</v>
          </cell>
          <cell r="C445">
            <v>3597.5</v>
          </cell>
          <cell r="E445">
            <v>2389.5</v>
          </cell>
          <cell r="F445">
            <v>0</v>
          </cell>
          <cell r="G445">
            <v>1208</v>
          </cell>
          <cell r="H445">
            <v>0</v>
          </cell>
        </row>
        <row r="446">
          <cell r="A446" t="str">
            <v>60710-3000</v>
          </cell>
          <cell r="B446" t="str">
            <v>Salaries and Wages-Plate Mill</v>
          </cell>
          <cell r="C446">
            <v>27568.44</v>
          </cell>
          <cell r="E446">
            <v>0</v>
          </cell>
          <cell r="F446">
            <v>0</v>
          </cell>
          <cell r="G446">
            <v>27568.44</v>
          </cell>
          <cell r="H446">
            <v>0</v>
          </cell>
        </row>
        <row r="447">
          <cell r="A447" t="str">
            <v>60711</v>
          </cell>
          <cell r="B447" t="str">
            <v>Salary - Escrow CPW</v>
          </cell>
          <cell r="C447">
            <v>26086.959999999999</v>
          </cell>
          <cell r="E447">
            <v>26086.959999999999</v>
          </cell>
          <cell r="F447">
            <v>0</v>
          </cell>
          <cell r="G447">
            <v>0</v>
          </cell>
          <cell r="H447">
            <v>0</v>
          </cell>
        </row>
        <row r="448">
          <cell r="A448" t="str">
            <v>60715</v>
          </cell>
          <cell r="B448" t="str">
            <v>Recruitment Expenses</v>
          </cell>
          <cell r="C448">
            <v>8195</v>
          </cell>
          <cell r="E448">
            <v>4085</v>
          </cell>
          <cell r="F448">
            <v>0</v>
          </cell>
          <cell r="G448">
            <v>4110</v>
          </cell>
          <cell r="H448">
            <v>0</v>
          </cell>
        </row>
        <row r="449">
          <cell r="A449" t="str">
            <v>60720</v>
          </cell>
          <cell r="B449" t="str">
            <v>Employee Bonus</v>
          </cell>
          <cell r="C449">
            <v>0</v>
          </cell>
          <cell r="E449">
            <v>0</v>
          </cell>
          <cell r="F449">
            <v>0</v>
          </cell>
          <cell r="G449">
            <v>0</v>
          </cell>
          <cell r="H449">
            <v>0</v>
          </cell>
        </row>
        <row r="450">
          <cell r="A450" t="str">
            <v>60730</v>
          </cell>
          <cell r="B450" t="str">
            <v>Wages - Contract</v>
          </cell>
          <cell r="C450">
            <v>51467.199999999997</v>
          </cell>
          <cell r="E450">
            <v>50624.15</v>
          </cell>
          <cell r="F450">
            <v>0</v>
          </cell>
          <cell r="G450">
            <v>843.04999999999563</v>
          </cell>
          <cell r="H450">
            <v>0</v>
          </cell>
        </row>
        <row r="451">
          <cell r="A451" t="str">
            <v>60750</v>
          </cell>
          <cell r="B451" t="str">
            <v>SAW Pipes Ltd.-exp on behalf</v>
          </cell>
          <cell r="C451">
            <v>0</v>
          </cell>
          <cell r="E451">
            <v>0</v>
          </cell>
          <cell r="F451">
            <v>0</v>
          </cell>
          <cell r="G451">
            <v>0</v>
          </cell>
          <cell r="H451">
            <v>0</v>
          </cell>
        </row>
        <row r="452">
          <cell r="A452" t="str">
            <v>60755</v>
          </cell>
          <cell r="B452" t="str">
            <v>ST. JAMES-Exp on behalf</v>
          </cell>
          <cell r="C452">
            <v>0</v>
          </cell>
          <cell r="E452">
            <v>0</v>
          </cell>
          <cell r="F452">
            <v>0</v>
          </cell>
          <cell r="G452">
            <v>0</v>
          </cell>
          <cell r="H452">
            <v>0</v>
          </cell>
        </row>
        <row r="453">
          <cell r="A453" t="str">
            <v>60756</v>
          </cell>
          <cell r="B453" t="str">
            <v>Expenses Incurred-Sable</v>
          </cell>
          <cell r="C453">
            <v>0</v>
          </cell>
          <cell r="E453">
            <v>0</v>
          </cell>
          <cell r="F453">
            <v>0</v>
          </cell>
          <cell r="G453">
            <v>0</v>
          </cell>
          <cell r="H453">
            <v>0</v>
          </cell>
        </row>
        <row r="454">
          <cell r="A454" t="str">
            <v>60760</v>
          </cell>
          <cell r="B454" t="str">
            <v>Loss on Impairment of Asset</v>
          </cell>
          <cell r="C454">
            <v>0</v>
          </cell>
          <cell r="E454">
            <v>0</v>
          </cell>
          <cell r="F454">
            <v>0</v>
          </cell>
          <cell r="G454">
            <v>0</v>
          </cell>
          <cell r="H454">
            <v>0</v>
          </cell>
        </row>
        <row r="455">
          <cell r="A455" t="str">
            <v>80000</v>
          </cell>
          <cell r="B455" t="str">
            <v>Disposal of Assets-Proceeds</v>
          </cell>
          <cell r="C455">
            <v>0</v>
          </cell>
          <cell r="E455">
            <v>0</v>
          </cell>
          <cell r="F455">
            <v>0</v>
          </cell>
          <cell r="G455">
            <v>0</v>
          </cell>
          <cell r="H455">
            <v>0</v>
          </cell>
        </row>
        <row r="456">
          <cell r="A456" t="str">
            <v>80100</v>
          </cell>
          <cell r="B456" t="str">
            <v>Disposal of Assets-Cost</v>
          </cell>
          <cell r="C456">
            <v>0</v>
          </cell>
          <cell r="E456">
            <v>0</v>
          </cell>
          <cell r="F456">
            <v>0</v>
          </cell>
          <cell r="G456">
            <v>0</v>
          </cell>
          <cell r="H456">
            <v>0</v>
          </cell>
        </row>
        <row r="457">
          <cell r="A457" t="str">
            <v>90000</v>
          </cell>
          <cell r="B457" t="str">
            <v>Corporate Income Taxes</v>
          </cell>
          <cell r="C457">
            <v>0</v>
          </cell>
          <cell r="E457">
            <v>0</v>
          </cell>
          <cell r="F457">
            <v>0</v>
          </cell>
          <cell r="G457">
            <v>0</v>
          </cell>
          <cell r="H457">
            <v>0</v>
          </cell>
        </row>
        <row r="458">
          <cell r="A458" t="str">
            <v>90050</v>
          </cell>
          <cell r="B458" t="str">
            <v>Payroll Taxes</v>
          </cell>
          <cell r="C458">
            <v>0</v>
          </cell>
          <cell r="E458">
            <v>0</v>
          </cell>
          <cell r="F458">
            <v>0</v>
          </cell>
          <cell r="G458">
            <v>0</v>
          </cell>
          <cell r="H458">
            <v>0</v>
          </cell>
        </row>
        <row r="459">
          <cell r="A459" t="str">
            <v>90050-1100</v>
          </cell>
          <cell r="B459" t="str">
            <v>Payroll Taxes-Social security</v>
          </cell>
          <cell r="C459">
            <v>35909.64</v>
          </cell>
          <cell r="E459">
            <v>31376.39</v>
          </cell>
          <cell r="F459">
            <v>0</v>
          </cell>
          <cell r="G459">
            <v>4533.25</v>
          </cell>
          <cell r="H459">
            <v>0</v>
          </cell>
        </row>
        <row r="460">
          <cell r="A460" t="str">
            <v>90050-1200</v>
          </cell>
          <cell r="B460" t="str">
            <v>Payroll Taxes-Medicare</v>
          </cell>
          <cell r="C460">
            <v>8633.76</v>
          </cell>
          <cell r="E460">
            <v>7407.24</v>
          </cell>
          <cell r="F460">
            <v>0</v>
          </cell>
          <cell r="G460">
            <v>1226.5200000000004</v>
          </cell>
          <cell r="H460">
            <v>0</v>
          </cell>
        </row>
        <row r="461">
          <cell r="A461" t="str">
            <v>90050-1300</v>
          </cell>
          <cell r="B461" t="str">
            <v>Payroll Taxes-FUTA</v>
          </cell>
          <cell r="C461">
            <v>781.55</v>
          </cell>
          <cell r="E461">
            <v>775.97</v>
          </cell>
          <cell r="F461">
            <v>0</v>
          </cell>
          <cell r="G461">
            <v>5.5799999999999272</v>
          </cell>
          <cell r="H461">
            <v>0</v>
          </cell>
        </row>
        <row r="462">
          <cell r="A462" t="str">
            <v>90050-1400</v>
          </cell>
          <cell r="B462" t="str">
            <v>Payroll Taxes-SUTA</v>
          </cell>
          <cell r="C462">
            <v>6872.73</v>
          </cell>
          <cell r="E462">
            <v>6819.54</v>
          </cell>
          <cell r="F462">
            <v>0</v>
          </cell>
          <cell r="G462">
            <v>53.1899999999996</v>
          </cell>
          <cell r="H462">
            <v>0</v>
          </cell>
        </row>
        <row r="463">
          <cell r="A463" t="str">
            <v>90060</v>
          </cell>
          <cell r="B463" t="str">
            <v>Misc. Taxes</v>
          </cell>
          <cell r="C463">
            <v>1954.62</v>
          </cell>
          <cell r="E463">
            <v>1303.08</v>
          </cell>
          <cell r="F463">
            <v>0</v>
          </cell>
          <cell r="G463">
            <v>651.54</v>
          </cell>
          <cell r="H463">
            <v>0</v>
          </cell>
        </row>
        <row r="464">
          <cell r="A464" t="str">
            <v>90100</v>
          </cell>
          <cell r="B464" t="str">
            <v>Income tax benefit</v>
          </cell>
          <cell r="C464">
            <v>0</v>
          </cell>
          <cell r="E464">
            <v>0</v>
          </cell>
          <cell r="F464">
            <v>0</v>
          </cell>
          <cell r="G464">
            <v>0</v>
          </cell>
          <cell r="H464">
            <v>0</v>
          </cell>
        </row>
        <row r="465">
          <cell r="A465" t="str">
            <v>90150</v>
          </cell>
          <cell r="B465" t="str">
            <v>Franchise Tax</v>
          </cell>
          <cell r="C465">
            <v>0</v>
          </cell>
          <cell r="E465">
            <v>0</v>
          </cell>
          <cell r="F465">
            <v>0</v>
          </cell>
          <cell r="G465">
            <v>0</v>
          </cell>
          <cell r="H465">
            <v>0</v>
          </cell>
        </row>
        <row r="466">
          <cell r="A466" t="str">
            <v>90159</v>
          </cell>
          <cell r="B466" t="str">
            <v>Property Tax - Prior year</v>
          </cell>
          <cell r="C466">
            <v>0</v>
          </cell>
          <cell r="E466">
            <v>0</v>
          </cell>
          <cell r="F466">
            <v>0</v>
          </cell>
          <cell r="G466">
            <v>0</v>
          </cell>
          <cell r="H466">
            <v>0</v>
          </cell>
        </row>
        <row r="467">
          <cell r="A467" t="str">
            <v>90160</v>
          </cell>
          <cell r="B467" t="str">
            <v>Property Tax - Current year</v>
          </cell>
          <cell r="C467">
            <v>60000</v>
          </cell>
          <cell r="E467">
            <v>40000</v>
          </cell>
          <cell r="F467">
            <v>0</v>
          </cell>
          <cell r="G467">
            <v>20000</v>
          </cell>
          <cell r="H467">
            <v>0</v>
          </cell>
        </row>
        <row r="468">
          <cell r="A468" t="str">
            <v>90161</v>
          </cell>
          <cell r="B468" t="str">
            <v>Property Tax - Prior Years</v>
          </cell>
          <cell r="C468">
            <v>20056.740000000002</v>
          </cell>
          <cell r="E468">
            <v>0</v>
          </cell>
          <cell r="F468">
            <v>0</v>
          </cell>
          <cell r="G468">
            <v>20056.740000000002</v>
          </cell>
          <cell r="H468">
            <v>0</v>
          </cell>
        </row>
        <row r="469">
          <cell r="A469" t="str">
            <v>90200</v>
          </cell>
          <cell r="B469" t="str">
            <v>Federal Unemployment Tax</v>
          </cell>
          <cell r="C469">
            <v>0</v>
          </cell>
          <cell r="E469">
            <v>0</v>
          </cell>
          <cell r="F469">
            <v>0</v>
          </cell>
          <cell r="G469">
            <v>0</v>
          </cell>
          <cell r="H469">
            <v>0</v>
          </cell>
        </row>
        <row r="470">
          <cell r="A470" t="str">
            <v>90300</v>
          </cell>
          <cell r="B470" t="str">
            <v>State Unemployment Tax</v>
          </cell>
          <cell r="C470">
            <v>0</v>
          </cell>
          <cell r="E470">
            <v>0</v>
          </cell>
          <cell r="F470">
            <v>0</v>
          </cell>
          <cell r="G470">
            <v>0</v>
          </cell>
          <cell r="H470">
            <v>0</v>
          </cell>
        </row>
        <row r="471">
          <cell r="A471" t="str">
            <v>90500</v>
          </cell>
          <cell r="B471" t="str">
            <v>Deferred Taxes Adjustment</v>
          </cell>
          <cell r="C471">
            <v>0</v>
          </cell>
          <cell r="E471">
            <v>0</v>
          </cell>
          <cell r="F471">
            <v>0</v>
          </cell>
          <cell r="G471">
            <v>0</v>
          </cell>
          <cell r="H471">
            <v>0</v>
          </cell>
        </row>
      </sheetData>
      <sheetData sheetId="2" refreshError="1"/>
      <sheetData sheetId="3">
        <row r="131">
          <cell r="A131" t="str">
            <v>40000</v>
          </cell>
        </row>
      </sheetData>
      <sheetData sheetId="4"/>
      <sheetData sheetId="5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ok1.xlsx"/>
      <sheetName val="Book1"/>
      <sheetName val="CAFOP-2015"/>
      <sheetName val="8.HR"/>
      <sheetName val="8.HR (No)"/>
      <sheetName val="Summary"/>
      <sheetName val="O&amp;M"/>
      <sheetName val="Production"/>
    </sheetNames>
    <definedNames>
      <definedName name="Euro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tings"/>
      <sheetName val="titres"/>
      <sheetName val="Sommaire"/>
      <sheetName val="1. Hypoth"/>
      <sheetName val="5. Sensib"/>
      <sheetName val="ex"/>
      <sheetName val="10. Comm"/>
      <sheetName val="12. RH"/>
      <sheetName val="Feuil1"/>
    </sheetNames>
    <sheetDataSet>
      <sheetData sheetId="0" refreshError="1">
        <row r="1">
          <cell r="A1">
            <v>2015</v>
          </cell>
        </row>
        <row r="3">
          <cell r="A3" t="str">
            <v>EUR</v>
          </cell>
        </row>
        <row r="4">
          <cell r="A4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leitung Margen zum Package"/>
      <sheetName val="Vorjahreserlöse"/>
      <sheetName val="Ergebnis IFRS CASh Flow"/>
      <sheetName val="Umsatzerlöse konsolidiert"/>
      <sheetName val="ErgebnisUmsatzerlöse o. Interco"/>
      <sheetName val="Pfeildiagramme"/>
      <sheetName val="IFRS 09"/>
      <sheetName val="IFRS 10"/>
      <sheetName val="Mengenabweichung"/>
      <sheetName val="Actual 08 - Actual 09"/>
      <sheetName val="Margenberechnung"/>
      <sheetName val="Actual 08 - Actual 09 V2"/>
      <sheetName val="Actual 09 - Budget 09"/>
      <sheetName val="Actual 09 - Budget 09 V2"/>
      <sheetName val="Arrows -08-09"/>
      <sheetName val="Arrows - Budget09-09"/>
      <sheetName val="ROA"/>
      <sheetName val="Op.CF"/>
      <sheetName val="IFRS 2008"/>
      <sheetName val="IFRS 2009"/>
      <sheetName val="Aug 03"/>
      <sheetName val="Sep 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CTOR"/>
      <sheetName val="Tableau Synthèse"/>
      <sheetName val="Synthèse"/>
      <sheetName val="Tableau FX"/>
      <sheetName val="Avancement E2"/>
      <sheetName val="ROCE"/>
      <sheetName val="Arrows - Budget"/>
      <sheetName val="Arrows - Actual 07"/>
      <sheetName val="PAO"/>
      <sheetName val="CAFop"/>
      <sheetName val="RESOP"/>
      <sheetName val="PROVISIONS"/>
      <sheetName val="Passage RESOP Ech3 vs Ech1"/>
      <sheetName val="Passage RESOP Ech3 vs Ech2"/>
      <sheetName val="Synth CAFop-RESOP"/>
      <sheetName val="Synth RESOP - RES.NET"/>
      <sheetName val="RESUL. FIN"/>
      <sheetName val="Impôts"/>
      <sheetName val="Synth Cash Flow Libre"/>
      <sheetName val="Synthèse EFN"/>
      <sheetName val="Cash Flow Libre"/>
      <sheetName val="Synthèse INVES."/>
      <sheetName val="INVEST. BRUTS"/>
      <sheetName val="BFR"/>
      <sheetName val="BFR détail Ech3"/>
      <sheetName val="BFR détail Ech2"/>
      <sheetName val="BFR détail Ech1"/>
      <sheetName val="BFR (2)"/>
      <sheetName val="Interface Change"/>
      <sheetName val="Interface Retraitée"/>
      <sheetName val="Retraitements"/>
      <sheetName val="Ecritures en attente"/>
      <sheetName val="Interface"/>
      <sheetName val="Copie valeur"/>
      <sheetName val="sas"/>
      <sheetName val="Extraction"/>
      <sheetName val="Copie Valeur EFN"/>
      <sheetName val="sas EFN"/>
      <sheetName val="Extraction EFN"/>
      <sheetName val="Taux de Change"/>
      <sheetName val="Param"/>
      <sheetName val="RO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0">
          <cell r="A30" t="str">
            <v>Braunschweig</v>
          </cell>
        </row>
        <row r="31">
          <cell r="A31" t="str">
            <v>Görlitz</v>
          </cell>
        </row>
        <row r="32">
          <cell r="A32" t="str">
            <v>Oewa</v>
          </cell>
        </row>
        <row r="33">
          <cell r="A33" t="str">
            <v>Weisswasser</v>
          </cell>
        </row>
        <row r="34">
          <cell r="A34" t="str">
            <v>Autres Allemagne</v>
          </cell>
        </row>
        <row r="35">
          <cell r="A35" t="str">
            <v>Développement Autres Allemagne</v>
          </cell>
        </row>
      </sheetData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oplist"/>
      <sheetName val="HW_SW_TYP"/>
    </sheetNames>
    <sheetDataSet>
      <sheetData sheetId="0" refreshError="1"/>
      <sheetData sheetId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e"/>
      <sheetName val="CCles croissance"/>
      <sheetName val="Geo"/>
      <sheetName val="Rep GEO PAO"/>
      <sheetName val="Histo"/>
      <sheetName val="Détail PA des Projets de Croiss"/>
      <sheetName val="Détail PA des Projets de Cr (2)"/>
      <sheetName val="Rep GEO CE"/>
      <sheetName val="Détail CE des Projets de Croiss"/>
      <sheetName val="PAO et CE 2011"/>
      <sheetName val="Metier"/>
      <sheetName val="Rep PAO DIV"/>
      <sheetName val="Rep CE DIV"/>
      <sheetName val="Cible"/>
      <sheetName val="Roce PBZ vs PLT"/>
      <sheetName val="Scenarii"/>
      <sheetName val="FCF nul"/>
      <sheetName val="Décalage Croissance"/>
      <sheetName val="Cession Berlin"/>
      <sheetName val="Aug de K"/>
      <sheetName val="Rep GEO PLT"/>
      <sheetName val="Rep GEO Croiss"/>
      <sheetName val="Rep Div PLT"/>
      <sheetName val="Feuil1"/>
      <sheetName val="Rep Resop DIV"/>
      <sheetName val="Rep Div PLT (2)"/>
      <sheetName val="looplist"/>
    </sheetNames>
    <sheetDataSet>
      <sheetData sheetId="0"/>
      <sheetData sheetId="1"/>
      <sheetData sheetId="2"/>
      <sheetData sheetId="3" refreshError="1">
        <row r="33">
          <cell r="B33" t="str">
            <v>Evolution du Produit des activités ordinaires du groupe 1999-2011 (avec croissance)</v>
          </cell>
          <cell r="X33" t="str">
            <v>Evolution des capitaux employés moyens 1999-2011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>
        <row r="27">
          <cell r="D27" t="str">
            <v>Evolution du Produit des activités ordinaires 1999-2011</v>
          </cell>
          <cell r="X27" t="str">
            <v>Evolution des capitaux employés moyens 1999-2011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umes"/>
      <sheetName val="Charts BdG 10 TO"/>
      <sheetName val="Charts BdG 10 CF"/>
      <sheetName val="Charts BdG 10 RESOP"/>
      <sheetName val="FX Rates"/>
      <sheetName val="FX Rates &amp; Scope"/>
      <sheetName val="PAO Variances"/>
      <sheetName val="Gross Inv. Variances"/>
      <sheetName val="CAF Op. Variances"/>
      <sheetName val="Arrows - BdG 10"/>
      <sheetName val="Arrows - AC 09"/>
      <sheetName val="Synthesis"/>
      <sheetName val="Tax"/>
      <sheetName val="FINANCIAL RES."/>
      <sheetName val="PAO"/>
      <sheetName val="COS - Cash"/>
      <sheetName val="Selling - Cash"/>
      <sheetName val="G&amp;A - Cash"/>
      <sheetName val="Synth Costs - Cash"/>
      <sheetName val="CAFOP"/>
      <sheetName val="RESOP"/>
      <sheetName val="Synth CAFop-RESOP"/>
      <sheetName val="RESUL. FIN"/>
      <sheetName val="IMPOTS"/>
      <sheetName val="Synth RESOP - RES.NET"/>
      <sheetName val="Synth Free Cash Flow"/>
      <sheetName val="Gross INVES."/>
      <sheetName val="Net INVES. "/>
      <sheetName val="Synth NFI"/>
      <sheetName val="FCF"/>
      <sheetName val="Synth INVES."/>
      <sheetName val="Interface"/>
      <sheetName val="PAO-CAFOP Final Version"/>
      <sheetName val="PAO-CAFOP Scope impact &amp; Growth"/>
      <sheetName val="PAO-CAFOP Effects calculation"/>
      <sheetName val="Corrected companies P&amp;L"/>
      <sheetName val="Corrections P&amp;L"/>
      <sheetName val="Value copy P&amp;L"/>
      <sheetName val="sas"/>
      <sheetName val="Extraction P&amp;L"/>
      <sheetName val="Corrected companies NFI"/>
      <sheetName val="Corrections NFI"/>
      <sheetName val="Copy Value NFI"/>
      <sheetName val="sas NFI"/>
      <sheetName val="Extraction NFI"/>
      <sheetName val="Exchange Rates"/>
      <sheetName val="Settings"/>
      <sheetName val="Listák"/>
      <sheetName val="Capital Cost Comparison_2601200"/>
      <sheetName val="Zone Divers"/>
      <sheetName val="WWorksArchivedData"/>
      <sheetName val="WWorksAdjustedData"/>
      <sheetName val="EquipmentListing"/>
      <sheetName val="TonnageProjections"/>
      <sheetName val="Rep PAO DIV"/>
      <sheetName val="Rep GEO PA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B9" t="str">
            <v>Czech Republic - PvK group</v>
          </cell>
        </row>
        <row r="10">
          <cell r="B10" t="str">
            <v>Czech Republic - ScvK group</v>
          </cell>
        </row>
        <row r="11">
          <cell r="B11" t="str">
            <v>Czech Republic - Regional Companies</v>
          </cell>
        </row>
        <row r="12">
          <cell r="B12" t="str">
            <v>Czech Republic - Others</v>
          </cell>
        </row>
        <row r="13">
          <cell r="B13" t="str">
            <v>Veolia Voda</v>
          </cell>
        </row>
        <row r="14">
          <cell r="B14" t="str">
            <v>Poland</v>
          </cell>
        </row>
        <row r="15">
          <cell r="B15" t="str">
            <v>Slovakia</v>
          </cell>
        </row>
        <row r="16">
          <cell r="B16" t="str">
            <v>Central Europe Development</v>
          </cell>
        </row>
        <row r="19">
          <cell r="B19" t="str">
            <v>AcquaLatina (Incl. Idrolatina)</v>
          </cell>
        </row>
        <row r="20">
          <cell r="B20" t="str">
            <v>Other Italy</v>
          </cell>
        </row>
        <row r="21">
          <cell r="B21" t="str">
            <v>Artelia</v>
          </cell>
        </row>
        <row r="22">
          <cell r="B22" t="str">
            <v>Other Portugal</v>
          </cell>
        </row>
        <row r="23">
          <cell r="B23" t="str">
            <v>Spain</v>
          </cell>
        </row>
        <row r="24">
          <cell r="B24" t="str">
            <v>South Europe Development</v>
          </cell>
        </row>
        <row r="27">
          <cell r="B27" t="str">
            <v>Bucarest</v>
          </cell>
        </row>
        <row r="28">
          <cell r="B28" t="str">
            <v>Ploiesti</v>
          </cell>
        </row>
        <row r="29">
          <cell r="B29" t="str">
            <v>Apa Servicii</v>
          </cell>
        </row>
        <row r="30">
          <cell r="B30" t="str">
            <v>Hungary</v>
          </cell>
        </row>
        <row r="31">
          <cell r="B31" t="str">
            <v>South-East Europe Development</v>
          </cell>
        </row>
        <row r="32">
          <cell r="B32" t="str">
            <v>South-East Europe</v>
          </cell>
        </row>
        <row r="34">
          <cell r="B34" t="str">
            <v>Turkey</v>
          </cell>
        </row>
        <row r="35">
          <cell r="B35" t="str">
            <v>Armenia</v>
          </cell>
        </row>
        <row r="36">
          <cell r="B36" t="str">
            <v>Oriental Europe Development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ipients"/>
      <sheetName val="Help"/>
      <sheetName val="Markets Yesterday"/>
      <sheetName val="Markets Today"/>
      <sheetName val="Opec Basket"/>
      <sheetName val="Forward Indications"/>
      <sheetName val="ExchangePrices"/>
      <sheetName val="Marketer"/>
      <sheetName val="Historic Data"/>
      <sheetName val="market feeds"/>
      <sheetName val="Flexible"/>
      <sheetName val="Months"/>
      <sheetName val="Quarters"/>
    </sheetNames>
    <sheetDataSet>
      <sheetData sheetId="0" refreshError="1">
        <row r="1">
          <cell r="A1" t="str">
            <v>Name</v>
          </cell>
          <cell r="C1" t="str">
            <v>email</v>
          </cell>
          <cell r="D1" t="str">
            <v>Send  Commentary?</v>
          </cell>
          <cell r="E1" t="str">
            <v>Send  Attachment?</v>
          </cell>
          <cell r="H1" t="str">
            <v>SuccessSent</v>
          </cell>
        </row>
      </sheetData>
      <sheetData sheetId="1" refreshError="1">
        <row r="2">
          <cell r="B2" t="str">
            <v>Morgan Stanley London Oil Commentary</v>
          </cell>
        </row>
        <row r="4">
          <cell r="B4" t="str">
            <v>London Commodities Marketing Group</v>
          </cell>
        </row>
        <row r="5">
          <cell r="B5" t="str">
            <v>london_research@ms.com</v>
          </cell>
        </row>
        <row r="7">
          <cell r="B7" t="str">
            <v>L:\COMMODS\Research\Regulars\LondonOilCommentary\LondonCommentaryTemplate.html</v>
          </cell>
        </row>
        <row r="8">
          <cell r="B8" t="str">
            <v>L:\COMMODS\Research\Regulars\LondonOilCommentary\HTMLRepository\LondonOilCommentary_20050217.html</v>
          </cell>
        </row>
        <row r="11">
          <cell r="B11" t="str">
            <v>L:\COMMODS\Research\Regulars\LondonOilCommentary\HTMLRepository</v>
          </cell>
        </row>
        <row r="13">
          <cell r="B13" t="str">
            <v>L:\COMMODS\Research\Regulars\LondonOilCommentary\ExcelRepository</v>
          </cell>
        </row>
        <row r="16">
          <cell r="B16" t="str">
            <v>L:\COMMODS\Research\Regulars\LondonOilCommentary\ExcelRepository\ForwardIndications_20050217.xls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Parameters"/>
      <sheetName val="PAO Bridge Mensuel"/>
      <sheetName val=" Bridge CAFop Trimestriel"/>
      <sheetName val="Synth Trimestriel"/>
      <sheetName val="Business Lines Trimestriel"/>
    </sheetNames>
    <sheetDataSet>
      <sheetData sheetId="0" refreshError="1">
        <row r="3">
          <cell r="B3" t="str">
            <v>France</v>
          </cell>
        </row>
        <row r="18">
          <cell r="E18" t="str">
            <v>Réel Mar. 2013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D"/>
      <sheetName val="WATER-DATA"/>
      <sheetName val="INDEX-TOTAL"/>
      <sheetName val="HKW-Land"/>
      <sheetName val="HKW-STROM-DATA"/>
      <sheetName val="MATCHCODES"/>
      <sheetName val="MTC"/>
      <sheetName val="ABSCHREIBUNGEN KST"/>
      <sheetName val="CHART"/>
      <sheetName val="TOTAL"/>
      <sheetName val="STROM-DATA"/>
      <sheetName val="GAS-DATA"/>
      <sheetName val="HEAT-DATA"/>
      <sheetName val="OVERHEAD-DATA"/>
      <sheetName val="CONTRACTING-DATA"/>
      <sheetName val="INDEXSOURCE-BASE 2002"/>
    </sheetNames>
    <sheetDataSet>
      <sheetData sheetId="0" refreshError="1"/>
      <sheetData sheetId="1" refreshError="1">
        <row r="8">
          <cell r="R8">
            <v>1900</v>
          </cell>
        </row>
      </sheetData>
      <sheetData sheetId="2" refreshError="1">
        <row r="4">
          <cell r="E4">
            <v>44.6</v>
          </cell>
        </row>
      </sheetData>
      <sheetData sheetId="3"/>
      <sheetData sheetId="4"/>
      <sheetData sheetId="5"/>
      <sheetData sheetId="6" refreshError="1"/>
      <sheetData sheetId="7"/>
      <sheetData sheetId="8"/>
      <sheetData sheetId="9"/>
      <sheetData sheetId="10" refreshError="1"/>
      <sheetData sheetId="11"/>
      <sheetData sheetId="12"/>
      <sheetData sheetId="13"/>
      <sheetData sheetId="14" refreshError="1"/>
      <sheetData sheetId="15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FRS"/>
      <sheetName val="HGB"/>
      <sheetName val="Tabelle3"/>
      <sheetName val="VPP 1 &amp; 2"/>
      <sheetName val="Tabelle1"/>
      <sheetName val="IFRS Bilanz BUK20 Rst"/>
      <sheetName val="HGB Bilanz BUK20 Rst"/>
      <sheetName val="Zusatzberechnungen"/>
      <sheetName val="DrohverlustRST"/>
      <sheetName val="Korrektur Aufwertungen IFRS20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swertungen v.01.07.09 für 010"/>
      <sheetName val="Auswertungen v.13.03.09 für 09"/>
      <sheetName val="Basis FC1 2009"/>
      <sheetName val="Zusammenfassung"/>
      <sheetName val="Zusammenfassung ohne UW Nord"/>
      <sheetName val="Altafa"/>
      <sheetName val="Korrektur Aufwertungen IFRS2010"/>
      <sheetName val="Nutzdauern IFRS"/>
      <sheetName val="Invest 2011-2015 alt aus 2008"/>
      <sheetName val="Afa Invest 2009"/>
      <sheetName val="Afa Invest 2010"/>
      <sheetName val="Afa Invest 2011"/>
      <sheetName val="Afa Invest 2012"/>
      <sheetName val="Afa Invest 2013"/>
      <sheetName val="Afa Invest 2014"/>
      <sheetName val="Afa Invest 2015"/>
      <sheetName val="Afa Invest 2016"/>
      <sheetName val="Zuordnung WP --&gt; Segment"/>
      <sheetName val="7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Überleitung Margen zum Package"/>
      <sheetName val="Vorjahreserlöse"/>
      <sheetName val="Margenberechnung"/>
      <sheetName val="Ergebnis IFRS CASh Flow"/>
      <sheetName val="ErgebnisUmsatzerlöse o. Interco"/>
      <sheetName val="IFRS 08"/>
      <sheetName val="IFRS 09"/>
      <sheetName val="Mengenabweichung"/>
      <sheetName val="Actual 08 - Actual 09"/>
      <sheetName val="Actual 08 - Actual 09 V2"/>
      <sheetName val="Actual 09 - Budget 09"/>
      <sheetName val="Actual 09 - Budget 09 V2"/>
      <sheetName val="Arrows -08-09"/>
      <sheetName val="Arrows - Budget09-09"/>
    </sheetNames>
    <sheetDataSet>
      <sheetData sheetId="0"/>
      <sheetData sheetId="1"/>
      <sheetData sheetId="2"/>
      <sheetData sheetId="3"/>
      <sheetData sheetId="4"/>
      <sheetData sheetId="5"/>
      <sheetData sheetId="6" refreshError="1">
        <row r="2">
          <cell r="B2" t="str">
            <v>E r g e b n i s b e r i c h t</v>
          </cell>
        </row>
        <row r="3">
          <cell r="B3" t="str">
            <v>= = = = = = = = = = = = = = =</v>
          </cell>
        </row>
        <row r="4">
          <cell r="B4" t="str">
            <v>1. Umsatzerlöse</v>
          </cell>
        </row>
        <row r="5">
          <cell r="B5" t="str">
            <v>===============</v>
          </cell>
        </row>
        <row r="6">
          <cell r="B6" t="str">
            <v>1.1 Strom</v>
          </cell>
        </row>
        <row r="7">
          <cell r="B7" t="str">
            <v>=========</v>
          </cell>
        </row>
        <row r="8">
          <cell r="B8" t="str">
            <v>Umsatz Strom eigenes Netz</v>
          </cell>
        </row>
        <row r="9">
          <cell r="B9" t="str">
            <v>=========================</v>
          </cell>
        </row>
        <row r="10">
          <cell r="B10" t="str">
            <v>410000 UMSATZERLÖSE STROMVERSORGUNG</v>
          </cell>
        </row>
        <row r="11">
          <cell r="B11" t="str">
            <v>410001 UMSATZERLÖSE STROMVERK. ALLGEM. TARIF BS NS JÄHRL</v>
          </cell>
        </row>
        <row r="12">
          <cell r="B12" t="str">
            <v>410002 UMSATZERLÖSE STROMVERK. SONDERTARIF O. LM</v>
          </cell>
        </row>
        <row r="13">
          <cell r="B13" t="str">
            <v>410003 UMSATZERLÖSE STROMVERK. INDIVIDUALTARIF MONAT NS</v>
          </cell>
        </row>
        <row r="14">
          <cell r="B14" t="str">
            <v>410004 UMSATZERLÖSE STROMVERK. INDIVIDUALTARIF MONAT MS</v>
          </cell>
        </row>
        <row r="15">
          <cell r="B15" t="str">
            <v>410008 UMSATZERLÖSE STROMVERK. BEISTELLUNG/ KOOPERATION</v>
          </cell>
        </row>
        <row r="16">
          <cell r="B16" t="str">
            <v>410009 UMSATZERLÖSE STROMVERK. INDIVIDUALTARIF O. LM</v>
          </cell>
        </row>
        <row r="17">
          <cell r="B17" t="str">
            <v>410010 UMSATZERLÖSE STROMVERK. INDIVIDUALTARIF O. LM</v>
          </cell>
        </row>
        <row r="18">
          <cell r="B18" t="str">
            <v>410032 UMSATZERLÖSE STROMVERK. NETZNUTZUNG MS</v>
          </cell>
        </row>
        <row r="19">
          <cell r="B19" t="str">
            <v>410033 UMSATZERLÖSE STROMVERK. BS NACHTSPEICHERHEIZUNG</v>
          </cell>
        </row>
        <row r="20">
          <cell r="B20" t="str">
            <v>410034 UMSATZERLÖSE STROMVERK. BTO-KUNDEN</v>
          </cell>
        </row>
        <row r="21">
          <cell r="B21" t="str">
            <v>411001 ABGRENZUNG STROMERLÖSE ALLGEM. TARIF BS NS JÄHRL</v>
          </cell>
        </row>
        <row r="22">
          <cell r="B22" t="str">
            <v>411002 ABGRENZUNG STROMERLÖSE SONDERTARIF O. LM</v>
          </cell>
        </row>
        <row r="23">
          <cell r="B23" t="str">
            <v>411003 ABGRENZUNG STROMERLÖSE INDIVIDUALTARIF MONAT NS</v>
          </cell>
        </row>
        <row r="24">
          <cell r="B24" t="str">
            <v>411004 ABGRENZUNG STROMERLÖSE INDIVIDUALTARIF MONAT MS</v>
          </cell>
        </row>
        <row r="25">
          <cell r="B25" t="str">
            <v>411008 ABGRENZUNG STROMERLÖSE BEISTELLUNG/ KOOPERATION</v>
          </cell>
        </row>
        <row r="26">
          <cell r="B26" t="str">
            <v>411009 ABGRENZUNG STROMERLÖSE INDIVIDUALTARIF O. LM</v>
          </cell>
        </row>
        <row r="27">
          <cell r="B27" t="str">
            <v>411010 ABGRENZUNG STROMERLÖSE INDIVIDUALTARIF O. LM</v>
          </cell>
        </row>
        <row r="28">
          <cell r="B28" t="str">
            <v>411033 ABGRENZUNG STROMERLÖSE BS NACHTSPEICHERHEIZUNG</v>
          </cell>
        </row>
        <row r="29">
          <cell r="B29" t="str">
            <v>411034 ABGRENZUNG STROMERLÖSE BS BTO-KUNDEN</v>
          </cell>
        </row>
        <row r="30">
          <cell r="B30" t="str">
            <v>460001 VORJAHRESERLÖSE STROM ALLGEM. TARIF BS NS JÄHRLICH</v>
          </cell>
        </row>
        <row r="31">
          <cell r="B31" t="str">
            <v>460002 VORJAHRESERLÖSE STROM SONDERTARIF O. LM</v>
          </cell>
        </row>
        <row r="32">
          <cell r="B32" t="str">
            <v>460003 VORJAHRESERLÖSE STROM INDIVIDUALTARIF MONAT NS</v>
          </cell>
        </row>
        <row r="33">
          <cell r="B33" t="str">
            <v>460004 VORJAHRESERLÖSE STROM INDIVIDUALTARIF MONAT MS</v>
          </cell>
        </row>
        <row r="34">
          <cell r="B34" t="str">
            <v>460008 VORJAHRESERLÖSE STROM BEISTELLUNG/KOOPERATION</v>
          </cell>
        </row>
        <row r="35">
          <cell r="B35" t="str">
            <v>460009 VORJAHRESERLÖSE STROM INDIVIDUALTARIF O. LM</v>
          </cell>
        </row>
        <row r="36">
          <cell r="B36" t="str">
            <v>460010 VORJAHRESERLÖSE STROM INDIVIDUALTARIF O. LM</v>
          </cell>
        </row>
        <row r="37">
          <cell r="B37" t="str">
            <v>460033 VORJAHRESERLÖSE STROM BS NACHTSPEICHERHEIZUNG</v>
          </cell>
        </row>
        <row r="38">
          <cell r="B38" t="str">
            <v>460034 VORJAHRESERLÖSE STROM BS BTO-KUNDEN</v>
          </cell>
        </row>
        <row r="39">
          <cell r="B39" t="str">
            <v>469010 VORJAHRESERLÖSE STROM CONTRACTING - INNERHALB BS</v>
          </cell>
        </row>
        <row r="40">
          <cell r="B40" t="str">
            <v>490010 UMSATZERLÖSE STROM CONTRACTING - INNERHALB BS</v>
          </cell>
        </row>
        <row r="41">
          <cell r="B41" t="str">
            <v>491010 ABGRENZUNG STROM CONTRACTING - INNERHALB BS</v>
          </cell>
        </row>
        <row r="43">
          <cell r="B43" t="str">
            <v>Umsatz Strom fremdes Netz</v>
          </cell>
        </row>
        <row r="44">
          <cell r="B44" t="str">
            <v>=========================</v>
          </cell>
        </row>
        <row r="45">
          <cell r="B45" t="str">
            <v>410012 UMSATZERLÖSE STROMVERK. SONDERTARIF O. LM</v>
          </cell>
        </row>
        <row r="46">
          <cell r="B46" t="str">
            <v>410013 UMSATZERLÖSE STROMVERK. INDIVIDUALTARIF MONAT NS</v>
          </cell>
        </row>
        <row r="47">
          <cell r="B47" t="str">
            <v>410014 UMSATZERLÖSE STROMVERK. INDIVIDUALTARIF MONAT MS</v>
          </cell>
        </row>
        <row r="48">
          <cell r="B48" t="str">
            <v>410019 UMSATZERLÖSE STROMVERK. INDIVIDUALTARIF O. LM</v>
          </cell>
        </row>
        <row r="49">
          <cell r="B49" t="str">
            <v>410020 UMSATZERLÖSE STROMVERK. INDIVIDUALTARIF JÄHR. NS</v>
          </cell>
        </row>
        <row r="50">
          <cell r="B50" t="str">
            <v>410022 UMSATZERLÖSE STROMVERK. SONDERKUNDEN O. LM</v>
          </cell>
        </row>
        <row r="51">
          <cell r="B51" t="str">
            <v>410023 UMSATZERLÖSE STROMVERK. M. LM MONATL. NS</v>
          </cell>
        </row>
        <row r="52">
          <cell r="B52" t="str">
            <v>410024 UMSATZERLÖSE STROMVERK. M. LM MONATL. MS</v>
          </cell>
        </row>
        <row r="53">
          <cell r="B53" t="str">
            <v>410026 UMSATZERLÖSE STROMVERK. M. LM  JÄHRL. NS</v>
          </cell>
        </row>
        <row r="54">
          <cell r="B54" t="str">
            <v>410039 UMSATZERLÖSE STROMVERK. - OOA - STW SPRINGE</v>
          </cell>
        </row>
        <row r="55">
          <cell r="B55" t="str">
            <v>410040 UMSATZERLÖSE VERBRAUCHSABWEICHUNGEN STROM</v>
          </cell>
        </row>
        <row r="56">
          <cell r="B56" t="str">
            <v>410080 UMSATZERLÖSE STROMVERK. ÖSTERREICH MITTELSPANNUNG</v>
          </cell>
        </row>
        <row r="57">
          <cell r="B57" t="str">
            <v>411012 ABGRENZUNG STROMERLÖSE SONDERTARIF O. LM</v>
          </cell>
        </row>
        <row r="58">
          <cell r="B58" t="str">
            <v>411013 ABGRENZUNG STROMERLÖSE INDIVIDUALTARIF MONAT NS</v>
          </cell>
        </row>
        <row r="59">
          <cell r="B59" t="str">
            <v>411014 ABGRENZUNG STROMERLÖSE INDIVIDUALTARIF MONAT MS</v>
          </cell>
        </row>
        <row r="60">
          <cell r="B60" t="str">
            <v>411015 ABGRENZUNG STROMERLÖSE INDIVIDUALTARIF JÄHR.MS</v>
          </cell>
        </row>
        <row r="61">
          <cell r="B61" t="str">
            <v>411019 ABGRENZUNG STROMERLÖSE INDIVIDUALTARIF O. LM</v>
          </cell>
        </row>
        <row r="62">
          <cell r="B62" t="str">
            <v>411020 ABGRENZUNG STROMERLÖSE INDIVIDUALTARIF JÄHR. NS</v>
          </cell>
        </row>
        <row r="63">
          <cell r="B63" t="str">
            <v>411039 ABGRENZUNG STROMERLÖSE - OOA - STW SPRINGE</v>
          </cell>
        </row>
        <row r="64">
          <cell r="B64" t="str">
            <v>411080 ABGRENZUNG STROMERLÖSE ÖSTERREICH MITTELSPANNUNG</v>
          </cell>
        </row>
        <row r="65">
          <cell r="B65" t="str">
            <v>459205 ERLÖSE AUS KONZERN MIT STEUER STROM</v>
          </cell>
        </row>
        <row r="66">
          <cell r="B66" t="str">
            <v>459216 ERLÖSE STADTWERKE THALE GMBH STROM</v>
          </cell>
        </row>
        <row r="67">
          <cell r="B67" t="str">
            <v>459305 ABGRENZUNG ERLÖSE KONZERN O. STEUER  STROM</v>
          </cell>
        </row>
        <row r="68">
          <cell r="B68" t="str">
            <v>459316 ABGRENZUNG ERLÖSE STADWERKE THALE GMBH STROM</v>
          </cell>
        </row>
        <row r="69">
          <cell r="B69" t="str">
            <v>459516 VORJAHRESERLÖSE STADTWERKE THALE GMBH STROM</v>
          </cell>
        </row>
        <row r="70">
          <cell r="B70" t="str">
            <v>460012 VORJAHRESERLÖSE STROM SONDERTARIF O. LM</v>
          </cell>
        </row>
        <row r="71">
          <cell r="B71" t="str">
            <v>460013 VORJAHRESERLÖSE STROM INDIVIDUALTARIF MONAT NS</v>
          </cell>
        </row>
        <row r="72">
          <cell r="B72" t="str">
            <v>460014 VORJAHRESERLÖSE STROM INDIVIDUALTARIF MONAT MS</v>
          </cell>
        </row>
        <row r="73">
          <cell r="B73" t="str">
            <v>460019 VORJAHRESERLÖSE STROM INDIVIDUALTARIF O. LM</v>
          </cell>
        </row>
        <row r="74">
          <cell r="B74" t="str">
            <v>460020 VORJAHRESERLÖSE STROM INDIVIDUALTARIF JÄHR.</v>
          </cell>
        </row>
        <row r="75">
          <cell r="B75" t="str">
            <v>460080 VORJAHRESERLÖSE STROM ÖSTERREICH MITTELSPANNUNG</v>
          </cell>
        </row>
        <row r="77">
          <cell r="B77" t="str">
            <v>Übrige</v>
          </cell>
        </row>
        <row r="78">
          <cell r="B78" t="str">
            <v>======</v>
          </cell>
        </row>
        <row r="79">
          <cell r="B79" t="str">
            <v>412003 UMSATZERLÖSE STROMVERKAUF STROMHANDEL</v>
          </cell>
        </row>
        <row r="80">
          <cell r="B80" t="str">
            <v>412004 UMSATZERLÖSE STROMVERKAUF STROMHANDEL EU-AUSLAND</v>
          </cell>
        </row>
        <row r="81">
          <cell r="B81" t="str">
            <v>412005 UMSATZERLÖSE STROMGESCHÄFTE SPOTMARKT EEX</v>
          </cell>
        </row>
        <row r="82">
          <cell r="B82" t="str">
            <v>413001 ABGRENZUNG STROMERLÖSE EEG</v>
          </cell>
        </row>
        <row r="83">
          <cell r="B83" t="str">
            <v>413003 ABGRENZUNG STROMERLÖSE STROMHANDEL</v>
          </cell>
        </row>
        <row r="84">
          <cell r="B84" t="str">
            <v>413004 ABGRENZUNG STROMERLÖSE STROMHANDEL EU-AUSLAND</v>
          </cell>
        </row>
        <row r="85">
          <cell r="B85" t="str">
            <v>413005 ABGRENZUNG STROMERLÖSE EEG BS|ENERGY NETZ GmbH</v>
          </cell>
        </row>
        <row r="86">
          <cell r="B86" t="str">
            <v>459193 ERLÖSE AUS VERMIEDENEN NNE BS|ENERGY NETZ</v>
          </cell>
        </row>
        <row r="87">
          <cell r="B87" t="str">
            <v>459194 ERLÖSE BS|ENERGY NETZ GMBH STROM (EHEM. NETZVERLUS</v>
          </cell>
        </row>
        <row r="88">
          <cell r="B88" t="str">
            <v>459312 ABGRENZUNG ERLÖSE BS|ENERGY NETZ GMBH  STROM</v>
          </cell>
        </row>
        <row r="89">
          <cell r="B89" t="str">
            <v>459512 VORJAHRESERLÖSE BS|ENERGY NETZ GMBH STROM</v>
          </cell>
        </row>
        <row r="90">
          <cell r="B90" t="str">
            <v>461003 VORJAHRESERLÖSE STROM STROMHANDEL</v>
          </cell>
        </row>
        <row r="91">
          <cell r="B91" t="str">
            <v>461004 VORJAHRESERLÖSE STROM STROMHANDEL EU-AUSLAND</v>
          </cell>
        </row>
        <row r="92">
          <cell r="B92" t="str">
            <v>470041 KOR.VJ-ABG.U-ERL.STROMVERKAUF</v>
          </cell>
        </row>
        <row r="94">
          <cell r="B94" t="str">
            <v>1.1 Summe Umsatzerlöse Strom</v>
          </cell>
        </row>
        <row r="95">
          <cell r="B95" t="str">
            <v>==============================</v>
          </cell>
        </row>
        <row r="96">
          <cell r="B96" t="str">
            <v>1.2 Umsatz Gas</v>
          </cell>
        </row>
        <row r="97">
          <cell r="B97" t="str">
            <v>=============</v>
          </cell>
        </row>
        <row r="98">
          <cell r="B98" t="str">
            <v>420000 UMSATZERLÖSE GASVERKAUF</v>
          </cell>
        </row>
        <row r="99">
          <cell r="B99" t="str">
            <v>420001 UMSATZERLÖSE GASVERKAUF ALLGEMEINER TARIF</v>
          </cell>
        </row>
        <row r="100">
          <cell r="B100" t="str">
            <v>420002 UMSATZERLÖSE GASVERKAUF GROßKUNDEN SONDERVERTRÄGE</v>
          </cell>
        </row>
        <row r="101">
          <cell r="B101" t="str">
            <v>420003 UMSATZERLÖSE GASVERKAUF VW</v>
          </cell>
        </row>
        <row r="102">
          <cell r="B102" t="str">
            <v>420004 UMSATZERLÖSE GASVERKAUF -BRAUEREIEN-</v>
          </cell>
        </row>
        <row r="103">
          <cell r="B103" t="str">
            <v>420005 UMSATZERLÖSE GASVERKAUF -WOHNUNGSBAUGESELLSCH.-</v>
          </cell>
        </row>
        <row r="104">
          <cell r="B104" t="str">
            <v>420006 UMSATZERLÖSE GASVERKAUF -VW-WERKE 2-3 -</v>
          </cell>
        </row>
        <row r="105">
          <cell r="B105" t="str">
            <v>420007 UMSATZERLÖSE GASVERKAUF -OOA- VW HANNOVER</v>
          </cell>
        </row>
        <row r="106">
          <cell r="B106" t="str">
            <v>420011 UMSATZERLÖSE GASVERKAUF -OOA- SONDERTARIFE</v>
          </cell>
        </row>
        <row r="107">
          <cell r="B107" t="str">
            <v>420012 UMSATZERLÖSE GASVERKAUF -OOA- STW ENERGIELIEFERUNG</v>
          </cell>
        </row>
        <row r="108">
          <cell r="B108" t="str">
            <v>420100 UMSATZERLÖSE AUS GASHANDEL INNERHALB D</v>
          </cell>
        </row>
        <row r="109">
          <cell r="B109" t="str">
            <v>420101 UMSATZERLÖSE AUS GASHANDEL AUSSERHALB D</v>
          </cell>
        </row>
        <row r="110">
          <cell r="B110" t="str">
            <v>421001 ABGRENZUNG GASERLÖSE ALLGEMEINER TARIF</v>
          </cell>
        </row>
        <row r="111">
          <cell r="B111" t="str">
            <v>421002 ABGRENZUNG GASERLÖSE GROßKUNDEN SONDERVERTRÄGE</v>
          </cell>
        </row>
        <row r="112">
          <cell r="B112" t="str">
            <v>421003 ABGRENZUNG GASERLÖSE VW</v>
          </cell>
        </row>
        <row r="113">
          <cell r="B113" t="str">
            <v>421004 ABGRENZUNG GASERLÖSE -BRAUEREIEN-</v>
          </cell>
        </row>
        <row r="114">
          <cell r="B114" t="str">
            <v>421005 ABGRENZUNG GASERLÖSE -WOHNUNGSBAUGESELLSCH.-</v>
          </cell>
        </row>
        <row r="115">
          <cell r="B115" t="str">
            <v>421006 ABGRENZUNG GASERLÖSE -VW WERKE 2-3 -</v>
          </cell>
        </row>
        <row r="116">
          <cell r="B116" t="str">
            <v>421007 ABGRENZUNG GASERLÖSE -OOA- VW HANNOVER</v>
          </cell>
        </row>
        <row r="117">
          <cell r="B117" t="str">
            <v>421011 ABGRENZUNG GASERLÖSE -OOA- SONDERTARIFE</v>
          </cell>
        </row>
        <row r="118">
          <cell r="B118" t="str">
            <v>421012 ABGRENZUNG GASERLÖSE -OOA- STW ENERGIELIEFERUNGEN</v>
          </cell>
        </row>
        <row r="119">
          <cell r="B119" t="str">
            <v>421100 ABGRENZUNG GASVERKAUF GASHANDEL INNERHALB D</v>
          </cell>
        </row>
        <row r="120">
          <cell r="B120" t="str">
            <v>459199 ERLÖSE BS|ENERGY NETZ GMBH GAS (EHEM. NETZVERLUSTE</v>
          </cell>
        </row>
        <row r="121">
          <cell r="B121" t="str">
            <v>462001 VORJAHRESERLÖSE GAS ALLGEMEINER TARIF</v>
          </cell>
        </row>
        <row r="122">
          <cell r="B122" t="str">
            <v>462002 VORJAHRESERLÖSE GAS GROßKUNDEN SONDERVERTRÄGE</v>
          </cell>
        </row>
        <row r="123">
          <cell r="B123" t="str">
            <v>462003 VORJAHRESERLÖSE GAS VW</v>
          </cell>
        </row>
        <row r="124">
          <cell r="B124" t="str">
            <v>462004 VORJAHRESERLÖSE GAS -BRAUEREIEN-</v>
          </cell>
        </row>
        <row r="125">
          <cell r="B125" t="str">
            <v>462005 VORJAHRESERLÖSE GAS -WOHNUNGSBAUGESELLSCHAFTEN-</v>
          </cell>
        </row>
        <row r="126">
          <cell r="B126" t="str">
            <v>462006 VORJAHRESERLÖSE GAS -VW-WERKE 2-3 -</v>
          </cell>
        </row>
        <row r="127">
          <cell r="B127" t="str">
            <v>462007 VORJAHRESERLÖSE GAS -OOA- VW HANNOVER</v>
          </cell>
        </row>
        <row r="128">
          <cell r="B128" t="str">
            <v>462011 VORJAHRESERLÖSE GAS -OOA- SONDERTARIFE</v>
          </cell>
        </row>
        <row r="129">
          <cell r="B129" t="str">
            <v>462012 VORJAHRESERLÖSE GAS -OOA- STW ENERGIELIEFRUNGEN</v>
          </cell>
        </row>
        <row r="130">
          <cell r="B130" t="str">
            <v>462101 VORJAHRESERLÖSE GAS GASHANDEL AUSSERHALB D</v>
          </cell>
        </row>
        <row r="131">
          <cell r="B131" t="str">
            <v>470042 KOR.VJ-ABG.U-ERL.GASVERKAUF</v>
          </cell>
        </row>
        <row r="132">
          <cell r="B132" t="str">
            <v>I42000 ÖL SWAP DROHVERLUST (FÜR GASKUNDEN)</v>
          </cell>
        </row>
        <row r="134">
          <cell r="B134" t="str">
            <v>1.3 Umsatz Wasser</v>
          </cell>
        </row>
        <row r="135">
          <cell r="B135" t="str">
            <v>================</v>
          </cell>
        </row>
        <row r="136">
          <cell r="B136" t="str">
            <v>430001 UMSATZERLÖSE WASSERVERKAUF ALLGEMEINER TARIF</v>
          </cell>
        </row>
        <row r="137">
          <cell r="B137" t="str">
            <v>430002 UMSATZERLÖSE WASSERVERKAUF SONDERKUNDEN</v>
          </cell>
        </row>
        <row r="138">
          <cell r="B138" t="str">
            <v>430003 UMSATZERLÖSE WASSERVERKAUF WV WEDDEL/LEHRE</v>
          </cell>
        </row>
        <row r="139">
          <cell r="B139" t="str">
            <v>430004 UMSATZERLÖSE WASSERVERKAUF WV PEINE</v>
          </cell>
        </row>
        <row r="140">
          <cell r="B140" t="str">
            <v>430005 UMSATZERLÖSE WASSER KUNDEN HARXBÜTTEL UND STEINHOF</v>
          </cell>
        </row>
        <row r="141">
          <cell r="B141" t="str">
            <v>431001 ABGRENZUNG WASSERERLÖSE ALLGEMEINER TARIF</v>
          </cell>
        </row>
        <row r="142">
          <cell r="B142" t="str">
            <v>431002 ABGRENZUNG WASSERERLÖSE SONDERKUNDEN</v>
          </cell>
        </row>
        <row r="143">
          <cell r="B143" t="str">
            <v>431003 ABGRENZUNG WASSERERLÖSE WV WEDDEL/LEHRE</v>
          </cell>
        </row>
        <row r="144">
          <cell r="B144" t="str">
            <v>431004 ABGRENZUNG WASSERERLÖSE WV PEINE</v>
          </cell>
        </row>
        <row r="145">
          <cell r="B145" t="str">
            <v>431005 ABGRENZUNG WASSERERL. KUNDEN HARXBÜTTEL+STEINHOF</v>
          </cell>
        </row>
        <row r="146">
          <cell r="B146" t="str">
            <v>463001 VORJAHRESERLÖSE WASSER</v>
          </cell>
        </row>
        <row r="147">
          <cell r="B147" t="str">
            <v>463002 VORJAHRESERLÖSE WASSER SONDERKUNDEN</v>
          </cell>
        </row>
        <row r="148">
          <cell r="B148" t="str">
            <v>463003 VORJAHRESERLÖSE WASSER WV WEDDEL/LEHRE</v>
          </cell>
        </row>
        <row r="149">
          <cell r="B149" t="str">
            <v>463004 VORJAHRESERLÖSE WASSER WV PEINE</v>
          </cell>
        </row>
        <row r="150">
          <cell r="B150" t="str">
            <v>463005 VORJAHRESERLÖSE WASSER KUNDEN HARXBÜTTEL+STEINHOF</v>
          </cell>
        </row>
        <row r="151">
          <cell r="B151" t="str">
            <v>470043 KOR.VJ-ABG.U-ERL.WASSERVERKAUF</v>
          </cell>
        </row>
        <row r="153">
          <cell r="B153" t="str">
            <v>1.4 Umsatz Wärme</v>
          </cell>
        </row>
        <row r="154">
          <cell r="B154" t="str">
            <v>===============</v>
          </cell>
        </row>
        <row r="155">
          <cell r="B155" t="str">
            <v>440000 UMSATZERLÖSE FERNWÄRMEVERSORGUNG</v>
          </cell>
        </row>
        <row r="156">
          <cell r="B156" t="str">
            <v>440001 UMSATZERLÖSE WÄRMEVERKAUF &lt; 78 KW AW</v>
          </cell>
        </row>
        <row r="157">
          <cell r="B157" t="str">
            <v>440002 UMSATZERLÖSE WÄRMEVERKAUF &gt; 78 KW AW</v>
          </cell>
        </row>
        <row r="158">
          <cell r="B158" t="str">
            <v>440003 UMSATZERLÖSE WÄRMEVERKAUF SONDERKUNDEN</v>
          </cell>
        </row>
        <row r="159">
          <cell r="B159" t="str">
            <v>440004 UMSATZERLÖSE WÄRMEVERKAUF DAMPF (MIAG)</v>
          </cell>
        </row>
        <row r="160">
          <cell r="B160" t="str">
            <v>440005 UMSATZERLÖSE WÄRMEVERKAUF WDS-ANLAGEN</v>
          </cell>
        </row>
        <row r="161">
          <cell r="B161" t="str">
            <v>440006 UMSATZERLÖSE WÄRMEVERKAUF VW-WERK 1</v>
          </cell>
        </row>
        <row r="162">
          <cell r="B162" t="str">
            <v>440007 UMSATZERLÖSE WÄRMEVERKAUF VW-WERK 2 UND VW-BANK</v>
          </cell>
        </row>
        <row r="163">
          <cell r="B163" t="str">
            <v>440008 UMSATZERLÖSE WÄRMEVERKAUF AUSBAUPROGRAMM</v>
          </cell>
        </row>
        <row r="164">
          <cell r="B164" t="str">
            <v>441001 ABGRENZUNG WÄRMEERLÖSE &lt; 78 KW AW</v>
          </cell>
        </row>
        <row r="165">
          <cell r="B165" t="str">
            <v>441002 ABGRENZUNG WÄRMEERLÖSE &gt; 78 KW AW</v>
          </cell>
        </row>
        <row r="166">
          <cell r="B166" t="str">
            <v>441003 ABGRENZUNG WÄRMEERLÖSE SONDERKUNDEN</v>
          </cell>
        </row>
        <row r="167">
          <cell r="B167" t="str">
            <v>441006 ABGRENZUNG WÄRMEERLÖSE VW-WERK 1</v>
          </cell>
        </row>
        <row r="168">
          <cell r="B168" t="str">
            <v>441007 ABGRENZUNG WÄRMEERLÖSE VW-WERK 2 UND VW-BANK</v>
          </cell>
        </row>
        <row r="169">
          <cell r="B169" t="str">
            <v>441008 ABGRENZUNG WÄRMEERLÖSE AUSBAUPROGRAMM</v>
          </cell>
        </row>
        <row r="170">
          <cell r="B170" t="str">
            <v>464001 VORJAHRESERLÖSE WÄRME &lt; 78 KW AW</v>
          </cell>
        </row>
        <row r="171">
          <cell r="B171" t="str">
            <v>464002 VORJAHRESERLÖSE WÄRME &gt; 78 KW AW</v>
          </cell>
        </row>
        <row r="172">
          <cell r="B172" t="str">
            <v>464003 VORJAHRESERLÖSE WÄRME SONDERKUNDEN</v>
          </cell>
        </row>
        <row r="173">
          <cell r="B173" t="str">
            <v>464004 VORJAHRESERLÖSE WÄRME DAMPF (MIAG)</v>
          </cell>
        </row>
        <row r="174">
          <cell r="B174" t="str">
            <v>464005 VORJAHRESERLÖSE WÄRME WDS-ANLAGEN</v>
          </cell>
        </row>
        <row r="175">
          <cell r="B175" t="str">
            <v>464006 VORJAHRESERLÖSE WÄRME VW-WERK 1</v>
          </cell>
        </row>
        <row r="176">
          <cell r="B176" t="str">
            <v>464007 VORJAHRESERLÖSE WÄRME VW-WERK 2 UND VW-BANK</v>
          </cell>
        </row>
        <row r="177">
          <cell r="B177" t="str">
            <v>469040 VORJAHRESERLÖSE WÄRME CONTRACTING - INNERHALB BS</v>
          </cell>
        </row>
        <row r="178">
          <cell r="B178" t="str">
            <v>469041 VORJAHRESERLÖSE WÄRME CONTRACTING - AUßERHALB BS</v>
          </cell>
        </row>
        <row r="179">
          <cell r="B179" t="str">
            <v>470044 KOR.VJ-ABG.U-ERL.WÄRMEVERKAUF</v>
          </cell>
        </row>
        <row r="180">
          <cell r="B180" t="str">
            <v>490040 UMSATZERLÖSE WÄRME CONTRACTING - INNERHALB BS</v>
          </cell>
        </row>
        <row r="181">
          <cell r="B181" t="str">
            <v>490041 UMSATZERLÖSE WÄRME CONTRACTING - AUSSERHALB BS</v>
          </cell>
        </row>
        <row r="182">
          <cell r="B182" t="str">
            <v>491040 ABGRENZUNG WÄRME CONTRACTING - INNERHALB BS</v>
          </cell>
        </row>
        <row r="184">
          <cell r="B184" t="str">
            <v>1.5 Auflösung Ertragszuschüsse</v>
          </cell>
        </row>
        <row r="185">
          <cell r="B185" t="str">
            <v>==============================</v>
          </cell>
        </row>
        <row r="186">
          <cell r="B186" t="str">
            <v>480000 AUFLÖSUNG EMPFANGENE ERTRAGSZUSCHÜSSE</v>
          </cell>
        </row>
        <row r="187">
          <cell r="B187" t="str">
            <v>I48000 AUFLÖSUNG EMPFANGENE ERTRAGSZUSCHÜSSE</v>
          </cell>
        </row>
        <row r="189">
          <cell r="B189" t="str">
            <v>1.6 Erlöse aus dem Verkauf Kohle</v>
          </cell>
        </row>
        <row r="190">
          <cell r="B190" t="str">
            <v>===============================</v>
          </cell>
        </row>
        <row r="191">
          <cell r="B191" t="str">
            <v>481000 UMSATZERLÖSE AUS DEM VERKAUF VON KOHLE AN KWM</v>
          </cell>
        </row>
        <row r="193">
          <cell r="B193" t="str">
            <v>1.7 Sonstige Umsatzerlöse</v>
          </cell>
        </row>
        <row r="194">
          <cell r="B194" t="str">
            <v>========================</v>
          </cell>
        </row>
        <row r="195">
          <cell r="B195" t="str">
            <v>459000 SONSTIGE UMSATZERLÖSE</v>
          </cell>
        </row>
        <row r="196">
          <cell r="B196" t="str">
            <v>459021 ERLÖSE AUS CONTRACTING FI/SD</v>
          </cell>
        </row>
        <row r="197">
          <cell r="B197" t="str">
            <v>459140 UMSATZERLÖSE B GEGENÜBER STADT BS</v>
          </cell>
        </row>
        <row r="198">
          <cell r="B198" t="str">
            <v>459155 UMSATZERLÖSE STADTENTWÄSSERUNG BRAUNSCHWEIG</v>
          </cell>
        </row>
        <row r="199">
          <cell r="B199" t="str">
            <v>459160 SONSTIGE UMSATZERLÖSE VEOLIA-KONZERN</v>
          </cell>
        </row>
        <row r="200">
          <cell r="B200" t="str">
            <v>459179 ERLÖSE AUS PACHTENTGELTEN BS|ENERGY NETZ STROM</v>
          </cell>
        </row>
        <row r="201">
          <cell r="B201" t="str">
            <v>459180 ERLÖSE AUS PACHTENTGELTEN BS|ENERGY NETZ GAS</v>
          </cell>
        </row>
        <row r="202">
          <cell r="B202" t="str">
            <v>459204 UMSATZERLÖSE AUS KWK-VERGÜTUNG HKW'S</v>
          </cell>
        </row>
        <row r="203">
          <cell r="B203" t="str">
            <v>461011 VORJAHRESERLÖSE INNENUMSAETZE STROMVERSORGUNG</v>
          </cell>
        </row>
        <row r="204">
          <cell r="B204" t="str">
            <v>462021 VORJAHRESERLÖSE INNENUMSÄTZE GASVERSORGUNG</v>
          </cell>
        </row>
        <row r="205">
          <cell r="B205" t="str">
            <v>462022 VORJAHRESERLÖSE INNENUMSÄTZE GAS GASTANKSTELLEN</v>
          </cell>
        </row>
        <row r="206">
          <cell r="B206" t="str">
            <v>462023 VORJAHRESERLÖSE INNENUMSÄTZE GAS CONTRACTING</v>
          </cell>
        </row>
        <row r="207">
          <cell r="B207" t="str">
            <v>463031 VORJAHRESERLÖSE INNENUMSÄTZE WASSERVERSORGUNG</v>
          </cell>
        </row>
        <row r="208">
          <cell r="B208" t="str">
            <v>464041 VORJAHRESERLÖSE INNENUMSÄTZE FERNWÄRMEVERSORGUNG</v>
          </cell>
        </row>
        <row r="209">
          <cell r="B209" t="str">
            <v>547074 WEITERL. AUFL. ERTRAGSZUSCH. STROM  BS|ENERGY NETZ</v>
          </cell>
        </row>
        <row r="210">
          <cell r="B210" t="str">
            <v>547075 WEITERL. AUFL. ERTRAGSZUSCH. GAS  BS|ENERGY NETZ</v>
          </cell>
        </row>
        <row r="211">
          <cell r="B211" t="str">
            <v>701000 INNENUMSAETZE STROMVERSORGUNG</v>
          </cell>
        </row>
        <row r="212">
          <cell r="B212" t="str">
            <v>701100 ABGRENZUNG INNENUMSÄTZE STROMVERSORGUNG</v>
          </cell>
        </row>
        <row r="213">
          <cell r="B213" t="str">
            <v>702000 INNENUMSÄTZE GASVERSORGUNG</v>
          </cell>
        </row>
        <row r="214">
          <cell r="B214" t="str">
            <v>702002 INNENUMSAETZE GASVERSORGUNG -GASTANKSTELLEN-</v>
          </cell>
        </row>
        <row r="215">
          <cell r="B215" t="str">
            <v>703000 INNENUMSÄTZE WASSERVERSORGUNG</v>
          </cell>
        </row>
        <row r="216">
          <cell r="B216" t="str">
            <v>703100 ABGRENZUNG INNENUMSÄTZE WASSERVERSORGUNG</v>
          </cell>
        </row>
        <row r="217">
          <cell r="B217" t="str">
            <v>704000 INNENUMSÄTZE FERNWÄRMEVERSORGUNG</v>
          </cell>
        </row>
        <row r="218">
          <cell r="B218" t="str">
            <v>714005 GASVERBRAUCH WÄRMEDIREKTSERVICE (EIGENVERBRAUCH)</v>
          </cell>
        </row>
        <row r="219">
          <cell r="B219" t="str">
            <v>716000 UNTERJÄHRIGE ERMITTLUNG EIGENVERBRAUCH</v>
          </cell>
        </row>
        <row r="221">
          <cell r="B221" t="str">
            <v>1.8 IFRIC 12</v>
          </cell>
        </row>
        <row r="222">
          <cell r="B222" t="str">
            <v>==============</v>
          </cell>
        </row>
        <row r="223">
          <cell r="B223" t="str">
            <v>I45990 BESTANDSVERÄNDERUNGEN AKTIVIERTE LEISTG. IFRIC 12</v>
          </cell>
        </row>
        <row r="224">
          <cell r="B224" t="str">
            <v>I45991 FINANZERLÖSE IFRIC 12</v>
          </cell>
        </row>
        <row r="226">
          <cell r="B226" t="str">
            <v>1. Summe Umsatzerlöse</v>
          </cell>
        </row>
        <row r="227">
          <cell r="B227" t="str">
            <v>======================</v>
          </cell>
        </row>
        <row r="228">
          <cell r="B228" t="str">
            <v>2. Sonst. betrieb. Erträge, BV, aktiv. Eigenl</v>
          </cell>
        </row>
        <row r="229">
          <cell r="B229" t="str">
            <v>=============================================</v>
          </cell>
        </row>
        <row r="230">
          <cell r="B230" t="str">
            <v>Sonstige betriebliche Erträge</v>
          </cell>
        </row>
        <row r="231">
          <cell r="B231" t="str">
            <v>=============================</v>
          </cell>
        </row>
        <row r="232">
          <cell r="B232" t="str">
            <v>459181 ERLÖSE AUS GESCHÄFTSBESORGUNG FÜR BS|ENERGY NETZ</v>
          </cell>
        </row>
        <row r="233">
          <cell r="B233" t="str">
            <v>532000 ERTR.A.D.AUFL. ANDERER RÜCKSTELLUNGEN</v>
          </cell>
        </row>
        <row r="234">
          <cell r="B234" t="str">
            <v>534000 MIET-UND PACHTEINNAHMEN</v>
          </cell>
        </row>
        <row r="235">
          <cell r="B235" t="str">
            <v>534100 NICHT STEUERBARE MAHN- UND WEGEKOSTEN</v>
          </cell>
        </row>
        <row r="236">
          <cell r="B236" t="str">
            <v>534110 STEUERPFLICHTIGE ÜBRIGE WEGEKOSTEN</v>
          </cell>
        </row>
        <row r="237">
          <cell r="B237" t="str">
            <v>534120 WEITERBERECHNETE RÜCKBELASTUNGSKOSTEN</v>
          </cell>
        </row>
        <row r="238">
          <cell r="B238" t="str">
            <v>534121 WEITERBERECHNETE MAHNKOSTEN</v>
          </cell>
        </row>
        <row r="239">
          <cell r="B239" t="str">
            <v>534400 ERTR.A.EINZ. ENTWÄSSERUNGSGEBÜHREN</v>
          </cell>
        </row>
        <row r="240">
          <cell r="B240" t="str">
            <v>534900 VERSCHIEDENE ERTRÄGE - SONSTIGE -</v>
          </cell>
        </row>
        <row r="241">
          <cell r="B241" t="str">
            <v>534901 VEREINNAHMTE TELEFONGEBÜHREN</v>
          </cell>
        </row>
        <row r="242">
          <cell r="B242" t="str">
            <v>534902 VEREINNAHMTE PFÄNDUNGSGEBÜHREN AUS HR</v>
          </cell>
        </row>
        <row r="243">
          <cell r="B243" t="str">
            <v>534915 VERSCHIEDENE ERTRÄGE STADTWERKE THALE</v>
          </cell>
        </row>
        <row r="244">
          <cell r="B244" t="str">
            <v>534920 VERSCHIEDENE ERTRÄGE - ENERGIENETZE BRAUNSCHWEIG</v>
          </cell>
        </row>
        <row r="245">
          <cell r="B245" t="str">
            <v>534925 VERSCHIEDENE ERTRÄGE BS|ENERGY NETZ</v>
          </cell>
        </row>
        <row r="246">
          <cell r="B246" t="str">
            <v>534926 ERTRÄGE AUS KONZESSIONSABGABE BS|ENERGY NETZ</v>
          </cell>
        </row>
        <row r="247">
          <cell r="B247" t="str">
            <v>534930 VERSCHIEDENE ERTRÄGE - VERKEHR U. GMBH</v>
          </cell>
        </row>
        <row r="248">
          <cell r="B248" t="str">
            <v>534955 VERSCHIEDENE ERTRÄGE STADTENTWÄSSERUNG BRAUNSCHWEI</v>
          </cell>
        </row>
        <row r="249">
          <cell r="B249" t="str">
            <v>534960 VERSCH.ERTRÄGE VEOLIA-KONZERN</v>
          </cell>
        </row>
        <row r="250">
          <cell r="B250" t="str">
            <v>536000 ERTRAEGE AUS KASSENMEHRBESTAND</v>
          </cell>
        </row>
        <row r="251">
          <cell r="B251" t="str">
            <v>I53000 ERTRÄGE AUS ANLAGENABGÄNGEN UND ZUSCHREIBUNGEN</v>
          </cell>
        </row>
        <row r="252">
          <cell r="B252" t="str">
            <v>I53001 ERTRAEGE AUS ANLAGENABGAENGEN UND ZUSCHR. IFRIC 12</v>
          </cell>
        </row>
        <row r="253">
          <cell r="B253" t="str">
            <v>I53200 ERTR.A.D.AUFL. ANDERER RÜCKSTELLUNGEN</v>
          </cell>
        </row>
        <row r="254">
          <cell r="B254" t="str">
            <v>I53490 VERSCHIEDENE ERTRÄGE - SONSTIGE -</v>
          </cell>
        </row>
        <row r="256">
          <cell r="B256" t="str">
            <v>Bestandsveränderungen</v>
          </cell>
        </row>
        <row r="257">
          <cell r="B257" t="str">
            <v>=====================</v>
          </cell>
        </row>
        <row r="258">
          <cell r="B258" t="str">
            <v>501000 BESTANDSVERÄNDERUNGEN UNFERTIGE LEISTUNGEN</v>
          </cell>
        </row>
        <row r="260">
          <cell r="B260" t="str">
            <v>Aktivierte Eigenleistungen</v>
          </cell>
        </row>
        <row r="261">
          <cell r="B261" t="str">
            <v>==========================</v>
          </cell>
        </row>
        <row r="262">
          <cell r="B262" t="str">
            <v>510000 AKTIVIERUNGSPFLICHTIGE LÖHNE UND GEHÄLTER</v>
          </cell>
        </row>
        <row r="263">
          <cell r="B263" t="str">
            <v>510100 REGIEZUSCHLAEGE</v>
          </cell>
        </row>
        <row r="265">
          <cell r="B265" t="str">
            <v>2. Summe betr. Erträge, BV, aktiv. Eigenl</v>
          </cell>
        </row>
        <row r="266">
          <cell r="B266" t="str">
            <v>==========================================</v>
          </cell>
        </row>
        <row r="267">
          <cell r="B267" t="str">
            <v>3. Materialaufwand</v>
          </cell>
        </row>
        <row r="268">
          <cell r="B268" t="str">
            <v>==================</v>
          </cell>
        </row>
        <row r="269">
          <cell r="B269" t="str">
            <v>3.1 Strombezug (incl. Durchleitung)</v>
          </cell>
        </row>
        <row r="270">
          <cell r="B270" t="str">
            <v>===================================</v>
          </cell>
        </row>
        <row r="271">
          <cell r="B271" t="str">
            <v>540000 ENERGIE-,WASSER- UND FERNWAERMEBEZUG</v>
          </cell>
        </row>
        <row r="272">
          <cell r="B272" t="str">
            <v>540010 BEZUGSKOSTEN KRAFTWERK MEHRUM ARBEITSPREIS</v>
          </cell>
        </row>
        <row r="273">
          <cell r="B273" t="str">
            <v>540011 BEZUGSKOSTEN KRAFTWERK MEHRUM LEISTUNGSPREIS</v>
          </cell>
        </row>
        <row r="274">
          <cell r="B274" t="str">
            <v>540013 BEZUGSKOSTEN KRAFTWERK MEHRUM SONSTIGES</v>
          </cell>
        </row>
        <row r="275">
          <cell r="B275" t="str">
            <v>540022 BEZUGSKOSTEN E.ON/STATKRAFT RESERVELIEFERUNG</v>
          </cell>
        </row>
        <row r="276">
          <cell r="B276" t="str">
            <v>540023 BEZUGSKOST. E.ON/STATKR. RESERVELIEF.VORHALTEKSTEN</v>
          </cell>
        </row>
        <row r="277">
          <cell r="B277" t="str">
            <v>540027 BEZUGSKOSTEN E.ON EEG</v>
          </cell>
        </row>
        <row r="278">
          <cell r="B278" t="str">
            <v>540029 BEZUGSKOSTEN BILANZKREISABRECHNUNG</v>
          </cell>
        </row>
        <row r="279">
          <cell r="B279" t="str">
            <v>540030 BEZUGSKOSTEN EEG REGELZONE VEAG/ VATTENFALL GMBH</v>
          </cell>
        </row>
        <row r="280">
          <cell r="B280" t="str">
            <v>540031 BEZUGSKOSTEN EEG REGELZONE D.EnBW TRANSP.NETZE AG</v>
          </cell>
        </row>
        <row r="281">
          <cell r="B281" t="str">
            <v>540032 BEZUGSKOSTEN EEG IN DER REGELZONE DER RWE</v>
          </cell>
        </row>
        <row r="282">
          <cell r="B282" t="str">
            <v>540051 BEZUGSKOSTEN STROMHANDEL</v>
          </cell>
        </row>
        <row r="283">
          <cell r="B283" t="str">
            <v>540052 BEZUGSKOSTEN SONSTIGE RESERVEPOOL</v>
          </cell>
        </row>
        <row r="284">
          <cell r="B284" t="str">
            <v>540053 BEZUGSKOSTEN STROMGESCHÄFTE SPOTMARKT EEX</v>
          </cell>
        </row>
        <row r="285">
          <cell r="B285" t="str">
            <v>540057 ABRECHNUNG KOHLESWAP VPP/ SONSTIGE</v>
          </cell>
        </row>
        <row r="286">
          <cell r="B286" t="str">
            <v>540058 ABRECHNUNG KOHLESWAP MEHRUM</v>
          </cell>
        </row>
        <row r="287">
          <cell r="B287" t="str">
            <v>540059 ABRECHNUNG KOHLESWAP HKW</v>
          </cell>
        </row>
        <row r="288">
          <cell r="B288" t="str">
            <v>540900 AUFWENDUNGEN AUS DEM STROMVERKAUF AUSSERHALB BS</v>
          </cell>
        </row>
        <row r="289">
          <cell r="B289" t="str">
            <v>547700 NETZNUTZUNGSENTGELTE STROM OOA</v>
          </cell>
        </row>
        <row r="290">
          <cell r="B290" t="str">
            <v>549200 AUFW. AUS NETZNUTZUNGSENTGELTEN STROM BVAG INTERN</v>
          </cell>
        </row>
        <row r="291">
          <cell r="B291" t="str">
            <v>549201 AUFW. AUS NETZNUTZUNGSENTGELTEN GAS BVAG INTERN</v>
          </cell>
        </row>
        <row r="292">
          <cell r="B292" t="str">
            <v>549210 AUFW HOCHRECHNUNG NETZNUTZUNG STROM BS|ENERGY NETZ</v>
          </cell>
        </row>
        <row r="293">
          <cell r="B293" t="str">
            <v>549211 KORR VORJAHR NETZNUTZUNG STROM BS|ENERGY NETZ</v>
          </cell>
        </row>
        <row r="294">
          <cell r="B294" t="str">
            <v>549220 AUFW HOCHRECHNUNG NETZNUTZUNG GAS BS|ENERGY NETZ</v>
          </cell>
        </row>
        <row r="295">
          <cell r="B295" t="str">
            <v>549221 KORR VORJAHR NETZNUTZUNG GAS BS|ENERGY NETZ</v>
          </cell>
        </row>
        <row r="296">
          <cell r="B296" t="str">
            <v>I54051 VIRTUELLES KRAFTWERK</v>
          </cell>
        </row>
        <row r="297">
          <cell r="B297" t="str">
            <v>I54058 ABRECHNUNG KOHLESWAP MEHRUM</v>
          </cell>
        </row>
        <row r="298">
          <cell r="B298" t="str">
            <v>I54059 ABRECHNUNG KOHLESWAP HKW</v>
          </cell>
        </row>
        <row r="299">
          <cell r="B299" t="str">
            <v>3.1 Summe Strombezug (incl. Durchleitung)</v>
          </cell>
        </row>
        <row r="300">
          <cell r="B300" t="str">
            <v>=========================================</v>
          </cell>
        </row>
        <row r="301">
          <cell r="B301" t="str">
            <v>3.2 Gasbezug</v>
          </cell>
        </row>
        <row r="302">
          <cell r="B302" t="str">
            <v>============</v>
          </cell>
        </row>
        <row r="303">
          <cell r="B303" t="str">
            <v>500000 BESTANDSVERÄNDG. - GASVORRAT IM KUGELBEHÄLTER</v>
          </cell>
        </row>
        <row r="304">
          <cell r="B304" t="str">
            <v>540060 BEZUGSKOSTEN GAS ARBEITSPREIS KOMMUNALGAS</v>
          </cell>
        </row>
        <row r="305">
          <cell r="B305" t="str">
            <v>540061 BEZUGSKOSTEN GAS LEISTUNGSPREIS KOMMUNALGAS</v>
          </cell>
        </row>
        <row r="306">
          <cell r="B306" t="str">
            <v>540064 BEZUGSKOSTEN GASHANDEL</v>
          </cell>
        </row>
        <row r="307">
          <cell r="B307" t="str">
            <v>540069 ABRECHNUNG ÖLSWAP</v>
          </cell>
        </row>
        <row r="308">
          <cell r="B308" t="str">
            <v>547800 NETZNUTZUNGSENTGELTE GAS OOA</v>
          </cell>
        </row>
        <row r="309">
          <cell r="B309" t="str">
            <v>549234 AUFW. AUS GAS SONDERENTGELTE BS|ENERGY NETZ</v>
          </cell>
        </row>
        <row r="310">
          <cell r="B310" t="str">
            <v>549235 AUFW. AUS MEHR- U. MINDERMENGEN GAS BS NETZ</v>
          </cell>
        </row>
        <row r="311">
          <cell r="B311" t="str">
            <v>3.2 Summe Gasbezug</v>
          </cell>
        </row>
        <row r="312">
          <cell r="B312" t="str">
            <v>===================</v>
          </cell>
        </row>
        <row r="313">
          <cell r="B313" t="str">
            <v>3.3 Wasserbezug</v>
          </cell>
        </row>
        <row r="314">
          <cell r="B314" t="str">
            <v>================</v>
          </cell>
        </row>
        <row r="315">
          <cell r="B315" t="str">
            <v>500100 BESTANDSVERÄNDG. - WASSERVORRAT IM SPEICH.BEHÄLTER</v>
          </cell>
        </row>
        <row r="316">
          <cell r="B316" t="str">
            <v>540070 BEZUGSKOSTEN HARZWASSERWERKE</v>
          </cell>
        </row>
        <row r="317">
          <cell r="B317" t="str">
            <v>540071 BEZUGSKOSTEN WASSER SONSTIGES</v>
          </cell>
        </row>
        <row r="318">
          <cell r="B318" t="str">
            <v>3.3 Summe Wasserbezug</v>
          </cell>
        </row>
        <row r="319">
          <cell r="B319" t="str">
            <v>======================</v>
          </cell>
        </row>
        <row r="320">
          <cell r="B320" t="str">
            <v>3.4 Brennstoffe</v>
          </cell>
        </row>
        <row r="321">
          <cell r="B321" t="str">
            <v>===============</v>
          </cell>
        </row>
        <row r="322">
          <cell r="B322" t="str">
            <v>540080 BEZUGSKOSTEN EINSPEISER CONTRACT NAHWÄRME</v>
          </cell>
        </row>
        <row r="323">
          <cell r="B323" t="str">
            <v>541000 KOHLEN HKW-MITTE</v>
          </cell>
        </row>
        <row r="324">
          <cell r="B324" t="str">
            <v>541100 ERDGAS HEIZKRAFTWERK MITTE</v>
          </cell>
        </row>
        <row r="325">
          <cell r="B325" t="str">
            <v>541101 ERDGAS HEIZKRAFTWERK NORD</v>
          </cell>
        </row>
        <row r="326">
          <cell r="B326" t="str">
            <v>541200 HEIZÖL HEIZKRAFTWERKE</v>
          </cell>
        </row>
        <row r="327">
          <cell r="B327" t="str">
            <v>541300 HEIZÖL HEIZWERKE SÜD, WEST, ÖLPER</v>
          </cell>
        </row>
        <row r="328">
          <cell r="B328" t="str">
            <v>541400 ERDGAS HEIZWERK ÖLPER</v>
          </cell>
        </row>
        <row r="329">
          <cell r="B329" t="str">
            <v>541600 BIOGAS FÜR BHKW ÖLPER</v>
          </cell>
        </row>
        <row r="330">
          <cell r="B330" t="str">
            <v>I54100 KORR KONTO BRENNSTOFFE KOHLE IFRS</v>
          </cell>
        </row>
        <row r="331">
          <cell r="B331" t="str">
            <v>I54120 KORR KONTO BRENNSTOFFE ÖL IFRS</v>
          </cell>
        </row>
        <row r="332">
          <cell r="B332" t="str">
            <v>I54130 HEIZÖL HEIZWERKE SÜD, WEST, ÖLPER</v>
          </cell>
        </row>
        <row r="333">
          <cell r="B333" t="str">
            <v>3.4 Summe Brennstoffe</v>
          </cell>
        </row>
        <row r="334">
          <cell r="B334" t="str">
            <v>=====================</v>
          </cell>
        </row>
        <row r="335">
          <cell r="B335" t="str">
            <v>3.4.1 Verbrauch Emissionsrechte</v>
          </cell>
        </row>
        <row r="336">
          <cell r="B336" t="str">
            <v>===============================</v>
          </cell>
        </row>
        <row r="337">
          <cell r="B337" t="str">
            <v>541900 AUFWENDUNGEN FÜR ABZUGEBENDE EMISSIONSRECHTE</v>
          </cell>
        </row>
        <row r="338">
          <cell r="B338" t="str">
            <v>I54190 KORR.KTO. EMISSIONSRECHTE</v>
          </cell>
        </row>
        <row r="339">
          <cell r="B339" t="str">
            <v>I54191 FAIR VALUE BEWERTUNG FINANZINSTRUMENTE</v>
          </cell>
        </row>
        <row r="340">
          <cell r="B340" t="str">
            <v>3.4.1 Summe Verbrauch Emissionsrechte</v>
          </cell>
        </row>
        <row r="341">
          <cell r="B341" t="str">
            <v>=====================================</v>
          </cell>
        </row>
        <row r="342">
          <cell r="B342" t="str">
            <v>3.5 Kohlebeschaffung Mehrum</v>
          </cell>
        </row>
        <row r="343">
          <cell r="B343" t="str">
            <v>===========================</v>
          </cell>
        </row>
        <row r="344">
          <cell r="B344" t="str">
            <v>546100 KOHLEBESCHAFFUNG FÜR MEHRUM</v>
          </cell>
        </row>
        <row r="345">
          <cell r="B345" t="str">
            <v>I54610 KORR.KTO. ZUR KOHLEBESCHAFFUNG MEHRUM</v>
          </cell>
        </row>
        <row r="346">
          <cell r="B346" t="str">
            <v>3.5 Summe Kohlebeschaffung Mehrum</v>
          </cell>
        </row>
        <row r="347">
          <cell r="B347" t="str">
            <v>=================================</v>
          </cell>
        </row>
        <row r="348">
          <cell r="B348" t="str">
            <v>3.6 Fremdleistung en.bs</v>
          </cell>
        </row>
        <row r="349">
          <cell r="B349" t="str">
            <v>=======================</v>
          </cell>
        </row>
        <row r="350">
          <cell r="B350" t="str">
            <v>547020 FREMDLEISTUNGEN - ENERGIENETZE BRAUNSCHWEIG</v>
          </cell>
        </row>
        <row r="351">
          <cell r="B351" t="str">
            <v>3.6 Summe Fremdleistung en.bs</v>
          </cell>
        </row>
        <row r="352">
          <cell r="B352" t="str">
            <v>=============================</v>
          </cell>
        </row>
        <row r="353">
          <cell r="B353" t="str">
            <v>3.7 übriger Materialaufwand</v>
          </cell>
        </row>
        <row r="354">
          <cell r="B354" t="str">
            <v>===========================</v>
          </cell>
        </row>
        <row r="355">
          <cell r="B355" t="str">
            <v>543000 BETRIEBSSTOFFE</v>
          </cell>
        </row>
        <row r="356">
          <cell r="B356" t="str">
            <v>544000 BETRIEBS- U.INSTAND.MATERIAL - SONSTIGE -</v>
          </cell>
        </row>
        <row r="357">
          <cell r="B357" t="str">
            <v>544020 BETRIEBS- U.INSTAND.MATERIAL - ENERGIENETZE BRAUN</v>
          </cell>
        </row>
        <row r="358">
          <cell r="B358" t="str">
            <v>544300 ANSCHAFFUNGSINVESTITIONEN</v>
          </cell>
        </row>
        <row r="359">
          <cell r="B359" t="str">
            <v>544400 PUTZ- UND REINIGUNGSMITTEL</v>
          </cell>
        </row>
        <row r="360">
          <cell r="B360" t="str">
            <v>546000 HANDELSWAREN</v>
          </cell>
        </row>
        <row r="361">
          <cell r="B361" t="str">
            <v>546200 HEIZÖLBESCHAFFUNG FÜR STADTWERKE THALE GMBH</v>
          </cell>
        </row>
        <row r="362">
          <cell r="B362" t="str">
            <v>548000 ABSCHREIBUNGEN AUF VORRÄTE</v>
          </cell>
        </row>
        <row r="363">
          <cell r="B363" t="str">
            <v>548100 INVENTURDIFFERENZEN</v>
          </cell>
        </row>
        <row r="364">
          <cell r="B364" t="str">
            <v>549100 WB. HANDLINGSKOSTEN FÜR ZÄHLER</v>
          </cell>
        </row>
        <row r="365">
          <cell r="B365" t="str">
            <v>621100 SKONTOGEWAEHRUNG</v>
          </cell>
        </row>
        <row r="366">
          <cell r="B366" t="str">
            <v>720000 LAGERGEMEINKOSTEN</v>
          </cell>
        </row>
        <row r="367">
          <cell r="B367" t="str">
            <v>870060 ABG. ANSCHAFFUNGSINVESTITIONEN</v>
          </cell>
        </row>
        <row r="368">
          <cell r="B368" t="str">
            <v>I54800 ABSCHREIBUNGEN AUF VORRÄTE</v>
          </cell>
        </row>
        <row r="369">
          <cell r="B369" t="str">
            <v>I54810 INVENTURDIFFERENZEN</v>
          </cell>
        </row>
        <row r="370">
          <cell r="B370" t="str">
            <v>3.7 Summe übriger Materialaufwand</v>
          </cell>
        </row>
        <row r="371">
          <cell r="B371" t="str">
            <v>==================================</v>
          </cell>
        </row>
        <row r="372">
          <cell r="B372" t="str">
            <v>3.8 übrige Fremdleistungen</v>
          </cell>
        </row>
        <row r="373">
          <cell r="B373" t="str">
            <v>==========================</v>
          </cell>
        </row>
        <row r="374">
          <cell r="B374" t="str">
            <v>547000 FREMDL. BETRIEBS- U.INSTANDHALTUNG -SONSTIGE -</v>
          </cell>
        </row>
        <row r="375">
          <cell r="B375" t="str">
            <v>547025 FREMDLEISTUNGEN - BS|ENERGY NETZ -</v>
          </cell>
        </row>
        <row r="376">
          <cell r="B376" t="str">
            <v>547055 FREMDLEISTUNGEN - STADTENTWÄSSERUNG BRAUNSCHWEIG</v>
          </cell>
        </row>
        <row r="377">
          <cell r="B377" t="str">
            <v>547060 FREMDLEISTUNGEN - SONSTIGER VEOLIA KONZERN -</v>
          </cell>
        </row>
        <row r="378">
          <cell r="B378" t="str">
            <v>547300 ENTSORGUNG VON RESTSTOFFEN</v>
          </cell>
        </row>
        <row r="379">
          <cell r="B379" t="str">
            <v>547600 ZUFÜHRUNG ZU ANDEREN RÜCKSTELLUNGEN</v>
          </cell>
        </row>
        <row r="380">
          <cell r="B380" t="str">
            <v>I54700 FREMDLEISTUNGEN</v>
          </cell>
        </row>
        <row r="381">
          <cell r="B381" t="str">
            <v>I54790 FREMDLEISTUNGEN IFRIC 12</v>
          </cell>
        </row>
        <row r="382">
          <cell r="B382" t="str">
            <v>3.8 Summe übrige Fremdleistungen</v>
          </cell>
        </row>
        <row r="383">
          <cell r="B383" t="str">
            <v>================================</v>
          </cell>
        </row>
        <row r="384">
          <cell r="B384" t="str">
            <v>3. Summe Materialaufwand</v>
          </cell>
        </row>
        <row r="385">
          <cell r="B385" t="str">
            <v>========================</v>
          </cell>
        </row>
        <row r="386">
          <cell r="B386" t="str">
            <v>4. Summe Bruttogewinn</v>
          </cell>
        </row>
        <row r="387">
          <cell r="B387" t="str">
            <v>=====================</v>
          </cell>
        </row>
        <row r="388">
          <cell r="B388" t="str">
            <v>5. Operativer Aufwand</v>
          </cell>
        </row>
        <row r="389">
          <cell r="B389" t="str">
            <v>====================</v>
          </cell>
        </row>
        <row r="390">
          <cell r="B390" t="str">
            <v>5.1 Personalaufwand</v>
          </cell>
        </row>
        <row r="391">
          <cell r="B391" t="str">
            <v>===================</v>
          </cell>
        </row>
        <row r="392">
          <cell r="B392" t="str">
            <v>Löhne und Gehälter</v>
          </cell>
        </row>
        <row r="393">
          <cell r="B393" t="str">
            <v>====================</v>
          </cell>
        </row>
        <row r="394">
          <cell r="B394" t="str">
            <v>550000 LOHNAUFWAND</v>
          </cell>
        </row>
        <row r="395">
          <cell r="B395" t="str">
            <v>550001 FREIWILLIGE/ ÜBERTARIFLICHE ENTGELTZAHLUNGEN</v>
          </cell>
        </row>
        <row r="396">
          <cell r="B396" t="str">
            <v>550005 ARBEITGEBERZUSCHUSS SEQUOIA-SPARPLAN</v>
          </cell>
        </row>
        <row r="397">
          <cell r="B397" t="str">
            <v>550100 ZUWENDUNGEN</v>
          </cell>
        </row>
        <row r="398">
          <cell r="B398" t="str">
            <v>550200 RÜCKSTÄNDIGER URLAUB</v>
          </cell>
        </row>
        <row r="399">
          <cell r="B399" t="str">
            <v>550300 TREUEGELDER</v>
          </cell>
        </row>
        <row r="400">
          <cell r="B400" t="str">
            <v>550400 JUBILÄUMSRÜCKSTELLUNG</v>
          </cell>
        </row>
        <row r="401">
          <cell r="B401" t="str">
            <v>550500 VORRUHESTANDSREGELUNG</v>
          </cell>
        </row>
        <row r="402">
          <cell r="B402" t="str">
            <v>550600 AUFWANDKORREKTUR RÜCKSTÄNDIGER URLAUB</v>
          </cell>
        </row>
        <row r="403">
          <cell r="B403" t="str">
            <v>550700 ABFINDUNGSZAHLUNGEN AUS ATZ</v>
          </cell>
        </row>
        <row r="404">
          <cell r="B404" t="str">
            <v>550800 SONDERABFINDUNGSZAHLUNGEN</v>
          </cell>
        </row>
        <row r="405">
          <cell r="B405" t="str">
            <v>550900 DEPUTAT FÜR MITARBEITER</v>
          </cell>
        </row>
        <row r="406">
          <cell r="B406" t="str">
            <v>I55040 JUBILÄUMSRÜCKSTELLUNG</v>
          </cell>
        </row>
        <row r="407">
          <cell r="B407" t="str">
            <v>I55050 VORRUHESTANDSREGELUNG</v>
          </cell>
        </row>
        <row r="409">
          <cell r="B409" t="str">
            <v>Soziale Abgaben</v>
          </cell>
        </row>
        <row r="410">
          <cell r="B410" t="str">
            <v>===============</v>
          </cell>
        </row>
        <row r="411">
          <cell r="B411" t="str">
            <v>560000 SOZIALVERSICHERUNG ARBEITGEBERANTEIL</v>
          </cell>
        </row>
        <row r="412">
          <cell r="B412" t="str">
            <v>560100 SOZIALVERS. KORREKTUR RÜCKSTÄND. URLAUB</v>
          </cell>
        </row>
        <row r="413">
          <cell r="B413" t="str">
            <v>560200 RÜCKSTÄNDIGER URLAUB SV</v>
          </cell>
        </row>
        <row r="414">
          <cell r="B414" t="str">
            <v>562000 BERUFSGENOSSENSCHAFTSBEITRAG</v>
          </cell>
        </row>
        <row r="416">
          <cell r="B416" t="str">
            <v>Altersversorgung</v>
          </cell>
        </row>
        <row r="417">
          <cell r="B417" t="str">
            <v>=================</v>
          </cell>
        </row>
        <row r="418">
          <cell r="B418" t="str">
            <v>563000 RUHEGELD</v>
          </cell>
        </row>
        <row r="419">
          <cell r="B419" t="str">
            <v>563100 VERSORGUNGSBEZUEGE G131</v>
          </cell>
        </row>
        <row r="420">
          <cell r="B420" t="str">
            <v>563200 WEINACHTSZUWENDUNG RUHELOHNEMPFÄNGER</v>
          </cell>
        </row>
        <row r="421">
          <cell r="B421" t="str">
            <v>564000 PENSIONSRÜCKSTELLUNGSVERÄNDERUNG</v>
          </cell>
        </row>
        <row r="422">
          <cell r="B422" t="str">
            <v>565000 ZUSATZVERSICHERUNG</v>
          </cell>
        </row>
        <row r="423">
          <cell r="B423" t="str">
            <v>565001 ENTGELTUMWANDLUNG</v>
          </cell>
        </row>
        <row r="424">
          <cell r="B424" t="str">
            <v>566300 LOHN- UND KIRCHENSTEUER VBL-UMLAGE</v>
          </cell>
        </row>
        <row r="425">
          <cell r="B425" t="str">
            <v>I56400 PENSIONSRÜCKSTELLUNGSVERÄNDERUNG</v>
          </cell>
        </row>
        <row r="427">
          <cell r="B427" t="str">
            <v>Unterstützung</v>
          </cell>
        </row>
        <row r="428">
          <cell r="B428" t="str">
            <v>=============</v>
          </cell>
        </row>
        <row r="429">
          <cell r="B429" t="str">
            <v>566100 BEIHILFEN</v>
          </cell>
        </row>
        <row r="431">
          <cell r="B431" t="str">
            <v>5.1 Summe Personalaufwand</v>
          </cell>
        </row>
        <row r="432">
          <cell r="B432" t="str">
            <v>=========================</v>
          </cell>
        </row>
        <row r="433">
          <cell r="B433" t="str">
            <v>5.2 Konzessionsabgabe</v>
          </cell>
        </row>
        <row r="434">
          <cell r="B434" t="str">
            <v>======================</v>
          </cell>
        </row>
        <row r="435">
          <cell r="B435" t="str">
            <v>590000 KONZESSIONSABGABE</v>
          </cell>
        </row>
        <row r="437">
          <cell r="B437" t="str">
            <v>5.3 Sonstige</v>
          </cell>
        </row>
        <row r="438">
          <cell r="B438" t="str">
            <v>============</v>
          </cell>
        </row>
        <row r="439">
          <cell r="B439" t="str">
            <v>Kraftstoffe</v>
          </cell>
        </row>
        <row r="440">
          <cell r="B440" t="str">
            <v>============</v>
          </cell>
        </row>
        <row r="441">
          <cell r="B441" t="str">
            <v>541500 KRAFTSTOFFE</v>
          </cell>
        </row>
        <row r="443">
          <cell r="B443" t="str">
            <v>Aufwendungen Einst. SoPo</v>
          </cell>
        </row>
        <row r="444">
          <cell r="B444" t="str">
            <v>========================</v>
          </cell>
        </row>
        <row r="445">
          <cell r="B445" t="str">
            <v>584000 ABSCHREIBUNGEN AUF FORDERUNGEN</v>
          </cell>
        </row>
        <row r="446">
          <cell r="B446" t="str">
            <v>I58200 VERLUSTE AUS ANLAGENABGÄNGEN</v>
          </cell>
        </row>
        <row r="447">
          <cell r="B447" t="str">
            <v>I58400 KORR.KTO. AFA AUF FORDERUNGEN</v>
          </cell>
        </row>
        <row r="449">
          <cell r="B449" t="str">
            <v>Mieten, Pachten</v>
          </cell>
        </row>
        <row r="450">
          <cell r="B450" t="str">
            <v>===============</v>
          </cell>
        </row>
        <row r="451">
          <cell r="B451" t="str">
            <v>591000 VERBANDSBEITRÄGE</v>
          </cell>
        </row>
        <row r="452">
          <cell r="B452" t="str">
            <v>591100 MIETEN, PACHTEN, ANNERKENNUNGSGEBÜHREN</v>
          </cell>
        </row>
        <row r="453">
          <cell r="B453" t="str">
            <v>591101 MIETEN UND LEASINGGEBÜHREN - EDV -</v>
          </cell>
        </row>
        <row r="454">
          <cell r="B454" t="str">
            <v>591102 MIETEN UND LEASINGGEBÜHREN - KFZ-FAHRZEUGE -</v>
          </cell>
        </row>
        <row r="455">
          <cell r="B455" t="str">
            <v>591105 MIETEN UND PACHTEN FÜR BEWEGLICHE WG</v>
          </cell>
        </row>
        <row r="456">
          <cell r="B456" t="str">
            <v>591107 MIETEN UND PACHTEN FÜR UNBEWEGLICHE WG</v>
          </cell>
        </row>
        <row r="457">
          <cell r="B457" t="str">
            <v>591200 ENTWÄSSERUNGS- UND MÜLLABFUHRGEBÜHREN</v>
          </cell>
        </row>
        <row r="458">
          <cell r="B458" t="str">
            <v>591300 BANKGEBÜHREN UND ÄHNLICHE AUFWENDUNGEN</v>
          </cell>
        </row>
        <row r="459">
          <cell r="B459" t="str">
            <v>591310 RÜCKBELASTUNGSKOSTEN DER BANKEN</v>
          </cell>
        </row>
        <row r="460">
          <cell r="B460" t="str">
            <v>591400 SONSTIGE ABGABEN</v>
          </cell>
        </row>
        <row r="461">
          <cell r="B461" t="str">
            <v>I59111 KORR.KTO. ZUM HGB EDV-LEASING</v>
          </cell>
        </row>
        <row r="463">
          <cell r="B463" t="str">
            <v>Versicherungen</v>
          </cell>
        </row>
        <row r="464">
          <cell r="B464" t="str">
            <v>==============</v>
          </cell>
        </row>
        <row r="465">
          <cell r="B465" t="str">
            <v>592000 VERSICHERUNGEN</v>
          </cell>
        </row>
        <row r="467">
          <cell r="B467" t="str">
            <v>Bürobedarf, Drucksachen</v>
          </cell>
        </row>
        <row r="468">
          <cell r="B468" t="str">
            <v>=======================</v>
          </cell>
        </row>
        <row r="469">
          <cell r="B469" t="str">
            <v>544600 DRUCKKOSTEN FÜR FORMULARE  UND ANDERE</v>
          </cell>
        </row>
        <row r="470">
          <cell r="B470" t="str">
            <v>593000 ABONNEMENTS FÜR ZEITSCHRIFTEN UND FACHBÜCHER</v>
          </cell>
        </row>
        <row r="471">
          <cell r="B471" t="str">
            <v>593100 BÜROMATERIAL</v>
          </cell>
        </row>
        <row r="473">
          <cell r="B473" t="str">
            <v>Postaufwand, Frachten</v>
          </cell>
        </row>
        <row r="474">
          <cell r="B474" t="str">
            <v>=====================</v>
          </cell>
        </row>
        <row r="475">
          <cell r="B475" t="str">
            <v>594000 POSTKOSTEN, FRACHTEN UND ÄHNLICHE AUFWENDUNGEN</v>
          </cell>
        </row>
        <row r="476">
          <cell r="B476" t="str">
            <v>594001 TELEFONGEBÜHREN</v>
          </cell>
        </row>
        <row r="477">
          <cell r="B477" t="str">
            <v>594002 HANDYGEBÜHREN</v>
          </cell>
        </row>
        <row r="479">
          <cell r="B479" t="str">
            <v>Werbung und Inserate</v>
          </cell>
        </row>
        <row r="480">
          <cell r="B480" t="str">
            <v>====================</v>
          </cell>
        </row>
        <row r="481">
          <cell r="B481" t="str">
            <v>595000 WERBUNGS- UND INSERATIONSKOSTEN</v>
          </cell>
        </row>
        <row r="483">
          <cell r="B483" t="str">
            <v>Reisekosten, Bewirtung</v>
          </cell>
        </row>
        <row r="484">
          <cell r="B484" t="str">
            <v>======================</v>
          </cell>
        </row>
        <row r="485">
          <cell r="B485" t="str">
            <v>596100 ABZUGSFÄHIGE AUSGABEN (GESCHENKE UNTER EURO 35,00)</v>
          </cell>
        </row>
        <row r="486">
          <cell r="B486" t="str">
            <v>596200 NICHT ABZUGSFÄHIGE AUSGABEN (GESCHENK ÜBER EURO 35</v>
          </cell>
        </row>
        <row r="487">
          <cell r="B487" t="str">
            <v>596300 ABZUGSFÄHIGE BEWIRTUNGSAUFWENDUNGEN</v>
          </cell>
        </row>
        <row r="488">
          <cell r="B488" t="str">
            <v>596400 NICHT ABZUGSFÄHIGE BEWIRTUNGSAUFWENDUNGEN</v>
          </cell>
        </row>
        <row r="489">
          <cell r="B489" t="str">
            <v>596401 BEWIRTUNGEN GESCHÄFTLICHER ANLASS (70% ABZUGSF)</v>
          </cell>
        </row>
        <row r="490">
          <cell r="B490" t="str">
            <v>596402 AUFSICHTSRATBEWIRTUNGEN (50% ABZUGSFÄHIG)</v>
          </cell>
        </row>
        <row r="491">
          <cell r="B491" t="str">
            <v>596500 REISEKOSTEN UND WEGSTRECKENENTSCHÄDIGUNG</v>
          </cell>
        </row>
        <row r="492">
          <cell r="B492" t="str">
            <v>596600 SEMINARGEBÜHREN</v>
          </cell>
        </row>
        <row r="494">
          <cell r="B494" t="str">
            <v>Andere Dienst- und Fremdleistung</v>
          </cell>
        </row>
        <row r="495">
          <cell r="B495" t="str">
            <v>================================</v>
          </cell>
        </row>
        <row r="496">
          <cell r="B496" t="str">
            <v>597000 BERATUNGSAUF., GUTACHTEN-, GERICHTS-, NOTARIATSKOS</v>
          </cell>
        </row>
        <row r="497">
          <cell r="B497" t="str">
            <v>597001 SONSTIGE FREMDLEISTUNGEN</v>
          </cell>
        </row>
        <row r="498">
          <cell r="B498" t="str">
            <v>597002 SONSTIGE FREMDLEISTUNGEN - ENERGIENETZE BRAUNSCHWE</v>
          </cell>
        </row>
        <row r="499">
          <cell r="B499" t="str">
            <v>597003 EDV-FREMDLEISTUNGEN</v>
          </cell>
        </row>
        <row r="500">
          <cell r="B500" t="str">
            <v>597045 SONSTIGE FREMDLEISTUNGEN - BVVAG -</v>
          </cell>
        </row>
        <row r="501">
          <cell r="B501" t="str">
            <v>597055 SONSTIGE FREMDLEISTUNGEN - STADTENTWÄSSERUNG BRAUN</v>
          </cell>
        </row>
        <row r="502">
          <cell r="B502" t="str">
            <v>597060 SONSTIGE FREMDLEISTUNGEN - VEOLIA KONZERN</v>
          </cell>
        </row>
        <row r="504">
          <cell r="B504" t="str">
            <v>Sonstige betriebliche Aufwendungen</v>
          </cell>
        </row>
        <row r="505">
          <cell r="B505" t="str">
            <v>==================================</v>
          </cell>
        </row>
        <row r="506">
          <cell r="B506" t="str">
            <v>544500 EDV-MATERIAL</v>
          </cell>
        </row>
        <row r="507">
          <cell r="B507" t="str">
            <v>597101 SONSTIGER MATERIALVERBRAUCH</v>
          </cell>
        </row>
        <row r="508">
          <cell r="B508" t="str">
            <v>597103 DIENST- UND SCHUTZKLEIDUNG</v>
          </cell>
        </row>
        <row r="509">
          <cell r="B509" t="str">
            <v>599400 PROVISIONEN</v>
          </cell>
        </row>
        <row r="510">
          <cell r="B510" t="str">
            <v>599500 ESSENGELDZUSCHUSS FUER AUSZUBILDENDE</v>
          </cell>
        </row>
        <row r="511">
          <cell r="B511" t="str">
            <v>599600 VERSCHIEDENE FREIWILLIGE LEISTUNGEN</v>
          </cell>
        </row>
        <row r="512">
          <cell r="B512" t="str">
            <v>599700 SPENDEN</v>
          </cell>
        </row>
        <row r="513">
          <cell r="B513" t="str">
            <v>599900 SONSTIGES</v>
          </cell>
        </row>
        <row r="514">
          <cell r="B514" t="str">
            <v>599901 AUFWAND AUS KASSENMINDERBESTAND</v>
          </cell>
        </row>
        <row r="515">
          <cell r="B515" t="str">
            <v>599960 SONSTIGE BETRIEBL. AUFWEND. - VEOLIA-KONZERN</v>
          </cell>
        </row>
        <row r="516">
          <cell r="B516" t="str">
            <v>722000 HANDLINGSKOSTEN FÜR SONSTIGE BETR. AUFWENDUNGEN</v>
          </cell>
        </row>
        <row r="517">
          <cell r="B517" t="str">
            <v>I59990 KORR.KTO. SONSTIGES</v>
          </cell>
        </row>
        <row r="519">
          <cell r="B519" t="str">
            <v>5.3 Summe Sonstige</v>
          </cell>
        </row>
        <row r="520">
          <cell r="B520" t="str">
            <v>===================</v>
          </cell>
        </row>
        <row r="521">
          <cell r="B521" t="str">
            <v>5.4 Sonstige Steuern</v>
          </cell>
        </row>
        <row r="522">
          <cell r="B522" t="str">
            <v>====================</v>
          </cell>
        </row>
        <row r="523">
          <cell r="B523" t="str">
            <v>Steuern vom Vermögen</v>
          </cell>
        </row>
        <row r="524">
          <cell r="B524" t="str">
            <v>====================</v>
          </cell>
        </row>
        <row r="525">
          <cell r="B525" t="str">
            <v>680200 GRUNDSTEUER</v>
          </cell>
        </row>
        <row r="527">
          <cell r="B527" t="str">
            <v>Sonstige Steuern</v>
          </cell>
        </row>
        <row r="528">
          <cell r="B528" t="str">
            <v>================</v>
          </cell>
        </row>
        <row r="529">
          <cell r="B529" t="str">
            <v>681000 KRAFTFAHRZEUGSTEUER</v>
          </cell>
        </row>
        <row r="530">
          <cell r="B530" t="str">
            <v>681100 SONSTIGE STEUERN</v>
          </cell>
        </row>
        <row r="532">
          <cell r="B532" t="str">
            <v>5.4 Summe Sonstige Steuern</v>
          </cell>
        </row>
        <row r="533">
          <cell r="B533" t="str">
            <v>==========================</v>
          </cell>
        </row>
        <row r="534">
          <cell r="B534" t="str">
            <v>5. Summe Operativer Aufwand</v>
          </cell>
        </row>
        <row r="535">
          <cell r="B535" t="str">
            <v>===========================</v>
          </cell>
        </row>
        <row r="536">
          <cell r="B536" t="str">
            <v>6.EBITDA</v>
          </cell>
        </row>
        <row r="537">
          <cell r="B537" t="str">
            <v>(Ergebnis vor Zinsen, Steuern, Abschreibung)</v>
          </cell>
        </row>
        <row r="538">
          <cell r="B538" t="str">
            <v>=============================================</v>
          </cell>
        </row>
        <row r="539">
          <cell r="B539" t="str">
            <v>7. Abschreibungen</v>
          </cell>
        </row>
        <row r="540">
          <cell r="B540" t="str">
            <v>==================</v>
          </cell>
        </row>
        <row r="541">
          <cell r="B541" t="str">
            <v>I57050 ABSCHREIBUNG LEASINGVERMÖGEN IFRS</v>
          </cell>
        </row>
        <row r="542">
          <cell r="B542" t="str">
            <v>I57100 ABSCHREIBUNG ANLAGEVERMÖGEN IFRS</v>
          </cell>
        </row>
        <row r="543">
          <cell r="B543" t="str">
            <v>I57101 AUFWERTUNG ANLAGEVERMÖGEN IFRS</v>
          </cell>
        </row>
        <row r="544">
          <cell r="B544" t="str">
            <v>I57102 ABSCHREIBUNG ANLAGEVERMÖGEN IFRIC 12</v>
          </cell>
        </row>
        <row r="545">
          <cell r="B545" t="str">
            <v>7. Summe Abschreibungen</v>
          </cell>
        </row>
        <row r="546">
          <cell r="B546" t="str">
            <v>========================</v>
          </cell>
        </row>
        <row r="547">
          <cell r="B547" t="str">
            <v>8. EBIT (Ergebnis vor Zinsen, Steuern)</v>
          </cell>
        </row>
        <row r="548">
          <cell r="B548" t="str">
            <v>=======================================</v>
          </cell>
        </row>
        <row r="549">
          <cell r="B549" t="str">
            <v>9. Beteiligungsergebnis</v>
          </cell>
        </row>
        <row r="550">
          <cell r="B550" t="str">
            <v>=======================</v>
          </cell>
        </row>
        <row r="551">
          <cell r="B551" t="str">
            <v>Erträge aus Beteiligungen</v>
          </cell>
        </row>
        <row r="552">
          <cell r="B552" t="str">
            <v>=========================</v>
          </cell>
        </row>
        <row r="553">
          <cell r="B553" t="str">
            <v>600110 GEWINNABFUEHRUNG KRAFTWERK MEHRUM GMBH</v>
          </cell>
        </row>
        <row r="554">
          <cell r="B554" t="str">
            <v>602000 DIVIDENDENAUSSCHÜTTUNG AUS BETEILIGUNGEN</v>
          </cell>
        </row>
        <row r="555">
          <cell r="B555" t="str">
            <v>Summe Erträge aus Beteiligungen</v>
          </cell>
        </row>
        <row r="556">
          <cell r="B556" t="str">
            <v>===============================</v>
          </cell>
        </row>
        <row r="557">
          <cell r="B557" t="str">
            <v>Erträge aus anderen Wertpapieren</v>
          </cell>
        </row>
        <row r="558">
          <cell r="B558" t="str">
            <v>================================</v>
          </cell>
        </row>
        <row r="559">
          <cell r="B559" t="str">
            <v>611100 DIVIDENDE HASTRA/VEBA</v>
          </cell>
        </row>
        <row r="560">
          <cell r="B560" t="str">
            <v>611300 ZINSERTRÄGE AUS  AUSLEIHUNGEN</v>
          </cell>
        </row>
        <row r="561">
          <cell r="B561" t="str">
            <v>621300 ZINSERTRÄGE AUS GEGEBENEN BAUDARLEHEN AN MITARB.</v>
          </cell>
        </row>
        <row r="563">
          <cell r="B563" t="str">
            <v>Abschreibung Finanzanlagen</v>
          </cell>
        </row>
        <row r="564">
          <cell r="B564" t="str">
            <v>==========================</v>
          </cell>
        </row>
        <row r="565">
          <cell r="B565" t="str">
            <v>630000 ABSCHREIBUNGEN AUF FINANZANLAGEN</v>
          </cell>
        </row>
        <row r="566">
          <cell r="B566" t="str">
            <v>I63000 ABSCHREIBUNGEN AUF FINANZANLAGEN</v>
          </cell>
        </row>
        <row r="568">
          <cell r="B568" t="str">
            <v>9. Summe Beteiligungsergebnis</v>
          </cell>
        </row>
        <row r="569">
          <cell r="B569" t="str">
            <v>=============================</v>
          </cell>
        </row>
        <row r="570">
          <cell r="B570" t="str">
            <v>10. Zinsergebnis</v>
          </cell>
        </row>
        <row r="571">
          <cell r="B571" t="str">
            <v>================</v>
          </cell>
        </row>
        <row r="572">
          <cell r="B572" t="str">
            <v>Sonstige Zinsen u. ähnliche Erträge</v>
          </cell>
        </row>
        <row r="573">
          <cell r="B573" t="str">
            <v>===================================</v>
          </cell>
        </row>
        <row r="574">
          <cell r="B574" t="str">
            <v>620155 ZINSERTRAG SEBS AUS GESELLSCHAFTERDARLEHEN</v>
          </cell>
        </row>
        <row r="575">
          <cell r="B575" t="str">
            <v>620260 ZINSERTRAG VEOLIA AUS CASHPOOLING - BS ENERGY -</v>
          </cell>
        </row>
        <row r="576">
          <cell r="B576" t="str">
            <v>621000 ZINSERTRÄGE AUS BANKGUTHABEN</v>
          </cell>
        </row>
        <row r="577">
          <cell r="B577" t="str">
            <v>621200 VERZUGSZINSEN VON KUNDEN</v>
          </cell>
        </row>
        <row r="578">
          <cell r="B578" t="str">
            <v>621900 SONSTIGE ZINSERTRÄGE</v>
          </cell>
        </row>
        <row r="579">
          <cell r="B579" t="str">
            <v>I65301 ABGEZINSTE RÜCKSTELLUNGEN</v>
          </cell>
        </row>
        <row r="581">
          <cell r="B581" t="str">
            <v>Zinsen und ähnliche Aufwendungen</v>
          </cell>
        </row>
        <row r="582">
          <cell r="B582" t="str">
            <v>================================</v>
          </cell>
        </row>
        <row r="583">
          <cell r="B583" t="str">
            <v>650020 ZINSAUFWAND ENBS AUS CASHPOOLING</v>
          </cell>
        </row>
        <row r="584">
          <cell r="B584" t="str">
            <v>650120 ZINSAUFWAND STADTWERKE THALE  AUS CASHPOOLING</v>
          </cell>
        </row>
        <row r="585">
          <cell r="B585" t="str">
            <v>650155 ZINSAUFWAND SEBS AUS CASHPOOLING</v>
          </cell>
        </row>
        <row r="586">
          <cell r="B586" t="str">
            <v>650159 ZINSEN BS|ENERGY NETZ GMBH - CASHPOOLING -</v>
          </cell>
        </row>
        <row r="587">
          <cell r="B587" t="str">
            <v>651000 ANDERE ZINSEN UND ÄHNLICHE AUFWENDUNGEN</v>
          </cell>
        </row>
        <row r="588">
          <cell r="B588" t="str">
            <v>I65100 ANDERE ZINSEN UND ÄHNLICHE AUFWENDUNGEN</v>
          </cell>
        </row>
        <row r="589">
          <cell r="B589" t="str">
            <v>I65300 INTEREST COST IAS19 PL2270</v>
          </cell>
        </row>
        <row r="591">
          <cell r="B591" t="str">
            <v>10. Summe Zinsergebnis</v>
          </cell>
        </row>
        <row r="592">
          <cell r="B592" t="str">
            <v>=======================</v>
          </cell>
        </row>
        <row r="593">
          <cell r="B593" t="str">
            <v>12. Steuern</v>
          </cell>
        </row>
        <row r="594">
          <cell r="B594" t="str">
            <v>============</v>
          </cell>
        </row>
        <row r="595">
          <cell r="B595" t="str">
            <v>Steuern vom Einkommen und Ertrag</v>
          </cell>
        </row>
        <row r="596">
          <cell r="B596" t="str">
            <v>================================</v>
          </cell>
        </row>
        <row r="597">
          <cell r="B597" t="str">
            <v>670100 GEWERBEERTRAGSTEUER</v>
          </cell>
        </row>
        <row r="598">
          <cell r="B598" t="str">
            <v>I67101 LATENTER STEUERERTRAG IFRIC 12</v>
          </cell>
        </row>
        <row r="599">
          <cell r="B599" t="str">
            <v>I67102 LATENTER STEUERERTRAG FINANZINSTRUMENTE/ VPP</v>
          </cell>
        </row>
        <row r="600">
          <cell r="B600" t="str">
            <v>I67200 LATENTER STEUERAUFWAND SONSTIGER</v>
          </cell>
        </row>
        <row r="602">
          <cell r="B602" t="str">
            <v>12. Summe Steuern</v>
          </cell>
        </row>
        <row r="603">
          <cell r="B603" t="str">
            <v>===================</v>
          </cell>
        </row>
        <row r="604">
          <cell r="B604" t="str">
            <v>13. Periodenüberschuss</v>
          </cell>
        </row>
        <row r="605">
          <cell r="B605" t="str">
            <v>=======================</v>
          </cell>
        </row>
        <row r="606">
          <cell r="B606" t="str">
            <v>Gewinn aus GuV</v>
          </cell>
        </row>
        <row r="607">
          <cell r="B607" t="str">
            <v>Bilanzergebnis (einschl. Anhang)</v>
          </cell>
        </row>
        <row r="608">
          <cell r="B608" t="str">
            <v>Ergebnis aus Anhang</v>
          </cell>
        </row>
        <row r="609">
          <cell r="B609" t="str">
            <v>Nicht zugeordnete Konten</v>
          </cell>
        </row>
        <row r="610">
          <cell r="B610" t="str">
            <v>========================</v>
          </cell>
        </row>
        <row r="611">
          <cell r="B611" t="str">
            <v>766500 VERRECHNUNGSKONTO FÜR DEPUTATE</v>
          </cell>
        </row>
        <row r="612">
          <cell r="B612" t="str">
            <v>010000 KONZESSIONEN,GEWERBL.SCHUTZRECHTE U.ÄHNL.RECHTE</v>
          </cell>
        </row>
        <row r="613">
          <cell r="B613" t="str">
            <v>010900 WB ZU KONZESSIONEN U.A.IMMATERIELLE ANLAGENWERTE</v>
          </cell>
        </row>
        <row r="614">
          <cell r="B614" t="str">
            <v>020000 GRDST.U.GRDSTGL.RECHTE M.GESCHÄFTS-BETR-U.A.BAUT.</v>
          </cell>
        </row>
        <row r="615">
          <cell r="B615" t="str">
            <v>020900 WB ZU GRDST.U.GRDSTGL.RECHTE M.GESCHÄFTS-BETRIEB.</v>
          </cell>
        </row>
        <row r="616">
          <cell r="B616" t="str">
            <v>023000 GRDSTUECKE U.GRDSTGLEICHE RECHTE OHNE BAUTEN</v>
          </cell>
        </row>
        <row r="617">
          <cell r="B617" t="str">
            <v>024000 BAUTEN AUF FREMDEN GRUNDSTÜCKEN</v>
          </cell>
        </row>
        <row r="618">
          <cell r="B618" t="str">
            <v>024900 WB ZU BAUTEN AUF FREMDEN GRUNDSTÜCKEN</v>
          </cell>
        </row>
        <row r="619">
          <cell r="B619" t="str">
            <v>040000 ERZEUGUNGS-,GEWINNUNGS-U.BEZUGSANLAGEN</v>
          </cell>
        </row>
        <row r="620">
          <cell r="B620" t="str">
            <v>040100 GWG GEWINNUNGS-ERZEUGUNGS-U.BEZUGSANLAGEN</v>
          </cell>
        </row>
        <row r="621">
          <cell r="B621" t="str">
            <v>040900 WB ZU ERZEUGUNGS-,GEWINNUNGS-U.BEZUGSANLAGEN</v>
          </cell>
        </row>
        <row r="622">
          <cell r="B622" t="str">
            <v>044000 UMSPANNUNGS-,SPEICHERUNGS-U.DRUCKREGELANLAGEN</v>
          </cell>
        </row>
        <row r="623">
          <cell r="B623" t="str">
            <v>044900 WB ZU UMSPANNUNGS-SPEICHER.-U.DRUCKREGELUNGSANL.</v>
          </cell>
        </row>
        <row r="624">
          <cell r="B624" t="str">
            <v>045000 LEITUNGSNETZ UND HAUSANSCHLUESSE</v>
          </cell>
        </row>
        <row r="625">
          <cell r="B625" t="str">
            <v>045900 WB ZU LEITUNGSNETZ UND HAUSANSCHLÜSSE</v>
          </cell>
        </row>
        <row r="626">
          <cell r="B626" t="str">
            <v>046000 ZAEHLER</v>
          </cell>
        </row>
        <row r="627">
          <cell r="B627" t="str">
            <v>046100 GERINGWERTIGE WIRTSCHAFTSGÜTER (ZÄHLER)</v>
          </cell>
        </row>
        <row r="628">
          <cell r="B628" t="str">
            <v>046900 WB AUF ZÄHLERN</v>
          </cell>
        </row>
        <row r="629">
          <cell r="B629" t="str">
            <v>071000 BETRIEBS-UND GESCHÄFTSAUSSTATTUNG</v>
          </cell>
        </row>
        <row r="630">
          <cell r="B630" t="str">
            <v>071100 GWG (BETRIEBS-U.GESCHÄFTSAUSSTATTUNG)</v>
          </cell>
        </row>
        <row r="631">
          <cell r="B631" t="str">
            <v>071900 WB ZU BETRIEBS-UND GESCHÄFTSAUSSTATTUNG</v>
          </cell>
        </row>
        <row r="632">
          <cell r="B632" t="str">
            <v>081000 ANLAGEN IM BAU</v>
          </cell>
        </row>
        <row r="633">
          <cell r="B633" t="str">
            <v>090500 STADTENTWÄSSERUNG BRAUNSCHWEIG GMBH</v>
          </cell>
        </row>
        <row r="634">
          <cell r="B634" t="str">
            <v>090900 STADTWERKE PULHEIM DIENSTE GMBH</v>
          </cell>
        </row>
        <row r="635">
          <cell r="B635" t="str">
            <v>090910 STADTWERKE PULHEIM VERTRIEB GMBH</v>
          </cell>
        </row>
        <row r="636">
          <cell r="B636" t="str">
            <v>090920 STADTWERKE PULHEIM NETZ GMBH</v>
          </cell>
        </row>
        <row r="637">
          <cell r="B637" t="str">
            <v>094900 SONSTIGE WERTPAPIERE</v>
          </cell>
        </row>
        <row r="638">
          <cell r="B638" t="str">
            <v>095300 VERZINSLICHE BAUDARLEHEN AN MITARBEITER</v>
          </cell>
        </row>
        <row r="639">
          <cell r="B639" t="str">
            <v>110000 BRENNSTOFFE HEIZÖL</v>
          </cell>
        </row>
        <row r="640">
          <cell r="B640" t="str">
            <v>110005 BRENNSTOFFE HEIZÖL (MANUELL)</v>
          </cell>
        </row>
        <row r="641">
          <cell r="B641" t="str">
            <v>110010 BRENNSTOFFE KOHLE</v>
          </cell>
        </row>
        <row r="642">
          <cell r="B642" t="str">
            <v>110015 BRENNSTOFFE KOHLE (SCHÄTZUNG)</v>
          </cell>
        </row>
        <row r="643">
          <cell r="B643" t="str">
            <v>110020 EMISSIONSRECHTE</v>
          </cell>
        </row>
        <row r="644">
          <cell r="B644" t="str">
            <v>110100 TANKSTELLE VERSORGUNGS-AG</v>
          </cell>
        </row>
        <row r="645">
          <cell r="B645" t="str">
            <v>110200 ZENTRALLAGER TAUBENSTR</v>
          </cell>
        </row>
        <row r="646">
          <cell r="B646" t="str">
            <v>110220 ERSATZTEILE</v>
          </cell>
        </row>
        <row r="647">
          <cell r="B647" t="str">
            <v>110270 LAGER SPRINGE</v>
          </cell>
        </row>
        <row r="648">
          <cell r="B648" t="str">
            <v>110280 INVENTURDIFFERENZKONTO INVENT III</v>
          </cell>
        </row>
        <row r="649">
          <cell r="B649" t="str">
            <v>110300 BELEUCHTUNGSMATERIAL KÖTHEN</v>
          </cell>
        </row>
        <row r="650">
          <cell r="B650" t="str">
            <v>110500 BÜROMATERIAL</v>
          </cell>
        </row>
        <row r="651">
          <cell r="B651" t="str">
            <v>110520 DIENST UND SCHUTZKLEIDUNG</v>
          </cell>
        </row>
        <row r="652">
          <cell r="B652" t="str">
            <v>110540 EDV-MATERIAL</v>
          </cell>
        </row>
        <row r="653">
          <cell r="B653" t="str">
            <v>111000 NOCH NICHT ABGERECHNETE AUFTRÄGE</v>
          </cell>
        </row>
        <row r="654">
          <cell r="B654" t="str">
            <v>112000 GAS-U.WASSERVORRÄTE IN DEN BEHÄLTERN</v>
          </cell>
        </row>
        <row r="655">
          <cell r="B655" t="str">
            <v>120001 FORDERUNGEN STROMVERK. ALLGEMEINE TARIFE</v>
          </cell>
        </row>
        <row r="656">
          <cell r="B656" t="str">
            <v>120002 FORDERUNGEN STROMVERK. SONDERTARIF O. LM</v>
          </cell>
        </row>
        <row r="657">
          <cell r="B657" t="str">
            <v>120003 FORDERUNGEN STROMVERK. INDIVIDUALTARIF MONATl NS</v>
          </cell>
        </row>
        <row r="658">
          <cell r="B658" t="str">
            <v>120004 FORDERUNGEN STROMVERK. INDIVIDUALTARIF MONATl MS</v>
          </cell>
        </row>
        <row r="659">
          <cell r="B659" t="str">
            <v>120008 FORDERUNGEN STROMVERK. BEISTELLUNG/KOOPERATION</v>
          </cell>
        </row>
        <row r="660">
          <cell r="B660" t="str">
            <v>120010 FORDERUNGEN STROMVERK. INDIVIDUALTARIF JÄHRL. NS</v>
          </cell>
        </row>
        <row r="661">
          <cell r="B661" t="str">
            <v>120012 FORDERUNGEN STROMVERK. SONDERTARIF O. LM</v>
          </cell>
        </row>
        <row r="662">
          <cell r="B662" t="str">
            <v>120013 FORDERUNGEN STROMVERK. INDIVIDUALTARIF MONATl NS</v>
          </cell>
        </row>
        <row r="663">
          <cell r="B663" t="str">
            <v>120014 FORDERUNGEN STROMVERK. INDIVIDUALTARIF MONATl MS</v>
          </cell>
        </row>
        <row r="664">
          <cell r="B664" t="str">
            <v>120019 FORDERUNGEN STROMVERK. INDIVIDUALTARIF o. LM</v>
          </cell>
        </row>
        <row r="665">
          <cell r="B665" t="str">
            <v>120020 FORDERUNGEN STROMVERK. INDIVIDUALTARIF JÄHRL. NS</v>
          </cell>
        </row>
        <row r="666">
          <cell r="B666" t="str">
            <v>120022 FORDERUNGEN STROMVERK. SONDERKUNDEN O. LM</v>
          </cell>
        </row>
        <row r="667">
          <cell r="B667" t="str">
            <v>120023 FORDERUNGEN STROMVERK. SONDERK. M. LM MONATL. NS</v>
          </cell>
        </row>
        <row r="668">
          <cell r="B668" t="str">
            <v>120024 FORDERUNGEN STROMVERK. SONDERK. M. LM MONATL. MS</v>
          </cell>
        </row>
        <row r="669">
          <cell r="B669" t="str">
            <v>120026 FORDERUNGEN STROMVERK. SONDERK. M. LM JÄHRL. NS</v>
          </cell>
        </row>
        <row r="670">
          <cell r="B670" t="str">
            <v>120030 FORDERUNGEN STROMVERK. NETZNUTZUNG NS OHNE LM</v>
          </cell>
        </row>
        <row r="671">
          <cell r="B671" t="str">
            <v>120033 FORDERUNGEN STROMVERK. BS NACHTSPEICHERHEIZUNG</v>
          </cell>
        </row>
        <row r="672">
          <cell r="B672" t="str">
            <v>120034 FORDERUNGEN STROMVERK. BTO-KUNDEN</v>
          </cell>
        </row>
        <row r="673">
          <cell r="B673" t="str">
            <v>120180 FORDERUNGEN STROMVERK. EIGENVERBRAUCH</v>
          </cell>
        </row>
        <row r="674">
          <cell r="B674" t="str">
            <v>120201 FORDERUNGEN GASVERKAUF ALLGEMEINER TARIF</v>
          </cell>
        </row>
        <row r="675">
          <cell r="B675" t="str">
            <v>120202 FORDERUNGEN GASVERKAUF GROßKUNDEN SONDERVERTRÄGE</v>
          </cell>
        </row>
        <row r="676">
          <cell r="B676" t="str">
            <v>120204 FORDERUNGEN GASVERKAUF -BRAUEREIEN-</v>
          </cell>
        </row>
        <row r="677">
          <cell r="B677" t="str">
            <v>120205 FORDERUNGEN GASVERKAUF -WOHNUNGSBAUGESELLSCH.-</v>
          </cell>
        </row>
        <row r="678">
          <cell r="B678" t="str">
            <v>120206 FORDERUNGEN GASVERKAUF VW-WERKE 2-3</v>
          </cell>
        </row>
        <row r="679">
          <cell r="B679" t="str">
            <v>120211 FORDERUNGEN GASVERKAUF-OOA - SONDERTARIFE</v>
          </cell>
        </row>
        <row r="680">
          <cell r="B680" t="str">
            <v>120212 FORDERUNGEN GASVERKAUF-OOA - STW ENERGIELIEFERUNGE</v>
          </cell>
        </row>
        <row r="681">
          <cell r="B681" t="str">
            <v>120280 FORDERUNGEN GASVERKAUF EIGENVERBRAUCH</v>
          </cell>
        </row>
        <row r="682">
          <cell r="B682" t="str">
            <v>120282 FORDERUNGEN GAS EIGENVERBRAUCH GASTANKSTELLEN</v>
          </cell>
        </row>
        <row r="683">
          <cell r="B683" t="str">
            <v>120301 FORDERUNGEN WASSERVERKAUF ALLGEMEINER TARIF</v>
          </cell>
        </row>
        <row r="684">
          <cell r="B684" t="str">
            <v>120302 FORDERUNGEN WASSERVERKAUF SONDERKUNDEN</v>
          </cell>
        </row>
        <row r="685">
          <cell r="B685" t="str">
            <v>120303 FORDERUNGEN WASSERVERKAUF WV WEDDEL/LEHRE</v>
          </cell>
        </row>
        <row r="686">
          <cell r="B686" t="str">
            <v>120304 FORDERUNGEN WASSERVERKAUF WV PEINE</v>
          </cell>
        </row>
        <row r="687">
          <cell r="B687" t="str">
            <v>120305 FORDERUNGEN WASSER KUNDEN HARXBÜTTEL+STEINHOF</v>
          </cell>
        </row>
        <row r="688">
          <cell r="B688" t="str">
            <v>120380 FORDERUNGEN WASSERVERKAUF EIGENVERBRAUCH</v>
          </cell>
        </row>
        <row r="689">
          <cell r="B689" t="str">
            <v>120381 FORDERUNGEN GAS EIGENVERBRAUCH CONTRACTING</v>
          </cell>
        </row>
        <row r="690">
          <cell r="B690" t="str">
            <v>120390 FORDERUNGEN AUS NIEDERSCHLAGSWASSER</v>
          </cell>
        </row>
        <row r="691">
          <cell r="B691" t="str">
            <v>120391 FORDERUNGEN SCHMUTZWASSER</v>
          </cell>
        </row>
        <row r="692">
          <cell r="B692" t="str">
            <v>120401 FORDERUNGEN WÄRMEVERKAUF &lt; 78 KW AW</v>
          </cell>
        </row>
        <row r="693">
          <cell r="B693" t="str">
            <v>120402 FORDERUNGEN WÄRMEVERKAUF &gt; 78 KW AW</v>
          </cell>
        </row>
        <row r="694">
          <cell r="B694" t="str">
            <v>120403 FORDERUNGEN WÄRMEVERKAUF SONDERKUNDEN</v>
          </cell>
        </row>
        <row r="695">
          <cell r="B695" t="str">
            <v>120404 FORDERUNGEN WÄRMEVERKAUF DAMPF (MIAG)</v>
          </cell>
        </row>
        <row r="696">
          <cell r="B696" t="str">
            <v>120405 FORDERUNGEN WÄRMEVERKAUF WDS-ANLAGEN</v>
          </cell>
        </row>
        <row r="697">
          <cell r="B697" t="str">
            <v>120407 FORDERUNGEN WÄRMEVERKAUF VW-WERK 2 UND VW-BANK</v>
          </cell>
        </row>
        <row r="698">
          <cell r="B698" t="str">
            <v>120480 FORDERUNGEN WÄRMEVERKAUF EIGENVERBRAUCH</v>
          </cell>
        </row>
        <row r="699">
          <cell r="B699" t="str">
            <v>120503 FORDERUNGEN STROMVERKAUF STROMHANDEL</v>
          </cell>
        </row>
        <row r="700">
          <cell r="B700" t="str">
            <v>120504 FORDERUNGEN STROMVERKAUF STROMHANDEL EU-AUSLAND</v>
          </cell>
        </row>
        <row r="701">
          <cell r="B701" t="str">
            <v>120520 FORDERUNGEN AUS GASHANDEL INNERHALB D</v>
          </cell>
        </row>
        <row r="702">
          <cell r="B702" t="str">
            <v>120940 FORDERUNGEN WÄRME CONTRACTING - INNERHALB BS</v>
          </cell>
        </row>
        <row r="703">
          <cell r="B703" t="str">
            <v>120941 FORDERUNGEN WÄRME CONTRACTING - AUßERHALB BS</v>
          </cell>
        </row>
        <row r="704">
          <cell r="B704" t="str">
            <v>121000 ENERGIE-WASSER-U.FERNWÄRMEVERKAUF (EDV)</v>
          </cell>
        </row>
        <row r="705">
          <cell r="B705" t="str">
            <v>121001 ENERGIE-WASSER-U.FERNWÄRMEVERKAUF (MANUELL)</v>
          </cell>
        </row>
        <row r="706">
          <cell r="B706" t="str">
            <v>121301 ABGRENZUNG ALLGEMEINER TARIF BS NS JÄHRLICH</v>
          </cell>
        </row>
        <row r="707">
          <cell r="B707" t="str">
            <v>121302 ABGRENZUNG SONDERTARIF BS NS JÄHRLICH</v>
          </cell>
        </row>
        <row r="708">
          <cell r="B708" t="str">
            <v>121303 ABGRENZUNG INDIVIDUALTARIF BS NS MONATLICH</v>
          </cell>
        </row>
        <row r="709">
          <cell r="B709" t="str">
            <v>121304 ABGRENZUNG INDIVIDUALTARIF BS MS MONATLICH</v>
          </cell>
        </row>
        <row r="710">
          <cell r="B710" t="str">
            <v>121307 ABGRENZUNG KOOPERATION</v>
          </cell>
        </row>
        <row r="711">
          <cell r="B711" t="str">
            <v>121308 ABGRENZUNG INDIVIDUALTARIF BS MS JÄHRLICH</v>
          </cell>
        </row>
        <row r="712">
          <cell r="B712" t="str">
            <v>121309 ABGRENZUNG INDIVIDUALTARIF BS NS JÄHRLICH</v>
          </cell>
        </row>
        <row r="713">
          <cell r="B713" t="str">
            <v>121312 ABGRENZUNG SONDERTARIF BUNDESWEIT NS JÄHRLICH</v>
          </cell>
        </row>
        <row r="714">
          <cell r="B714" t="str">
            <v>121313 ABGRENZUNG INDIVIDUALTARIF BUNDESWEIT NS MONATLICH</v>
          </cell>
        </row>
        <row r="715">
          <cell r="B715" t="str">
            <v>121314 ABGRENZUNG INDIVIDUALTARIF BUNDESWEIT MS MONATLICH</v>
          </cell>
        </row>
        <row r="716">
          <cell r="B716" t="str">
            <v>121315 ABGRENZUNG INDIVIDUALTARIF BUNDEWEIT MS JÄHRLICH</v>
          </cell>
        </row>
        <row r="717">
          <cell r="B717" t="str">
            <v>121316 ABGRENZUNG BUNDESWEIT NS JÄHRLICH</v>
          </cell>
        </row>
        <row r="718">
          <cell r="B718" t="str">
            <v>121317 ABGRENZUNG STROMVERK.  EIGENVERBRAUCH</v>
          </cell>
        </row>
        <row r="719">
          <cell r="B719" t="str">
            <v>121318 ABGRENZUNG GAS ALLGEMEINER TARIF</v>
          </cell>
        </row>
        <row r="720">
          <cell r="B720" t="str">
            <v>121319 ABGRENZUNG GAS GROSSKUNDEN MIT SONDERVERTRÄGEN</v>
          </cell>
        </row>
        <row r="721">
          <cell r="B721" t="str">
            <v>121320 ABGRENZUNG GAS VW</v>
          </cell>
        </row>
        <row r="722">
          <cell r="B722" t="str">
            <v>121321 ABGRENZUNG GAS EIGENVERBRAUCH</v>
          </cell>
        </row>
        <row r="723">
          <cell r="B723" t="str">
            <v>121322 ABGRENZUNG WÄRMEVERKAUF &lt; 78 KW AW</v>
          </cell>
        </row>
        <row r="724">
          <cell r="B724" t="str">
            <v>121323 ABGRENZUNG WÄRMEVERKAUF &gt; 78 KW AW</v>
          </cell>
        </row>
        <row r="725">
          <cell r="B725" t="str">
            <v>121324 ABGRENZUNG WÄRMEVERKAUF SONDERKUNDEN</v>
          </cell>
        </row>
        <row r="726">
          <cell r="B726" t="str">
            <v>121325 ABGRENZUNG WÄRMEVERKAUF DAMPF (MIAG)</v>
          </cell>
        </row>
        <row r="727">
          <cell r="B727" t="str">
            <v>121326 ABGRENZUNG WÄRMEVERKAUF WDS-ANLAGEN</v>
          </cell>
        </row>
        <row r="728">
          <cell r="B728" t="str">
            <v>121327 ABGRENZUNG WÄRMEVERKAUF EIGENVERBRAUCH</v>
          </cell>
        </row>
        <row r="729">
          <cell r="B729" t="str">
            <v>121328 ABGRENZUNG WASSER ALLGEMEINER TARIF</v>
          </cell>
        </row>
        <row r="730">
          <cell r="B730" t="str">
            <v>121329 ABGRENZUNG WASSER SONDERKUNDEN</v>
          </cell>
        </row>
        <row r="731">
          <cell r="B731" t="str">
            <v>121330 ABGRENZUNG WASSER WV WEDDEL/LEHRE</v>
          </cell>
        </row>
        <row r="732">
          <cell r="B732" t="str">
            <v>121331 ABGRENZUNG WASSER WV PEINE</v>
          </cell>
        </row>
        <row r="733">
          <cell r="B733" t="str">
            <v>121332 ABGRENZUNG WASSER EIGENVERBRAUCH</v>
          </cell>
        </row>
        <row r="734">
          <cell r="B734" t="str">
            <v>121333 ABGRENZUNG INDIVIDUALTARIF MS JÄHRLICH</v>
          </cell>
        </row>
        <row r="735">
          <cell r="B735" t="str">
            <v>121338 ABGRENZUNG BS NACHTSPEICHERHEIZUNG</v>
          </cell>
        </row>
        <row r="736">
          <cell r="B736" t="str">
            <v>121339 ABGRENZUNG STROM BS BTO-KUNDEN</v>
          </cell>
        </row>
        <row r="737">
          <cell r="B737" t="str">
            <v>121340 ABGRENZUNG FERNWÄRME VW-WERK 1</v>
          </cell>
        </row>
        <row r="738">
          <cell r="B738" t="str">
            <v>121341 ABGRENZUNG FERNWÄRME VW-WERK 2 UND VW-BANK</v>
          </cell>
        </row>
        <row r="739">
          <cell r="B739" t="str">
            <v>121342 ABGRENZUNG GASERLÖSE -BRAUEREIEN-</v>
          </cell>
        </row>
        <row r="740">
          <cell r="B740" t="str">
            <v>121343 ABGRENZUNG GASERLÖSE -WOHNUNGSBAUGESELLSCHAFTEN-</v>
          </cell>
        </row>
        <row r="741">
          <cell r="B741" t="str">
            <v>121344 ABGRENZUNG GASERLÖSE -GASTANKSTELLEN-</v>
          </cell>
        </row>
        <row r="742">
          <cell r="B742" t="str">
            <v>121345 ABGRENZUNG WASSERERLÖSE KUNDEN HARXBÜTTEL+STEINHOF</v>
          </cell>
        </row>
        <row r="743">
          <cell r="B743" t="str">
            <v>121347 ABGRENZUNG STROM CONTRACTING - INNERHALB BS</v>
          </cell>
        </row>
        <row r="744">
          <cell r="B744" t="str">
            <v>121349 ABGRENZUNG WÄRME CONTRACTING - INNERHALB BS</v>
          </cell>
        </row>
        <row r="745">
          <cell r="B745" t="str">
            <v>121350 ABGRENZUNG WÄRME CONTRACTING - AUßERHALB BS</v>
          </cell>
        </row>
        <row r="746">
          <cell r="B746" t="str">
            <v>121351 ABGRENZUNG STROMVERKAUF EEG</v>
          </cell>
        </row>
        <row r="747">
          <cell r="B747" t="str">
            <v>121353 ABGRENZUNG STROMVERKAUF STROMHANDEL</v>
          </cell>
        </row>
        <row r="748">
          <cell r="B748" t="str">
            <v>121355 ABGRENZUNG GASERLÖSE EIGENVERBRAUCH CONTRACTING</v>
          </cell>
        </row>
        <row r="749">
          <cell r="B749" t="str">
            <v>121356 ABGRENZUNG GASERLÖSE -VW WERKE 2-3 -</v>
          </cell>
        </row>
        <row r="750">
          <cell r="B750" t="str">
            <v>121357 ABGRENZUNG STROMVERKAUF STROMHANDEL EU-AUSLAND</v>
          </cell>
        </row>
        <row r="751">
          <cell r="B751" t="str">
            <v>121359 ABGRENZUNG STROMERLÖSE ÖSTERREICH MITTELSPANNUNG</v>
          </cell>
        </row>
        <row r="752">
          <cell r="B752" t="str">
            <v>121360 ABGRENZUNG GASERLÖSE -OOA- VW HANNOVER</v>
          </cell>
        </row>
        <row r="753">
          <cell r="B753" t="str">
            <v>121364 ABGRENZUNG GASVERKAUF GASHANDEL INNERHALB D</v>
          </cell>
        </row>
        <row r="754">
          <cell r="B754" t="str">
            <v>121365 ABGRENZUNG GASVERKAUF GASHANDEL AUSSERHALB D</v>
          </cell>
        </row>
        <row r="755">
          <cell r="B755" t="str">
            <v>121366 ABGRENZUNG GASERLÖSE -OOA- SONDERTARIFE</v>
          </cell>
        </row>
        <row r="756">
          <cell r="B756" t="str">
            <v>121367 ABGRENZUNG GASERLÖSE -OOA- STW ENERGIELIEFERUNGEN</v>
          </cell>
        </row>
        <row r="757">
          <cell r="B757" t="str">
            <v>121368 ABGRENZUNG WÄRMEVERKAUF AUSBAUPROGRAMM</v>
          </cell>
        </row>
        <row r="758">
          <cell r="B758" t="str">
            <v>121373 ABGRENZUNG STROM - OOA - STW SPRINGE</v>
          </cell>
        </row>
        <row r="759">
          <cell r="B759" t="str">
            <v>121500 DURCHLEITUNG/ KOOPERATION SWB ENORDIA</v>
          </cell>
        </row>
        <row r="760">
          <cell r="B760" t="str">
            <v>122001 DEBITOREN NEBENGESCHÄFTE: MIETEN,PACHTEN,INSTAL.</v>
          </cell>
        </row>
        <row r="761">
          <cell r="B761" t="str">
            <v>122002 KREDIT. DEBITOREN NEBENGESCHÄFTE: MIETEN,PACHTEN,I</v>
          </cell>
        </row>
        <row r="762">
          <cell r="B762" t="str">
            <v>122300 AUS DEM TEILZAHLUNGSGESCHÄFT</v>
          </cell>
        </row>
        <row r="763">
          <cell r="B763" t="str">
            <v>122301 DEBITOREN TEILZAHLUNGSGESCHÄFTE</v>
          </cell>
        </row>
        <row r="764">
          <cell r="B764" t="str">
            <v>122309 VERRECHNUNG DEBITOREN TEILZAHLUNGSGESCHÄFTE</v>
          </cell>
        </row>
        <row r="765">
          <cell r="B765" t="str">
            <v>122900 NEBENGESCHAEFTE (BVAG INTERN)</v>
          </cell>
        </row>
        <row r="766">
          <cell r="B766" t="str">
            <v>128000 ZWEIFELHAFTE FORDERUNGEN</v>
          </cell>
        </row>
        <row r="767">
          <cell r="B767" t="str">
            <v>128005 ZWEIFELHAFTE FORDERUNGEN L&amp;L NEBENGESCHÄFTE</v>
          </cell>
        </row>
        <row r="768">
          <cell r="B768" t="str">
            <v>128010 ZWEIFELHAFTE FORDERUNGEN LIEFERUNGEN UND LEISTUNGE</v>
          </cell>
        </row>
        <row r="769">
          <cell r="B769" t="str">
            <v>128020 ZWEIFELHAFTE FORDERUNGEN L&amp;L STROM EIGENES NETZ</v>
          </cell>
        </row>
        <row r="770">
          <cell r="B770" t="str">
            <v>128030 ZWEIFELHAFTE FORDERUNGEN L&amp;L STROM FREMDES NETZ</v>
          </cell>
        </row>
        <row r="771">
          <cell r="B771" t="str">
            <v>128040 ZWEIFELHAFTE FORDERUNGEN L&amp;L GASVERKAUF</v>
          </cell>
        </row>
        <row r="772">
          <cell r="B772" t="str">
            <v>128050 ZWEIFELHAFTE FORDERUNGEN L&amp;L WASSERVERKAUF</v>
          </cell>
        </row>
        <row r="773">
          <cell r="B773" t="str">
            <v>128060 ZWEIFELHAFTE FORDERUNGEN L&amp;L WÄRMEVERKAUF</v>
          </cell>
        </row>
        <row r="774">
          <cell r="B774" t="str">
            <v>128065 ZWEIFELHAFTE FORDERUNGEN L&amp;L CONTRACTING</v>
          </cell>
        </row>
        <row r="775">
          <cell r="B775" t="str">
            <v>129100 EINZELWERTBERICHTIGUNG ZU FORDERUNGEN</v>
          </cell>
        </row>
        <row r="776">
          <cell r="B776" t="str">
            <v>129120 EINZELWERTBERICHTIGUNG FORD. STROM EIGENES NETZ</v>
          </cell>
        </row>
        <row r="777">
          <cell r="B777" t="str">
            <v>129130 EINZELWERTBERICHTIGUNG FORD. STROM FREMDES NETZ</v>
          </cell>
        </row>
        <row r="778">
          <cell r="B778" t="str">
            <v>129140 EINZELWERTBERICHTIGUNG FORD. GASVERKAUF</v>
          </cell>
        </row>
        <row r="779">
          <cell r="B779" t="str">
            <v>129150 EINZELWERTBERICHTIGUNG FORD. WASSERVERKAUF</v>
          </cell>
        </row>
        <row r="780">
          <cell r="B780" t="str">
            <v>129160 EINZELWERTBERICHTIGUNG FORD. WÄRMEVERKAUF</v>
          </cell>
        </row>
        <row r="781">
          <cell r="B781" t="str">
            <v>129165 EINZELWERTBERICHTIGUNG FORD. CONTRACTING</v>
          </cell>
        </row>
        <row r="782">
          <cell r="B782" t="str">
            <v>130100 ENERGIENETZE BRAUNSCHWEIG GMBH</v>
          </cell>
        </row>
        <row r="783">
          <cell r="B783" t="str">
            <v>130120 STADTWERKE THALE GMBH</v>
          </cell>
        </row>
        <row r="784">
          <cell r="B784" t="str">
            <v>130150 VEOLIA-KONZERN</v>
          </cell>
        </row>
        <row r="785">
          <cell r="B785" t="str">
            <v>130151 VEOLIA - FORDERUNG AUS CASH-POOLING</v>
          </cell>
        </row>
        <row r="786">
          <cell r="B786" t="str">
            <v>130152 VEOLIA-KONZERN - CASHPOOLING -</v>
          </cell>
        </row>
        <row r="787">
          <cell r="B787" t="str">
            <v>130155 STADTENTWÄSSERUNG BRAUNSCHWEIG GMBH</v>
          </cell>
        </row>
        <row r="788">
          <cell r="B788" t="str">
            <v>130156 STADTENTWÄSSERUNG BRAUNSCHWEIG - GESELL.DARLEHEN -</v>
          </cell>
        </row>
        <row r="789">
          <cell r="B789" t="str">
            <v>130505 FORDERUNG  AUS KONZERN MIT STEUER STROM</v>
          </cell>
        </row>
        <row r="790">
          <cell r="B790" t="str">
            <v>130512 ABGRENZUNG BS|ENERGY NETZ GMBH STROM (EHM. NETZVER</v>
          </cell>
        </row>
        <row r="791">
          <cell r="B791" t="str">
            <v>130522 ABGRENZUNG BS|ENERGY NETZ GMBH GAS (EHEM. NETZVERL</v>
          </cell>
        </row>
        <row r="792">
          <cell r="B792" t="str">
            <v>130525 ABGRENZUNG KONZERN MIT STEUER STROM</v>
          </cell>
        </row>
        <row r="793">
          <cell r="B793" t="str">
            <v>130536 ABGRENZUNG STADTWERKE THALE GMBH  STROM</v>
          </cell>
        </row>
        <row r="794">
          <cell r="B794" t="str">
            <v>130610 GELEISTETE ANZAHLUNGEN AUS NETZNUTZUNG STROM</v>
          </cell>
        </row>
        <row r="795">
          <cell r="B795" t="str">
            <v>130620 GELEISTETE ANZAHLUNGEN AUS NETZNUTZUNG GAS</v>
          </cell>
        </row>
        <row r="796">
          <cell r="B796" t="str">
            <v>131100 KRAFTWERK MEHRUM GMBH</v>
          </cell>
        </row>
        <row r="797">
          <cell r="B797" t="str">
            <v>131110 KRAFTWERK MEHRUM GMBH - GESELLSCHAFTERDARLEHEN -</v>
          </cell>
        </row>
        <row r="798">
          <cell r="B798" t="str">
            <v>132100 FUER DIE STADT BRAUNSCHWEIG</v>
          </cell>
        </row>
        <row r="799">
          <cell r="B799" t="str">
            <v>132200 GESELLSCHAFTER STADT BRAUNSCHWEIG BETEILIGUNGS-GES</v>
          </cell>
        </row>
        <row r="800">
          <cell r="B800" t="str">
            <v>150000 VORSCHÜSSE</v>
          </cell>
        </row>
        <row r="801">
          <cell r="B801" t="str">
            <v>150100 VORAUSZAHLUNG (KURZFRISTIGE VORSCHÜSSE)</v>
          </cell>
        </row>
        <row r="802">
          <cell r="B802" t="str">
            <v>151000 STEUERERSTATTUNGSANSPRÜCHE</v>
          </cell>
        </row>
        <row r="803">
          <cell r="B803" t="str">
            <v>152000 SCHADENSERSATZANSPRÜCHE</v>
          </cell>
        </row>
        <row r="804">
          <cell r="B804" t="str">
            <v>152100 ZWEIFELH.FORDERUNGEN A.SCHADENSERSATZANSPRUECHEN</v>
          </cell>
        </row>
        <row r="805">
          <cell r="B805" t="str">
            <v>156020 REISEKOSTENVORSCHÜSSE</v>
          </cell>
        </row>
        <row r="806">
          <cell r="B806" t="str">
            <v>156401 KASSENAUTOMAT TAUBENSTRASSE</v>
          </cell>
        </row>
        <row r="807">
          <cell r="B807" t="str">
            <v>156402 KASSENAUTOMAT BOHLWEG</v>
          </cell>
        </row>
        <row r="808">
          <cell r="B808" t="str">
            <v>156810 ZWEIFELHAFTE FORDERUNGEN SONSTIGE VERMÖGENSGEGENST</v>
          </cell>
        </row>
        <row r="809">
          <cell r="B809" t="str">
            <v>156910 MEHRWEG-CHEMIEVERPACKUNGEN (PFANDGELD)</v>
          </cell>
        </row>
        <row r="810">
          <cell r="B810" t="str">
            <v>156981 DEBITOREN NEBENGESCHÄFTE: SONSTIGE</v>
          </cell>
        </row>
        <row r="811">
          <cell r="B811" t="str">
            <v>156982 KREDIT. DEBITOREN NEBENGESCHÄFTE: SONSTIGE</v>
          </cell>
        </row>
        <row r="812">
          <cell r="B812" t="str">
            <v>156992 VERSCHIEDENE NEU (ersetzt Konto 156990)</v>
          </cell>
        </row>
        <row r="813">
          <cell r="B813" t="str">
            <v>170000 SCHECKS</v>
          </cell>
        </row>
        <row r="814">
          <cell r="B814" t="str">
            <v>171000 HAUPTKASSE</v>
          </cell>
        </row>
        <row r="815">
          <cell r="B815" t="str">
            <v>171700 NEBENKASSE SPRINGE</v>
          </cell>
        </row>
        <row r="816">
          <cell r="B816" t="str">
            <v>172000 GERICHTSKOSTENFREISTEMPLER</v>
          </cell>
        </row>
        <row r="817">
          <cell r="B817" t="str">
            <v>174000 NORDDEUTSCHE LANDESBANK</v>
          </cell>
        </row>
        <row r="818">
          <cell r="B818" t="str">
            <v>174200 NORD-LB WÄHRUNGS-KTO. US-DOLLAR $ IN EUR</v>
          </cell>
        </row>
        <row r="819">
          <cell r="B819" t="str">
            <v>174300 DEUTSCHE BANK AG</v>
          </cell>
        </row>
        <row r="820">
          <cell r="B820" t="str">
            <v>174301 DEUTSCHE BANK AG EEX</v>
          </cell>
        </row>
        <row r="821">
          <cell r="B821" t="str">
            <v>174400 POSTBANK</v>
          </cell>
        </row>
        <row r="822">
          <cell r="B822" t="str">
            <v>174500 DRESDNER BANK</v>
          </cell>
        </row>
        <row r="823">
          <cell r="B823" t="str">
            <v>174620 COMMERZBANK</v>
          </cell>
        </row>
        <row r="824">
          <cell r="B824" t="str">
            <v>174960 DKB-BANK (TAGESGELDKONTO)</v>
          </cell>
        </row>
        <row r="825">
          <cell r="B825" t="str">
            <v>174990 SONSTIGE GELDANLAGEN</v>
          </cell>
        </row>
        <row r="826">
          <cell r="B826" t="str">
            <v>182000 SONSTIGE AKTIVE ABGRENZUNGSPOSTEN</v>
          </cell>
        </row>
        <row r="827">
          <cell r="B827" t="str">
            <v>182005 SONSTIGE AKTIVE ABGRENZUNGSPOSTEN FERNWÄRME-AUSBAU</v>
          </cell>
        </row>
        <row r="828">
          <cell r="B828" t="str">
            <v>203200 DARLEHENSKONTO VEOLIA STADTWERKE BS BETEILIGUNGS</v>
          </cell>
        </row>
        <row r="829">
          <cell r="B829" t="str">
            <v>203201 DARLEHENSKONTO STADT BRAUNSCHWEIG BETEILIGUNGS-GES</v>
          </cell>
        </row>
        <row r="830">
          <cell r="B830" t="str">
            <v>260000 ELEKTRIZITÄTSVERSORGUNG</v>
          </cell>
        </row>
        <row r="831">
          <cell r="B831" t="str">
            <v>260001 STROMVERSORGUNG HA  0,4 KV LEITUNGSNETZ</v>
          </cell>
        </row>
        <row r="832">
          <cell r="B832" t="str">
            <v>260002 STROMVERSORGUNG BKZ  0,4 KV LEITUNGSNETZ</v>
          </cell>
        </row>
        <row r="833">
          <cell r="B833" t="str">
            <v>260003 STROMVERSORGUNG HA  20 KV LEITUNGSNETZ</v>
          </cell>
        </row>
        <row r="834">
          <cell r="B834" t="str">
            <v>260004 STROMVERSORGUNG BKZ 20 KV LEITUNGSNETZ</v>
          </cell>
        </row>
        <row r="835">
          <cell r="B835" t="str">
            <v>260005 STROMVERSORGUNG BKZ 20 KV UMSPANNUNG</v>
          </cell>
        </row>
        <row r="836">
          <cell r="B836" t="str">
            <v>260100 WAERMEVERSORGUNG STADT</v>
          </cell>
        </row>
        <row r="837">
          <cell r="B837" t="str">
            <v>260101 WAERMEVERSORGUNG HA</v>
          </cell>
        </row>
        <row r="838">
          <cell r="B838" t="str">
            <v>260102 WAERMEVERSORGUNG BKZ</v>
          </cell>
        </row>
        <row r="839">
          <cell r="B839" t="str">
            <v>260400 GASVERSORGUNG</v>
          </cell>
        </row>
        <row r="840">
          <cell r="B840" t="str">
            <v>260401 GASVERSORGUNG HA</v>
          </cell>
        </row>
        <row r="841">
          <cell r="B841" t="str">
            <v>260402 GASVERSORGUNG BKZ</v>
          </cell>
        </row>
        <row r="842">
          <cell r="B842" t="str">
            <v>260500 WASSERVERSORGUNG</v>
          </cell>
        </row>
        <row r="843">
          <cell r="B843" t="str">
            <v>260501 WASSERVERSORGUNG HA</v>
          </cell>
        </row>
        <row r="844">
          <cell r="B844" t="str">
            <v>260502 WASSERVERSORGUNG BKZ</v>
          </cell>
        </row>
        <row r="845">
          <cell r="B845" t="str">
            <v>260900 GEMEINSAMER BEREICH</v>
          </cell>
        </row>
        <row r="846">
          <cell r="B846" t="str">
            <v>270000 RÜCKSTELLUNGEN F.PENSIONEN U.A.VERPFLICHTUNGEN</v>
          </cell>
        </row>
        <row r="847">
          <cell r="B847" t="str">
            <v>271100 GEWERBESTEUER</v>
          </cell>
        </row>
        <row r="848">
          <cell r="B848" t="str">
            <v>280001 UNGEW. VERBIND. - AUSSTEHENDE RG STROMBEZUG</v>
          </cell>
        </row>
        <row r="849">
          <cell r="B849" t="str">
            <v>280002 UNGEW. VERBIND. - AUSSTEHENDE RG GASBEZUG</v>
          </cell>
        </row>
        <row r="850">
          <cell r="B850" t="str">
            <v>280003 UNGEW. VERBIND. - AUSSTEHENDE RG WASSERBEZUG</v>
          </cell>
        </row>
        <row r="851">
          <cell r="B851" t="str">
            <v>280004 UNGEW. VERBIND. - SONSTIGE AUSSTEHENDE RECHNUNGEN</v>
          </cell>
        </row>
        <row r="852">
          <cell r="B852" t="str">
            <v>280010 UNGEW. VERBIND. - INVESTITIONEN -</v>
          </cell>
        </row>
        <row r="853">
          <cell r="B853" t="str">
            <v>280020 UNGEW. VERBIND. - RÜCKST. URLAUB + ÜBERSTUNDEN</v>
          </cell>
        </row>
        <row r="854">
          <cell r="B854" t="str">
            <v>280021 UNGEW. VERBIND. - JUBILÄUMSRÜCKSTELLUNGEN</v>
          </cell>
        </row>
        <row r="855">
          <cell r="B855" t="str">
            <v>280022 UNGEW. VERBIND. - SONST. PERSONELLE VERPFLICHTUNG</v>
          </cell>
        </row>
        <row r="856">
          <cell r="B856" t="str">
            <v>280040 UNGEW. VERBIND. - ABRECHNUNGSVERPFLICHTUNG -</v>
          </cell>
        </row>
        <row r="857">
          <cell r="B857" t="str">
            <v>280070 UNGEW. VERBIND. - RÜCKBAUVERPFLICHT/  DEMONTAGEKST</v>
          </cell>
        </row>
        <row r="858">
          <cell r="B858" t="str">
            <v>280071 UNGEW. VERBIND. - RÜCKBAUVERPFLICHT/  LEITUNGSNETZ</v>
          </cell>
        </row>
        <row r="859">
          <cell r="B859" t="str">
            <v>280100 UNGEW. VERBIND. - SONSTIGE -</v>
          </cell>
        </row>
        <row r="860">
          <cell r="B860" t="str">
            <v>280101 UNGEW. VERBIND. - ARCHIVIERUNGSKOSTEN -</v>
          </cell>
        </row>
        <row r="861">
          <cell r="B861" t="str">
            <v>280102 UNGEW. VERBIND. - EMISSIONSRECHTE -</v>
          </cell>
        </row>
        <row r="862">
          <cell r="B862" t="str">
            <v>281030 DROHENDE VERLUSTE - MARGENVERLUSTE -</v>
          </cell>
        </row>
        <row r="863">
          <cell r="B863" t="str">
            <v>284001 AUFWANDRÜCKSTELLUNGEN - ANSAMMLUNGSRÜCKSTELLUNG -</v>
          </cell>
        </row>
        <row r="864">
          <cell r="B864" t="str">
            <v>285000 RÜCKSTELLUNG FÜR ALTERSTEILZEIT</v>
          </cell>
        </row>
        <row r="865">
          <cell r="B865" t="str">
            <v>321001 ABSCHLÄGE STROMVERK. ALLGEMEINE TARIFE</v>
          </cell>
        </row>
        <row r="866">
          <cell r="B866" t="str">
            <v>321002 ABSCHLÄGE STROMVERK. SONDERTARIF O. LM</v>
          </cell>
        </row>
        <row r="867">
          <cell r="B867" t="str">
            <v>321003 ABSCHLÄGE STROMVERK. INDIVIDUALTARIF MONATL NS</v>
          </cell>
        </row>
        <row r="868">
          <cell r="B868" t="str">
            <v>321008 ABSCHLÄGE STROMVERK. BEISTELLUNG/KOOPERATION</v>
          </cell>
        </row>
        <row r="869">
          <cell r="B869" t="str">
            <v>321009 ABSCHLÄGE STROMVERK. INDIVIDUALTARIF O. LM</v>
          </cell>
        </row>
        <row r="870">
          <cell r="B870" t="str">
            <v>321010 ABSCHLÄGE STROMVERK. INDIVIDUALTARIF JÄHRL. NS</v>
          </cell>
        </row>
        <row r="871">
          <cell r="B871" t="str">
            <v>321012 ABSCHLÄGE STROMVERK. SONDERTARIF O. LM</v>
          </cell>
        </row>
        <row r="872">
          <cell r="B872" t="str">
            <v>321013 ABSCHLÄGE STROMVERK. INDIVIDUALTARIF MONATL NS</v>
          </cell>
        </row>
        <row r="873">
          <cell r="B873" t="str">
            <v>321014 ABSCHLÄGE STROMVERK. INDIVIDUALTARIF MONATL MS</v>
          </cell>
        </row>
        <row r="874">
          <cell r="B874" t="str">
            <v>321019 ABSCHLÄGE STROMVERK. INDIVIDUALTARIF O. LM</v>
          </cell>
        </row>
        <row r="875">
          <cell r="B875" t="str">
            <v>321020 ABSCHLÄGE STROMVERK. INDIVIDUALTARIF JÄHRL. NS</v>
          </cell>
        </row>
        <row r="876">
          <cell r="B876" t="str">
            <v>321030 ABSCHLÄGE STROMVERK. NETZNUTZUNG NS OHNE LM</v>
          </cell>
        </row>
        <row r="877">
          <cell r="B877" t="str">
            <v>321031 ABSCHLÄGE STROMVERK. NETZNUTZUNG NS MIT LM</v>
          </cell>
        </row>
        <row r="878">
          <cell r="B878" t="str">
            <v>321033 ABSCHLÄGE STROMVERK. BS NACHTSPEICHERHEIZUNG</v>
          </cell>
        </row>
        <row r="879">
          <cell r="B879" t="str">
            <v>321034 ABSCHLÄGE STROMVERK. BS BTO-KUNDEN</v>
          </cell>
        </row>
        <row r="880">
          <cell r="B880" t="str">
            <v>321080 ABSCHLÄGE STROMVERK. ÖSTERREICH MITTELSPANNUNG</v>
          </cell>
        </row>
        <row r="881">
          <cell r="B881" t="str">
            <v>321201 ABSCHLÄGE GASVERKAUF ALLGEMEINER TARIF</v>
          </cell>
        </row>
        <row r="882">
          <cell r="B882" t="str">
            <v>321202 ABSCHLÄGE GASVERKAUF GROßKUNDEN SONDERVERTRÄGE</v>
          </cell>
        </row>
        <row r="883">
          <cell r="B883" t="str">
            <v>321205 ABSCHLÄGE GASVERKAUF -WOHNUNGSBAUGESELLSCH.-</v>
          </cell>
        </row>
        <row r="884">
          <cell r="B884" t="str">
            <v>321211 ABSCHLÄGE GASVERKAUF -OOA- SONDERTARIFE</v>
          </cell>
        </row>
        <row r="885">
          <cell r="B885" t="str">
            <v>321301 ABSCHLÄGE WASSERVERKAUF ALLGEMEINER TARIF</v>
          </cell>
        </row>
        <row r="886">
          <cell r="B886" t="str">
            <v>321302 ABSCHLÄGE WASSERVERKAUF SONDERKUNDEN</v>
          </cell>
        </row>
        <row r="887">
          <cell r="B887" t="str">
            <v>321305 ABSCHLÄGE WASSER KUNDEN HARXBÜTTEL+STEINHOF</v>
          </cell>
        </row>
        <row r="888">
          <cell r="B888" t="str">
            <v>321390 ABSCHLÄGE NIEDERSCHLAGSWASSER</v>
          </cell>
        </row>
        <row r="889">
          <cell r="B889" t="str">
            <v>321391 ABSCHLÄGE SCHMUTZWASSER</v>
          </cell>
        </row>
        <row r="890">
          <cell r="B890" t="str">
            <v>321401 ABSCHLÄGE WÄRMEVERKAUF &lt; 78 KW AW</v>
          </cell>
        </row>
        <row r="891">
          <cell r="B891" t="str">
            <v>321402 ABSCHLÄGE WÄRMEVERKAUF &gt; 78 KW AW</v>
          </cell>
        </row>
        <row r="892">
          <cell r="B892" t="str">
            <v>321403 ABSCHLÄGE WÄRMEVERKAUF SONDERKUNDEN</v>
          </cell>
        </row>
        <row r="893">
          <cell r="B893" t="str">
            <v>321407 ABSCHLÄGE WÄRMEVERKAUF VW-WERK 2 UND VW-BANK</v>
          </cell>
        </row>
        <row r="894">
          <cell r="B894" t="str">
            <v>321408 ABSCHLÄGE WÄRMEVERKAUF AUSBAUPROGRAMM</v>
          </cell>
        </row>
        <row r="895">
          <cell r="B895" t="str">
            <v>321409 ABSCHLÄGE WÄRMEVERKAUF AUSBAUPROGRAMM CONTRACTING</v>
          </cell>
        </row>
        <row r="896">
          <cell r="B896" t="str">
            <v>321910 ABSCHLÄGE STROM CONTRACTING - INNERHALB BS</v>
          </cell>
        </row>
        <row r="897">
          <cell r="B897" t="str">
            <v>321940 ABSCHLÄGE WÄRME CONTRACTING - INNERHALB BS</v>
          </cell>
        </row>
        <row r="898">
          <cell r="B898" t="str">
            <v>321941 ABSCHLÄGE WÄRME CONTRACTING - AUßERHALB BS</v>
          </cell>
        </row>
        <row r="899">
          <cell r="B899" t="str">
            <v>330001 FORDERUNGEN AUS D.KREDITOREN-KONTOKORRENT</v>
          </cell>
        </row>
        <row r="900">
          <cell r="B900" t="str">
            <v>330002 KREDITOREN</v>
          </cell>
        </row>
        <row r="901">
          <cell r="B901" t="str">
            <v>330100 SICHERHEITSEINBEHALTE F.GEGEBENE GARANTIEVERPFLG.</v>
          </cell>
        </row>
        <row r="902">
          <cell r="B902" t="str">
            <v>330200 ABGRENZUNG KREDITOREN ABSCHLUSS</v>
          </cell>
        </row>
        <row r="903">
          <cell r="B903" t="str">
            <v>330500 VERBINDLICHKEITEN GEGENÜBER BR. VERKEHRS-AG</v>
          </cell>
        </row>
        <row r="904">
          <cell r="B904" t="str">
            <v>330900 KREDITOREN (BVAG INTERN)</v>
          </cell>
        </row>
        <row r="905">
          <cell r="B905" t="str">
            <v>350100 ENERGIENETZE BRAUNSCHWEIG GMBH</v>
          </cell>
        </row>
        <row r="906">
          <cell r="B906" t="str">
            <v>350120 STADTWERKE THALE GMBH</v>
          </cell>
        </row>
        <row r="907">
          <cell r="B907" t="str">
            <v>350122 STADTWERKE THALE GMBH - CASHPOOLING -</v>
          </cell>
        </row>
        <row r="908">
          <cell r="B908" t="str">
            <v>350155 STADTENTWÄSSERUNG BRAUNSCHWEIG GMBH</v>
          </cell>
        </row>
        <row r="909">
          <cell r="B909" t="str">
            <v>350156 STADTENTWÄSSERUNG BRAUNSCHWEIG - CASHPOOLING -</v>
          </cell>
        </row>
        <row r="910">
          <cell r="B910" t="str">
            <v>350157 BVVAG - CASHPOOLING -</v>
          </cell>
        </row>
        <row r="911">
          <cell r="B911" t="str">
            <v>350159 BS|ENERGY NETZ GMBH - CASHPOOLING -</v>
          </cell>
        </row>
        <row r="912">
          <cell r="B912" t="str">
            <v>350300 VEOLIA KONZERN</v>
          </cell>
        </row>
        <row r="913">
          <cell r="B913" t="str">
            <v>350510 VERB. AUS ABGRENZUNG NETZNUTZUNG STROM</v>
          </cell>
        </row>
        <row r="914">
          <cell r="B914" t="str">
            <v>350520 VERB. AUS ABGRENZUNG NETZNUTZUNG GAS</v>
          </cell>
        </row>
        <row r="915">
          <cell r="B915" t="str">
            <v>351000 VERBINDLICHKEIT GEGEN UNTERNEHMEN MIT BETEILIGUNGS</v>
          </cell>
        </row>
        <row r="916">
          <cell r="B916" t="str">
            <v>353100 KONZESSIONSABGABE</v>
          </cell>
        </row>
        <row r="917">
          <cell r="B917" t="str">
            <v>353300 NIEDERSCHLAGSWASSERGEBÜHR</v>
          </cell>
        </row>
        <row r="918">
          <cell r="B918" t="str">
            <v>353400 SCHMUTZWASSERGEBÜHREN</v>
          </cell>
        </row>
        <row r="919">
          <cell r="B919" t="str">
            <v>353600 VERBINDL. GEGENÜ. GESELLSCHAFTER SWBS</v>
          </cell>
        </row>
        <row r="920">
          <cell r="B920" t="str">
            <v>361000 FINANZAMT BS-WILHELMSTR.:LOHNSTEUER</v>
          </cell>
        </row>
        <row r="921">
          <cell r="B921" t="str">
            <v>361100 FINANZAMT BS-WILHELMSTR.:KIRCHENSTEUER</v>
          </cell>
        </row>
        <row r="922">
          <cell r="B922" t="str">
            <v>361200 BKK BRAUNSCHWEIG</v>
          </cell>
        </row>
        <row r="923">
          <cell r="B923" t="str">
            <v>361400 SONSTIGE ABZUEGE (PFAENDG.ABTR.U.S.W.)</v>
          </cell>
        </row>
        <row r="924">
          <cell r="B924" t="str">
            <v>361500 SONSTIGE GEHALTSABZÜGE</v>
          </cell>
        </row>
        <row r="925">
          <cell r="B925" t="str">
            <v>362200 UMSATZSTEUER</v>
          </cell>
        </row>
        <row r="926">
          <cell r="B926" t="str">
            <v>363000 STROMSTEUER</v>
          </cell>
        </row>
        <row r="927">
          <cell r="B927" t="str">
            <v>363100 GASSTEUER</v>
          </cell>
        </row>
        <row r="928">
          <cell r="B928" t="str">
            <v>363200 QUELLENSTEUER</v>
          </cell>
        </row>
        <row r="929">
          <cell r="B929" t="str">
            <v>364100 VBL / ZUSATZVERSICHERUNGEN</v>
          </cell>
        </row>
        <row r="930">
          <cell r="B930" t="str">
            <v>367001 SICHERHEITEN VON KUNDEN (MANUELL)</v>
          </cell>
        </row>
        <row r="931">
          <cell r="B931" t="str">
            <v>368200 INKASSOZAHLUNGEN Creditreform</v>
          </cell>
        </row>
        <row r="932">
          <cell r="B932" t="str">
            <v>368201 INKASSOZAHLUNGEN</v>
          </cell>
        </row>
        <row r="933">
          <cell r="B933" t="str">
            <v>368400 UNGEKLAERTE EINZAHLUNGEN POST,BANK,KASSENGESCHAEFT</v>
          </cell>
        </row>
        <row r="934">
          <cell r="B934" t="str">
            <v>368990 VERSCHIEDENE</v>
          </cell>
        </row>
        <row r="935">
          <cell r="B935" t="str">
            <v>370100 PRAP STROMVERSORGUNG HA  0,4 KV LEITUNGSNETZ</v>
          </cell>
        </row>
        <row r="936">
          <cell r="B936" t="str">
            <v>370101 PRAP STROMVERSORGUNG BKZ  0,4 KV LEITUNGSNETZ</v>
          </cell>
        </row>
        <row r="937">
          <cell r="B937" t="str">
            <v>370102 PRAP STROMVERSORGUNG HA  20 KV LEITUNGSNETZ</v>
          </cell>
        </row>
        <row r="938">
          <cell r="B938" t="str">
            <v>370103 STROMVERSORGUNG BKZ 20 KV LEITUNGSNETZ</v>
          </cell>
        </row>
        <row r="939">
          <cell r="B939" t="str">
            <v>370104 PRAP STROMVERSORGUNG BKZ 20 KV UMSPANNUNG</v>
          </cell>
        </row>
        <row r="940">
          <cell r="B940" t="str">
            <v>370110 PRAP WAERMEVERSORGUNG HA</v>
          </cell>
        </row>
        <row r="941">
          <cell r="B941" t="str">
            <v>370111 PRAP WAERMEVERSORGUNG BKZ</v>
          </cell>
        </row>
        <row r="942">
          <cell r="B942" t="str">
            <v>370115 PRAP GASVERSORGUNG HA</v>
          </cell>
        </row>
        <row r="943">
          <cell r="B943" t="str">
            <v>370116 PRAP GASVERSORGUNG BKZ</v>
          </cell>
        </row>
        <row r="944">
          <cell r="B944" t="str">
            <v>370120 PRAP WASSERVERSORGUNG HA</v>
          </cell>
        </row>
        <row r="945">
          <cell r="B945" t="str">
            <v>370121 PRAP WASSERVERSORGUNG BKZ</v>
          </cell>
        </row>
        <row r="946">
          <cell r="B946" t="str">
            <v>370125 PRAP GEMEINSAMER BEREICH</v>
          </cell>
        </row>
        <row r="947">
          <cell r="B947" t="str">
            <v>760000 ABZIEHBARE VORSTEUERN</v>
          </cell>
        </row>
        <row r="948">
          <cell r="B948" t="str">
            <v>761300 UMSATZSTEUER  7,0 %</v>
          </cell>
        </row>
        <row r="949">
          <cell r="B949" t="str">
            <v>761301 UST-VERR. ISU 7 % WASSERVERKAUF ALLGEMEINER TARIF</v>
          </cell>
        </row>
        <row r="950">
          <cell r="B950" t="str">
            <v>761302 UST-VERR. ISU 7 % WASSERVERKAUF SONDERKUNDEN</v>
          </cell>
        </row>
        <row r="951">
          <cell r="B951" t="str">
            <v>761305 UST-VERR. ISU 7 % WASSER KD HARXBÜTTEL + STEINHOF</v>
          </cell>
        </row>
        <row r="952">
          <cell r="B952" t="str">
            <v>762500 UMSATZSTEUER 16,0 %</v>
          </cell>
        </row>
        <row r="953">
          <cell r="B953" t="str">
            <v>762501 UST-VERR. ISU 16% STROMVK ALLGEMEINE TARIFE</v>
          </cell>
        </row>
        <row r="954">
          <cell r="B954" t="str">
            <v>762502 UST-VERR. ISU 16% STROMVK SONDERTARIF O.  LM</v>
          </cell>
        </row>
        <row r="955">
          <cell r="B955" t="str">
            <v>762503 UST-VERR. ISU 16% STROMVK INDIVIDUALTARIF MTL. NS</v>
          </cell>
        </row>
        <row r="956">
          <cell r="B956" t="str">
            <v>762507 UST-VERR. ISU 16% STROMVK BEISTELLUNG</v>
          </cell>
        </row>
        <row r="957">
          <cell r="B957" t="str">
            <v>762508 UST-VERR. ISU 16% STROMVK INDIVIDUALTARIF O. LM</v>
          </cell>
        </row>
        <row r="958">
          <cell r="B958" t="str">
            <v>762509 UST-VERR. ISU 16% STROMVK INDIVIDUALTARIF JÄHRL NS</v>
          </cell>
        </row>
        <row r="959">
          <cell r="B959" t="str">
            <v>762512 UST-VERR. ISU 16% STROMVK SONDERTARIF O. LM</v>
          </cell>
        </row>
        <row r="960">
          <cell r="B960" t="str">
            <v>762513 UST-VERR. ISU 16% STROMVK INDIVIDUALTARIF MTL. NS</v>
          </cell>
        </row>
        <row r="961">
          <cell r="B961" t="str">
            <v>762514 UST-VERR. ISU 16% STROMVK INDIVIDUALTARIF MTL. MS</v>
          </cell>
        </row>
        <row r="962">
          <cell r="B962" t="str">
            <v>762515 UST-VERR. ISU 16% STROMVK INDIVIDUALTARIF O. LM</v>
          </cell>
        </row>
        <row r="963">
          <cell r="B963" t="str">
            <v>762516 UST-VERR. ISU 16% STROMVK INDIVIDUALTARIF JÄHRL.NS</v>
          </cell>
        </row>
        <row r="964">
          <cell r="B964" t="str">
            <v>762517 UST-VERR. ISU 16% GASVERKAUF ALLGEMEINER TARIF</v>
          </cell>
        </row>
        <row r="965">
          <cell r="B965" t="str">
            <v>762518 UST-VERR. ISU 16% GASVERKAUF GROSSKUNDEN SONDERV.</v>
          </cell>
        </row>
        <row r="966">
          <cell r="B966" t="str">
            <v>762524 UST-VERR. ISU 19% WÄRMEVERKAUF &lt; 78 KW AW</v>
          </cell>
        </row>
        <row r="967">
          <cell r="B967" t="str">
            <v>762525 UST-VERR. ISU 16% WÄRMEVERKAUF &gt; 78 KW AW</v>
          </cell>
        </row>
        <row r="968">
          <cell r="B968" t="str">
            <v>762526 UST-VERR. ISU 16% WÄRMEVERKAUF SONDERKUNDEN</v>
          </cell>
        </row>
        <row r="969">
          <cell r="B969" t="str">
            <v>762530 UST-VERR. ISU 16% STROMVK NETZNUTZUNG NS OHNE LM</v>
          </cell>
        </row>
        <row r="970">
          <cell r="B970" t="str">
            <v>762531 UST-VERR. ISU 16% STROMVK NETZNUTZUNG NS MIT LM</v>
          </cell>
        </row>
        <row r="971">
          <cell r="B971" t="str">
            <v>762533 UST-VERR. ISU 16% STROMVK BS NACHTSPEICHERHEIZUNG</v>
          </cell>
        </row>
        <row r="972">
          <cell r="B972" t="str">
            <v>762534 UST-VERR. ISU 16% STROMVK BS BTO-KUNDEN</v>
          </cell>
        </row>
        <row r="973">
          <cell r="B973" t="str">
            <v>762536 UST-VERR. ISU 16% FERNWÄRME VW-WERK 2 UND VW-BANK</v>
          </cell>
        </row>
        <row r="974">
          <cell r="B974" t="str">
            <v>762538 UST-VERR. ISU 16% GAS -WOHNUNGSBAUGESELLSCHAFTEN-</v>
          </cell>
        </row>
        <row r="975">
          <cell r="B975" t="str">
            <v>762541 UST-VERR. ISU 16% STROM CONTRACTING - INNERHALB BS</v>
          </cell>
        </row>
        <row r="976">
          <cell r="B976" t="str">
            <v>762542 UST-VERR. ISU 16% WÄRME CONTRACTING - INNERHALB BS</v>
          </cell>
        </row>
        <row r="977">
          <cell r="B977" t="str">
            <v>762543 UST-VERR. ISU 16% WÄRME CONTRACTING - AUßERHALB BS</v>
          </cell>
        </row>
        <row r="978">
          <cell r="B978" t="str">
            <v>762558 UST-VERR. ISU 16% GASVERKAUF OOA SONDERTARIFE</v>
          </cell>
        </row>
        <row r="979">
          <cell r="B979" t="str">
            <v>762566 UST-VERR. ISU 19 % WÄRMEVERKAUF AUSBAUPROGRAMM</v>
          </cell>
        </row>
        <row r="980">
          <cell r="B980" t="str">
            <v>762567 UST-VERR. ISU 19 % WÄRMEVERKAUF AUSBAUPROGRAMM CON</v>
          </cell>
        </row>
        <row r="981">
          <cell r="B981" t="str">
            <v>762600 UMSATZSTEUER 19,0 %</v>
          </cell>
        </row>
        <row r="982">
          <cell r="B982" t="str">
            <v>763000 WE/RE-VERRECHNUNGSKONTO BRENNSTOFFE</v>
          </cell>
        </row>
        <row r="983">
          <cell r="B983" t="str">
            <v>763200 WE/RE-VERRECHNUNGSKONTO F. ZENTRALLAGER TAUBENSTR</v>
          </cell>
        </row>
        <row r="984">
          <cell r="B984" t="str">
            <v>763220 WE/RE-VERRECHNUNGSKONTO F. ERSATZTEILE</v>
          </cell>
        </row>
        <row r="985">
          <cell r="B985" t="str">
            <v>763300 WE/RE-VERRECHNUNGSKONTO LAGER KÖTHEN</v>
          </cell>
        </row>
        <row r="986">
          <cell r="B986" t="str">
            <v>763400 WE/RE-VERRECHNUNGSKONTO F. DIENSTLEISTUNGEN</v>
          </cell>
        </row>
        <row r="987">
          <cell r="B987" t="str">
            <v>763500 WE/RE-VERRECHNUNGSKONTO F. BÜROMATERIAL+NLAG</v>
          </cell>
        </row>
        <row r="988">
          <cell r="B988" t="str">
            <v>763520 WE/RE-VERRECHNUNGSKONTO F. DIENST UND SCHUTZ</v>
          </cell>
        </row>
        <row r="989">
          <cell r="B989" t="str">
            <v>763540 WE/RE-VERRECHNUNGSKONTO EDV-MATERIAL</v>
          </cell>
        </row>
        <row r="990">
          <cell r="B990" t="str">
            <v>765150 KONSIGNATIONSMATERIAL</v>
          </cell>
        </row>
        <row r="991">
          <cell r="B991" t="str">
            <v>765470 VERECHNUNGSKONTO FÜR GESCHENKE</v>
          </cell>
        </row>
        <row r="992">
          <cell r="B992" t="str">
            <v>765540 NIEDERSCHLAGSWASSERGEBÜHR</v>
          </cell>
        </row>
        <row r="993">
          <cell r="B993" t="str">
            <v>765550 SCHMUTZWASSERGEBÜHREN</v>
          </cell>
        </row>
        <row r="994">
          <cell r="B994" t="str">
            <v>766601 SONSTIGE BUCHUNGEN ISU OP-VERWALTUNG</v>
          </cell>
        </row>
        <row r="995">
          <cell r="B995" t="str">
            <v>769001 Bankverrechnung Überweisung Ausgang</v>
          </cell>
        </row>
        <row r="996">
          <cell r="B996" t="str">
            <v>769008 Bankverrechnung Abbuchungen Kreditoren Diverse</v>
          </cell>
        </row>
        <row r="997">
          <cell r="B997" t="str">
            <v>769009 Bankverrechnung Eingang/Sonstiges/Bareinzahlungen</v>
          </cell>
        </row>
        <row r="998">
          <cell r="B998" t="str">
            <v>769022 Bankverrechnung Eingang IS-U Diverse</v>
          </cell>
        </row>
        <row r="999">
          <cell r="B999" t="str">
            <v>769023 Bankverrechnung unklare Zahlungseingänge</v>
          </cell>
        </row>
        <row r="1000">
          <cell r="B1000" t="str">
            <v>769098 Bankverrechnung Kontenclearing/Übertrag Zu-u.Abgan</v>
          </cell>
        </row>
        <row r="1001">
          <cell r="B1001" t="str">
            <v>769301 BANKVERRECHNUNG ÜBERWEISUNG AUSGANG</v>
          </cell>
        </row>
        <row r="1002">
          <cell r="B1002" t="str">
            <v>769306 Bankverrechnung Scheckeingang Debitoren Sammelauf.</v>
          </cell>
        </row>
        <row r="1003">
          <cell r="B1003" t="str">
            <v>769323 Bankverrechnung unklare Zahlungseingänge</v>
          </cell>
        </row>
        <row r="1004">
          <cell r="B1004" t="str">
            <v>769398 Bankverrechnung Kontenclearing/Übertrag Zu-u.Abgan</v>
          </cell>
        </row>
        <row r="1005">
          <cell r="B1005" t="str">
            <v>769408 Bankverrechnung Abbuchungen Kreditoren Diverse</v>
          </cell>
        </row>
        <row r="1006">
          <cell r="B1006" t="str">
            <v>769601 Bankverrechnung Überweisung Ausgang</v>
          </cell>
        </row>
        <row r="1007">
          <cell r="B1007" t="str">
            <v>769602 Bankverrechnung Bankeinzug IS-U</v>
          </cell>
        </row>
        <row r="1008">
          <cell r="B1008" t="str">
            <v>769604 Bankverrechnung Rückbuchung/Rückbelastung</v>
          </cell>
        </row>
        <row r="1009">
          <cell r="B1009" t="str">
            <v>769623 Bankverrechnung unklare Zahlungseingänge</v>
          </cell>
        </row>
        <row r="1010">
          <cell r="B1010" t="str">
            <v>770001 BANKVERRECHNUNGSKONTO</v>
          </cell>
        </row>
        <row r="1011">
          <cell r="B1011" t="str">
            <v>I02000 GRUNDSTÜCKE UND BAUTEN IFRIC 12</v>
          </cell>
        </row>
        <row r="1012">
          <cell r="B1012" t="str">
            <v>I02090 WB ZU GRUNDSTÜCKE UND BAUTEN IFRIC 12</v>
          </cell>
        </row>
        <row r="1013">
          <cell r="B1013" t="str">
            <v>I04000 TECHNISCHE ANLAGEN IFRIC 12</v>
          </cell>
        </row>
        <row r="1014">
          <cell r="B1014" t="str">
            <v>I04090 WB ZU TECHNISCHE ANLAGEN IFRIC 12</v>
          </cell>
        </row>
        <row r="1015">
          <cell r="B1015" t="str">
            <v>I08100 KORR KTO HGB AFA/ANLGABGÄNGE (BIS 2005 ANL IN BAU)</v>
          </cell>
        </row>
        <row r="1016">
          <cell r="B1016" t="str">
            <v>I09490 SONSTIGE WERTPAPIERE IFRS-BEWERTUNG</v>
          </cell>
        </row>
        <row r="1017">
          <cell r="B1017" t="str">
            <v>I09495 LANGFRISTIG VERZINSLICHE FORDERUNGEN IFRIC 12</v>
          </cell>
        </row>
        <row r="1018">
          <cell r="B1018" t="str">
            <v>I09498 FORDERUNGEN CASH-FLOW HEDGE KOHLE</v>
          </cell>
        </row>
        <row r="1019">
          <cell r="B1019" t="str">
            <v>I09499 SONSTIGE FINANZANLAGEN (VIRT. KRAFTWERK)</v>
          </cell>
        </row>
        <row r="1020">
          <cell r="B1020" t="str">
            <v>I10000 KONZESSIONEN,GEWERBL.SCHUTZRECHTE U.ÄHNL.RECHTE</v>
          </cell>
        </row>
        <row r="1021">
          <cell r="B1021" t="str">
            <v>I10009 IMMATERIELLE VERMÖGENSGEGENSTÄNDE IFRIC 12</v>
          </cell>
        </row>
        <row r="1022">
          <cell r="B1022" t="str">
            <v>I10900 WB ZU KONZESSIONEN U.A.IMMATERIELLE ANLAGENWERTE</v>
          </cell>
        </row>
        <row r="1023">
          <cell r="B1023" t="str">
            <v>I10908 KUM. AFA SONSTIGE IMMATERIELLE VERMÖGENS. IFRIC 12</v>
          </cell>
        </row>
        <row r="1024">
          <cell r="B1024" t="str">
            <v>I10909 KUM. AFA IMMATERIELLE VERMÖGENS. IFRIC 12</v>
          </cell>
        </row>
        <row r="1025">
          <cell r="B1025" t="str">
            <v>I11002 EMISSIONSRECHTE</v>
          </cell>
        </row>
        <row r="1026">
          <cell r="B1026" t="str">
            <v>I11005 BRENNSTOFFE ÖL (SCHÄTZUNG)</v>
          </cell>
        </row>
        <row r="1027">
          <cell r="B1027" t="str">
            <v>I11015 BRENNSTOFFE KOHLE (SCHÄTZUNG)</v>
          </cell>
        </row>
        <row r="1028">
          <cell r="B1028" t="str">
            <v>I11019 BRENNSTOFFE KOHLE HKW SWAP-ABRECHNUNG</v>
          </cell>
        </row>
        <row r="1029">
          <cell r="B1029" t="str">
            <v>I12900 KORR.KTO. ZUM HGB PAUSCHALWERTBERICHTIGUNG</v>
          </cell>
        </row>
        <row r="1030">
          <cell r="B1030" t="str">
            <v>I15697 FORDERUNGEN AUS CASH-FLOW HEDGE KURZFR. - FINANZIN</v>
          </cell>
        </row>
        <row r="1031">
          <cell r="B1031" t="str">
            <v>I15698 GEWINN/VERLUST AUS FAIR VALUE DERIVATE -FINANZIERU</v>
          </cell>
        </row>
        <row r="1032">
          <cell r="B1032" t="str">
            <v>I18100 AKTIVE LATENTE STEUERN SONSTIGE</v>
          </cell>
        </row>
        <row r="1033">
          <cell r="B1033" t="str">
            <v>I18101 AKTIVE LATENTE STEUERN IFRIC 12</v>
          </cell>
        </row>
        <row r="1034">
          <cell r="B1034" t="str">
            <v>I18102 AKTIVE LATENTE STEUERN FINANZINSTRUMENTE/ VPP</v>
          </cell>
        </row>
        <row r="1035">
          <cell r="B1035" t="str">
            <v>I18110 AKTIVE LATENTE STEUERN CASH-FLOW HEDGE</v>
          </cell>
        </row>
        <row r="1036">
          <cell r="B1036" t="str">
            <v>I20000 GRDST.U.GRDSTGL.RECHTE M.GESCHÄFTS-BETR-U.A.BAUT.</v>
          </cell>
        </row>
        <row r="1037">
          <cell r="B1037" t="str">
            <v>I20001 AUFWERTUNG GRDST.U.GRDSTGL.RECHTE M.GESCHÄFTS-BETR</v>
          </cell>
        </row>
        <row r="1038">
          <cell r="B1038" t="str">
            <v>I20900 WB ZU GRDST.U.GRDSTGL.RECHTE M.GESCHÄFTS-BETRIEB.</v>
          </cell>
        </row>
        <row r="1039">
          <cell r="B1039" t="str">
            <v>I22001 ANLAGEN-VERRECHNUNGSKONTO</v>
          </cell>
        </row>
        <row r="1040">
          <cell r="B1040" t="str">
            <v>I22002 IFRS GEWINN-/ VERLUSTVORTRAG SONSTIGE</v>
          </cell>
        </row>
        <row r="1041">
          <cell r="B1041" t="str">
            <v>I22003 IFRS GEWINN-/ VERLUSTVORTRAG IFRIC 12</v>
          </cell>
        </row>
        <row r="1042">
          <cell r="B1042" t="str">
            <v>I22004 IFRS GEWINN-/ VERLUSTVORTRAG FINANZINSTRUMENTE/VPP</v>
          </cell>
        </row>
        <row r="1043">
          <cell r="B1043" t="str">
            <v>I22100 RÜCKLAGE CASH-FLOW HEDGE</v>
          </cell>
        </row>
        <row r="1044">
          <cell r="B1044" t="str">
            <v>I22101 RÜCKLAGE SWAP</v>
          </cell>
        </row>
        <row r="1045">
          <cell r="B1045" t="str">
            <v>I22110 RÜCKLAGE GAINS/ LOSS VERSICHERUNGSMATH. GUTACHTEN</v>
          </cell>
        </row>
        <row r="1046">
          <cell r="B1046" t="str">
            <v>I23000 GRDSTUECKE U.GRDSTGLEICHE RECHTE OHNE BAUTEN</v>
          </cell>
        </row>
        <row r="1047">
          <cell r="B1047" t="str">
            <v>I23001 AUFWERTUNG GRDSTÜCKE U.GRDSTGL. RECHTE OHNE BAUTEN</v>
          </cell>
        </row>
        <row r="1048">
          <cell r="B1048" t="str">
            <v>I24000 BAUTEN AUF FREMDEN GRUNDSTÜCKEN</v>
          </cell>
        </row>
        <row r="1049">
          <cell r="B1049" t="str">
            <v>I24001 AUFWERTUNG BAUTEN AUF FREMDEN GRUNDSTÜCKEN</v>
          </cell>
        </row>
        <row r="1050">
          <cell r="B1050" t="str">
            <v>I24900 WB ZU BAUTEN AUF FREMDEN GRUNDSTÜCKEN</v>
          </cell>
        </row>
        <row r="1051">
          <cell r="B1051" t="str">
            <v>I26000 ERTRAGSZUSCHÜSSE IFRIC 12</v>
          </cell>
        </row>
        <row r="1052">
          <cell r="B1052" t="str">
            <v>I27000 RÜCKSTELLUNGEN F.PENSIONEN U.A.VERPFLICHTUNGEN</v>
          </cell>
        </row>
        <row r="1053">
          <cell r="B1053" t="str">
            <v>I27200 PASSIVE LATENTE STEUERN SONSTIGE</v>
          </cell>
        </row>
        <row r="1054">
          <cell r="B1054" t="str">
            <v>I27202 PASSIVE LATENTE STEUERN FINANZINSTRUMENTE/ VPP</v>
          </cell>
        </row>
        <row r="1055">
          <cell r="B1055" t="str">
            <v>I27210 PASSIVE LATENTE STEUERN CASH-FLOW HEDGE</v>
          </cell>
        </row>
        <row r="1056">
          <cell r="B1056" t="str">
            <v>I27211 PASSIVE LATENTE STEUERN DURCH EK SONSTIGE</v>
          </cell>
        </row>
        <row r="1057">
          <cell r="B1057" t="str">
            <v>I28010 UNGEW. VERBIND. - SONSTIGE -</v>
          </cell>
        </row>
        <row r="1058">
          <cell r="B1058" t="str">
            <v>I28011 UNGEW. VERBIND. - ARCHIVIERUNGSKOSTEN -</v>
          </cell>
        </row>
        <row r="1059">
          <cell r="B1059" t="str">
            <v>I28021 UNGEW. VERBIND. - JUBILÄUMSRÜCKSTELLUNGEN</v>
          </cell>
        </row>
        <row r="1060">
          <cell r="B1060" t="str">
            <v>I28040 UNGEW. VERBIND. - ABRECHNUNGSVERPFLICHTUNG -</v>
          </cell>
        </row>
        <row r="1061">
          <cell r="B1061" t="str">
            <v>I28071 UNGEW. VERBIND. - RÜCKBAUVERPFLICHT/  LEITUNGSNETZ</v>
          </cell>
        </row>
        <row r="1062">
          <cell r="B1062" t="str">
            <v>I28103 DROHENDE VERLUSTE - MARGENVERLUSTE</v>
          </cell>
        </row>
        <row r="1063">
          <cell r="B1063" t="str">
            <v>I28400 AUFWANDRÜCKSTELLUNGEN - ANSAMMLUNGSRÜCKSTELLUNG -</v>
          </cell>
        </row>
        <row r="1064">
          <cell r="B1064" t="str">
            <v>I28500 RÜCKSTELLUNG FÜR ALTERSTEILZEIT</v>
          </cell>
        </row>
        <row r="1065">
          <cell r="B1065" t="str">
            <v>I33003 LEASINGVERBINDLICHKEITEN</v>
          </cell>
        </row>
        <row r="1066">
          <cell r="B1066" t="str">
            <v>I36900 SONSTIGE LANGFR. VERBINDL. (VIRT. KRAFTWERK)</v>
          </cell>
        </row>
        <row r="1067">
          <cell r="B1067" t="str">
            <v>I36996 VERBINDLICHKEITEN CASH-FLOW HEDGE WÄHRUNGSVERBINDL</v>
          </cell>
        </row>
        <row r="1068">
          <cell r="B1068" t="str">
            <v>I36997 VERBINDLICHKEITEN CASH-FLOW HEDGE KOHLE</v>
          </cell>
        </row>
        <row r="1069">
          <cell r="B1069" t="str">
            <v>I36998 AUßERBETRIEBLICHE VERBINDL. EMISSIONEN FAIR VALUE</v>
          </cell>
        </row>
        <row r="1070">
          <cell r="B1070" t="str">
            <v>I36999 AUßERBETRIEBLICHE VERBINDLICHK. FINANZINSTRUMENTE</v>
          </cell>
        </row>
        <row r="1071">
          <cell r="B1071" t="str">
            <v>I40000 ERZEUGUNGS-,GEWINNUNGS-U.BEZUGSANLAGEN</v>
          </cell>
        </row>
        <row r="1072">
          <cell r="B1072" t="str">
            <v>I40001 AUFWERTUNG ERZEUGUNGS-,GEWINNUNGS-U.BEZUGSANLAGEN</v>
          </cell>
        </row>
        <row r="1073">
          <cell r="B1073" t="str">
            <v>I40100 GWG GEWINNUNGS-ERZEUGUNGS-U.BEZUGSANLAGEN</v>
          </cell>
        </row>
        <row r="1074">
          <cell r="B1074" t="str">
            <v>I40900 WB ZU ERZEUGUNGS-,GEWINNUNGS-U.BEZUGSANLAGEN</v>
          </cell>
        </row>
        <row r="1075">
          <cell r="B1075" t="str">
            <v>I44000 UMSPANNUNGS-,SPEICHERUNGS-U.DRUCKREGELANLAGEN</v>
          </cell>
        </row>
        <row r="1076">
          <cell r="B1076" t="str">
            <v>I44001 AUFWERTUNG UMSPANNUNGS-,SPEICHERUNGS-U.DRUCKREGEL</v>
          </cell>
        </row>
        <row r="1077">
          <cell r="B1077" t="str">
            <v>I44900 WB ZU UMSPANNUNGS-SPEICHER.-U.DRUCKREGELUNGSANL.</v>
          </cell>
        </row>
        <row r="1078">
          <cell r="B1078" t="str">
            <v>I45000 LEITUNGSNETZ UND HAUSANSCHLUESSE</v>
          </cell>
        </row>
        <row r="1079">
          <cell r="B1079" t="str">
            <v>I45001 AUFWERTUNG LEITUNGSNETZ UND HAUSANSCHLUESSE</v>
          </cell>
        </row>
        <row r="1080">
          <cell r="B1080" t="str">
            <v>I45900 WB ZU LEITUNGSNETZ UND HAUSANSCHLÜSSE</v>
          </cell>
        </row>
        <row r="1081">
          <cell r="B1081" t="str">
            <v>I46000 ZAEHLER</v>
          </cell>
        </row>
        <row r="1082">
          <cell r="B1082" t="str">
            <v>I46001 AUFWERTUNG ZAEHLER</v>
          </cell>
        </row>
        <row r="1083">
          <cell r="B1083" t="str">
            <v>I46100 GERINGWERTIGE WIRTSCHAFTSGÜTER (ZÄHLER)</v>
          </cell>
        </row>
        <row r="1084">
          <cell r="B1084" t="str">
            <v>I46900 WB AUF ZÄHLERN</v>
          </cell>
        </row>
        <row r="1085">
          <cell r="B1085" t="str">
            <v>I57010 KORR. KONTO ZU HGB-AFA/GEWINN/VERLUSTE ANLAGENABGÄ</v>
          </cell>
        </row>
        <row r="1086">
          <cell r="B1086" t="str">
            <v>I71000 BETRIEBS-UND GESCHÄFTSAUSSTATTUNG</v>
          </cell>
        </row>
        <row r="1087">
          <cell r="B1087" t="str">
            <v>I71100 GWG (BETRIEBS-U.GESCHÄFTSAUSSTATTUNG)</v>
          </cell>
        </row>
        <row r="1088">
          <cell r="B1088" t="str">
            <v>I71900 WB ZU BETRIEBS-UND GESCHÄFTSAUSSTATTUNG</v>
          </cell>
        </row>
        <row r="1089">
          <cell r="B1089" t="str">
            <v>I71910 WB ZU LEASING</v>
          </cell>
        </row>
        <row r="1090">
          <cell r="B1090" t="str">
            <v>I76710 ANLAGEN-ABGANG-VERRECHNUNGSKONTO</v>
          </cell>
        </row>
        <row r="1091">
          <cell r="B1091" t="str">
            <v>I81000 ANLAGEN IM BAU</v>
          </cell>
        </row>
        <row r="1092">
          <cell r="B1092" t="str">
            <v>I81001 AUFWERTUNG ANLAGEN IM BAU</v>
          </cell>
        </row>
        <row r="1093">
          <cell r="B1093" t="str">
            <v>I81009 ANLAGEN IM BAU IFRIC 12</v>
          </cell>
        </row>
        <row r="1094">
          <cell r="B1094" t="str">
            <v>I90500 STADTENTWÄSSERUNG BRAUNSCHWEIG GMBH</v>
          </cell>
        </row>
        <row r="1095">
          <cell r="B1095" t="str">
            <v>Summe nicht zugeordnete Konten</v>
          </cell>
        </row>
        <row r="1096">
          <cell r="B1096" t="str">
            <v>==============================</v>
          </cell>
        </row>
        <row r="1097">
          <cell r="B1097" t="str">
            <v>Anhang</v>
          </cell>
        </row>
        <row r="1098">
          <cell r="B1098" t="str">
            <v>======</v>
          </cell>
        </row>
        <row r="1099">
          <cell r="B1099" t="str">
            <v>Haftungs-Verhältnisse</v>
          </cell>
        </row>
        <row r="1100">
          <cell r="B1100" t="str">
            <v>=====================</v>
          </cell>
        </row>
        <row r="1101">
          <cell r="B1101" t="str">
            <v>792000 EMPFANGENE UNBARE SICHERHEITEN</v>
          </cell>
        </row>
        <row r="1103">
          <cell r="B1103" t="str">
            <v>Ausgleichs-Posten für Haftungs-Verhältnisse</v>
          </cell>
        </row>
        <row r="1104">
          <cell r="B1104" t="str">
            <v>===========================================</v>
          </cell>
        </row>
        <row r="1105">
          <cell r="B1105" t="str">
            <v>793000 VERBINDLICHKEITEN A.EMPFANGENEN UNBAREN SICHERHEIT</v>
          </cell>
        </row>
        <row r="1108">
          <cell r="B1108" t="str">
            <v>Verrechnung kalkulatorische Kosten</v>
          </cell>
        </row>
        <row r="1109">
          <cell r="B1109" t="str">
            <v>==================================</v>
          </cell>
        </row>
        <row r="1110">
          <cell r="B1110" t="str">
            <v>740000 KALKULATORISCHE ABSCHREIBUNGEN</v>
          </cell>
        </row>
        <row r="1111">
          <cell r="B1111" t="str">
            <v>740100 KALKULATORISCHE ABSCHREIBUNG OHNE INDIZIERUNG</v>
          </cell>
        </row>
        <row r="1112">
          <cell r="B1112" t="str">
            <v>740200 Aufwand kalk. AfA v.WBW m. Absetzung v. Zuschüssen</v>
          </cell>
        </row>
        <row r="1113">
          <cell r="B1113" t="str">
            <v>740300 Aufwand kalk. AfA v.AHK m. Absetzung v. Zuschüssen</v>
          </cell>
        </row>
        <row r="1114">
          <cell r="B1114" t="str">
            <v>740900 KALKULATORISCHE ABSCHREIBUNGEN BW 90</v>
          </cell>
        </row>
        <row r="1115">
          <cell r="B1115" t="str">
            <v>740910 KALKULATORISCHE ABSCHREIBUNGEN BW 91</v>
          </cell>
        </row>
        <row r="1116">
          <cell r="B1116" t="str">
            <v>741100 KALKULATORISCHE ZINSEN OHNE INDIZIERUNG</v>
          </cell>
        </row>
        <row r="1117">
          <cell r="B1117" t="str">
            <v>741200 Kalk. Zinsen v. WBW m. Absetzg. v. Zuschüssen</v>
          </cell>
        </row>
        <row r="1118">
          <cell r="B1118" t="str">
            <v>741300 Kalk. Zinsen v. AHK m. Absetzg. v. Zuschüssen</v>
          </cell>
        </row>
        <row r="1119">
          <cell r="B1119" t="str">
            <v>750000 VERRECHNETE KALKULATORISCHE ABSCHREIBUNGEN</v>
          </cell>
        </row>
        <row r="1120">
          <cell r="B1120" t="str">
            <v>750100 VERRECHNUNG KALK.ABSCHREIBUNGEN OHNE INDIZIERUNG</v>
          </cell>
        </row>
        <row r="1121">
          <cell r="B1121" t="str">
            <v>750200 Verrechng.kalk. AFA v. WBW m.Absetzg. v.Zuschüssen</v>
          </cell>
        </row>
        <row r="1122">
          <cell r="B1122" t="str">
            <v>750300 Verrechng.kalk. AFA v. AHK m.Absetzg. v.Zuschüssen</v>
          </cell>
        </row>
        <row r="1123">
          <cell r="B1123" t="str">
            <v>750900 VERRECHNETE KALKULATORISCHE ABSCHREIBUNGEN BW 90</v>
          </cell>
        </row>
        <row r="1124">
          <cell r="B1124" t="str">
            <v>750910 VERRECHNETE KALKULATORISCHE ABSCHREIBUNGEN BW 91</v>
          </cell>
        </row>
        <row r="1125">
          <cell r="B1125" t="str">
            <v>751100 VERR.KALKULATORISCHE ZINSEN OHNE INDIZIERUNG</v>
          </cell>
        </row>
        <row r="1126">
          <cell r="B1126" t="str">
            <v>751200 Verr.kalk. Zinsen v. WBW m. Absetzg. v. Zuschüssen</v>
          </cell>
        </row>
        <row r="1127">
          <cell r="B1127" t="str">
            <v>751300 Verr.kalk. Zinsen v. AHK m. Absetzg. v. Zuschüssen</v>
          </cell>
        </row>
        <row r="1129">
          <cell r="B1129" t="str">
            <v>Sonstige Verrechnungen</v>
          </cell>
        </row>
        <row r="1130">
          <cell r="B1130" t="str">
            <v>======================</v>
          </cell>
        </row>
        <row r="1131">
          <cell r="B1131" t="str">
            <v>122000 NEBENGESCHAEFTE:MIETEN,PACHTEN,INSTALLATION U.A.</v>
          </cell>
        </row>
        <row r="1132">
          <cell r="B1132" t="str">
            <v>122009 VERRECHNUNG DEBITOREN:MIETEN,PACHTEN,INSTALLATION</v>
          </cell>
        </row>
        <row r="1133">
          <cell r="B1133" t="str">
            <v>156980 SONSTIGE</v>
          </cell>
        </row>
        <row r="1134">
          <cell r="B1134" t="str">
            <v>156983 VERRECHNUNG DEBITOREN: SONSTIGE</v>
          </cell>
        </row>
        <row r="1135">
          <cell r="B1135" t="str">
            <v>330000 KREDITOREN</v>
          </cell>
        </row>
        <row r="1136">
          <cell r="B1136" t="str">
            <v>330009 VERRECHNUNG KREDITOREN</v>
          </cell>
        </row>
        <row r="1137">
          <cell r="B1137" t="str">
            <v>765590 VERRECHNUNG DRUCKEREILEISTUNG</v>
          </cell>
        </row>
        <row r="1138">
          <cell r="B1138" t="str">
            <v>765690 VERRECHNUNG DRUCKEREILEISTUNG BELASTUNG</v>
          </cell>
        </row>
        <row r="1140">
          <cell r="B1140" t="str">
            <v>Aktivierte Eigenleistungen</v>
          </cell>
        </row>
        <row r="1141">
          <cell r="B1141" t="str">
            <v>==========================</v>
          </cell>
        </row>
        <row r="1142">
          <cell r="B1142" t="str">
            <v>559100 LEISTUNGSVERRECHNUNG AUF ANLAGE</v>
          </cell>
        </row>
        <row r="1143">
          <cell r="B1143" t="str">
            <v>879999 ABG. AKTIVIERTE EIGENLEISTUNGEN</v>
          </cell>
        </row>
        <row r="1145">
          <cell r="B1145" t="str">
            <v>GUV-Verrechnung</v>
          </cell>
        </row>
        <row r="1146">
          <cell r="B1146" t="str">
            <v>==================</v>
          </cell>
        </row>
        <row r="1147">
          <cell r="B1147" t="str">
            <v>413099 STROMSTEUERERLÖSE  - NUR FÜR GUVAUSWEIS -</v>
          </cell>
        </row>
        <row r="1148">
          <cell r="B1148" t="str">
            <v>421099 GASSTEUERERLÖSE  - NUR FÜR GUVAUSWEIS -</v>
          </cell>
        </row>
        <row r="1149">
          <cell r="B1149" t="str">
            <v>540099 STROMSTEUERAUFWAND  - NUR FÜR GUV-AUSWEIS -</v>
          </cell>
        </row>
        <row r="1150">
          <cell r="B1150" t="str">
            <v>541199 GASSTEUERAUFWAND  - NUR FÜR GUV-AUSWEIS -</v>
          </cell>
        </row>
        <row r="1152">
          <cell r="B1152" t="str">
            <v>Konten, die Saldo Null ausweisen müssen</v>
          </cell>
        </row>
        <row r="1153">
          <cell r="B1153" t="str">
            <v>========================================</v>
          </cell>
        </row>
        <row r="1154">
          <cell r="B1154" t="str">
            <v>765600 EINZAHLUNGEN AUS ALTFORDERUNGEN</v>
          </cell>
        </row>
        <row r="1155">
          <cell r="B1155" t="str">
            <v>765990 RUNDUNGSDIFFERENZEN EURO</v>
          </cell>
        </row>
        <row r="1156">
          <cell r="B1156" t="str">
            <v>766000 VERRECHNUNGSKTO FÜR ABBUCHUNGEN +ZAHLUNGEN</v>
          </cell>
        </row>
        <row r="1157">
          <cell r="B1157" t="str">
            <v>766200 GERINGFÜGIGE ÜBER-/UNTERZAHLUNGEN</v>
          </cell>
        </row>
        <row r="1158">
          <cell r="B1158" t="str">
            <v>789000 Bilanzgewinn/ -verlust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EZSU"/>
      <sheetName val="LLEGADA"/>
      <sheetName val="DESBASTE"/>
      <sheetName val="Control commands"/>
      <sheetName val="Assumptions"/>
      <sheetName val="Quant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BASTE"/>
      <sheetName val="PIEZSU"/>
      <sheetName val="LLEGAD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EGADA"/>
      <sheetName val="DESBASTE"/>
    </sheetNames>
    <sheetDataSet>
      <sheetData sheetId="0" refreshError="1"/>
      <sheetData sheetId="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EGADA"/>
    </sheetNames>
    <sheetDataSet>
      <sheetData sheetId="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storicData"/>
      <sheetName val="FX (OLD)"/>
      <sheetName val="LOC"/>
      <sheetName val="Control"/>
      <sheetName val="ForwardData"/>
      <sheetName val="Commentary"/>
      <sheetName val="FwdIndications"/>
      <sheetName val="GraphData"/>
      <sheetName val="Flexible FX"/>
      <sheetName val="Months FX"/>
      <sheetName val="Quarters FX"/>
      <sheetName val="MonthlyFX (OLD)"/>
      <sheetName val="QuarterlyFX (OLD)"/>
    </sheetNames>
    <sheetDataSet>
      <sheetData sheetId="0" refreshError="1">
        <row r="1">
          <cell r="A1" t="str">
            <v>Raw Energyscope Feeds: Exchange Prices</v>
          </cell>
        </row>
      </sheetData>
      <sheetData sheetId="1" refreshError="1">
        <row r="3">
          <cell r="B3" t="str">
            <v>mid</v>
          </cell>
        </row>
      </sheetData>
      <sheetData sheetId="2" refreshError="1">
        <row r="31">
          <cell r="B31" t="str">
            <v>Markets Wednesday</v>
          </cell>
          <cell r="J31" t="str">
            <v>Markets This Morning - 10:48 GMT</v>
          </cell>
        </row>
      </sheetData>
      <sheetData sheetId="3" refreshError="1">
        <row r="6">
          <cell r="F6" t="str">
            <v>Please find attached today's Morgan Stanley London Oil Commentary.Best regards,</v>
          </cell>
        </row>
        <row r="9">
          <cell r="F9" t="str">
            <v>Morgan Stanley London Oil Commentary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(2)"/>
      <sheetName val="TRIAL-New"/>
      <sheetName val="B-Sheet"/>
      <sheetName val=" BALANCE SHEET"/>
      <sheetName val=" P&amp;LOSS"/>
      <sheetName val="SCHEDULE"/>
      <sheetName val="B S"/>
      <sheetName val="P L"/>
      <sheetName val="Div. P&amp;L"/>
      <sheetName val="Iput-Oput Mth - BF &amp; DISP"/>
      <sheetName val="Input-output JCO"/>
      <sheetName val="Cost Sheet"/>
      <sheetName val="Expense Allocation"/>
      <sheetName val="Power Analysis"/>
      <sheetName val="INCR-DECR STOCK"/>
      <sheetName val="Provisions"/>
      <sheetName val=" FG VALUATION"/>
      <sheetName val="Gross RM"/>
      <sheetName val="RM LANDED PRICE "/>
      <sheetName val="RM-Inventory"/>
      <sheetName val="Interest"/>
      <sheetName val="Sheet1"/>
      <sheetName val="HO Allocations"/>
      <sheetName val="stores"/>
      <sheetName val="SALES"/>
      <sheetName val="FG TALLY"/>
      <sheetName val="D Selling"/>
      <sheetName val="I Selling "/>
      <sheetName val="POP I.P "/>
      <sheetName val="POP"/>
      <sheetName val="Salary_"/>
      <sheetName val="INVENTORY"/>
      <sheetName val="DEP. CHART-31.3.05"/>
      <sheetName val="DEP CWIP 30.06.05"/>
      <sheetName val="DEP ASSETS-30.06.05"/>
      <sheetName val=" ADDITIONS DETAILS JAN-MAR 05"/>
      <sheetName val="ADDITIONS DETAIL  OCT-DEC04"/>
      <sheetName val="Addition FA APR-JUN 05"/>
      <sheetName val="Deb"/>
      <sheetName val="AGING - 31.7"/>
      <sheetName val="Land detail"/>
      <sheetName val="New Formats &gt;&gt;&gt;&gt;"/>
      <sheetName val="Inp-out DI"/>
      <sheetName val="Exp DI"/>
      <sheetName val="DI sale"/>
      <sheetName val="Debtors"/>
      <sheetName val="Inventory- New Format"/>
      <sheetName val="Depriciation"/>
      <sheetName val="rm summary"/>
      <sheetName val="_FG VALUATION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7">
          <cell r="E7">
            <v>75990507.034638599</v>
          </cell>
        </row>
        <row r="8">
          <cell r="E8">
            <v>314876237.2986204</v>
          </cell>
        </row>
        <row r="10">
          <cell r="E10">
            <v>9290562.6474387497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"/>
      <sheetName val="Feuil2"/>
      <sheetName val="CRD DEC 2007"/>
      <sheetName val="CRd2007,12"/>
      <sheetName val="CRD e2"/>
      <sheetName val="CRD-E2-2007"/>
      <sheetName val="CRD-Budget-2007"/>
      <sheetName val="récurrent"/>
      <sheetName val="Analyses par pays "/>
      <sheetName val="DONNEES TOP"/>
      <sheetName val="DONNEES LOCALES"/>
      <sheetName val="DONNEES NOLOCALES"/>
      <sheetName val="CRd2007,09)"/>
      <sheetName val="CRDe2"/>
      <sheetName val="CRD sept07"/>
      <sheetName val="CRd B 2008 par div"/>
      <sheetName val="Feuil1"/>
    </sheetNames>
    <sheetDataSet>
      <sheetData sheetId="0" refreshError="1">
        <row r="1">
          <cell r="D1" t="str">
            <v>CA=FORECAST</v>
          </cell>
        </row>
        <row r="2">
          <cell r="D2" t="str">
            <v>DP=2007.10</v>
          </cell>
        </row>
        <row r="3">
          <cell r="D3" t="str">
            <v>PE=2007.10</v>
          </cell>
        </row>
        <row r="5">
          <cell r="D5" t="str">
            <v>RU sum [All values]</v>
          </cell>
        </row>
        <row r="6">
          <cell r="D6" t="str">
            <v>ORU sum [All values]</v>
          </cell>
        </row>
        <row r="7">
          <cell r="D7" t="str">
            <v>VP sum [All values]</v>
          </cell>
        </row>
        <row r="8">
          <cell r="D8" t="str">
            <v>SC=AS2000</v>
          </cell>
        </row>
        <row r="9">
          <cell r="D9" t="str">
            <v>VA=A1</v>
          </cell>
        </row>
        <row r="10">
          <cell r="D10" t="str">
            <v>FL=F99</v>
          </cell>
        </row>
        <row r="11">
          <cell r="D11" t="str">
            <v>CC=EUR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"/>
      <sheetName val="bilan 2007-12"/>
      <sheetName val="NEW BILAN"/>
      <sheetName val="ANALYSE "/>
      <sheetName val="VT passage 2006-sept"/>
      <sheetName val="passage 2006-sept"/>
      <sheetName val="SyntheseClotureBilan-PSI"/>
      <sheetName val="Referentials I&amp;M"/>
      <sheetName val="Drop down lists"/>
    </sheetNames>
    <sheetDataSet>
      <sheetData sheetId="0" refreshError="1">
        <row r="6">
          <cell r="E6" t="str">
            <v>CA=ACTUAL</v>
          </cell>
          <cell r="J6" t="str">
            <v>CA=FORECAST</v>
          </cell>
          <cell r="AH6" t="str">
            <v>CA=ACTUAL</v>
          </cell>
          <cell r="AI6" t="str">
            <v>CA=ACTUAL</v>
          </cell>
        </row>
        <row r="7">
          <cell r="E7" t="str">
            <v>DP=2006.12</v>
          </cell>
          <cell r="J7" t="str">
            <v>DP=2007.10</v>
          </cell>
          <cell r="AH7" t="str">
            <v>DP=2007.12</v>
          </cell>
          <cell r="AI7" t="str">
            <v>DP=2007.12</v>
          </cell>
        </row>
        <row r="8">
          <cell r="E8" t="str">
            <v>PE=2006.12</v>
          </cell>
          <cell r="J8" t="str">
            <v>PE=2007.10</v>
          </cell>
          <cell r="AH8" t="str">
            <v>PE=2007.12</v>
          </cell>
          <cell r="AI8" t="str">
            <v>PE=2007.12</v>
          </cell>
        </row>
        <row r="9">
          <cell r="E9" t="str">
            <v>AU sum [All values]</v>
          </cell>
          <cell r="J9" t="str">
            <v>AU sum [All values]</v>
          </cell>
          <cell r="AH9" t="str">
            <v>AU sum [All values]</v>
          </cell>
          <cell r="AI9" t="str">
            <v>AU sum [All values]</v>
          </cell>
        </row>
        <row r="11">
          <cell r="E11" t="str">
            <v>ORU sum [All values]</v>
          </cell>
          <cell r="J11" t="str">
            <v>ORU sum [All values]</v>
          </cell>
          <cell r="AH11" t="str">
            <v>ORU sum [All values]</v>
          </cell>
          <cell r="AI11" t="str">
            <v>ORU sum [All values]</v>
          </cell>
        </row>
        <row r="12">
          <cell r="E12" t="str">
            <v>VP sum [All values]</v>
          </cell>
          <cell r="J12" t="str">
            <v>VP sum [All values]</v>
          </cell>
          <cell r="AH12" t="str">
            <v>VP sum [All values]</v>
          </cell>
          <cell r="AI12" t="str">
            <v>VP sum [All values]</v>
          </cell>
        </row>
        <row r="13">
          <cell r="E13" t="str">
            <v>SC=AS2000</v>
          </cell>
          <cell r="J13" t="str">
            <v>SC=AS2000</v>
          </cell>
          <cell r="AH13" t="str">
            <v>SC=AS2000</v>
          </cell>
          <cell r="AI13" t="str">
            <v>SC=AS2000</v>
          </cell>
        </row>
        <row r="14">
          <cell r="E14" t="str">
            <v>VA=HISTO-3</v>
          </cell>
          <cell r="J14" t="str">
            <v>VA=A1</v>
          </cell>
          <cell r="AH14" t="str">
            <v>VA=a1</v>
          </cell>
          <cell r="AI14" t="str">
            <v>VA=a1</v>
          </cell>
        </row>
        <row r="15">
          <cell r="E15" t="str">
            <v>CC=EUR</v>
          </cell>
          <cell r="J15" t="str">
            <v>CC=EUR</v>
          </cell>
          <cell r="AH15" t="str">
            <v>CC=EUR</v>
          </cell>
          <cell r="AI15" t="str">
            <v>CC=EUR</v>
          </cell>
        </row>
        <row r="17">
          <cell r="E17" t="str">
            <v>FL=F99</v>
          </cell>
          <cell r="J17" t="str">
            <v>FL=F99</v>
          </cell>
          <cell r="AH17" t="str">
            <v>FL=F99</v>
          </cell>
          <cell r="AI17" t="str">
            <v>FL=F10</v>
          </cell>
        </row>
        <row r="20">
          <cell r="AD20" t="str">
            <v>CA=FORECAST</v>
          </cell>
        </row>
        <row r="21">
          <cell r="AD21" t="str">
            <v>DP=2007.10</v>
          </cell>
        </row>
        <row r="22">
          <cell r="AD22" t="str">
            <v>PE=2007.10</v>
          </cell>
        </row>
        <row r="23">
          <cell r="AD23" t="str">
            <v>AU sum [All values]</v>
          </cell>
        </row>
        <row r="25">
          <cell r="AD25" t="str">
            <v>ORU sum [All values]</v>
          </cell>
        </row>
        <row r="26">
          <cell r="AD26" t="str">
            <v>VP sum [All values]</v>
          </cell>
        </row>
        <row r="27">
          <cell r="AD27" t="str">
            <v>SC=AS2000</v>
          </cell>
        </row>
        <row r="28">
          <cell r="AD28" t="str">
            <v>VA=a1</v>
          </cell>
        </row>
        <row r="29">
          <cell r="AD29" t="str">
            <v>CC=EUR</v>
          </cell>
        </row>
        <row r="31">
          <cell r="AD31" t="str">
            <v>FL=F10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1. Local Hypothesys"/>
      <sheetName val="2. Budget-Plan"/>
      <sheetName val="3. Fin Indic Synthesis"/>
      <sheetName val="4. Bridge CAFop"/>
      <sheetName val="5. Sensitivity"/>
      <sheetName val="6. NFD Variation"/>
      <sheetName val="7. Investments"/>
      <sheetName val="8. CO2"/>
      <sheetName val="9. Trade"/>
      <sheetName val="10. HR"/>
      <sheetName val="11. Business Lines"/>
      <sheetName val="12. Head Office Expenses"/>
      <sheetName val="13. Bridge SG&amp;A"/>
      <sheetName val="Estimate 2"/>
      <sheetName val="Budget"/>
      <sheetName val="PARAM"/>
    </sheetNames>
    <sheetDataSet>
      <sheetData sheetId="0"/>
      <sheetData sheetId="1">
        <row r="54">
          <cell r="C54">
            <v>1.26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rogation"/>
      <sheetName val="CAProforma"/>
      <sheetName val="CAStrateg"/>
      <sheetName val="recap"/>
      <sheetName val="taux"/>
      <sheetName val="taux (2)"/>
      <sheetName val="Conditions 03"/>
      <sheetName val="Hypothèses"/>
      <sheetName val="HistoricData"/>
      <sheetName val="FX (OLD)"/>
      <sheetName val="LOC"/>
      <sheetName val="Control"/>
      <sheetName val="ForwardData"/>
      <sheetName val="ugt"/>
      <sheetName val="Fin An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ort"/>
      <sheetName val="SBA-Aufteilung"/>
      <sheetName val="Ergebnis"/>
      <sheetName val="PlandatenGrunddaten"/>
      <sheetName val="Istdaten"/>
      <sheetName val="Sensitivitäten"/>
      <sheetName val="Nebenrechnung"/>
      <sheetName val="Verlauf Personal"/>
      <sheetName val="Daten_Siemens"/>
      <sheetName val="Daten_Siemens (HA)"/>
      <sheetName val="Daten_Siemens (NA)"/>
      <sheetName val="ATZ"/>
      <sheetName val="Mitarbeiter"/>
      <sheetName val="Fahrzeug Kosten"/>
      <sheetName val="Fahrzeugpark"/>
      <sheetName val="Anlagen Lichtpunkte"/>
      <sheetName val="Straßen"/>
      <sheetName val="Fzg-Bestand AG 1 ÖB"/>
      <sheetName val="Fzg-Bestand  AG 2 LSA"/>
      <sheetName val="Fzg-Bestand AG 3 VZ"/>
      <sheetName val="Fzg-Bestand AG 0"/>
      <sheetName val="leer"/>
      <sheetName val="Historie"/>
    </sheetNames>
    <sheetDataSet>
      <sheetData sheetId="0" refreshError="1">
        <row r="57">
          <cell r="J57" t="str">
            <v>Lichtsignalanlagen</v>
          </cell>
        </row>
        <row r="58">
          <cell r="J58" t="str">
            <v>Öffentliche Beleuchtung</v>
          </cell>
        </row>
        <row r="59">
          <cell r="J59" t="str">
            <v>Verkehrsmanagement</v>
          </cell>
        </row>
        <row r="60">
          <cell r="J60" t="str">
            <v>Verkehrszeichen und -einrichtungen</v>
          </cell>
        </row>
        <row r="61">
          <cell r="J61" t="str">
            <v>Parkraumbewirtschaftung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tract Vector provisoire"/>
      <sheetName val="détail investissements - DEVISE"/>
      <sheetName val="P&amp;L PBZ - DEVISE"/>
      <sheetName val="TEFN PBZ - DEVISE"/>
      <sheetName val="PBZ - DEVISE LOCALE"/>
      <sheetName val="!conversion!"/>
      <sheetName val="PBZ - en EURO"/>
      <sheetName val="synthèse présentation €"/>
      <sheetName val="comparaison plan à plan €"/>
      <sheetName val="détail investissements €"/>
    </sheetNames>
    <sheetDataSet>
      <sheetData sheetId="0"/>
      <sheetData sheetId="1"/>
      <sheetData sheetId="2"/>
      <sheetData sheetId="3"/>
      <sheetData sheetId="4">
        <row r="4">
          <cell r="E4" t="str">
            <v>U3SV005</v>
          </cell>
        </row>
        <row r="6">
          <cell r="E6" t="str">
            <v>2012_40P_BASE</v>
          </cell>
        </row>
        <row r="7">
          <cell r="E7" t="str">
            <v>EUR</v>
          </cell>
        </row>
        <row r="8">
          <cell r="E8" t="str">
            <v>0BASE</v>
          </cell>
        </row>
        <row r="9">
          <cell r="E9" t="str">
            <v>PBZ</v>
          </cell>
        </row>
        <row r="10">
          <cell r="E10" t="str">
            <v>NA</v>
          </cell>
        </row>
        <row r="11">
          <cell r="E11" t="str">
            <v>EUR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t"/>
      <sheetName val="uo"/>
      <sheetName val="Feuil2"/>
      <sheetName val="Feuil3"/>
      <sheetName val="PBZ - DEVISE LOCA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Sheet"/>
      <sheetName val="Balance Sheet"/>
      <sheetName val="Profit And Loss"/>
      <sheetName val="Notes to Accounts"/>
      <sheetName val="Notes to P &amp; L"/>
      <sheetName val="Notes  to Accounts"/>
      <sheetName val="Share Capital"/>
      <sheetName val="Reserves &amp; Surplus"/>
      <sheetName val="Long-Term Borrowings"/>
      <sheetName val="Long Term Provisions"/>
      <sheetName val="Short-Term Borrowings "/>
      <sheetName val="Other Current Liabilities"/>
      <sheetName val="Short Term Provisions"/>
      <sheetName val="NCA_Fixed as"/>
      <sheetName val="NCA-Non Current Investments"/>
      <sheetName val="NCA-Lng trm loans &amp; adv "/>
      <sheetName val="NCA-Other nca"/>
      <sheetName val="Current Investments"/>
      <sheetName val="Inventories"/>
      <sheetName val="Trade Receivables"/>
      <sheetName val="Cash and cash equivalents"/>
      <sheetName val="Short term loans and adv"/>
      <sheetName val="Other Curr Assets"/>
      <sheetName val="Cont liabilities and commitment"/>
      <sheetName val="Notes"/>
      <sheetName val="Revenue From operation"/>
      <sheetName val="Other Income"/>
      <sheetName val="Finance Cost"/>
      <sheetName val="P &amp; L Comparison with Old SchVI"/>
      <sheetName val="Other Long Term Liabilities"/>
      <sheetName val="f1"/>
    </sheetNames>
    <sheetDataSet>
      <sheetData sheetId="0">
        <row r="2">
          <cell r="G2">
            <v>41364</v>
          </cell>
        </row>
      </sheetData>
      <sheetData sheetId="1"/>
      <sheetData sheetId="2"/>
      <sheetData sheetId="3"/>
      <sheetData sheetId="4">
        <row r="73">
          <cell r="D73">
            <v>4983210</v>
          </cell>
        </row>
      </sheetData>
      <sheetData sheetId="5" refreshError="1"/>
      <sheetData sheetId="6" refreshError="1"/>
      <sheetData sheetId="7" refreshError="1"/>
      <sheetData sheetId="8">
        <row r="2">
          <cell r="K2" t="str">
            <v>Yes</v>
          </cell>
        </row>
        <row r="3">
          <cell r="K3" t="str">
            <v>No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INT A REVOIR"/>
      <sheetName val="Plan d'action "/>
      <sheetName val="Notions Excel"/>
      <sheetName val="Feuil1"/>
      <sheetName val="Feuil1 bis"/>
      <sheetName val=" Parameters"/>
      <sheetName val="不打印"/>
      <sheetName val="Main banks"/>
      <sheetName val="U13002"/>
      <sheetName val="Long-Term Borrowings"/>
    </sheetNames>
    <sheetDataSet>
      <sheetData sheetId="0"/>
      <sheetData sheetId="1"/>
      <sheetData sheetId="2"/>
      <sheetData sheetId="3">
        <row r="4">
          <cell r="A4" t="str">
            <v>Piloter</v>
          </cell>
          <cell r="F4" t="str">
            <v>Révision An. Envt</v>
          </cell>
        </row>
        <row r="5">
          <cell r="F5" t="str">
            <v>Révision An. Sécu</v>
          </cell>
        </row>
        <row r="6">
          <cell r="F6" t="str">
            <v>Non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ds SW"/>
      <sheetName val="Wards West2"/>
      <sheetName val="Wards West"/>
      <sheetName val="Wards NW"/>
      <sheetName val="Para"/>
      <sheetName val="WWP 1"/>
      <sheetName val="WWP (2)"/>
      <sheetName val="WWP (2.1)"/>
      <sheetName val="WWP (3)"/>
      <sheetName val="WWP (3.1)"/>
      <sheetName val="WWP (3.2)"/>
      <sheetName val="WWP (3.3)"/>
      <sheetName val="WWP (3.4)"/>
      <sheetName val="WWP (3.4) (for gis)"/>
      <sheetName val="WWP (3.5)"/>
      <sheetName val="WWP (3.5) (Dem)"/>
      <sheetName val="Param"/>
      <sheetName val="WB-PB-LU-V02"/>
      <sheetName val="Pivot WBPBLU"/>
      <sheetName val="DDA"/>
      <sheetName val="1 State"/>
      <sheetName val="State Sum"/>
      <sheetName val="2 Dist West"/>
      <sheetName val="West Sum"/>
      <sheetName val="3 Dist SW"/>
      <sheetName val="SW Sum"/>
      <sheetName val="3 Dist SW (2)"/>
      <sheetName val="SW Sum (2)"/>
      <sheetName val="4 Dist NW"/>
      <sheetName val="NW Sum"/>
      <sheetName val="2 Dist Po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B1">
            <v>135</v>
          </cell>
        </row>
        <row r="2">
          <cell r="B2">
            <v>1.1499999999999999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Format Sommaire"/>
      <sheetName val="TRANSLATION"/>
      <sheetName val="R_COMEX PBZ"/>
      <sheetName val="R_COMEX Transfo"/>
      <sheetName val="List"/>
      <sheetName val="Para"/>
    </sheetNames>
    <sheetDataSet>
      <sheetData sheetId="0" refreshError="1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ire"/>
      <sheetName val="CV Axe Div"/>
      <sheetName val="CV Axe Géo"/>
      <sheetName val="CV Axe Scn"/>
      <sheetName val="2000+"/>
      <sheetName val="Valorisation"/>
      <sheetName val="ResNet"/>
      <sheetName val="Inv"/>
      <sheetName val="Inv. Xce"/>
      <sheetName val="Acc.travail"/>
      <sheetName val="minos"/>
      <sheetName val="Poids PIB"/>
      <sheetName val="PAO zone 2000-06"/>
      <sheetName val="2000-06"/>
      <sheetName val="graphs PFR"/>
      <sheetName val="RépT USA Chine"/>
      <sheetName val="FCF 2002-11"/>
      <sheetName val="CAF -&gt; FCF"/>
      <sheetName val="PBZ VE"/>
      <sheetName val="PBZ Eau"/>
      <sheetName val="PBZ Propr."/>
      <sheetName val="PBZ NRJ"/>
      <sheetName val="PBZ Transp."/>
      <sheetName val="Comp. PLT 2005"/>
      <sheetName val="0. Invest"/>
      <sheetName val="1. EFN"/>
      <sheetName val="2. CE ROCE"/>
      <sheetName val="3. PAO txMarge"/>
      <sheetName val="4. Intensité cap."/>
      <sheetName val="5 Bulles Div &amp; Géo"/>
      <sheetName val="CV Détail Zones"/>
      <sheetName val="6. Axe Géo &amp; Div"/>
      <sheetName val="7. PAO Div"/>
      <sheetName val="Axe Géo-Div"/>
      <sheetName val="Anx1 Rating"/>
      <sheetName val="Anx2 Chiffres clés"/>
      <sheetName val="hydraulical model"/>
    </sheetNames>
    <sheetDataSet>
      <sheetData sheetId="0"/>
      <sheetData sheetId="1" refreshError="1">
        <row r="5">
          <cell r="M5" t="str">
            <v>PBZ</v>
          </cell>
        </row>
        <row r="6">
          <cell r="M6" t="str">
            <v>PBZ Dalkia</v>
          </cell>
          <cell r="N6" t="str">
            <v>Dalkia</v>
          </cell>
          <cell r="O6">
            <v>5463.6125451479993</v>
          </cell>
          <cell r="P6">
            <v>6235.2</v>
          </cell>
          <cell r="Q6">
            <v>6307.4850316069806</v>
          </cell>
          <cell r="R6">
            <v>6512.6617993243617</v>
          </cell>
          <cell r="S6">
            <v>6735.067763197465</v>
          </cell>
          <cell r="T6">
            <v>6946.1656422915203</v>
          </cell>
          <cell r="U6">
            <v>7133.3679568471325</v>
          </cell>
        </row>
        <row r="7">
          <cell r="M7" t="str">
            <v>PBZ Veolia Eau</v>
          </cell>
          <cell r="N7" t="str">
            <v>Veolia Eau</v>
          </cell>
          <cell r="O7">
            <v>9102.8002260569992</v>
          </cell>
          <cell r="P7">
            <v>10006.299999999999</v>
          </cell>
          <cell r="Q7">
            <v>10533.672659930646</v>
          </cell>
          <cell r="R7">
            <v>10871.926370662555</v>
          </cell>
          <cell r="S7">
            <v>11250.447729334684</v>
          </cell>
          <cell r="T7">
            <v>11455.829824437442</v>
          </cell>
          <cell r="U7">
            <v>11649.327469238135</v>
          </cell>
        </row>
        <row r="8">
          <cell r="M8" t="str">
            <v>PBZ Veolia Propreté</v>
          </cell>
          <cell r="N8" t="str">
            <v>Veolia Propreté</v>
          </cell>
          <cell r="O8">
            <v>6668.0769759408777</v>
          </cell>
          <cell r="P8">
            <v>7304.5</v>
          </cell>
          <cell r="Q8">
            <v>8090.5498373939045</v>
          </cell>
          <cell r="R8">
            <v>8552.4352196677046</v>
          </cell>
          <cell r="S8">
            <v>9015.8698631241532</v>
          </cell>
          <cell r="T8">
            <v>9373.3631757789335</v>
          </cell>
          <cell r="U8">
            <v>9784.1406454476219</v>
          </cell>
        </row>
        <row r="9">
          <cell r="M9" t="str">
            <v>PBZ Veolia Transport</v>
          </cell>
          <cell r="N9" t="str">
            <v>Veolia Transport</v>
          </cell>
          <cell r="O9">
            <v>4223.9120475169993</v>
          </cell>
          <cell r="P9">
            <v>4866.5</v>
          </cell>
          <cell r="Q9">
            <v>5224.4829342900248</v>
          </cell>
          <cell r="R9">
            <v>5384.4260510442145</v>
          </cell>
          <cell r="S9">
            <v>5554.4529488889266</v>
          </cell>
          <cell r="T9">
            <v>5708.637465714688</v>
          </cell>
          <cell r="U9">
            <v>5864.2529457896817</v>
          </cell>
        </row>
        <row r="10">
          <cell r="M10" t="str">
            <v>PBZ Proactiva</v>
          </cell>
          <cell r="N10" t="str">
            <v>Proactiva</v>
          </cell>
          <cell r="O10">
            <v>112.068</v>
          </cell>
          <cell r="P10">
            <v>116.3</v>
          </cell>
          <cell r="Q10">
            <v>119.3982498875549</v>
          </cell>
          <cell r="R10">
            <v>121.04932226679334</v>
          </cell>
          <cell r="S10">
            <v>123.62454622353677</v>
          </cell>
          <cell r="T10">
            <v>125.29760730524707</v>
          </cell>
          <cell r="U10">
            <v>127.10250030317842</v>
          </cell>
        </row>
        <row r="11">
          <cell r="M11" t="str">
            <v>PBZ Holdings</v>
          </cell>
          <cell r="N11" t="str">
            <v>Holdings</v>
          </cell>
          <cell r="O11">
            <v>0</v>
          </cell>
          <cell r="P11">
            <v>0</v>
          </cell>
          <cell r="Q11">
            <v>321.85147303747686</v>
          </cell>
          <cell r="R11">
            <v>334.72553195897598</v>
          </cell>
          <cell r="S11">
            <v>348.11455323733503</v>
          </cell>
          <cell r="T11">
            <v>362.03913536682842</v>
          </cell>
          <cell r="U11">
            <v>376.52070078150155</v>
          </cell>
        </row>
        <row r="12">
          <cell r="M12" t="str">
            <v>Total</v>
          </cell>
          <cell r="O12">
            <v>25570.469794662873</v>
          </cell>
          <cell r="P12">
            <v>28528.799999999999</v>
          </cell>
          <cell r="Q12">
            <v>30597.440186146592</v>
          </cell>
          <cell r="R12">
            <v>31777.224294924603</v>
          </cell>
          <cell r="S12">
            <v>33027.577404006101</v>
          </cell>
          <cell r="T12">
            <v>33971.332850894665</v>
          </cell>
          <cell r="U12">
            <v>34934.71221840725</v>
          </cell>
        </row>
        <row r="14">
          <cell r="M14" t="str">
            <v>PBZ &amp; Xce 1</v>
          </cell>
        </row>
        <row r="15">
          <cell r="M15" t="str">
            <v>PBZ &amp; Xce 1 Dalkia</v>
          </cell>
          <cell r="N15" t="str">
            <v>Dalkia</v>
          </cell>
          <cell r="O15">
            <v>5463.6125451479993</v>
          </cell>
          <cell r="P15">
            <v>6235.2</v>
          </cell>
          <cell r="Q15">
            <v>6896.5078798284185</v>
          </cell>
          <cell r="R15">
            <v>7807.8553733134831</v>
          </cell>
          <cell r="S15">
            <v>8802.5096976292825</v>
          </cell>
          <cell r="T15">
            <v>9596.9449747421168</v>
          </cell>
          <cell r="U15">
            <v>10210.718828719073</v>
          </cell>
        </row>
        <row r="16">
          <cell r="M16" t="str">
            <v>PBZ &amp; Xce 1 Veolia Eau</v>
          </cell>
          <cell r="N16" t="str">
            <v>Veolia Eau</v>
          </cell>
          <cell r="O16">
            <v>9102.8002260569992</v>
          </cell>
          <cell r="P16">
            <v>10006.299999999999</v>
          </cell>
          <cell r="Q16">
            <v>10789.177258389727</v>
          </cell>
          <cell r="R16">
            <v>11583.04736834854</v>
          </cell>
          <cell r="S16">
            <v>12488.296128349226</v>
          </cell>
          <cell r="T16">
            <v>13219.621083713701</v>
          </cell>
          <cell r="U16">
            <v>14169.923652882153</v>
          </cell>
        </row>
        <row r="17">
          <cell r="M17" t="str">
            <v>PBZ &amp; Xce 1 Veolia Propreté</v>
          </cell>
          <cell r="N17" t="str">
            <v>Veolia Propreté</v>
          </cell>
          <cell r="O17">
            <v>6668.0769759408777</v>
          </cell>
          <cell r="P17">
            <v>7304.5</v>
          </cell>
          <cell r="Q17">
            <v>8363.5458058514414</v>
          </cell>
          <cell r="R17">
            <v>9039.0158863003089</v>
          </cell>
          <cell r="S17">
            <v>9760.271854182196</v>
          </cell>
          <cell r="T17">
            <v>10609.528475624251</v>
          </cell>
          <cell r="U17">
            <v>11465.711646269372</v>
          </cell>
        </row>
        <row r="18">
          <cell r="M18" t="str">
            <v>PBZ &amp; Xce 1 Veolia Transport</v>
          </cell>
          <cell r="N18" t="str">
            <v>Veolia Transport</v>
          </cell>
          <cell r="O18">
            <v>4223.9120475169993</v>
          </cell>
          <cell r="P18">
            <v>4866.5</v>
          </cell>
          <cell r="Q18">
            <v>5197.4338907007386</v>
          </cell>
          <cell r="R18">
            <v>5434.2130464120719</v>
          </cell>
          <cell r="S18">
            <v>5712.1004264496405</v>
          </cell>
          <cell r="T18">
            <v>5975.2149906237955</v>
          </cell>
          <cell r="U18">
            <v>6249.9506550208689</v>
          </cell>
        </row>
        <row r="19">
          <cell r="M19" t="str">
            <v>PBZ &amp; Xce 1 Proactiva</v>
          </cell>
          <cell r="N19" t="str">
            <v>Proactiva</v>
          </cell>
          <cell r="O19">
            <v>112.068</v>
          </cell>
          <cell r="P19">
            <v>116.3</v>
          </cell>
          <cell r="Q19">
            <v>125.0482498875549</v>
          </cell>
          <cell r="R19">
            <v>139.04357226679335</v>
          </cell>
          <cell r="S19">
            <v>153.37254622353677</v>
          </cell>
          <cell r="T19">
            <v>163.54718730524706</v>
          </cell>
          <cell r="U19">
            <v>173.20112470317844</v>
          </cell>
        </row>
        <row r="20">
          <cell r="M20" t="str">
            <v>PBZ &amp; Xce 1 Holdings</v>
          </cell>
          <cell r="N20" t="str">
            <v>Holdings</v>
          </cell>
          <cell r="O20">
            <v>0</v>
          </cell>
          <cell r="P20">
            <v>0</v>
          </cell>
          <cell r="Q20">
            <v>321.85147303747686</v>
          </cell>
          <cell r="R20">
            <v>334.72553195897598</v>
          </cell>
          <cell r="S20">
            <v>348.11455323733503</v>
          </cell>
          <cell r="T20">
            <v>362.03913536682842</v>
          </cell>
          <cell r="U20">
            <v>376.52070078150155</v>
          </cell>
        </row>
        <row r="21">
          <cell r="M21" t="str">
            <v>Total</v>
          </cell>
          <cell r="O21">
            <v>25570.469794662873</v>
          </cell>
          <cell r="P21">
            <v>28528.799999999999</v>
          </cell>
          <cell r="Q21">
            <v>31693.564557695365</v>
          </cell>
          <cell r="R21">
            <v>34337.900778600168</v>
          </cell>
          <cell r="S21">
            <v>37264.665206071215</v>
          </cell>
          <cell r="T21">
            <v>39926.895847375941</v>
          </cell>
          <cell r="U21">
            <v>42646.026608376145</v>
          </cell>
        </row>
        <row r="23">
          <cell r="M23" t="str">
            <v>PBZ &amp; Xce 1 &amp; Xce 2</v>
          </cell>
        </row>
        <row r="24">
          <cell r="M24" t="str">
            <v>PBZ &amp; Xce 1 &amp; Xce 2 Dalkia</v>
          </cell>
          <cell r="N24" t="str">
            <v>Dalkia</v>
          </cell>
          <cell r="O24">
            <v>5463.6125451479993</v>
          </cell>
          <cell r="P24">
            <v>6235.2</v>
          </cell>
          <cell r="Q24">
            <v>7010.8030256636521</v>
          </cell>
          <cell r="R24">
            <v>8115.273457992007</v>
          </cell>
          <cell r="S24">
            <v>9171.1760615083567</v>
          </cell>
          <cell r="T24">
            <v>10052.156087547686</v>
          </cell>
          <cell r="U24">
            <v>10820.283887318557</v>
          </cell>
        </row>
        <row r="25">
          <cell r="M25" t="str">
            <v>PBZ &amp; Xce 1 &amp; Xce 2 Veolia Eau</v>
          </cell>
          <cell r="N25" t="str">
            <v>Veolia Eau</v>
          </cell>
          <cell r="O25">
            <v>9102.8002260569992</v>
          </cell>
          <cell r="P25">
            <v>10006.299999999999</v>
          </cell>
          <cell r="Q25">
            <v>11012.677258389727</v>
          </cell>
          <cell r="R25">
            <v>12135.187368348539</v>
          </cell>
          <cell r="S25">
            <v>13062.276128349225</v>
          </cell>
          <cell r="T25">
            <v>13821.301083713701</v>
          </cell>
          <cell r="U25">
            <v>14797.403652882153</v>
          </cell>
        </row>
        <row r="26">
          <cell r="M26" t="str">
            <v>PBZ &amp; Xce 1 &amp; Xce 2 Veolia Propreté</v>
          </cell>
          <cell r="N26" t="str">
            <v>Veolia Propreté</v>
          </cell>
          <cell r="O26">
            <v>6668.0769759408777</v>
          </cell>
          <cell r="P26">
            <v>7304.5</v>
          </cell>
          <cell r="Q26">
            <v>9143.36429860112</v>
          </cell>
          <cell r="R26">
            <v>10603.816607669098</v>
          </cell>
          <cell r="S26">
            <v>11536.410322343627</v>
          </cell>
          <cell r="T26">
            <v>12506.478871434087</v>
          </cell>
          <cell r="U26">
            <v>13435.06509322728</v>
          </cell>
        </row>
        <row r="27">
          <cell r="M27" t="str">
            <v>PBZ &amp; Xce 1 &amp; Xce 2 Veolia Transport</v>
          </cell>
          <cell r="N27" t="str">
            <v>Veolia Transport</v>
          </cell>
          <cell r="O27">
            <v>4223.9120475169993</v>
          </cell>
          <cell r="P27">
            <v>4866.5</v>
          </cell>
          <cell r="Q27">
            <v>5552.630699453458</v>
          </cell>
          <cell r="R27">
            <v>6200.1479885418867</v>
          </cell>
          <cell r="S27">
            <v>6779.804327158964</v>
          </cell>
          <cell r="T27">
            <v>7364.5804182776528</v>
          </cell>
          <cell r="U27">
            <v>7848.5691754201089</v>
          </cell>
        </row>
        <row r="28">
          <cell r="M28" t="str">
            <v>PBZ &amp; Xce 1 &amp; Xce 2 Proactiva</v>
          </cell>
          <cell r="N28" t="str">
            <v>Proactiva</v>
          </cell>
          <cell r="O28">
            <v>112.068</v>
          </cell>
          <cell r="P28">
            <v>116.3</v>
          </cell>
          <cell r="Q28">
            <v>125.0482498875549</v>
          </cell>
          <cell r="R28">
            <v>139.04357226679335</v>
          </cell>
          <cell r="S28">
            <v>153.37254622353677</v>
          </cell>
          <cell r="T28">
            <v>163.54718730524706</v>
          </cell>
          <cell r="U28">
            <v>173.20112470317844</v>
          </cell>
        </row>
        <row r="29">
          <cell r="M29" t="str">
            <v>PBZ &amp; Xce 1 &amp; Xce 2 Holdings</v>
          </cell>
          <cell r="N29" t="str">
            <v>Holdings</v>
          </cell>
          <cell r="O29">
            <v>0</v>
          </cell>
          <cell r="P29">
            <v>0</v>
          </cell>
          <cell r="Q29">
            <v>321.85147303747686</v>
          </cell>
          <cell r="R29">
            <v>334.72553195897598</v>
          </cell>
          <cell r="S29">
            <v>348.11455323733503</v>
          </cell>
          <cell r="T29">
            <v>362.03913536682842</v>
          </cell>
          <cell r="U29">
            <v>376.52070078150155</v>
          </cell>
        </row>
        <row r="30">
          <cell r="M30" t="str">
            <v>Total</v>
          </cell>
          <cell r="O30">
            <v>25570.469794662873</v>
          </cell>
          <cell r="P30">
            <v>28528.799999999999</v>
          </cell>
          <cell r="Q30">
            <v>33166.375005032998</v>
          </cell>
          <cell r="R30">
            <v>37528.194526777297</v>
          </cell>
          <cell r="S30">
            <v>41051.153938821044</v>
          </cell>
          <cell r="T30">
            <v>44270.102783645205</v>
          </cell>
          <cell r="U30">
            <v>47451.043634332775</v>
          </cell>
        </row>
        <row r="32">
          <cell r="M32" t="str">
            <v>PBZ &amp; Xce 1 &amp; Xce 2 &amp; Xce 3</v>
          </cell>
        </row>
        <row r="33">
          <cell r="N33" t="str">
            <v>Dalkia</v>
          </cell>
          <cell r="O33">
            <v>5463.6125451479993</v>
          </cell>
          <cell r="P33">
            <v>6235.2</v>
          </cell>
          <cell r="Q33">
            <v>7010.8030256636521</v>
          </cell>
          <cell r="R33">
            <v>8115.273457992007</v>
          </cell>
          <cell r="S33">
            <v>9171.1760615083567</v>
          </cell>
          <cell r="T33">
            <v>10052.156087547686</v>
          </cell>
          <cell r="U33">
            <v>10820.283887318557</v>
          </cell>
        </row>
        <row r="34">
          <cell r="N34" t="str">
            <v>Veolia Eau</v>
          </cell>
          <cell r="O34">
            <v>9102.8002260569992</v>
          </cell>
          <cell r="P34">
            <v>10006.299999999999</v>
          </cell>
          <cell r="Q34">
            <v>11277.646427940666</v>
          </cell>
          <cell r="R34">
            <v>12415.183098905194</v>
          </cell>
          <cell r="S34">
            <v>13357.014530373235</v>
          </cell>
          <cell r="T34">
            <v>14135.705167855696</v>
          </cell>
          <cell r="U34">
            <v>15110.003849047889</v>
          </cell>
        </row>
        <row r="35">
          <cell r="N35" t="str">
            <v>Veolia Propreté</v>
          </cell>
          <cell r="O35">
            <v>6668.0769759408777</v>
          </cell>
          <cell r="P35">
            <v>7304.5</v>
          </cell>
          <cell r="Q35">
            <v>11600.86429860112</v>
          </cell>
          <cell r="R35">
            <v>15697.716607669097</v>
          </cell>
          <cell r="S35">
            <v>16805.110322343626</v>
          </cell>
          <cell r="T35">
            <v>17954.078871434089</v>
          </cell>
          <cell r="U35">
            <v>19067.765093227281</v>
          </cell>
        </row>
        <row r="36">
          <cell r="N36" t="str">
            <v>Veolia Transport</v>
          </cell>
          <cell r="O36">
            <v>4223.9120475169993</v>
          </cell>
          <cell r="P36">
            <v>4866.5</v>
          </cell>
          <cell r="Q36">
            <v>5552.630699453458</v>
          </cell>
          <cell r="R36">
            <v>6200.1479885418867</v>
          </cell>
          <cell r="S36">
            <v>6779.804327158964</v>
          </cell>
          <cell r="T36">
            <v>7364.5804182776528</v>
          </cell>
          <cell r="U36">
            <v>7848.5691754201089</v>
          </cell>
        </row>
        <row r="37">
          <cell r="N37" t="str">
            <v>Proactiva</v>
          </cell>
          <cell r="O37">
            <v>112.068</v>
          </cell>
          <cell r="P37">
            <v>116.3</v>
          </cell>
          <cell r="Q37">
            <v>125.0482498875549</v>
          </cell>
          <cell r="R37">
            <v>139.04357226679335</v>
          </cell>
          <cell r="S37">
            <v>153.37254622353677</v>
          </cell>
          <cell r="T37">
            <v>163.54718730524706</v>
          </cell>
          <cell r="U37">
            <v>173.20112470317844</v>
          </cell>
        </row>
        <row r="38">
          <cell r="N38" t="str">
            <v>Holdings</v>
          </cell>
          <cell r="O38">
            <v>0</v>
          </cell>
          <cell r="P38">
            <v>0</v>
          </cell>
          <cell r="Q38">
            <v>321.85147303747686</v>
          </cell>
          <cell r="R38">
            <v>334.72553195897598</v>
          </cell>
          <cell r="S38">
            <v>348.11455323733503</v>
          </cell>
          <cell r="T38">
            <v>362.03913536682842</v>
          </cell>
          <cell r="U38">
            <v>376.52070078150155</v>
          </cell>
        </row>
        <row r="39">
          <cell r="M39" t="str">
            <v>Total</v>
          </cell>
          <cell r="O39">
            <v>25570.469794662873</v>
          </cell>
          <cell r="P39">
            <v>28528.799999999999</v>
          </cell>
          <cell r="Q39">
            <v>35888.844174583937</v>
          </cell>
          <cell r="R39">
            <v>42902.090257333955</v>
          </cell>
          <cell r="S39">
            <v>46614.592340845054</v>
          </cell>
          <cell r="T39">
            <v>50032.106867787203</v>
          </cell>
          <cell r="U39">
            <v>53396.34383049851</v>
          </cell>
        </row>
        <row r="41">
          <cell r="M41" t="str">
            <v>PBZ &amp; Xce 1 &amp; Xce 2 &amp; Xce Galaxie</v>
          </cell>
        </row>
        <row r="42">
          <cell r="N42" t="str">
            <v>Dalkia</v>
          </cell>
          <cell r="O42">
            <v>5463.6125451479993</v>
          </cell>
          <cell r="P42">
            <v>6235.2</v>
          </cell>
          <cell r="Q42">
            <v>7010.8030256636521</v>
          </cell>
          <cell r="R42">
            <v>8115.273457992007</v>
          </cell>
          <cell r="S42">
            <v>9171.1760615083567</v>
          </cell>
          <cell r="T42">
            <v>10052.156087547686</v>
          </cell>
          <cell r="U42">
            <v>10820.283887318557</v>
          </cell>
        </row>
        <row r="43">
          <cell r="N43" t="str">
            <v>Veolia Eau</v>
          </cell>
          <cell r="O43">
            <v>9102.8002260569992</v>
          </cell>
          <cell r="P43">
            <v>10006.299999999999</v>
          </cell>
          <cell r="Q43">
            <v>11012.677258389727</v>
          </cell>
          <cell r="R43">
            <v>12135.187368348539</v>
          </cell>
          <cell r="S43">
            <v>13062.276128349225</v>
          </cell>
          <cell r="T43">
            <v>13821.301083713701</v>
          </cell>
          <cell r="U43">
            <v>14797.403652882153</v>
          </cell>
        </row>
        <row r="44">
          <cell r="N44" t="str">
            <v>Veolia Propreté</v>
          </cell>
          <cell r="O44">
            <v>6668.0769759408777</v>
          </cell>
          <cell r="P44">
            <v>7304.5</v>
          </cell>
          <cell r="Q44">
            <v>9143.36429860112</v>
          </cell>
          <cell r="R44">
            <v>10603.816607669098</v>
          </cell>
          <cell r="S44">
            <v>11536.410322343627</v>
          </cell>
          <cell r="T44">
            <v>12506.478871434087</v>
          </cell>
          <cell r="U44">
            <v>13435.06509322728</v>
          </cell>
        </row>
        <row r="45">
          <cell r="N45" t="str">
            <v>Veolia Transport</v>
          </cell>
          <cell r="O45">
            <v>4223.9120475169993</v>
          </cell>
          <cell r="P45">
            <v>4866.5</v>
          </cell>
          <cell r="Q45">
            <v>5552.630699453458</v>
          </cell>
          <cell r="R45">
            <v>6200.1479885418867</v>
          </cell>
          <cell r="S45">
            <v>6779.804327158964</v>
          </cell>
          <cell r="T45">
            <v>7364.5804182776528</v>
          </cell>
          <cell r="U45">
            <v>7848.5691754201089</v>
          </cell>
        </row>
        <row r="46">
          <cell r="N46" t="str">
            <v>Proactiva</v>
          </cell>
          <cell r="O46">
            <v>112.068</v>
          </cell>
          <cell r="P46">
            <v>116.3</v>
          </cell>
          <cell r="Q46">
            <v>125.0482498875549</v>
          </cell>
          <cell r="R46">
            <v>139.04357226679335</v>
          </cell>
          <cell r="S46">
            <v>153.37254622353677</v>
          </cell>
          <cell r="T46">
            <v>163.54718730524706</v>
          </cell>
          <cell r="U46">
            <v>173.20112470317844</v>
          </cell>
        </row>
        <row r="47">
          <cell r="N47" t="str">
            <v>Holdings</v>
          </cell>
          <cell r="O47">
            <v>0</v>
          </cell>
          <cell r="P47">
            <v>0</v>
          </cell>
          <cell r="Q47">
            <v>321.85147303747686</v>
          </cell>
          <cell r="R47">
            <v>334.72553195897598</v>
          </cell>
          <cell r="S47">
            <v>348.11455323733503</v>
          </cell>
          <cell r="T47">
            <v>362.03913536682842</v>
          </cell>
          <cell r="U47">
            <v>376.52070078150155</v>
          </cell>
        </row>
        <row r="48">
          <cell r="M48" t="str">
            <v>Total</v>
          </cell>
          <cell r="O48">
            <v>25570.469794662873</v>
          </cell>
          <cell r="P48">
            <v>28528.799999999999</v>
          </cell>
          <cell r="Q48">
            <v>33166.375005032998</v>
          </cell>
          <cell r="R48">
            <v>37528.194526777297</v>
          </cell>
          <cell r="S48">
            <v>41051.153938821044</v>
          </cell>
          <cell r="T48">
            <v>44270.102783645205</v>
          </cell>
          <cell r="U48">
            <v>47451.043634332775</v>
          </cell>
        </row>
        <row r="50">
          <cell r="M50" t="str">
            <v>PBZ &amp; Xce 1 &amp; Xce 2 &amp; Xce 3 &amp; AugK 2</v>
          </cell>
        </row>
        <row r="51">
          <cell r="N51" t="str">
            <v>Dalkia</v>
          </cell>
          <cell r="O51">
            <v>5463.6125451479993</v>
          </cell>
          <cell r="P51">
            <v>6235.2</v>
          </cell>
          <cell r="Q51">
            <v>7010.8030256636521</v>
          </cell>
          <cell r="R51">
            <v>8115.273457992007</v>
          </cell>
          <cell r="S51">
            <v>9171.1760615083567</v>
          </cell>
          <cell r="T51">
            <v>10052.156087547686</v>
          </cell>
          <cell r="U51">
            <v>10820.283887318557</v>
          </cell>
        </row>
        <row r="52">
          <cell r="N52" t="str">
            <v>Veolia Eau</v>
          </cell>
          <cell r="O52">
            <v>9102.8002260569992</v>
          </cell>
          <cell r="P52">
            <v>10006.299999999999</v>
          </cell>
          <cell r="Q52">
            <v>11277.646427940666</v>
          </cell>
          <cell r="R52">
            <v>12415.183098905194</v>
          </cell>
          <cell r="S52">
            <v>13357.014530373235</v>
          </cell>
          <cell r="T52">
            <v>14135.705167855696</v>
          </cell>
          <cell r="U52">
            <v>15110.003849047889</v>
          </cell>
        </row>
        <row r="53">
          <cell r="N53" t="str">
            <v>Veolia Propreté</v>
          </cell>
          <cell r="O53">
            <v>6668.0769759408777</v>
          </cell>
          <cell r="P53">
            <v>7304.5</v>
          </cell>
          <cell r="Q53">
            <v>11600.86429860112</v>
          </cell>
          <cell r="R53">
            <v>15697.716607669097</v>
          </cell>
          <cell r="S53">
            <v>16805.110322343626</v>
          </cell>
          <cell r="T53">
            <v>17954.078871434089</v>
          </cell>
          <cell r="U53">
            <v>19067.765093227281</v>
          </cell>
        </row>
        <row r="54">
          <cell r="N54" t="str">
            <v>Veolia Transport</v>
          </cell>
          <cell r="O54">
            <v>4223.9120475169993</v>
          </cell>
          <cell r="P54">
            <v>4866.5</v>
          </cell>
          <cell r="Q54">
            <v>5552.630699453458</v>
          </cell>
          <cell r="R54">
            <v>6200.1479885418867</v>
          </cell>
          <cell r="S54">
            <v>6779.804327158964</v>
          </cell>
          <cell r="T54">
            <v>7364.5804182776528</v>
          </cell>
          <cell r="U54">
            <v>7848.5691754201089</v>
          </cell>
        </row>
        <row r="55">
          <cell r="N55" t="str">
            <v>Proactiva</v>
          </cell>
          <cell r="O55">
            <v>112.068</v>
          </cell>
          <cell r="P55">
            <v>116.3</v>
          </cell>
          <cell r="Q55">
            <v>125.0482498875549</v>
          </cell>
          <cell r="R55">
            <v>139.04357226679335</v>
          </cell>
          <cell r="S55">
            <v>153.37254622353677</v>
          </cell>
          <cell r="T55">
            <v>163.54718730524706</v>
          </cell>
          <cell r="U55">
            <v>173.20112470317844</v>
          </cell>
        </row>
        <row r="56">
          <cell r="N56" t="str">
            <v>Holdings</v>
          </cell>
          <cell r="O56">
            <v>0</v>
          </cell>
          <cell r="P56">
            <v>0</v>
          </cell>
          <cell r="Q56">
            <v>321.85147303747686</v>
          </cell>
          <cell r="R56">
            <v>334.72553195897598</v>
          </cell>
          <cell r="S56">
            <v>348.11455323733503</v>
          </cell>
          <cell r="T56">
            <v>362.03913536682842</v>
          </cell>
          <cell r="U56">
            <v>376.52070078150155</v>
          </cell>
        </row>
        <row r="57">
          <cell r="M57" t="str">
            <v>Total</v>
          </cell>
          <cell r="O57">
            <v>25570.469794662873</v>
          </cell>
          <cell r="P57">
            <v>28528.799999999999</v>
          </cell>
          <cell r="Q57">
            <v>35888.844174583937</v>
          </cell>
          <cell r="R57">
            <v>42902.090257333955</v>
          </cell>
          <cell r="S57">
            <v>46614.592340845054</v>
          </cell>
          <cell r="T57">
            <v>50032.106867787203</v>
          </cell>
          <cell r="U57">
            <v>53396.34383049851</v>
          </cell>
        </row>
        <row r="59">
          <cell r="M59" t="str">
            <v>PBZ &amp; Xce 1 &amp; Xce 2 &amp; Xce Galaxie &amp; AugK 1</v>
          </cell>
        </row>
        <row r="60">
          <cell r="N60" t="str">
            <v>Dalkia</v>
          </cell>
          <cell r="O60">
            <v>5463.6125451479993</v>
          </cell>
          <cell r="P60">
            <v>6235.2</v>
          </cell>
          <cell r="Q60">
            <v>7010.8030256636521</v>
          </cell>
          <cell r="R60">
            <v>8115.273457992007</v>
          </cell>
          <cell r="S60">
            <v>9171.1760615083567</v>
          </cell>
          <cell r="T60">
            <v>10052.156087547686</v>
          </cell>
          <cell r="U60">
            <v>10820.283887318557</v>
          </cell>
        </row>
        <row r="61">
          <cell r="N61" t="str">
            <v>Veolia Eau</v>
          </cell>
          <cell r="O61">
            <v>9102.8002260569992</v>
          </cell>
          <cell r="P61">
            <v>10006.299999999999</v>
          </cell>
          <cell r="Q61">
            <v>11012.677258389727</v>
          </cell>
          <cell r="R61">
            <v>12135.187368348539</v>
          </cell>
          <cell r="S61">
            <v>13062.276128349225</v>
          </cell>
          <cell r="T61">
            <v>13821.301083713701</v>
          </cell>
          <cell r="U61">
            <v>14797.403652882153</v>
          </cell>
        </row>
        <row r="62">
          <cell r="N62" t="str">
            <v>Veolia Propreté</v>
          </cell>
          <cell r="O62">
            <v>6668.0769759408777</v>
          </cell>
          <cell r="P62">
            <v>7304.5</v>
          </cell>
          <cell r="Q62">
            <v>9143.36429860112</v>
          </cell>
          <cell r="R62">
            <v>10603.816607669098</v>
          </cell>
          <cell r="S62">
            <v>11536.410322343627</v>
          </cell>
          <cell r="T62">
            <v>12506.478871434087</v>
          </cell>
          <cell r="U62">
            <v>13435.06509322728</v>
          </cell>
        </row>
        <row r="63">
          <cell r="N63" t="str">
            <v>Veolia Transport</v>
          </cell>
          <cell r="O63">
            <v>4223.9120475169993</v>
          </cell>
          <cell r="P63">
            <v>4866.5</v>
          </cell>
          <cell r="Q63">
            <v>5552.630699453458</v>
          </cell>
          <cell r="R63">
            <v>6200.1479885418867</v>
          </cell>
          <cell r="S63">
            <v>6779.804327158964</v>
          </cell>
          <cell r="T63">
            <v>7364.5804182776528</v>
          </cell>
          <cell r="U63">
            <v>7848.5691754201089</v>
          </cell>
        </row>
        <row r="64">
          <cell r="N64" t="str">
            <v>Proactiva</v>
          </cell>
          <cell r="O64">
            <v>112.068</v>
          </cell>
          <cell r="P64">
            <v>116.3</v>
          </cell>
          <cell r="Q64">
            <v>125.0482498875549</v>
          </cell>
          <cell r="R64">
            <v>139.04357226679335</v>
          </cell>
          <cell r="S64">
            <v>153.37254622353677</v>
          </cell>
          <cell r="T64">
            <v>163.54718730524706</v>
          </cell>
          <cell r="U64">
            <v>173.20112470317844</v>
          </cell>
        </row>
        <row r="65">
          <cell r="N65" t="str">
            <v>Holdings</v>
          </cell>
          <cell r="O65">
            <v>0</v>
          </cell>
          <cell r="P65">
            <v>0</v>
          </cell>
          <cell r="Q65">
            <v>-391.16162291523966</v>
          </cell>
          <cell r="R65">
            <v>-1382.4316083861261</v>
          </cell>
          <cell r="S65">
            <v>-1259.9206740845486</v>
          </cell>
          <cell r="T65">
            <v>-441.10532431787624</v>
          </cell>
          <cell r="U65">
            <v>-82.396049195505213</v>
          </cell>
        </row>
        <row r="66">
          <cell r="M66" t="str">
            <v>Total</v>
          </cell>
          <cell r="O66">
            <v>25570.469794662873</v>
          </cell>
          <cell r="P66">
            <v>28528.799999999999</v>
          </cell>
          <cell r="Q66">
            <v>32453.361909080282</v>
          </cell>
          <cell r="R66">
            <v>35811.037386432195</v>
          </cell>
          <cell r="S66">
            <v>39443.118711499163</v>
          </cell>
          <cell r="T66">
            <v>43466.958323960498</v>
          </cell>
          <cell r="U66">
            <v>46992.12688435577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rred working"/>
      <sheetName val="Tax"/>
      <sheetName val="Trial"/>
      <sheetName val="Details"/>
      <sheetName val="Sch 1,2,3"/>
      <sheetName val="Sch-4"/>
      <sheetName val=" Sch 10 to 18"/>
      <sheetName val="BS, PL, Sch 5 to 9"/>
      <sheetName val="Abstract"/>
      <sheetName val="Cash Flow"/>
      <sheetName val="Profit Re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8062015"/>
      <sheetName val="16-06-2015"/>
      <sheetName val="Lists&amp;Param"/>
      <sheetName val="Summary"/>
      <sheetName val="O&amp;M"/>
      <sheetName val="F&amp;A"/>
      <sheetName val="Works"/>
      <sheetName val="Production"/>
      <sheetName val="HR &amp; Admin"/>
      <sheetName val="IT"/>
      <sheetName val="Others"/>
      <sheetName val="Provision"/>
      <sheetName val="Parameters"/>
    </sheetNames>
    <sheetDataSet>
      <sheetData sheetId="0"/>
      <sheetData sheetId="1"/>
      <sheetData sheetId="2">
        <row r="14">
          <cell r="B14" t="str">
            <v>YES</v>
          </cell>
        </row>
        <row r="15">
          <cell r="B15" t="str">
            <v>NO</v>
          </cell>
        </row>
        <row r="18">
          <cell r="B18">
            <v>0</v>
          </cell>
        </row>
        <row r="19">
          <cell r="B19">
            <v>0.1</v>
          </cell>
        </row>
        <row r="20">
          <cell r="B20">
            <v>0.2</v>
          </cell>
        </row>
        <row r="21">
          <cell r="B21">
            <v>0.3</v>
          </cell>
        </row>
        <row r="22">
          <cell r="B22">
            <v>0.4</v>
          </cell>
        </row>
        <row r="23">
          <cell r="B23">
            <v>0.5</v>
          </cell>
        </row>
        <row r="24">
          <cell r="B24">
            <v>0.6</v>
          </cell>
        </row>
        <row r="25">
          <cell r="B25">
            <v>0.7</v>
          </cell>
        </row>
        <row r="26">
          <cell r="B26">
            <v>0.8</v>
          </cell>
        </row>
        <row r="27">
          <cell r="B27">
            <v>0.9</v>
          </cell>
        </row>
        <row r="28">
          <cell r="B28">
            <v>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CD PPO"/>
      <sheetName val="TCD CONV"/>
      <sheetName val="MENU"/>
      <sheetName val="Main Report"/>
      <sheetName val="THINK CELL"/>
      <sheetName val="1 DIVISION"/>
      <sheetName val="2 Détail"/>
      <sheetName val="3 Synthèse"/>
      <sheetName val="1 PREZ POLE"/>
      <sheetName val="Enablon 2012 2015"/>
      <sheetName val="FY 2012"/>
      <sheetName val="PP Après"/>
      <sheetName val="PP Ajust"/>
      <sheetName val="PP Avant"/>
      <sheetName val="Carto Eau 2 pôles"/>
      <sheetName val="PC Après"/>
      <sheetName val="PC Ajust"/>
      <sheetName val="PC avant"/>
      <sheetName val="SEPT 2012"/>
      <sheetName val="PP Après Ajust Q3"/>
      <sheetName val="PP Ajust Q3"/>
      <sheetName val="PP avant Q3"/>
      <sheetName val="PC Après Ajust Q3"/>
      <sheetName val="PC Ajust Q3"/>
      <sheetName val="PC avant Q3"/>
      <sheetName val="Feuil2"/>
      <sheetName val="Idées"/>
      <sheetName val="Objectifs compl 2013"/>
      <sheetName val="Mapping"/>
      <sheetName val="eq info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>
        <row r="6">
          <cell r="K6" t="str">
            <v>Division Eau</v>
          </cell>
        </row>
        <row r="7">
          <cell r="K7" t="str">
            <v>Exploitations</v>
          </cell>
        </row>
        <row r="8">
          <cell r="K8" t="str">
            <v>Tech_Réseaux</v>
          </cell>
        </row>
      </sheetData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1 2013"/>
      <sheetName val="données 2"/>
      <sheetName val="coeft"/>
    </sheetNames>
    <sheetDataSet>
      <sheetData sheetId="0"/>
      <sheetData sheetId="1">
        <row r="2">
          <cell r="C2" t="str">
            <v>Risk nature</v>
          </cell>
        </row>
        <row r="3">
          <cell r="C3" t="str">
            <v>Financial failure of the Client (Payment failure)</v>
          </cell>
        </row>
        <row r="4">
          <cell r="C4" t="str">
            <v>Financial failure of the Supplier (Failure to deliver)</v>
          </cell>
        </row>
        <row r="5">
          <cell r="C5" t="str">
            <v>Financial failure of the Partner (Payment failure)</v>
          </cell>
        </row>
        <row r="6">
          <cell r="C6" t="str">
            <v>Tax adjustement</v>
          </cell>
        </row>
        <row r="7">
          <cell r="C7" t="str">
            <v>Financing cost</v>
          </cell>
        </row>
        <row r="8">
          <cell r="C8" t="str">
            <v>Financial instruments</v>
          </cell>
        </row>
        <row r="9">
          <cell r="C9" t="str">
            <v>Efficiency of the tariff revision formula</v>
          </cell>
        </row>
        <row r="10">
          <cell r="C10" t="str">
            <v>Variation of tariff in line with the budget</v>
          </cell>
        </row>
        <row r="11">
          <cell r="C11" t="str">
            <v>Impact on remuneration of a variation of volumes produced or distributed</v>
          </cell>
        </row>
        <row r="12">
          <cell r="C12" t="str">
            <v>Delays</v>
          </cell>
        </row>
        <row r="13">
          <cell r="C13" t="str">
            <v>Overcosts</v>
          </cell>
        </row>
        <row r="14">
          <cell r="C14" t="str">
            <v>Cost of supplies</v>
          </cell>
        </row>
        <row r="15">
          <cell r="C15" t="str">
            <v>Cost of labor force</v>
          </cell>
        </row>
        <row r="16">
          <cell r="C16" t="str">
            <v>Volumes (of production factors)</v>
          </cell>
        </row>
        <row r="17">
          <cell r="C17" t="str">
            <v>Economic risk on maintenance supported by the Operator</v>
          </cell>
        </row>
        <row r="18">
          <cell r="C18" t="str">
            <v>No renewal of contract  (at CGU level only) /  breach of contract (closing-down of the Client activity or site)</v>
          </cell>
        </row>
        <row r="19">
          <cell r="C19" t="str">
            <v>Expected projects</v>
          </cell>
        </row>
        <row r="20">
          <cell r="C20" t="str">
            <v>"Fitness for use"Contractual commitments not fulfilled which results in a penalty  or a bonus</v>
          </cell>
        </row>
        <row r="21">
          <cell r="C21" t="str">
            <v>"Conformance to standards"Risk of overcosts or savings resulting from the obligation to meet standards</v>
          </cell>
        </row>
        <row r="22">
          <cell r="C22" t="str">
            <v>Availibility of supplies</v>
          </cell>
        </row>
        <row r="23">
          <cell r="C23" t="str">
            <v>Natural disaster / damaged caused by external factors</v>
          </cell>
        </row>
        <row r="24">
          <cell r="C24" t="str">
            <v>Property plant and/or equipment failures</v>
          </cell>
        </row>
        <row r="25">
          <cell r="C25" t="str">
            <v>Human errors (internal)</v>
          </cell>
        </row>
        <row r="26">
          <cell r="C26" t="str">
            <v>Malicious mischief / terrorism</v>
          </cell>
        </row>
        <row r="27">
          <cell r="C27" t="str">
            <v>Inexistence / unsuitability of procedures and active - passive safety devices</v>
          </cell>
        </row>
        <row r="28">
          <cell r="C28" t="str">
            <v>Non effective procedures</v>
          </cell>
        </row>
        <row r="29">
          <cell r="C29" t="str">
            <v>Strikes</v>
          </cell>
        </row>
        <row r="30">
          <cell r="C30" t="str">
            <v>Absenteeism</v>
          </cell>
        </row>
        <row r="31">
          <cell r="C31" t="str">
            <v>Turnover</v>
          </cell>
        </row>
        <row r="32">
          <cell r="C32" t="str">
            <v>Availability of expertise</v>
          </cell>
        </row>
        <row r="33">
          <cell r="C33" t="str">
            <v>Generated pollution</v>
          </cell>
        </row>
        <row r="34">
          <cell r="C34" t="str">
            <v>Failure in meter-reading, billing or payables services</v>
          </cell>
        </row>
        <row r="35">
          <cell r="C35" t="str">
            <v>ICOFR (Internal Control Over Financial Reporting)</v>
          </cell>
        </row>
        <row r="36">
          <cell r="C36" t="str">
            <v>Internal</v>
          </cell>
        </row>
        <row r="37">
          <cell r="C37" t="str">
            <v>External</v>
          </cell>
        </row>
        <row r="38">
          <cell r="C38" t="str">
            <v>Regulation changes</v>
          </cell>
        </row>
        <row r="39">
          <cell r="C39" t="str">
            <v>Contractual</v>
          </cell>
        </row>
        <row r="40">
          <cell r="C40" t="str">
            <v>Fulfillement of contractual obligations toward our partners (given or received)</v>
          </cell>
        </row>
        <row r="41">
          <cell r="C41" t="str">
            <v>Interpretation</v>
          </cell>
        </row>
        <row r="42">
          <cell r="C42" t="str">
            <v>Discrimination</v>
          </cell>
        </row>
        <row r="43">
          <cell r="C43" t="str">
            <v>Veolia responsibility of Veolia towards his shareholdersLoss of value</v>
          </cell>
        </row>
      </sheetData>
      <sheetData sheetId="2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x.Summary"/>
      <sheetName val="Summary"/>
      <sheetName val="Data"/>
      <sheetName val="données 2"/>
    </sheetNames>
    <sheetDataSet>
      <sheetData sheetId="0"/>
      <sheetData sheetId="1" refreshError="1">
        <row r="1">
          <cell r="P1">
            <v>123.50116414435392</v>
          </cell>
          <cell r="Q1">
            <v>0</v>
          </cell>
          <cell r="R1">
            <v>0</v>
          </cell>
          <cell r="S1">
            <v>270.08169798769336</v>
          </cell>
          <cell r="T1">
            <v>146.27787709961754</v>
          </cell>
          <cell r="U1">
            <v>181.75756693830039</v>
          </cell>
          <cell r="V1">
            <v>123.04215865624482</v>
          </cell>
          <cell r="W1">
            <v>93.192458007650103</v>
          </cell>
          <cell r="X1">
            <v>143.76912522867124</v>
          </cell>
          <cell r="Y1">
            <v>292.65903043405956</v>
          </cell>
          <cell r="Z1">
            <v>291.66929985032436</v>
          </cell>
          <cell r="AA1">
            <v>362.08361051056045</v>
          </cell>
        </row>
      </sheetData>
      <sheetData sheetId="2"/>
      <sheetData sheetId="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etailed OCF Bridge 1"/>
      <sheetName val="Detailed OCF Bridge 2"/>
      <sheetName val="Normative Inflation assumptions"/>
      <sheetName val="Automatic Light OCF Bridge"/>
      <sheetName val="Bridge1 Vector"/>
      <sheetName val="Bridge2 Vector"/>
      <sheetName val="2000-01"/>
    </sheetNames>
    <sheetDataSet>
      <sheetData sheetId="0">
        <row r="1">
          <cell r="L1" t="str">
            <v>U12101_France</v>
          </cell>
        </row>
        <row r="2">
          <cell r="L2" t="str">
            <v>U12102_VWNA</v>
          </cell>
        </row>
        <row r="3">
          <cell r="L3" t="str">
            <v>U12103_China</v>
          </cell>
        </row>
        <row r="4">
          <cell r="L4" t="str">
            <v>U12104_Others_Asia</v>
          </cell>
        </row>
        <row r="5">
          <cell r="L5" t="str">
            <v>U12105_Australia</v>
          </cell>
        </row>
        <row r="6">
          <cell r="L6" t="str">
            <v>U12106_United_Kingdom</v>
          </cell>
        </row>
        <row r="7">
          <cell r="L7" t="str">
            <v>U12107_Germany</v>
          </cell>
        </row>
        <row r="8">
          <cell r="L8" t="str">
            <v>U12108_Central_and_Eastern_European_Countries</v>
          </cell>
        </row>
        <row r="9">
          <cell r="L9" t="str">
            <v>U12111_MENAG</v>
          </cell>
        </row>
        <row r="10">
          <cell r="L10" t="str">
            <v>U12114_Israël</v>
          </cell>
        </row>
        <row r="11">
          <cell r="L11" t="str">
            <v>U12119_Aquiris</v>
          </cell>
        </row>
        <row r="12">
          <cell r="L12" t="str">
            <v>U12115_Headquarters</v>
          </cell>
        </row>
        <row r="13">
          <cell r="L13" t="str">
            <v>U12113_Sade</v>
          </cell>
        </row>
        <row r="14">
          <cell r="L14" t="str">
            <v>U12112_VWST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m indicateurs"/>
      <sheetName val="ZT PBZ"/>
      <sheetName val="XH Aug. de capital"/>
      <sheetName val="XD France-thermique"/>
      <sheetName val="XD Clemessy"/>
      <sheetName val="XD UK"/>
      <sheetName val="XD Belux"/>
      <sheetName val="XD Pays-bas"/>
      <sheetName val="XD Cession Pays-bas"/>
      <sheetName val="XD USA"/>
      <sheetName val="XD Canada"/>
      <sheetName val="XD Allemagne"/>
      <sheetName val="XD Leipzig"/>
      <sheetName val="XD Lituanie"/>
      <sheetName val="XD Nordic"/>
      <sheetName val="XD Estonie"/>
      <sheetName val="XD Lettonie"/>
      <sheetName val="XD Suisse"/>
      <sheetName val="XD Tchequie"/>
      <sheetName val="XD Pologne"/>
      <sheetName val="XD Hongrie"/>
      <sheetName val="XD Roumanie"/>
      <sheetName val="XD Slovaquie"/>
      <sheetName val="XD Bulgarie"/>
      <sheetName val="XD Ukraine"/>
      <sheetName val="XD Italie"/>
      <sheetName val="XD Espagne"/>
      <sheetName val="XD Portugal"/>
      <sheetName val="XD Israel"/>
      <sheetName val="XD Chine"/>
      <sheetName val="XD Dubai"/>
      <sheetName val="XD Russie"/>
      <sheetName val="XD Afrique-Sud"/>
      <sheetName val="XD Inde"/>
      <sheetName val="XD Liban"/>
      <sheetName val="XD Turquie"/>
      <sheetName val="XD Am.Latine"/>
      <sheetName val="XE UK"/>
      <sheetName val="XE Allemagne"/>
      <sheetName val="XE Europe Centrale"/>
      <sheetName val="XE Europe du Nord"/>
      <sheetName val="XE ROA"/>
      <sheetName val="XE AMI"/>
      <sheetName val="XE Autres ESSE"/>
      <sheetName val="XE Espagne"/>
      <sheetName val="XE Autres Chine"/>
      <sheetName val="XE Shibei"/>
      <sheetName val="XE Autres VWA"/>
      <sheetName val="XE Green Thumb"/>
      <sheetName val="XE Saturn"/>
      <sheetName val="XR C-R"/>
      <sheetName val="XR C-A"/>
      <sheetName val="XP Autres France 1"/>
      <sheetName val="XP Autres France 2"/>
      <sheetName val="XP Sarp France"/>
      <sheetName val="XP Sarpi France 1"/>
      <sheetName val="XP Sarpi France 2"/>
      <sheetName val="XP UK"/>
      <sheetName val="XP WI"/>
      <sheetName val="XP RCI-WCA"/>
      <sheetName val="XP ROSS-PSC"/>
      <sheetName val="XP Asie"/>
      <sheetName val="XP Suisse"/>
      <sheetName val="XP Italie"/>
      <sheetName val="XP Espagne"/>
      <sheetName val="XP Roumanie"/>
      <sheetName val="XP Autres Europe"/>
      <sheetName val="XP Indaver"/>
      <sheetName val="XP VG"/>
      <sheetName val="XP Fingall"/>
      <sheetName val="XP Sarpi Hongrie"/>
      <sheetName val="XP Sarpi Europe"/>
      <sheetName val="XP Aleas EUr"/>
      <sheetName val="XP Pacifique"/>
      <sheetName val="XP AMO"/>
      <sheetName val="XT France voyageurs"/>
      <sheetName val="XT Marches Industriels"/>
      <sheetName val="XT Allemagne"/>
      <sheetName val="XT Pays Nordiques"/>
      <sheetName val="XT Europe Central"/>
      <sheetName val="XT Autres Europe"/>
      <sheetName val="XT Pacifique Sud"/>
      <sheetName val="XT Espagne"/>
      <sheetName val="XT Chine"/>
      <sheetName val="XT Amerique du Sud"/>
      <sheetName val="XT Coree"/>
      <sheetName val="XT Inde"/>
      <sheetName val="XT Italie"/>
      <sheetName val="XT Moyen Orient"/>
      <sheetName val="XT Israel"/>
      <sheetName val="XT Liban"/>
      <sheetName val="XT cession1"/>
      <sheetName val="XT Cession2"/>
      <sheetName val="XT Danemark"/>
      <sheetName val="XT VE Airport"/>
      <sheetName val="XT Eurolines"/>
      <sheetName val="BD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ferred working"/>
      <sheetName val="Tax"/>
      <sheetName val="Trial"/>
      <sheetName val="Details"/>
      <sheetName val="Sch 1,2,3"/>
      <sheetName val="Sch-4"/>
      <sheetName val=" Sch 10 to 18"/>
      <sheetName val="BS, PL, Sch 5 to 9"/>
      <sheetName val="Abstract"/>
      <sheetName val="Cash Flow"/>
      <sheetName val="Profit Rec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OM-DATA-Neu"/>
      <sheetName val="INDEX-TOTAL"/>
      <sheetName val="GAS-DATA-Neu"/>
      <sheetName val="HEAT-DATA-Neu"/>
      <sheetName val="WATER-DATA-Neu"/>
      <sheetName val="MATCHCODES"/>
      <sheetName val="MTC"/>
      <sheetName val="ABSCHREIBUNGEN KST"/>
      <sheetName val="TOTAL"/>
      <sheetName val="ND"/>
      <sheetName val="STROM-DATA"/>
      <sheetName val="GAS-DATA"/>
      <sheetName val="HEAT-DATA"/>
      <sheetName val="WATER-DATA"/>
      <sheetName val="INDEXSOURCE-BASE 2002"/>
    </sheetNames>
    <sheetDataSet>
      <sheetData sheetId="0" refreshError="1">
        <row r="7">
          <cell r="R7">
            <v>1900</v>
          </cell>
        </row>
      </sheetData>
      <sheetData sheetId="1" refreshError="1">
        <row r="4">
          <cell r="E4">
            <v>44.6</v>
          </cell>
        </row>
      </sheetData>
      <sheetData sheetId="2" refreshError="1">
        <row r="8">
          <cell r="R8">
            <v>1900</v>
          </cell>
        </row>
      </sheetData>
      <sheetData sheetId="3" refreshError="1">
        <row r="8">
          <cell r="R8">
            <v>1900</v>
          </cell>
        </row>
      </sheetData>
      <sheetData sheetId="4" refreshError="1">
        <row r="7">
          <cell r="R7">
            <v>1900</v>
          </cell>
        </row>
        <row r="8">
          <cell r="R8">
            <v>1900</v>
          </cell>
        </row>
      </sheetData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DESBAST"/>
      <sheetName val="LLEGADA"/>
      <sheetName val="SECQ1"/>
      <sheetName val="CFVALL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BAST"/>
      <sheetName val="DATOS"/>
      <sheetName val="LLEGADA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LEGADA"/>
      <sheetName val="Model, 6mo"/>
      <sheetName val="Cost buildup"/>
      <sheetName val="Summary"/>
      <sheetName val="Annual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2"/>
  <sheetViews>
    <sheetView topLeftCell="A5" zoomScaleNormal="100" workbookViewId="0">
      <selection activeCell="A26" sqref="A26"/>
    </sheetView>
  </sheetViews>
  <sheetFormatPr defaultColWidth="9.33203125" defaultRowHeight="12" customHeight="1"/>
  <cols>
    <col min="1" max="1" width="40.6640625" style="4" customWidth="1"/>
    <col min="2" max="2" width="116.1640625" style="5" customWidth="1"/>
    <col min="3" max="16384" width="9.33203125" style="3"/>
  </cols>
  <sheetData>
    <row r="1" spans="1:2" ht="12" hidden="1" customHeight="1">
      <c r="A1" s="1" t="s">
        <v>0</v>
      </c>
      <c r="B1" s="2" t="s">
        <v>1</v>
      </c>
    </row>
    <row r="2" spans="1:2" ht="12" hidden="1" customHeight="1">
      <c r="A2" s="4" t="s">
        <v>2</v>
      </c>
      <c r="B2" s="5" t="s">
        <v>3</v>
      </c>
    </row>
    <row r="3" spans="1:2" ht="12" hidden="1" customHeight="1">
      <c r="A3" s="4" t="s">
        <v>4</v>
      </c>
      <c r="B3" s="5" t="s">
        <v>629</v>
      </c>
    </row>
    <row r="4" spans="1:2" ht="12" hidden="1" customHeight="1"/>
    <row r="5" spans="1:2" ht="12" customHeight="1">
      <c r="A5" s="1" t="s">
        <v>6</v>
      </c>
      <c r="B5" s="2" t="s">
        <v>1</v>
      </c>
    </row>
    <row r="6" spans="1:2" ht="12" customHeight="1">
      <c r="A6" s="4" t="s">
        <v>7</v>
      </c>
      <c r="B6" s="5" t="s">
        <v>626</v>
      </c>
    </row>
    <row r="8" spans="1:2" ht="12" customHeight="1">
      <c r="A8" s="1" t="s">
        <v>8</v>
      </c>
      <c r="B8" s="2" t="s">
        <v>1</v>
      </c>
    </row>
    <row r="9" spans="1:2" ht="12" customHeight="1">
      <c r="A9" s="4" t="s">
        <v>9</v>
      </c>
      <c r="B9" s="5" t="s">
        <v>10</v>
      </c>
    </row>
    <row r="10" spans="1:2" ht="12" hidden="1" customHeight="1">
      <c r="A10" s="4" t="s">
        <v>11</v>
      </c>
      <c r="B10" s="5" t="s">
        <v>636</v>
      </c>
    </row>
    <row r="11" spans="1:2" ht="12" hidden="1" customHeight="1">
      <c r="A11" s="4" t="s">
        <v>12</v>
      </c>
      <c r="B11" s="5" t="s">
        <v>13</v>
      </c>
    </row>
    <row r="12" spans="1:2" ht="12" hidden="1" customHeight="1">
      <c r="A12" s="4" t="s">
        <v>14</v>
      </c>
      <c r="B12" s="5" t="s">
        <v>15</v>
      </c>
    </row>
    <row r="13" spans="1:2" ht="12" hidden="1" customHeight="1">
      <c r="A13" s="4" t="s">
        <v>16</v>
      </c>
      <c r="B13" s="5" t="s">
        <v>627</v>
      </c>
    </row>
    <row r="15" spans="1:2" ht="12" customHeight="1">
      <c r="A15" s="1" t="s">
        <v>575</v>
      </c>
      <c r="B15" s="2" t="s">
        <v>1</v>
      </c>
    </row>
    <row r="16" spans="1:2" ht="12" customHeight="1">
      <c r="A16" s="4" t="s">
        <v>574</v>
      </c>
      <c r="B16" s="5" t="s">
        <v>642</v>
      </c>
    </row>
    <row r="17" spans="1:2" ht="12" customHeight="1">
      <c r="A17" s="4" t="s">
        <v>17</v>
      </c>
      <c r="B17" s="5" t="s">
        <v>645</v>
      </c>
    </row>
    <row r="18" spans="1:2" ht="12" customHeight="1">
      <c r="A18" s="4" t="s">
        <v>637</v>
      </c>
      <c r="B18" s="5" t="s">
        <v>638</v>
      </c>
    </row>
    <row r="20" spans="1:2" ht="12" customHeight="1">
      <c r="A20" s="4" t="s">
        <v>624</v>
      </c>
      <c r="B20" s="5" t="s">
        <v>640</v>
      </c>
    </row>
    <row r="22" spans="1:2" ht="12" customHeight="1">
      <c r="A22" s="1" t="s">
        <v>18</v>
      </c>
      <c r="B22" s="2" t="s">
        <v>1</v>
      </c>
    </row>
    <row r="23" spans="1:2" ht="12" customHeight="1">
      <c r="A23" s="4" t="s">
        <v>19</v>
      </c>
      <c r="B23" s="5" t="s">
        <v>631</v>
      </c>
    </row>
    <row r="25" spans="1:2" ht="12" customHeight="1">
      <c r="B25" s="263"/>
    </row>
    <row r="26" spans="1:2" ht="12" customHeight="1">
      <c r="B26" s="264"/>
    </row>
    <row r="27" spans="1:2" ht="12" customHeight="1">
      <c r="B27" s="263"/>
    </row>
    <row r="28" spans="1:2" ht="12" customHeight="1">
      <c r="B28" s="264"/>
    </row>
    <row r="29" spans="1:2" ht="12" customHeight="1">
      <c r="B29" s="263"/>
    </row>
    <row r="30" spans="1:2" ht="12" customHeight="1">
      <c r="B30" s="263"/>
    </row>
    <row r="31" spans="1:2" ht="12" customHeight="1">
      <c r="B31" s="263"/>
    </row>
    <row r="32" spans="1:2" ht="12" customHeight="1">
      <c r="B32" s="26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A43"/>
  <sheetViews>
    <sheetView topLeftCell="A19" zoomScaleNormal="100" workbookViewId="0">
      <pane xSplit="21" topLeftCell="CT1" activePane="topRight" state="frozen"/>
      <selection pane="topRight" activeCell="DH33" sqref="DH33"/>
    </sheetView>
  </sheetViews>
  <sheetFormatPr defaultColWidth="13.33203125" defaultRowHeight="12"/>
  <cols>
    <col min="1" max="1" width="50" style="38" bestFit="1" customWidth="1"/>
    <col min="2" max="21" width="7.83203125" style="35" hidden="1" customWidth="1"/>
    <col min="22" max="105" width="7.83203125" style="35" customWidth="1"/>
    <col min="106" max="16384" width="13.33203125" style="35"/>
  </cols>
  <sheetData>
    <row r="1" spans="1:105" customFormat="1">
      <c r="CU1" s="6"/>
      <c r="CV1" s="6"/>
      <c r="CW1" s="6"/>
      <c r="CX1" s="6"/>
      <c r="CY1" s="6"/>
      <c r="CZ1" s="6"/>
      <c r="DA1" s="6" t="s">
        <v>20</v>
      </c>
    </row>
    <row r="2" spans="1:105" s="40" customFormat="1" hidden="1">
      <c r="A2" s="29" t="s">
        <v>104</v>
      </c>
      <c r="B2" s="16" t="str">
        <f>'Monthly PL'!D2</f>
        <v>2020-21</v>
      </c>
      <c r="C2" s="16" t="str">
        <f>'Monthly PL'!E2</f>
        <v>2020-21</v>
      </c>
      <c r="D2" s="16" t="str">
        <f>'Monthly PL'!F2</f>
        <v>2020-21</v>
      </c>
      <c r="E2" s="16" t="str">
        <f>'Monthly PL'!G2</f>
        <v>2020-21</v>
      </c>
      <c r="F2" s="16" t="str">
        <f>'Monthly PL'!H2</f>
        <v>2020-21</v>
      </c>
      <c r="G2" s="16" t="str">
        <f>'Monthly PL'!I2</f>
        <v>2020-21</v>
      </c>
      <c r="H2" s="16" t="str">
        <f>'Monthly PL'!J2</f>
        <v>2020-21</v>
      </c>
      <c r="I2" s="16" t="str">
        <f>'Monthly PL'!K2</f>
        <v>2020-21</v>
      </c>
      <c r="J2" s="16" t="str">
        <f>'Monthly PL'!L2</f>
        <v>2021-22</v>
      </c>
      <c r="K2" s="16" t="str">
        <f>'Monthly PL'!M2</f>
        <v>2021-22</v>
      </c>
      <c r="L2" s="16" t="str">
        <f>'Monthly PL'!N2</f>
        <v>2021-22</v>
      </c>
      <c r="M2" s="16" t="str">
        <f>'Monthly PL'!O2</f>
        <v>2021-22</v>
      </c>
      <c r="N2" s="16" t="str">
        <f>'Monthly PL'!P2</f>
        <v>2021-22</v>
      </c>
      <c r="O2" s="16" t="str">
        <f>'Monthly PL'!Q2</f>
        <v>2021-22</v>
      </c>
      <c r="P2" s="16" t="str">
        <f>'Monthly PL'!R2</f>
        <v>2021-22</v>
      </c>
      <c r="Q2" s="16" t="str">
        <f>'Monthly PL'!S2</f>
        <v>2021-22</v>
      </c>
      <c r="R2" s="16" t="str">
        <f>'Monthly PL'!T2</f>
        <v>2021-22</v>
      </c>
      <c r="S2" s="16" t="str">
        <f>'Monthly PL'!U2</f>
        <v>2021-22</v>
      </c>
      <c r="T2" s="16" t="str">
        <f>'Monthly PL'!V2</f>
        <v>2021-22</v>
      </c>
      <c r="U2" s="16" t="str">
        <f>'Monthly PL'!W2</f>
        <v>2021-22</v>
      </c>
      <c r="V2" s="16" t="str">
        <f>'Monthly PL'!X2</f>
        <v>2022-23</v>
      </c>
      <c r="W2" s="16" t="str">
        <f>'Monthly PL'!Y2</f>
        <v>2022-23</v>
      </c>
      <c r="X2" s="16" t="str">
        <f>'Monthly PL'!Z2</f>
        <v>2022-23</v>
      </c>
      <c r="Y2" s="16" t="str">
        <f>'Monthly PL'!AA2</f>
        <v>2022-23</v>
      </c>
      <c r="Z2" s="16" t="str">
        <f>'Monthly PL'!AB2</f>
        <v>2022-23</v>
      </c>
      <c r="AA2" s="16" t="str">
        <f>'Monthly PL'!AC2</f>
        <v>2022-23</v>
      </c>
      <c r="AB2" s="16" t="str">
        <f>'Monthly PL'!AD2</f>
        <v>2022-23</v>
      </c>
      <c r="AC2" s="16" t="str">
        <f>'Monthly PL'!AE2</f>
        <v>2022-23</v>
      </c>
      <c r="AD2" s="16" t="str">
        <f>'Monthly PL'!AF2</f>
        <v>2022-23</v>
      </c>
      <c r="AE2" s="16" t="str">
        <f>'Monthly PL'!AG2</f>
        <v>2022-23</v>
      </c>
      <c r="AF2" s="16" t="str">
        <f>'Monthly PL'!AH2</f>
        <v>2022-23</v>
      </c>
      <c r="AG2" s="16" t="str">
        <f>'Monthly PL'!AI2</f>
        <v>2022-23</v>
      </c>
      <c r="AH2" s="16" t="str">
        <f>'Monthly PL'!AJ2</f>
        <v>2023-24</v>
      </c>
      <c r="AI2" s="16" t="str">
        <f>'Monthly PL'!AK2</f>
        <v>2023-24</v>
      </c>
      <c r="AJ2" s="16" t="str">
        <f>'Monthly PL'!AL2</f>
        <v>2023-24</v>
      </c>
      <c r="AK2" s="16" t="str">
        <f>'Monthly PL'!AM2</f>
        <v>2023-24</v>
      </c>
      <c r="AL2" s="16" t="str">
        <f>'Monthly PL'!AN2</f>
        <v>2023-24</v>
      </c>
      <c r="AM2" s="16" t="str">
        <f>'Monthly PL'!AO2</f>
        <v>2023-24</v>
      </c>
      <c r="AN2" s="16" t="str">
        <f>'Monthly PL'!AP2</f>
        <v>2023-24</v>
      </c>
      <c r="AO2" s="16" t="str">
        <f>'Monthly PL'!AQ2</f>
        <v>2023-24</v>
      </c>
      <c r="AP2" s="16" t="str">
        <f>'Monthly PL'!AR2</f>
        <v>2023-24</v>
      </c>
      <c r="AQ2" s="16" t="str">
        <f>'Monthly PL'!AS2</f>
        <v>2023-24</v>
      </c>
      <c r="AR2" s="16" t="str">
        <f>'Monthly PL'!AT2</f>
        <v>2023-24</v>
      </c>
      <c r="AS2" s="16" t="str">
        <f>'Monthly PL'!AU2</f>
        <v>2023-24</v>
      </c>
      <c r="AT2" s="16" t="str">
        <f>'Monthly PL'!AV2</f>
        <v>2024-25</v>
      </c>
      <c r="AU2" s="16" t="str">
        <f>'Monthly PL'!AW2</f>
        <v>2024-25</v>
      </c>
      <c r="AV2" s="16" t="str">
        <f>'Monthly PL'!AX2</f>
        <v>2024-25</v>
      </c>
      <c r="AW2" s="16" t="str">
        <f>'Monthly PL'!AY2</f>
        <v>2024-25</v>
      </c>
      <c r="AX2" s="16" t="str">
        <f>'Monthly PL'!AZ2</f>
        <v>2024-25</v>
      </c>
      <c r="AY2" s="16" t="str">
        <f>'Monthly PL'!BA2</f>
        <v>2024-25</v>
      </c>
      <c r="AZ2" s="16" t="str">
        <f>'Monthly PL'!BB2</f>
        <v>2024-25</v>
      </c>
      <c r="BA2" s="16" t="str">
        <f>'Monthly PL'!BC2</f>
        <v>2024-25</v>
      </c>
      <c r="BB2" s="16" t="str">
        <f>'Monthly PL'!BD2</f>
        <v>2024-25</v>
      </c>
      <c r="BC2" s="16" t="str">
        <f>'Monthly PL'!BE2</f>
        <v>2024-25</v>
      </c>
      <c r="BD2" s="16" t="str">
        <f>'Monthly PL'!BF2</f>
        <v>2024-25</v>
      </c>
      <c r="BE2" s="16" t="str">
        <f>'Monthly PL'!BG2</f>
        <v>2024-25</v>
      </c>
      <c r="BF2" s="16" t="str">
        <f>'Monthly PL'!BH2</f>
        <v>2025-26</v>
      </c>
      <c r="BG2" s="16" t="str">
        <f>'Monthly PL'!BI2</f>
        <v>2025-26</v>
      </c>
      <c r="BH2" s="16" t="str">
        <f>'Monthly PL'!BJ2</f>
        <v>2025-26</v>
      </c>
      <c r="BI2" s="16" t="str">
        <f>'Monthly PL'!BK2</f>
        <v>2025-26</v>
      </c>
      <c r="BJ2" s="16" t="str">
        <f>'Monthly PL'!BL2</f>
        <v>2025-26</v>
      </c>
      <c r="BK2" s="16" t="str">
        <f>'Monthly PL'!BM2</f>
        <v>2025-26</v>
      </c>
      <c r="BL2" s="16" t="str">
        <f>'Monthly PL'!BN2</f>
        <v>2025-26</v>
      </c>
      <c r="BM2" s="16" t="str">
        <f>'Monthly PL'!BO2</f>
        <v>2025-26</v>
      </c>
      <c r="BN2" s="16" t="str">
        <f>'Monthly PL'!BP2</f>
        <v>2025-26</v>
      </c>
      <c r="BO2" s="16" t="str">
        <f>'Monthly PL'!BQ2</f>
        <v>2025-26</v>
      </c>
      <c r="BP2" s="16" t="str">
        <f>'Monthly PL'!BR2</f>
        <v>2025-26</v>
      </c>
      <c r="BQ2" s="16" t="str">
        <f>'Monthly PL'!BS2</f>
        <v>2025-26</v>
      </c>
      <c r="BR2" s="16" t="str">
        <f>'Monthly PL'!BT2</f>
        <v>2026-27</v>
      </c>
      <c r="BS2" s="16" t="str">
        <f>'Monthly PL'!BU2</f>
        <v>2026-27</v>
      </c>
      <c r="BT2" s="16" t="str">
        <f>'Monthly PL'!BV2</f>
        <v>2026-27</v>
      </c>
      <c r="BU2" s="16" t="str">
        <f>'Monthly PL'!BW2</f>
        <v>2026-27</v>
      </c>
      <c r="BV2" s="16" t="str">
        <f>'Monthly PL'!BX2</f>
        <v>2026-27</v>
      </c>
      <c r="BW2" s="16" t="str">
        <f>'Monthly PL'!BY2</f>
        <v>2026-27</v>
      </c>
      <c r="BX2" s="16" t="str">
        <f>'Monthly PL'!BZ2</f>
        <v>2026-27</v>
      </c>
      <c r="BY2" s="16" t="str">
        <f>'Monthly PL'!CA2</f>
        <v>2026-27</v>
      </c>
      <c r="BZ2" s="16" t="str">
        <f>'Monthly PL'!CB2</f>
        <v>2026-27</v>
      </c>
      <c r="CA2" s="16" t="str">
        <f>'Monthly PL'!CC2</f>
        <v>2026-27</v>
      </c>
      <c r="CB2" s="16" t="str">
        <f>'Monthly PL'!CD2</f>
        <v>2026-27</v>
      </c>
      <c r="CC2" s="16" t="str">
        <f>'Monthly PL'!CE2</f>
        <v>2026-27</v>
      </c>
      <c r="CD2" s="16" t="str">
        <f>'Monthly PL'!CF2</f>
        <v>2027-28</v>
      </c>
      <c r="CE2" s="16" t="str">
        <f>'Monthly PL'!CG2</f>
        <v>2027-28</v>
      </c>
      <c r="CF2" s="16" t="str">
        <f>'Monthly PL'!CH2</f>
        <v>2027-28</v>
      </c>
      <c r="CG2" s="16" t="str">
        <f>'Monthly PL'!CI2</f>
        <v>2027-28</v>
      </c>
      <c r="CH2" s="16" t="str">
        <f>'Monthly PL'!CJ2</f>
        <v>2027-28</v>
      </c>
      <c r="CI2" s="16" t="str">
        <f>'Monthly PL'!CK2</f>
        <v>2027-28</v>
      </c>
      <c r="CJ2" s="16" t="str">
        <f>'Monthly PL'!CL2</f>
        <v>2027-28</v>
      </c>
      <c r="CK2" s="16" t="str">
        <f>'Monthly PL'!CM2</f>
        <v>2027-28</v>
      </c>
      <c r="CL2" s="16" t="str">
        <f>'Monthly PL'!CN2</f>
        <v>2027-28</v>
      </c>
      <c r="CM2" s="16" t="str">
        <f>'Monthly PL'!CO2</f>
        <v>2027-28</v>
      </c>
      <c r="CN2" s="16" t="str">
        <f>'Monthly PL'!CP2</f>
        <v>2027-28</v>
      </c>
      <c r="CO2" s="16" t="str">
        <f>'Monthly PL'!CQ2</f>
        <v>2027-28</v>
      </c>
      <c r="CP2" s="16" t="str">
        <f>'Monthly PL'!CR2</f>
        <v>2028-29</v>
      </c>
      <c r="CQ2" s="16" t="str">
        <f>'Monthly PL'!CS2</f>
        <v>2028-29</v>
      </c>
      <c r="CR2" s="16" t="str">
        <f>'Monthly PL'!CT2</f>
        <v>2028-29</v>
      </c>
      <c r="CS2" s="16" t="str">
        <f>'Monthly PL'!CU2</f>
        <v>2028-29</v>
      </c>
      <c r="CT2" s="16" t="str">
        <f>'Monthly PL'!CV2</f>
        <v>2028-29</v>
      </c>
      <c r="CU2" s="16" t="str">
        <f>'Monthly PL'!CW2</f>
        <v>2028-29</v>
      </c>
      <c r="CV2" s="16" t="str">
        <f>'Monthly PL'!CX2</f>
        <v>2028-29</v>
      </c>
      <c r="CW2" s="16" t="str">
        <f>'Monthly PL'!CY2</f>
        <v>2028-29</v>
      </c>
      <c r="CX2" s="16" t="str">
        <f>'Monthly PL'!CZ2</f>
        <v>2028-29</v>
      </c>
      <c r="CY2" s="16" t="str">
        <f>'Monthly PL'!DA2</f>
        <v>2028-29</v>
      </c>
      <c r="CZ2" s="16" t="str">
        <f>'Monthly PL'!DB2</f>
        <v>2028-29</v>
      </c>
      <c r="DA2" s="16" t="str">
        <f>'Monthly PL'!DC2</f>
        <v>2028-29</v>
      </c>
    </row>
    <row r="3" spans="1:105" s="31" customFormat="1">
      <c r="A3" s="37" t="s">
        <v>37</v>
      </c>
      <c r="B3" s="8">
        <v>44074</v>
      </c>
      <c r="C3" s="8">
        <v>44104</v>
      </c>
      <c r="D3" s="8">
        <v>44135</v>
      </c>
      <c r="E3" s="8">
        <v>44165</v>
      </c>
      <c r="F3" s="8">
        <v>44196</v>
      </c>
      <c r="G3" s="8">
        <v>44227</v>
      </c>
      <c r="H3" s="8">
        <v>44255</v>
      </c>
      <c r="I3" s="8">
        <v>44286</v>
      </c>
      <c r="J3" s="8">
        <v>44316</v>
      </c>
      <c r="K3" s="8">
        <v>44347</v>
      </c>
      <c r="L3" s="8">
        <v>44377</v>
      </c>
      <c r="M3" s="8">
        <v>44408</v>
      </c>
      <c r="N3" s="8">
        <v>44439</v>
      </c>
      <c r="O3" s="8">
        <v>44469</v>
      </c>
      <c r="P3" s="8">
        <v>44500</v>
      </c>
      <c r="Q3" s="8">
        <v>44530</v>
      </c>
      <c r="R3" s="8">
        <v>44561</v>
      </c>
      <c r="S3" s="8">
        <v>44592</v>
      </c>
      <c r="T3" s="8">
        <v>44620</v>
      </c>
      <c r="U3" s="8">
        <v>44651</v>
      </c>
      <c r="V3" s="8">
        <v>44681</v>
      </c>
      <c r="W3" s="8">
        <v>44712</v>
      </c>
      <c r="X3" s="8">
        <v>44742</v>
      </c>
      <c r="Y3" s="8">
        <v>44773</v>
      </c>
      <c r="Z3" s="8">
        <v>44804</v>
      </c>
      <c r="AA3" s="8">
        <v>44834</v>
      </c>
      <c r="AB3" s="8">
        <v>44865</v>
      </c>
      <c r="AC3" s="8">
        <v>44895</v>
      </c>
      <c r="AD3" s="8">
        <v>44926</v>
      </c>
      <c r="AE3" s="8">
        <v>44957</v>
      </c>
      <c r="AF3" s="8">
        <v>44985</v>
      </c>
      <c r="AG3" s="8">
        <v>45016</v>
      </c>
      <c r="AH3" s="8">
        <v>45046</v>
      </c>
      <c r="AI3" s="8">
        <v>45077</v>
      </c>
      <c r="AJ3" s="8">
        <v>45107</v>
      </c>
      <c r="AK3" s="8">
        <v>45138</v>
      </c>
      <c r="AL3" s="8">
        <v>45169</v>
      </c>
      <c r="AM3" s="8">
        <v>45199</v>
      </c>
      <c r="AN3" s="8">
        <v>45230</v>
      </c>
      <c r="AO3" s="8">
        <v>45260</v>
      </c>
      <c r="AP3" s="8">
        <v>45291</v>
      </c>
      <c r="AQ3" s="8">
        <v>45322</v>
      </c>
      <c r="AR3" s="8">
        <v>45351</v>
      </c>
      <c r="AS3" s="8">
        <v>45382</v>
      </c>
      <c r="AT3" s="8">
        <v>45412</v>
      </c>
      <c r="AU3" s="8">
        <v>45443</v>
      </c>
      <c r="AV3" s="8">
        <v>45473</v>
      </c>
      <c r="AW3" s="8">
        <v>45504</v>
      </c>
      <c r="AX3" s="8">
        <v>45535</v>
      </c>
      <c r="AY3" s="8">
        <v>45565</v>
      </c>
      <c r="AZ3" s="8">
        <v>45596</v>
      </c>
      <c r="BA3" s="8">
        <v>45626</v>
      </c>
      <c r="BB3" s="8">
        <v>45657</v>
      </c>
      <c r="BC3" s="8">
        <v>45688</v>
      </c>
      <c r="BD3" s="8">
        <v>45716</v>
      </c>
      <c r="BE3" s="8">
        <v>45747</v>
      </c>
      <c r="BF3" s="8">
        <v>45777</v>
      </c>
      <c r="BG3" s="8">
        <v>45808</v>
      </c>
      <c r="BH3" s="8">
        <v>45838</v>
      </c>
      <c r="BI3" s="8">
        <v>45869</v>
      </c>
      <c r="BJ3" s="8">
        <v>45900</v>
      </c>
      <c r="BK3" s="8">
        <v>45930</v>
      </c>
      <c r="BL3" s="8">
        <v>45961</v>
      </c>
      <c r="BM3" s="8">
        <v>45991</v>
      </c>
      <c r="BN3" s="8">
        <v>46022</v>
      </c>
      <c r="BO3" s="8">
        <v>46053</v>
      </c>
      <c r="BP3" s="8">
        <v>46081</v>
      </c>
      <c r="BQ3" s="8">
        <v>46112</v>
      </c>
      <c r="BR3" s="8">
        <v>46142</v>
      </c>
      <c r="BS3" s="8">
        <v>46173</v>
      </c>
      <c r="BT3" s="8">
        <v>46203</v>
      </c>
      <c r="BU3" s="8">
        <v>46234</v>
      </c>
      <c r="BV3" s="8">
        <v>46265</v>
      </c>
      <c r="BW3" s="8">
        <v>46295</v>
      </c>
      <c r="BX3" s="8">
        <v>46326</v>
      </c>
      <c r="BY3" s="8">
        <v>46356</v>
      </c>
      <c r="BZ3" s="8">
        <v>46387</v>
      </c>
      <c r="CA3" s="8">
        <v>46418</v>
      </c>
      <c r="CB3" s="8">
        <v>46446</v>
      </c>
      <c r="CC3" s="8">
        <v>46477</v>
      </c>
      <c r="CD3" s="8">
        <v>46507</v>
      </c>
      <c r="CE3" s="8">
        <v>46538</v>
      </c>
      <c r="CF3" s="8">
        <v>46568</v>
      </c>
      <c r="CG3" s="8">
        <v>46599</v>
      </c>
      <c r="CH3" s="8">
        <v>46630</v>
      </c>
      <c r="CI3" s="8">
        <v>46660</v>
      </c>
      <c r="CJ3" s="8">
        <v>46691</v>
      </c>
      <c r="CK3" s="8">
        <v>46721</v>
      </c>
      <c r="CL3" s="8">
        <v>46752</v>
      </c>
      <c r="CM3" s="8">
        <v>46783</v>
      </c>
      <c r="CN3" s="8">
        <v>46812</v>
      </c>
      <c r="CO3" s="8">
        <v>46843</v>
      </c>
      <c r="CP3" s="8">
        <v>46873</v>
      </c>
      <c r="CQ3" s="8">
        <v>46904</v>
      </c>
      <c r="CR3" s="8">
        <v>46934</v>
      </c>
      <c r="CS3" s="8">
        <v>46965</v>
      </c>
      <c r="CT3" s="8">
        <v>46996</v>
      </c>
      <c r="CU3" s="8">
        <v>47026</v>
      </c>
      <c r="CV3" s="8">
        <v>47056</v>
      </c>
      <c r="CW3" s="8">
        <v>47087</v>
      </c>
      <c r="CX3" s="8">
        <v>47117</v>
      </c>
      <c r="CY3" s="8">
        <v>47148</v>
      </c>
      <c r="CZ3" s="8">
        <v>47177</v>
      </c>
      <c r="DA3" s="8">
        <v>47207</v>
      </c>
    </row>
    <row r="4" spans="1:105">
      <c r="A4" s="25" t="s">
        <v>120</v>
      </c>
      <c r="B4" s="34">
        <v>0</v>
      </c>
      <c r="C4" s="34">
        <v>0</v>
      </c>
      <c r="D4" s="34">
        <v>0</v>
      </c>
      <c r="E4" s="34">
        <v>0</v>
      </c>
      <c r="F4" s="34">
        <v>0</v>
      </c>
      <c r="G4" s="34">
        <v>0</v>
      </c>
      <c r="H4" s="34">
        <v>0</v>
      </c>
      <c r="I4" s="34">
        <v>0</v>
      </c>
      <c r="J4" s="34">
        <v>0</v>
      </c>
      <c r="K4" s="34">
        <v>0</v>
      </c>
      <c r="L4" s="34">
        <v>0</v>
      </c>
      <c r="M4" s="34">
        <v>0</v>
      </c>
      <c r="N4" s="34">
        <v>0</v>
      </c>
      <c r="O4" s="34">
        <v>0</v>
      </c>
      <c r="P4" s="34">
        <v>0</v>
      </c>
      <c r="Q4" s="34">
        <v>0</v>
      </c>
      <c r="R4" s="34">
        <v>0</v>
      </c>
      <c r="S4" s="34">
        <v>0</v>
      </c>
      <c r="T4" s="34">
        <v>0</v>
      </c>
      <c r="U4" s="34">
        <v>0</v>
      </c>
      <c r="V4" s="34">
        <f>'Monthly PL'!W4</f>
        <v>6.7810989119999991</v>
      </c>
      <c r="W4" s="34">
        <f>'Monthly PL'!X4</f>
        <v>3.3228415999999998</v>
      </c>
      <c r="X4" s="34">
        <f>'Monthly PL'!Y4</f>
        <v>6.8535289599999993</v>
      </c>
      <c r="Y4" s="34">
        <f>'Monthly PL'!Z4</f>
        <v>3.3901056000000001</v>
      </c>
      <c r="Z4" s="34">
        <f>'Monthly PL'!AA4</f>
        <v>6.9914201599999997</v>
      </c>
      <c r="AA4" s="34">
        <f>'Monthly PL'!AB4</f>
        <v>3.5587140266666664</v>
      </c>
      <c r="AB4" s="34">
        <f>'Monthly PL'!AC4</f>
        <v>6.9654114133333342</v>
      </c>
      <c r="AC4" s="34">
        <f>'Monthly PL'!AD4</f>
        <v>3.5865164799999998</v>
      </c>
      <c r="AD4" s="34">
        <f>'Monthly PL'!AE4</f>
        <v>7.0196710399999995</v>
      </c>
      <c r="AE4" s="34">
        <f>'Monthly PL'!AF4</f>
        <v>3.6143189333333336</v>
      </c>
      <c r="AF4" s="34">
        <f>'Monthly PL'!AG4</f>
        <v>7.2494897066666661</v>
      </c>
      <c r="AG4" s="34">
        <f>'Monthly PL'!AH4</f>
        <v>3.2896580266666664</v>
      </c>
      <c r="AH4" s="34">
        <f>'Monthly PL'!AI4</f>
        <v>7.1288629333333331</v>
      </c>
      <c r="AI4" s="34">
        <f>'Monthly PL'!AJ4</f>
        <v>3.7075916800000006</v>
      </c>
      <c r="AJ4" s="34">
        <f>'Monthly PL'!AK4</f>
        <v>7.6439347712000014</v>
      </c>
      <c r="AK4" s="34">
        <f>'Monthly PL'!AL4</f>
        <v>3.7635553280000003</v>
      </c>
      <c r="AL4" s="34">
        <f>'Monthly PL'!AM4</f>
        <v>7.758660249600001</v>
      </c>
      <c r="AM4" s="34">
        <f>'Monthly PL'!AN4</f>
        <v>3.9468362752000004</v>
      </c>
      <c r="AN4" s="34">
        <f>'Monthly PL'!AO4</f>
        <v>7.7446693376000004</v>
      </c>
      <c r="AO4" s="34">
        <f>'Monthly PL'!AP4</f>
        <v>4.0046653781333337</v>
      </c>
      <c r="AP4" s="34">
        <f>'Monthly PL'!AQ4</f>
        <v>7.8575293610666694</v>
      </c>
      <c r="AQ4" s="34">
        <f>'Monthly PL'!AR4</f>
        <v>4.0624944810666674</v>
      </c>
      <c r="AR4" s="34">
        <f>'Monthly PL'!AS4</f>
        <v>8.1683607893333345</v>
      </c>
      <c r="AS4" s="34">
        <f>'Monthly PL'!AT4</f>
        <v>3.8544962560000005</v>
      </c>
      <c r="AT4" s="34">
        <f>'Monthly PL'!AU4</f>
        <v>8.1511053312000001</v>
      </c>
      <c r="AU4" s="34">
        <f>'Monthly PL'!AV4</f>
        <v>4.7864029224960003</v>
      </c>
      <c r="AV4" s="34">
        <f>'Monthly PL'!AW4</f>
        <v>9.8378861457344033</v>
      </c>
      <c r="AW4" s="34">
        <f>'Monthly PL'!AX4</f>
        <v>4.8196418316800003</v>
      </c>
      <c r="AX4" s="34">
        <f>'Monthly PL'!AY4</f>
        <v>9.9060259095616043</v>
      </c>
      <c r="AY4" s="34">
        <f>'Monthly PL'!AZ4</f>
        <v>5.0146434322261344</v>
      </c>
      <c r="AZ4" s="34">
        <f>'Monthly PL'!BA4</f>
        <v>9.8115720092970697</v>
      </c>
      <c r="BA4" s="34">
        <f>'Monthly PL'!BB4</f>
        <v>5.0489903050496014</v>
      </c>
      <c r="BB4" s="34">
        <f>'Monthly PL'!BC4</f>
        <v>9.878603809484801</v>
      </c>
      <c r="BC4" s="34">
        <f>'Monthly PL'!BD4</f>
        <v>5.0833371778730667</v>
      </c>
      <c r="BD4" s="34">
        <f>'Monthly PL'!BE4</f>
        <v>10.192434510363737</v>
      </c>
      <c r="BE4" s="34">
        <f>'Monthly PL'!BF4</f>
        <v>4.6224243038549337</v>
      </c>
      <c r="BF4" s="34">
        <f>'Monthly PL'!BG4</f>
        <v>10.013498382589868</v>
      </c>
      <c r="BG4" s="34">
        <f>'Monthly PL'!BH4</f>
        <v>5.1766277163161609</v>
      </c>
      <c r="BH4" s="34">
        <f>'Monthly PL'!BI4</f>
        <v>10.625482098849282</v>
      </c>
      <c r="BI4" s="34">
        <f>'Monthly PL'!BJ4</f>
        <v>5.1939119490918406</v>
      </c>
      <c r="BJ4" s="34">
        <f>'Monthly PL'!BK4</f>
        <v>10.660914776039428</v>
      </c>
      <c r="BK4" s="34">
        <f>'Monthly PL'!BL4</f>
        <v>5.3849027212631055</v>
      </c>
      <c r="BL4" s="34">
        <f>'Monthly PL'!BM4</f>
        <v>10.522208808014595</v>
      </c>
      <c r="BM4" s="34">
        <f>'Monthly PL'!BN4</f>
        <v>5.4027630951313075</v>
      </c>
      <c r="BN4" s="34">
        <f>'Monthly PL'!BO4</f>
        <v>10.557065344112218</v>
      </c>
      <c r="BO4" s="34">
        <f>'Monthly PL'!BP4</f>
        <v>5.4206234689995112</v>
      </c>
      <c r="BP4" s="34">
        <f>'Monthly PL'!BQ4</f>
        <v>10.854642218400175</v>
      </c>
      <c r="BQ4" s="34">
        <f>'Monthly PL'!BR4</f>
        <v>4.9121789548482564</v>
      </c>
      <c r="BR4" s="34">
        <f>'Monthly PL'!BS4</f>
        <v>10.62721052212685</v>
      </c>
      <c r="BS4" s="34">
        <f>'Monthly PL'!BT4</f>
        <v>5.8145785808707604</v>
      </c>
      <c r="BT4" s="34">
        <f>'Monthly PL'!BU4</f>
        <v>11.934636658379739</v>
      </c>
      <c r="BU4" s="34">
        <f>'Monthly PL'!BV4</f>
        <v>5.833611571315509</v>
      </c>
      <c r="BV4" s="34">
        <f>'Monthly PL'!BW4</f>
        <v>11.973654288791472</v>
      </c>
      <c r="BW4" s="34">
        <f>'Monthly PL'!BX4</f>
        <v>6.0477327138189327</v>
      </c>
      <c r="BX4" s="34">
        <f>'Monthly PL'!BY4</f>
        <v>11.817107942383414</v>
      </c>
      <c r="BY4" s="34">
        <f>'Monthly PL'!BZ4</f>
        <v>6.067400137278506</v>
      </c>
      <c r="BZ4" s="34">
        <f>'Monthly PL'!CA4</f>
        <v>11.855491139780325</v>
      </c>
      <c r="CA4" s="34">
        <f>'Monthly PL'!CB4</f>
        <v>6.0870675607380811</v>
      </c>
      <c r="CB4" s="34">
        <f>'Monthly PL'!CC4</f>
        <v>12.295226990334815</v>
      </c>
      <c r="CC4" s="34">
        <f>'Monthly PL'!CD4</f>
        <v>5.5798973824101594</v>
      </c>
      <c r="CD4" s="34">
        <f>'Monthly PL'!CE4</f>
        <v>12.071486072815905</v>
      </c>
      <c r="CE4" s="34">
        <f>'Monthly PL'!CF4</f>
        <v>6.2376244168585071</v>
      </c>
      <c r="CF4" s="34">
        <f>'Monthly PL'!CG4</f>
        <v>12.80264902381537</v>
      </c>
      <c r="CG4" s="34">
        <f>'Monthly PL'!CH4</f>
        <v>6.2576488933171222</v>
      </c>
      <c r="CH4" s="34">
        <f>'Monthly PL'!CI4</f>
        <v>12.843699200555527</v>
      </c>
      <c r="CI4" s="34">
        <f>'Monthly PL'!CJ4</f>
        <v>6.4869291487682617</v>
      </c>
      <c r="CJ4" s="34">
        <f>'Monthly PL'!CK4</f>
        <v>12.674992986391699</v>
      </c>
      <c r="CK4" s="34">
        <f>'Monthly PL'!CL4</f>
        <v>6.5076211077754964</v>
      </c>
      <c r="CL4" s="34">
        <f>'Monthly PL'!CM4</f>
        <v>12.715375680583236</v>
      </c>
      <c r="CM4" s="34">
        <f>'Monthly PL'!CN4</f>
        <v>6.5283130667827312</v>
      </c>
      <c r="CN4" s="34">
        <f>'Monthly PL'!CO4</f>
        <v>13.07214510282089</v>
      </c>
      <c r="CO4" s="34">
        <f>'Monthly PL'!CP4</f>
        <v>6.1264885725131952</v>
      </c>
      <c r="CP4" s="34">
        <f>'Monthly PL'!CQ4</f>
        <v>12.902270794196973</v>
      </c>
      <c r="CQ4" s="34">
        <f>'Monthly PL'!CR4</f>
        <v>6.6120821266346042</v>
      </c>
      <c r="CR4" s="34">
        <f>'Monthly PL'!CS4</f>
        <v>13.570908087626583</v>
      </c>
      <c r="CS4" s="34">
        <f>'Monthly PL'!CT4</f>
        <v>6.6329075821515646</v>
      </c>
      <c r="CT4" s="34">
        <f>'Monthly PL'!CU4</f>
        <v>13.613600271436349</v>
      </c>
      <c r="CU4" s="34">
        <f>'Monthly PL'!CV4+'Monthly PL'!CW4</f>
        <v>20.309504856526715</v>
      </c>
      <c r="CV4" s="34">
        <v>0</v>
      </c>
      <c r="CW4" s="34">
        <v>0</v>
      </c>
      <c r="CX4" s="34">
        <v>0</v>
      </c>
      <c r="CY4" s="34">
        <v>0</v>
      </c>
      <c r="CZ4" s="34">
        <v>0</v>
      </c>
      <c r="DA4" s="34">
        <v>0</v>
      </c>
    </row>
    <row r="5" spans="1:105" s="41" customFormat="1">
      <c r="A5" s="25" t="s">
        <v>12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0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V5" s="34">
        <f>'Monthly PL'!W5</f>
        <v>0</v>
      </c>
      <c r="W5" s="34">
        <f>'Monthly PL'!X5</f>
        <v>0</v>
      </c>
      <c r="X5" s="34">
        <f>'Monthly PL'!Y5</f>
        <v>0</v>
      </c>
      <c r="Y5" s="34">
        <f>'Monthly PL'!Z5</f>
        <v>0</v>
      </c>
      <c r="Z5" s="34">
        <f>'Monthly PL'!AA5</f>
        <v>0</v>
      </c>
      <c r="AA5" s="34">
        <f>'Monthly PL'!AB5</f>
        <v>0</v>
      </c>
      <c r="AB5" s="34">
        <f>'Monthly PL'!AC5</f>
        <v>0</v>
      </c>
      <c r="AC5" s="34">
        <f>'Monthly PL'!AD5</f>
        <v>0</v>
      </c>
      <c r="AD5" s="34">
        <f>'Monthly PL'!AE5</f>
        <v>0</v>
      </c>
      <c r="AE5" s="34">
        <f>'Monthly PL'!AF5</f>
        <v>0</v>
      </c>
      <c r="AF5" s="34">
        <f>'Monthly PL'!AG5</f>
        <v>0</v>
      </c>
      <c r="AG5" s="34">
        <f>'Monthly PL'!AH5</f>
        <v>3</v>
      </c>
      <c r="AH5" s="34">
        <f>'Monthly PL'!AI5</f>
        <v>0.14257725866666668</v>
      </c>
      <c r="AI5" s="34">
        <f>'Monthly PL'!AJ5</f>
        <v>7.4151833600000008E-2</v>
      </c>
      <c r="AJ5" s="34">
        <f>'Monthly PL'!AK5</f>
        <v>0.15287869542400004</v>
      </c>
      <c r="AK5" s="34">
        <f>'Monthly PL'!AL5</f>
        <v>7.5271106560000009E-2</v>
      </c>
      <c r="AL5" s="34">
        <f>'Monthly PL'!AM5</f>
        <v>0.15517320499200002</v>
      </c>
      <c r="AM5" s="34">
        <f>'Monthly PL'!AN5</f>
        <v>7.8936725504000008E-2</v>
      </c>
      <c r="AN5" s="34">
        <f>'Monthly PL'!AO5</f>
        <v>0.15489338675200001</v>
      </c>
      <c r="AO5" s="34">
        <f>'Monthly PL'!AP5</f>
        <v>8.009330756266668E-2</v>
      </c>
      <c r="AP5" s="34">
        <f>'Monthly PL'!AQ5</f>
        <v>0.1571505872213334</v>
      </c>
      <c r="AQ5" s="34">
        <f>'Monthly PL'!AR5</f>
        <v>8.1249889621333352E-2</v>
      </c>
      <c r="AR5" s="34">
        <f>'Monthly PL'!AS5</f>
        <v>0.16336721578666669</v>
      </c>
      <c r="AS5" s="34">
        <f>'Monthly PL'!AT5</f>
        <v>7.7089925120000014E-2</v>
      </c>
      <c r="AT5" s="34">
        <f>'Monthly PL'!AU5</f>
        <v>0.16302210662400002</v>
      </c>
      <c r="AU5" s="34">
        <f>'Monthly PL'!AV5</f>
        <v>9.5728058449920009E-2</v>
      </c>
      <c r="AV5" s="34">
        <f>'Monthly PL'!AW5</f>
        <v>0.19675772291468807</v>
      </c>
      <c r="AW5" s="34">
        <f>'Monthly PL'!AX5</f>
        <v>9.6392836633600001E-2</v>
      </c>
      <c r="AX5" s="34">
        <f>'Monthly PL'!AY5</f>
        <v>0.19812051819123208</v>
      </c>
      <c r="AY5" s="34">
        <f>'Monthly PL'!AZ5</f>
        <v>0.10029286864452269</v>
      </c>
      <c r="AZ5" s="34">
        <f>'Monthly PL'!BA5</f>
        <v>0.19623144018594141</v>
      </c>
      <c r="BA5" s="34">
        <f>'Monthly PL'!BB5</f>
        <v>0.10097980610099203</v>
      </c>
      <c r="BB5" s="34">
        <f>'Monthly PL'!BC5</f>
        <v>0.19757207618969602</v>
      </c>
      <c r="BC5" s="34">
        <f>'Monthly PL'!BD5</f>
        <v>0.10166674355746133</v>
      </c>
      <c r="BD5" s="34">
        <f>'Monthly PL'!BE5</f>
        <v>0.20384869020727475</v>
      </c>
      <c r="BE5" s="34">
        <f>'Monthly PL'!BF5</f>
        <v>9.2448486077098671E-2</v>
      </c>
      <c r="BF5" s="34">
        <f>'Monthly PL'!BG5</f>
        <v>0.20026996765179736</v>
      </c>
      <c r="BG5" s="34">
        <f>'Monthly PL'!BH5</f>
        <v>0.10353255432632322</v>
      </c>
      <c r="BH5" s="34">
        <f>'Monthly PL'!BI5</f>
        <v>0.21250964197698566</v>
      </c>
      <c r="BI5" s="34">
        <f>'Monthly PL'!BJ5</f>
        <v>0.10387823898183682</v>
      </c>
      <c r="BJ5" s="34">
        <f>'Monthly PL'!BK5</f>
        <v>0.21321829552078858</v>
      </c>
      <c r="BK5" s="34">
        <f>'Monthly PL'!BL5</f>
        <v>0.10769805442526212</v>
      </c>
      <c r="BL5" s="34">
        <f>'Monthly PL'!BM5</f>
        <v>0.2104441761602919</v>
      </c>
      <c r="BM5" s="34">
        <f>'Monthly PL'!BN5</f>
        <v>0.10805526190262615</v>
      </c>
      <c r="BN5" s="34">
        <f>'Monthly PL'!BO5</f>
        <v>0.21114130688224436</v>
      </c>
      <c r="BO5" s="34">
        <f>'Monthly PL'!BP5</f>
        <v>0.10841246937999023</v>
      </c>
      <c r="BP5" s="34">
        <f>'Monthly PL'!BQ5</f>
        <v>0.2170928443680035</v>
      </c>
      <c r="BQ5" s="34">
        <f>'Monthly PL'!BR5</f>
        <v>9.8243579096965128E-2</v>
      </c>
      <c r="BR5" s="34">
        <f>'Monthly PL'!BS5</f>
        <v>0.21254421044253702</v>
      </c>
      <c r="BS5" s="34">
        <f>'Monthly PL'!BT5</f>
        <v>0.11629157161741521</v>
      </c>
      <c r="BT5" s="34">
        <f>'Monthly PL'!BU5</f>
        <v>0.23869273316759479</v>
      </c>
      <c r="BU5" s="34">
        <f>'Monthly PL'!BV5</f>
        <v>0.11667223142631018</v>
      </c>
      <c r="BV5" s="34">
        <f>'Monthly PL'!BW5</f>
        <v>0.23947308577582946</v>
      </c>
      <c r="BW5" s="34">
        <f>'Monthly PL'!BX5</f>
        <v>0.12095465427637865</v>
      </c>
      <c r="BX5" s="34">
        <f>'Monthly PL'!BY5</f>
        <v>0.23634215884766829</v>
      </c>
      <c r="BY5" s="34">
        <f>'Monthly PL'!BZ5</f>
        <v>0.12134800274557013</v>
      </c>
      <c r="BZ5" s="34">
        <f>'Monthly PL'!CA5</f>
        <v>0.2371098227956065</v>
      </c>
      <c r="CA5" s="34">
        <f>'Monthly PL'!CB5</f>
        <v>0.12174135121476162</v>
      </c>
      <c r="CB5" s="34">
        <f>'Monthly PL'!CC5</f>
        <v>0.2459045398066963</v>
      </c>
      <c r="CC5" s="34">
        <f>'Monthly PL'!CD5</f>
        <v>0.11159794764820319</v>
      </c>
      <c r="CD5" s="34">
        <f>'Monthly PL'!CE5</f>
        <v>0.24142972145631811</v>
      </c>
      <c r="CE5" s="34">
        <f>'Monthly PL'!CF5</f>
        <v>0.12475248833717015</v>
      </c>
      <c r="CF5" s="34">
        <f>'Monthly PL'!CG5</f>
        <v>0.25605298047630742</v>
      </c>
      <c r="CG5" s="34">
        <f>'Monthly PL'!CH5</f>
        <v>0.12515297786634244</v>
      </c>
      <c r="CH5" s="34">
        <f>'Monthly PL'!CI5</f>
        <v>0.25687398401111056</v>
      </c>
      <c r="CI5" s="34">
        <f>'Monthly PL'!CJ5</f>
        <v>0.12973858297536522</v>
      </c>
      <c r="CJ5" s="34">
        <f>'Monthly PL'!CK5</f>
        <v>0.25349985972783395</v>
      </c>
      <c r="CK5" s="34">
        <f>'Monthly PL'!CL5</f>
        <v>0.13015242215550993</v>
      </c>
      <c r="CL5" s="34">
        <f>'Monthly PL'!CM5</f>
        <v>0.2543075136116647</v>
      </c>
      <c r="CM5" s="34">
        <f>'Monthly PL'!CN5</f>
        <v>0.13056626133565463</v>
      </c>
      <c r="CN5" s="34">
        <f>'Monthly PL'!CO5</f>
        <v>0.26144290205641779</v>
      </c>
      <c r="CO5" s="34">
        <f>'Monthly PL'!CP5</f>
        <v>0.12252977145026391</v>
      </c>
      <c r="CP5" s="34">
        <f>'Monthly PL'!CQ5</f>
        <v>0.25804541588393948</v>
      </c>
      <c r="CQ5" s="34">
        <f>'Monthly PL'!CR5</f>
        <v>0.13224164253269208</v>
      </c>
      <c r="CR5" s="34">
        <f>'Monthly PL'!CS5</f>
        <v>0.27141816175253164</v>
      </c>
      <c r="CS5" s="34">
        <f>'Monthly PL'!CT5</f>
        <v>0.1326581516430313</v>
      </c>
      <c r="CT5" s="34">
        <f>'Monthly PL'!CU5</f>
        <v>0.27227200542872698</v>
      </c>
      <c r="CU5" s="34">
        <f>'Monthly PL'!CV5+'Monthly PL'!CW5</f>
        <v>0.40619009713053433</v>
      </c>
      <c r="CV5" s="34">
        <v>0</v>
      </c>
      <c r="CW5" s="34">
        <v>0</v>
      </c>
      <c r="CX5" s="34">
        <v>0</v>
      </c>
      <c r="CY5" s="34">
        <v>0</v>
      </c>
      <c r="CZ5" s="34">
        <v>0</v>
      </c>
      <c r="DA5" s="34">
        <v>0</v>
      </c>
    </row>
    <row r="6" spans="1:105">
      <c r="A6" s="25" t="s">
        <v>101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f>'Monthly PL'!W6</f>
        <v>0</v>
      </c>
      <c r="W6" s="34">
        <f>'Monthly PL'!X6</f>
        <v>0.04</v>
      </c>
      <c r="X6" s="34">
        <f>'Monthly PL'!Y6</f>
        <v>0.04</v>
      </c>
      <c r="Y6" s="34">
        <f>'Monthly PL'!Z6</f>
        <v>0.04</v>
      </c>
      <c r="Z6" s="34">
        <f>'Monthly PL'!AA6</f>
        <v>0.04</v>
      </c>
      <c r="AA6" s="34">
        <f>'Monthly PL'!AB6</f>
        <v>0.04</v>
      </c>
      <c r="AB6" s="34">
        <f>'Monthly PL'!AC6</f>
        <v>0.04</v>
      </c>
      <c r="AC6" s="34">
        <f>'Monthly PL'!AD6</f>
        <v>0.04</v>
      </c>
      <c r="AD6" s="34">
        <f>'Monthly PL'!AE6</f>
        <v>0.04</v>
      </c>
      <c r="AE6" s="34">
        <f>'Monthly PL'!AF6</f>
        <v>0.04</v>
      </c>
      <c r="AF6" s="34">
        <f>'Monthly PL'!AG6</f>
        <v>0.04</v>
      </c>
      <c r="AG6" s="34">
        <f>'Monthly PL'!AH6</f>
        <v>0.04</v>
      </c>
      <c r="AH6" s="34">
        <f>'Monthly PL'!AI6</f>
        <v>0.04</v>
      </c>
      <c r="AI6" s="34">
        <f>'Monthly PL'!AJ6</f>
        <v>0.04</v>
      </c>
      <c r="AJ6" s="34">
        <f>'Monthly PL'!AK6</f>
        <v>0.04</v>
      </c>
      <c r="AK6" s="34">
        <f>'Monthly PL'!AL6</f>
        <v>0.04</v>
      </c>
      <c r="AL6" s="34">
        <f>'Monthly PL'!AM6</f>
        <v>0.04</v>
      </c>
      <c r="AM6" s="34">
        <f>'Monthly PL'!AN6</f>
        <v>0.04</v>
      </c>
      <c r="AN6" s="34">
        <f>'Monthly PL'!AO6</f>
        <v>0.04</v>
      </c>
      <c r="AO6" s="34">
        <f>'Monthly PL'!AP6</f>
        <v>0.04</v>
      </c>
      <c r="AP6" s="34">
        <f>'Monthly PL'!AQ6</f>
        <v>0.04</v>
      </c>
      <c r="AQ6" s="34">
        <f>'Monthly PL'!AR6</f>
        <v>0.04</v>
      </c>
      <c r="AR6" s="34">
        <f>'Monthly PL'!AS6</f>
        <v>0.04</v>
      </c>
      <c r="AS6" s="34">
        <f>'Monthly PL'!AT6</f>
        <v>0.04</v>
      </c>
      <c r="AT6" s="34">
        <f>'Monthly PL'!AU6</f>
        <v>0.04</v>
      </c>
      <c r="AU6" s="34">
        <f>'Monthly PL'!AV6</f>
        <v>0.04</v>
      </c>
      <c r="AV6" s="34">
        <f>'Monthly PL'!AW6</f>
        <v>0.04</v>
      </c>
      <c r="AW6" s="34">
        <f>'Monthly PL'!AX6</f>
        <v>0.04</v>
      </c>
      <c r="AX6" s="34">
        <f>'Monthly PL'!AY6</f>
        <v>0.04</v>
      </c>
      <c r="AY6" s="34">
        <f>'Monthly PL'!AZ6</f>
        <v>0.04</v>
      </c>
      <c r="AZ6" s="34">
        <f>'Monthly PL'!BA6</f>
        <v>0.04</v>
      </c>
      <c r="BA6" s="34">
        <f>'Monthly PL'!BB6</f>
        <v>0.04</v>
      </c>
      <c r="BB6" s="34">
        <f>'Monthly PL'!BC6</f>
        <v>0.04</v>
      </c>
      <c r="BC6" s="34">
        <f>'Monthly PL'!BD6</f>
        <v>0.04</v>
      </c>
      <c r="BD6" s="34">
        <f>'Monthly PL'!BE6</f>
        <v>0.04</v>
      </c>
      <c r="BE6" s="34">
        <f>'Monthly PL'!BF6</f>
        <v>0.04</v>
      </c>
      <c r="BF6" s="34">
        <f>'Monthly PL'!BG6</f>
        <v>0.04</v>
      </c>
      <c r="BG6" s="34">
        <f>'Monthly PL'!BH6</f>
        <v>0.04</v>
      </c>
      <c r="BH6" s="34">
        <f>'Monthly PL'!BI6</f>
        <v>0.04</v>
      </c>
      <c r="BI6" s="34">
        <f>'Monthly PL'!BJ6</f>
        <v>0.04</v>
      </c>
      <c r="BJ6" s="34">
        <f>'Monthly PL'!BK6</f>
        <v>0.04</v>
      </c>
      <c r="BK6" s="34">
        <f>'Monthly PL'!BL6</f>
        <v>0.04</v>
      </c>
      <c r="BL6" s="34">
        <f>'Monthly PL'!BM6</f>
        <v>0.04</v>
      </c>
      <c r="BM6" s="34">
        <f>'Monthly PL'!BN6</f>
        <v>0.04</v>
      </c>
      <c r="BN6" s="34">
        <f>'Monthly PL'!BO6</f>
        <v>0.04</v>
      </c>
      <c r="BO6" s="34">
        <f>'Monthly PL'!BP6</f>
        <v>0.04</v>
      </c>
      <c r="BP6" s="34">
        <f>'Monthly PL'!BQ6</f>
        <v>0.04</v>
      </c>
      <c r="BQ6" s="34">
        <f>'Monthly PL'!BR6</f>
        <v>0.04</v>
      </c>
      <c r="BR6" s="34">
        <f>'Monthly PL'!BS6</f>
        <v>0.04</v>
      </c>
      <c r="BS6" s="34">
        <f>'Monthly PL'!BT6</f>
        <v>0.04</v>
      </c>
      <c r="BT6" s="34">
        <f>'Monthly PL'!BU6</f>
        <v>0.04</v>
      </c>
      <c r="BU6" s="34">
        <f>'Monthly PL'!BV6</f>
        <v>0.04</v>
      </c>
      <c r="BV6" s="34">
        <f>'Monthly PL'!BW6</f>
        <v>0.04</v>
      </c>
      <c r="BW6" s="34">
        <f>'Monthly PL'!BX6</f>
        <v>0.04</v>
      </c>
      <c r="BX6" s="34">
        <f>'Monthly PL'!BY6</f>
        <v>0.04</v>
      </c>
      <c r="BY6" s="34">
        <f>'Monthly PL'!BZ6</f>
        <v>0.04</v>
      </c>
      <c r="BZ6" s="34">
        <f>'Monthly PL'!CA6</f>
        <v>0.04</v>
      </c>
      <c r="CA6" s="34">
        <f>'Monthly PL'!CB6</f>
        <v>0.04</v>
      </c>
      <c r="CB6" s="34">
        <f>'Monthly PL'!CC6</f>
        <v>0.04</v>
      </c>
      <c r="CC6" s="34">
        <f>'Monthly PL'!CD6</f>
        <v>0.04</v>
      </c>
      <c r="CD6" s="34">
        <f>'Monthly PL'!CE6</f>
        <v>0.04</v>
      </c>
      <c r="CE6" s="34">
        <f>'Monthly PL'!CF6</f>
        <v>0.04</v>
      </c>
      <c r="CF6" s="34">
        <f>'Monthly PL'!CG6</f>
        <v>0.04</v>
      </c>
      <c r="CG6" s="34">
        <f>'Monthly PL'!CH6</f>
        <v>0.04</v>
      </c>
      <c r="CH6" s="34">
        <f>'Monthly PL'!CI6</f>
        <v>0.04</v>
      </c>
      <c r="CI6" s="34">
        <f>'Monthly PL'!CJ6</f>
        <v>0.04</v>
      </c>
      <c r="CJ6" s="34">
        <f>'Monthly PL'!CK6</f>
        <v>0.04</v>
      </c>
      <c r="CK6" s="34">
        <f>'Monthly PL'!CL6</f>
        <v>0.04</v>
      </c>
      <c r="CL6" s="34">
        <f>'Monthly PL'!CM6</f>
        <v>0.04</v>
      </c>
      <c r="CM6" s="34">
        <f>'Monthly PL'!CN6</f>
        <v>0.04</v>
      </c>
      <c r="CN6" s="34">
        <f>'Monthly PL'!CO6</f>
        <v>0.04</v>
      </c>
      <c r="CO6" s="34">
        <f>'Monthly PL'!CP6</f>
        <v>0.04</v>
      </c>
      <c r="CP6" s="34">
        <f>'Monthly PL'!CQ6</f>
        <v>0.04</v>
      </c>
      <c r="CQ6" s="34">
        <f>'Monthly PL'!CR6</f>
        <v>0.04</v>
      </c>
      <c r="CR6" s="34">
        <f>'Monthly PL'!CS6</f>
        <v>0.04</v>
      </c>
      <c r="CS6" s="34">
        <f>'Monthly PL'!CT6</f>
        <v>0.04</v>
      </c>
      <c r="CT6" s="34">
        <f>'Monthly PL'!CU6</f>
        <v>0.04</v>
      </c>
      <c r="CU6" s="34">
        <f>'Monthly PL'!CV6+'Monthly PL'!CW6</f>
        <v>0.08</v>
      </c>
      <c r="CV6" s="34">
        <v>0</v>
      </c>
      <c r="CW6" s="34">
        <v>0</v>
      </c>
      <c r="CX6" s="34">
        <v>0</v>
      </c>
      <c r="CY6" s="34">
        <v>0</v>
      </c>
      <c r="CZ6" s="34">
        <v>0</v>
      </c>
      <c r="DA6" s="34">
        <v>0</v>
      </c>
    </row>
    <row r="7" spans="1:105">
      <c r="A7" s="25" t="s">
        <v>106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f>'Monthly PL'!W7</f>
        <v>0</v>
      </c>
      <c r="W7" s="34">
        <f>'Monthly PL'!X7</f>
        <v>0</v>
      </c>
      <c r="X7" s="34">
        <f>'Monthly PL'!Y7</f>
        <v>0</v>
      </c>
      <c r="Y7" s="34">
        <f>'Monthly PL'!Z7</f>
        <v>0</v>
      </c>
      <c r="Z7" s="34">
        <f>'Monthly PL'!AB7</f>
        <v>0</v>
      </c>
      <c r="AA7" s="34">
        <f>'Monthly PL'!AC7</f>
        <v>0</v>
      </c>
      <c r="AB7" s="34">
        <f>'Monthly PL'!AD7</f>
        <v>0</v>
      </c>
      <c r="AC7" s="34">
        <f>'Monthly PL'!AE7</f>
        <v>0</v>
      </c>
      <c r="AD7" s="34">
        <f>'Monthly PL'!AF7</f>
        <v>0</v>
      </c>
      <c r="AE7" s="34">
        <f>'Monthly PL'!AG7</f>
        <v>0</v>
      </c>
      <c r="AF7" s="34">
        <f>'Monthly PL'!AH7</f>
        <v>0</v>
      </c>
      <c r="AG7" s="34">
        <f>'Monthly PL'!AI7</f>
        <v>0</v>
      </c>
      <c r="AH7" s="34">
        <f>'Monthly PL'!AJ7</f>
        <v>0.89572830000000003</v>
      </c>
      <c r="AI7" s="34">
        <f>'Monthly PL'!AK7</f>
        <v>0.89572830000000003</v>
      </c>
      <c r="AJ7" s="34">
        <f>'Monthly PL'!AL7</f>
        <v>0.89572830000000003</v>
      </c>
      <c r="AK7" s="34">
        <f>'Monthly PL'!AM7</f>
        <v>0.89572830000000003</v>
      </c>
      <c r="AL7" s="34">
        <f>'Monthly PL'!AN7</f>
        <v>0.89572830000000003</v>
      </c>
      <c r="AM7" s="34">
        <f>'Monthly PL'!AO7</f>
        <v>0.89572830000000003</v>
      </c>
      <c r="AN7" s="34">
        <f>'Monthly PL'!AP7</f>
        <v>0.89572830000000003</v>
      </c>
      <c r="AO7" s="34">
        <f>'Monthly PL'!AQ7</f>
        <v>0.89572830000000003</v>
      </c>
      <c r="AP7" s="34">
        <f>'Monthly PL'!AR7</f>
        <v>0.89572830000000003</v>
      </c>
      <c r="AQ7" s="34">
        <f>'Monthly PL'!AS7</f>
        <v>0.89572830000000003</v>
      </c>
      <c r="AR7" s="34">
        <f>'Monthly PL'!AT7</f>
        <v>0.89572830000000003</v>
      </c>
      <c r="AS7" s="34">
        <f>'Monthly PL'!AU7</f>
        <v>0.89572830000000003</v>
      </c>
      <c r="AT7" s="34">
        <f>'Monthly PL'!AV7</f>
        <v>0.44786415000000002</v>
      </c>
      <c r="AU7" s="34">
        <f>'Monthly PL'!AW7</f>
        <v>0.44786415000000002</v>
      </c>
      <c r="AV7" s="34">
        <f>'Monthly PL'!AX7</f>
        <v>0.44786415000000002</v>
      </c>
      <c r="AW7" s="34">
        <f>'Monthly PL'!AY7</f>
        <v>0.44786415000000002</v>
      </c>
      <c r="AX7" s="34">
        <f>'Monthly PL'!AZ7</f>
        <v>0.44786415000000002</v>
      </c>
      <c r="AY7" s="34">
        <f>'Monthly PL'!BA7</f>
        <v>0.44786415000000002</v>
      </c>
      <c r="AZ7" s="34">
        <f>'Monthly PL'!BB7</f>
        <v>0.44786415000000002</v>
      </c>
      <c r="BA7" s="34">
        <f>'Monthly PL'!BC7</f>
        <v>0.44786415000000002</v>
      </c>
      <c r="BB7" s="34">
        <f>'Monthly PL'!BD7</f>
        <v>0.44786415000000002</v>
      </c>
      <c r="BC7" s="34">
        <f>'Monthly PL'!BE7</f>
        <v>0.44786415000000002</v>
      </c>
      <c r="BD7" s="34">
        <f>'Monthly PL'!BF7</f>
        <v>0.44786415000000002</v>
      </c>
      <c r="BE7" s="34">
        <f>'Monthly PL'!BG7</f>
        <v>0.44786415000000002</v>
      </c>
      <c r="BF7" s="34">
        <f>'Monthly PL'!BH7</f>
        <v>0.22393207500000001</v>
      </c>
      <c r="BG7" s="34">
        <f>'Monthly PL'!BI7</f>
        <v>0.22393207500000001</v>
      </c>
      <c r="BH7" s="34">
        <f>'Monthly PL'!BJ7</f>
        <v>0.22393207500000001</v>
      </c>
      <c r="BI7" s="34">
        <f>'Monthly PL'!BK7</f>
        <v>0.22393207500000001</v>
      </c>
      <c r="BJ7" s="34">
        <f>'Monthly PL'!BL7</f>
        <v>0.22393207500000001</v>
      </c>
      <c r="BK7" s="34">
        <f>'Monthly PL'!BM7</f>
        <v>0.22393207500000001</v>
      </c>
      <c r="BL7" s="34">
        <f>'Monthly PL'!BN7</f>
        <v>0.22393207500000001</v>
      </c>
      <c r="BM7" s="34">
        <f>'Monthly PL'!BO7</f>
        <v>0.22393207500000001</v>
      </c>
      <c r="BN7" s="34">
        <f>'Monthly PL'!BP7</f>
        <v>0.22393207500000001</v>
      </c>
      <c r="BO7" s="34">
        <f>'Monthly PL'!BQ7</f>
        <v>0.22393207500000001</v>
      </c>
      <c r="BP7" s="34">
        <f>'Monthly PL'!BR7</f>
        <v>0.22393207500000001</v>
      </c>
      <c r="BQ7" s="34">
        <f>'Monthly PL'!BS7</f>
        <v>0.22393207500000001</v>
      </c>
      <c r="BR7" s="34">
        <f>'Monthly PL'!BT7</f>
        <v>0.22393207500000001</v>
      </c>
      <c r="BS7" s="34">
        <f>'Monthly PL'!BU7</f>
        <v>0.22393207500000001</v>
      </c>
      <c r="BT7" s="34">
        <f>'Monthly PL'!BV7</f>
        <v>0.22393207500000001</v>
      </c>
      <c r="BU7" s="34">
        <f>'Monthly PL'!BW7</f>
        <v>0.22393207500000001</v>
      </c>
      <c r="BV7" s="34">
        <f>'Monthly PL'!BX7</f>
        <v>0.22393207500000001</v>
      </c>
      <c r="BW7" s="34">
        <f>'Monthly PL'!BY7</f>
        <v>0.22393207500000001</v>
      </c>
      <c r="BX7" s="34">
        <f>'Monthly PL'!BZ7</f>
        <v>0.22393207500000001</v>
      </c>
      <c r="BY7" s="34">
        <f>'Monthly PL'!CA7</f>
        <v>0.22393207500000001</v>
      </c>
      <c r="BZ7" s="34">
        <f>'Monthly PL'!CB7</f>
        <v>0.22393207500000001</v>
      </c>
      <c r="CA7" s="34">
        <f>'Monthly PL'!CC7</f>
        <v>0.22393207500000001</v>
      </c>
      <c r="CB7" s="34">
        <f>'Monthly PL'!CD7</f>
        <v>0.22393207500000001</v>
      </c>
      <c r="CC7" s="34">
        <f>'Monthly PL'!CE7</f>
        <v>0.22393207500000001</v>
      </c>
      <c r="CD7" s="34">
        <f>'Monthly PL'!CF7</f>
        <v>0.22393207500000001</v>
      </c>
      <c r="CE7" s="34">
        <f>'Monthly PL'!CG7</f>
        <v>0.22393207500000001</v>
      </c>
      <c r="CF7" s="34">
        <f>'Monthly PL'!CH7</f>
        <v>0.22393207500000001</v>
      </c>
      <c r="CG7" s="34">
        <f>'Monthly PL'!CI7</f>
        <v>0.22393207500000001</v>
      </c>
      <c r="CH7" s="34">
        <f>'Monthly PL'!CJ7</f>
        <v>0.22393207500000001</v>
      </c>
      <c r="CI7" s="34">
        <f>'Monthly PL'!CK7</f>
        <v>0.22393207500000001</v>
      </c>
      <c r="CJ7" s="34">
        <f>'Monthly PL'!CL7</f>
        <v>0.22393207500000001</v>
      </c>
      <c r="CK7" s="34">
        <f>'Monthly PL'!CM7</f>
        <v>0.22393207500000001</v>
      </c>
      <c r="CL7" s="34">
        <f>'Monthly PL'!CN7</f>
        <v>0.22393207500000001</v>
      </c>
      <c r="CM7" s="34">
        <f>'Monthly PL'!CO7</f>
        <v>0.22393207500000001</v>
      </c>
      <c r="CN7" s="34">
        <f>'Monthly PL'!CP7</f>
        <v>0.22393207500000001</v>
      </c>
      <c r="CO7" s="34">
        <f>'Monthly PL'!CQ7</f>
        <v>0.22393207500000001</v>
      </c>
      <c r="CP7" s="34">
        <f>'Monthly PL'!CR7</f>
        <v>0.22393207500000001</v>
      </c>
      <c r="CQ7" s="34">
        <f>'Monthly PL'!CS7</f>
        <v>0.22393207500000001</v>
      </c>
      <c r="CR7" s="34">
        <f>'Monthly PL'!CT7</f>
        <v>0.22393207500000001</v>
      </c>
      <c r="CS7" s="34">
        <f>'Monthly PL'!CU7</f>
        <v>0.22393207500000001</v>
      </c>
      <c r="CT7" s="34">
        <f>'Monthly PL'!CV7</f>
        <v>0.22393207500000001</v>
      </c>
      <c r="CU7" s="34">
        <f>'Monthly PL'!CV7+'Monthly PL'!CW7</f>
        <v>0.44786415000000002</v>
      </c>
      <c r="CV7" s="34">
        <v>0</v>
      </c>
      <c r="CW7" s="34">
        <v>0</v>
      </c>
      <c r="CX7" s="34">
        <v>0</v>
      </c>
      <c r="CY7" s="34">
        <v>0</v>
      </c>
      <c r="CZ7" s="34">
        <v>0</v>
      </c>
      <c r="DA7" s="34">
        <v>0</v>
      </c>
    </row>
    <row r="8" spans="1:105">
      <c r="A8" s="25" t="s">
        <v>107</v>
      </c>
      <c r="B8" s="34">
        <v>0</v>
      </c>
      <c r="C8" s="34">
        <v>0</v>
      </c>
      <c r="D8" s="34">
        <v>0</v>
      </c>
      <c r="E8" s="34">
        <v>0</v>
      </c>
      <c r="F8" s="34">
        <v>0</v>
      </c>
      <c r="G8" s="34">
        <v>0</v>
      </c>
      <c r="H8" s="34">
        <v>0</v>
      </c>
      <c r="I8" s="34">
        <v>0</v>
      </c>
      <c r="J8" s="34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f>'Monthly PL'!W8</f>
        <v>0.14601600000000001</v>
      </c>
      <c r="W8" s="34">
        <f>'Monthly PL'!X8</f>
        <v>0.15185664000000001</v>
      </c>
      <c r="X8" s="34">
        <f>'Monthly PL'!Y8</f>
        <v>0.15185664000000001</v>
      </c>
      <c r="Y8" s="34">
        <f>'Monthly PL'!Z8</f>
        <v>0.15185664000000001</v>
      </c>
      <c r="Z8" s="34">
        <f>'Monthly PL'!AA8</f>
        <v>0.15185664000000001</v>
      </c>
      <c r="AA8" s="34">
        <f>'Monthly PL'!AB8</f>
        <v>0.15185664000000001</v>
      </c>
      <c r="AB8" s="34">
        <f>'Monthly PL'!AC8</f>
        <v>0.15185664000000001</v>
      </c>
      <c r="AC8" s="34">
        <f>'Monthly PL'!AD8</f>
        <v>0.15185664000000001</v>
      </c>
      <c r="AD8" s="34">
        <f>'Monthly PL'!AE8</f>
        <v>6.7491839999999997E-2</v>
      </c>
      <c r="AE8" s="34">
        <f>'Monthly PL'!AF8</f>
        <v>6.7491839999999997E-2</v>
      </c>
      <c r="AF8" s="34">
        <f>'Monthly PL'!AG8</f>
        <v>6.7491839999999997E-2</v>
      </c>
      <c r="AG8" s="34">
        <f>'Monthly PL'!AH8</f>
        <v>6.7491839999999997E-2</v>
      </c>
      <c r="AH8" s="34">
        <f>'Monthly PL'!AI8</f>
        <v>6.7491839999999997E-2</v>
      </c>
      <c r="AI8" s="34">
        <f>'Monthly PL'!AJ8</f>
        <v>7.0191513600000005E-2</v>
      </c>
      <c r="AJ8" s="34">
        <f>'Monthly PL'!AK8</f>
        <v>7.0191513600000005E-2</v>
      </c>
      <c r="AK8" s="34">
        <f>'Monthly PL'!AL8</f>
        <v>7.0191513600000005E-2</v>
      </c>
      <c r="AL8" s="34">
        <f>'Monthly PL'!AM8</f>
        <v>7.0191513600000005E-2</v>
      </c>
      <c r="AM8" s="34">
        <f>'Monthly PL'!AN8</f>
        <v>7.0191513600000005E-2</v>
      </c>
      <c r="AN8" s="34">
        <f>'Monthly PL'!AO8</f>
        <v>7.0191513600000005E-2</v>
      </c>
      <c r="AO8" s="34">
        <f>'Monthly PL'!AP8</f>
        <v>0</v>
      </c>
      <c r="AP8" s="34">
        <f>'Monthly PL'!AQ8</f>
        <v>0</v>
      </c>
      <c r="AQ8" s="34">
        <f>'Monthly PL'!AR8</f>
        <v>0</v>
      </c>
      <c r="AR8" s="34">
        <f>'Monthly PL'!AS8</f>
        <v>0</v>
      </c>
      <c r="AS8" s="34">
        <f>'Monthly PL'!AT8</f>
        <v>0</v>
      </c>
      <c r="AT8" s="34">
        <f>'Monthly PL'!AU8</f>
        <v>0</v>
      </c>
      <c r="AU8" s="34">
        <f>'Monthly PL'!AV8</f>
        <v>0</v>
      </c>
      <c r="AV8" s="34">
        <f>'Monthly PL'!AW8</f>
        <v>0</v>
      </c>
      <c r="AW8" s="34">
        <f>'Monthly PL'!AX8</f>
        <v>0</v>
      </c>
      <c r="AX8" s="34">
        <f>'Monthly PL'!AY8</f>
        <v>0</v>
      </c>
      <c r="AY8" s="34">
        <f>'Monthly PL'!AZ8</f>
        <v>0</v>
      </c>
      <c r="AZ8" s="34">
        <f>'Monthly PL'!BA8</f>
        <v>0</v>
      </c>
      <c r="BA8" s="34">
        <f>'Monthly PL'!BB8</f>
        <v>0</v>
      </c>
      <c r="BB8" s="34">
        <f>'Monthly PL'!BC8</f>
        <v>0</v>
      </c>
      <c r="BC8" s="34">
        <f>'Monthly PL'!BD8</f>
        <v>0</v>
      </c>
      <c r="BD8" s="34">
        <f>'Monthly PL'!BE8</f>
        <v>0</v>
      </c>
      <c r="BE8" s="34">
        <f>'Monthly PL'!BF8</f>
        <v>0</v>
      </c>
      <c r="BF8" s="34">
        <f>'Monthly PL'!BG8</f>
        <v>0</v>
      </c>
      <c r="BG8" s="34">
        <f>'Monthly PL'!BH8</f>
        <v>0</v>
      </c>
      <c r="BH8" s="34">
        <f>'Monthly PL'!BI8</f>
        <v>0</v>
      </c>
      <c r="BI8" s="34">
        <f>'Monthly PL'!BJ8</f>
        <v>0</v>
      </c>
      <c r="BJ8" s="34">
        <f>'Monthly PL'!BK8</f>
        <v>0</v>
      </c>
      <c r="BK8" s="34">
        <f>'Monthly PL'!BL8</f>
        <v>0</v>
      </c>
      <c r="BL8" s="34">
        <f>'Monthly PL'!BM8</f>
        <v>0</v>
      </c>
      <c r="BM8" s="34">
        <f>'Monthly PL'!BN8</f>
        <v>0</v>
      </c>
      <c r="BN8" s="34">
        <f>'Monthly PL'!BO8</f>
        <v>0</v>
      </c>
      <c r="BO8" s="34">
        <f>'Monthly PL'!BP8</f>
        <v>0</v>
      </c>
      <c r="BP8" s="34">
        <f>'Monthly PL'!BQ8</f>
        <v>0</v>
      </c>
      <c r="BQ8" s="34">
        <f>'Monthly PL'!BR8</f>
        <v>0</v>
      </c>
      <c r="BR8" s="34">
        <f>'Monthly PL'!BS8</f>
        <v>0</v>
      </c>
      <c r="BS8" s="34">
        <f>'Monthly PL'!BT8</f>
        <v>0</v>
      </c>
      <c r="BT8" s="34">
        <f>'Monthly PL'!BU8</f>
        <v>0</v>
      </c>
      <c r="BU8" s="34">
        <f>'Monthly PL'!BV8</f>
        <v>0</v>
      </c>
      <c r="BV8" s="34">
        <f>'Monthly PL'!BW8</f>
        <v>0</v>
      </c>
      <c r="BW8" s="34">
        <f>'Monthly PL'!BX8</f>
        <v>0</v>
      </c>
      <c r="BX8" s="34">
        <f>'Monthly PL'!BY8</f>
        <v>0</v>
      </c>
      <c r="BY8" s="34">
        <f>'Monthly PL'!BZ8</f>
        <v>0</v>
      </c>
      <c r="BZ8" s="34">
        <f>'Monthly PL'!CA8</f>
        <v>0</v>
      </c>
      <c r="CA8" s="34">
        <f>'Monthly PL'!CB8</f>
        <v>0</v>
      </c>
      <c r="CB8" s="34">
        <f>'Monthly PL'!CC8</f>
        <v>0</v>
      </c>
      <c r="CC8" s="34">
        <f>'Monthly PL'!CD8</f>
        <v>0</v>
      </c>
      <c r="CD8" s="34">
        <f>'Monthly PL'!CE8</f>
        <v>0</v>
      </c>
      <c r="CE8" s="34">
        <f>'Monthly PL'!CF8</f>
        <v>0</v>
      </c>
      <c r="CF8" s="34">
        <f>'Monthly PL'!CG8</f>
        <v>0</v>
      </c>
      <c r="CG8" s="34">
        <f>'Monthly PL'!CH8</f>
        <v>0</v>
      </c>
      <c r="CH8" s="34">
        <f>'Monthly PL'!CI8</f>
        <v>0</v>
      </c>
      <c r="CI8" s="34">
        <f>'Monthly PL'!CJ8</f>
        <v>0</v>
      </c>
      <c r="CJ8" s="34">
        <f>'Monthly PL'!CK8</f>
        <v>0</v>
      </c>
      <c r="CK8" s="34">
        <f>'Monthly PL'!CL8</f>
        <v>0</v>
      </c>
      <c r="CL8" s="34">
        <f>'Monthly PL'!CM8</f>
        <v>0</v>
      </c>
      <c r="CM8" s="34">
        <f>'Monthly PL'!CN8</f>
        <v>0</v>
      </c>
      <c r="CN8" s="34">
        <f>'Monthly PL'!CO8</f>
        <v>0</v>
      </c>
      <c r="CO8" s="34">
        <f>'Monthly PL'!CP8</f>
        <v>0</v>
      </c>
      <c r="CP8" s="34">
        <f>'Monthly PL'!CQ8</f>
        <v>0</v>
      </c>
      <c r="CQ8" s="34">
        <f>'Monthly PL'!CR8</f>
        <v>0</v>
      </c>
      <c r="CR8" s="34">
        <f>'Monthly PL'!CS8</f>
        <v>0</v>
      </c>
      <c r="CS8" s="34">
        <f>'Monthly PL'!CT8</f>
        <v>0</v>
      </c>
      <c r="CT8" s="34">
        <f>'Monthly PL'!CU8</f>
        <v>0</v>
      </c>
      <c r="CU8" s="34">
        <f>'Monthly PL'!CV8</f>
        <v>0</v>
      </c>
      <c r="CV8" s="34">
        <f>'Monthly PL'!CW8</f>
        <v>0</v>
      </c>
      <c r="CW8" s="34">
        <f>'Monthly PL'!CX8</f>
        <v>0</v>
      </c>
      <c r="CX8" s="34">
        <f>'Monthly PL'!CY8</f>
        <v>0</v>
      </c>
      <c r="CY8" s="34">
        <f>'Monthly PL'!CZ8</f>
        <v>0</v>
      </c>
      <c r="CZ8" s="34">
        <f>'Monthly PL'!DA8</f>
        <v>0</v>
      </c>
      <c r="DA8" s="34">
        <f>'Monthly PL'!DB8</f>
        <v>0</v>
      </c>
    </row>
    <row r="9" spans="1:105">
      <c r="A9" s="25" t="s">
        <v>102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f>'Monthly PL'!W9</f>
        <v>0</v>
      </c>
      <c r="W9" s="34">
        <f>'Monthly PL'!X9</f>
        <v>0</v>
      </c>
      <c r="X9" s="34">
        <f>'Monthly PL'!Y9</f>
        <v>0</v>
      </c>
      <c r="Y9" s="34">
        <f>'Monthly PL'!Z9</f>
        <v>0</v>
      </c>
      <c r="Z9" s="34">
        <f>'Monthly PL'!AA9</f>
        <v>0</v>
      </c>
      <c r="AA9" s="34">
        <f>'Monthly PL'!AB9</f>
        <v>0</v>
      </c>
      <c r="AB9" s="34">
        <f>'Monthly PL'!AC9</f>
        <v>0</v>
      </c>
      <c r="AC9" s="34">
        <f>'Monthly PL'!AD9</f>
        <v>0</v>
      </c>
      <c r="AD9" s="34">
        <f>'Monthly PL'!AE9</f>
        <v>0</v>
      </c>
      <c r="AE9" s="34">
        <f>'Monthly PL'!AF9</f>
        <v>0</v>
      </c>
      <c r="AF9" s="34">
        <f>'Monthly PL'!AG9</f>
        <v>0</v>
      </c>
      <c r="AG9" s="34">
        <v>0</v>
      </c>
      <c r="AH9" s="34">
        <f>'Monthly PL'!AI9</f>
        <v>0</v>
      </c>
      <c r="AI9" s="34">
        <f>'Monthly PL'!AJ9</f>
        <v>0</v>
      </c>
      <c r="AJ9" s="34">
        <f>'Monthly PL'!AK9</f>
        <v>0</v>
      </c>
      <c r="AK9" s="34">
        <f>'Monthly PL'!AL9</f>
        <v>0</v>
      </c>
      <c r="AL9" s="34">
        <f>'Monthly PL'!AM9</f>
        <v>0</v>
      </c>
      <c r="AM9" s="34">
        <f>'Monthly PL'!AN9</f>
        <v>0</v>
      </c>
      <c r="AN9" s="34">
        <f>'Monthly PL'!AO9</f>
        <v>0</v>
      </c>
      <c r="AO9" s="34">
        <f>'Monthly PL'!AP9</f>
        <v>0</v>
      </c>
      <c r="AP9" s="34">
        <f>'Monthly PL'!AQ9</f>
        <v>0</v>
      </c>
      <c r="AQ9" s="34">
        <f>'Monthly PL'!AR9</f>
        <v>0</v>
      </c>
      <c r="AR9" s="34">
        <f>'Monthly PL'!AS9</f>
        <v>0</v>
      </c>
      <c r="AS9" s="34">
        <f>'Monthly PL'!AT9</f>
        <v>0</v>
      </c>
      <c r="AT9" s="34">
        <f>'Monthly PL'!AU9</f>
        <v>0</v>
      </c>
      <c r="AU9" s="34">
        <f>'Monthly PL'!AV9</f>
        <v>0</v>
      </c>
      <c r="AV9" s="34">
        <f>'Monthly PL'!AW9</f>
        <v>0</v>
      </c>
      <c r="AW9" s="34">
        <f>'Monthly PL'!AX9</f>
        <v>0</v>
      </c>
      <c r="AX9" s="34">
        <f>'Monthly PL'!AY9</f>
        <v>0</v>
      </c>
      <c r="AY9" s="34">
        <f>'Monthly PL'!AZ9</f>
        <v>0</v>
      </c>
      <c r="AZ9" s="34">
        <f>'Monthly PL'!BA9</f>
        <v>0</v>
      </c>
      <c r="BA9" s="34">
        <f>'Monthly PL'!BB9</f>
        <v>0</v>
      </c>
      <c r="BB9" s="34">
        <f>'Monthly PL'!BC9</f>
        <v>0</v>
      </c>
      <c r="BC9" s="34">
        <f>'Monthly PL'!BD9</f>
        <v>0</v>
      </c>
      <c r="BD9" s="34">
        <f>'Monthly PL'!BE9</f>
        <v>0</v>
      </c>
      <c r="BE9" s="34">
        <f>'Monthly PL'!BF9</f>
        <v>0</v>
      </c>
      <c r="BF9" s="34">
        <f>'Monthly PL'!BG9</f>
        <v>0</v>
      </c>
      <c r="BG9" s="34">
        <f>'Monthly PL'!BH9</f>
        <v>0</v>
      </c>
      <c r="BH9" s="34">
        <f>'Monthly PL'!BI9</f>
        <v>0</v>
      </c>
      <c r="BI9" s="34">
        <f>'Monthly PL'!BJ9</f>
        <v>0</v>
      </c>
      <c r="BJ9" s="34">
        <f>'Monthly PL'!BK9</f>
        <v>0</v>
      </c>
      <c r="BK9" s="34">
        <f>'Monthly PL'!BL9</f>
        <v>0</v>
      </c>
      <c r="BL9" s="34">
        <f>'Monthly PL'!BM9</f>
        <v>0</v>
      </c>
      <c r="BM9" s="34">
        <f>'Monthly PL'!BN9</f>
        <v>0</v>
      </c>
      <c r="BN9" s="34">
        <f>'Monthly PL'!BO9</f>
        <v>0</v>
      </c>
      <c r="BO9" s="34">
        <f>'Monthly PL'!BP9</f>
        <v>0</v>
      </c>
      <c r="BP9" s="34">
        <f>'Monthly PL'!BQ9</f>
        <v>0</v>
      </c>
      <c r="BQ9" s="34">
        <f>'Monthly PL'!BR9</f>
        <v>0</v>
      </c>
      <c r="BR9" s="34">
        <f>'Monthly PL'!BS9</f>
        <v>0</v>
      </c>
      <c r="BS9" s="34">
        <f>'Monthly PL'!BT9</f>
        <v>0</v>
      </c>
      <c r="BT9" s="34">
        <f>'Monthly PL'!BU9</f>
        <v>0</v>
      </c>
      <c r="BU9" s="34">
        <f>'Monthly PL'!BV9</f>
        <v>0</v>
      </c>
      <c r="BV9" s="34">
        <f>'Monthly PL'!BW9</f>
        <v>0</v>
      </c>
      <c r="BW9" s="34">
        <f>'Monthly PL'!BX9</f>
        <v>0</v>
      </c>
      <c r="BX9" s="34">
        <f>'Monthly PL'!BY9</f>
        <v>0</v>
      </c>
      <c r="BY9" s="34">
        <f>'Monthly PL'!BZ9</f>
        <v>0</v>
      </c>
      <c r="BZ9" s="34">
        <f>'Monthly PL'!CA9</f>
        <v>0</v>
      </c>
      <c r="CA9" s="34">
        <f>'Monthly PL'!CB9</f>
        <v>0</v>
      </c>
      <c r="CB9" s="34">
        <f>'Monthly PL'!CC9</f>
        <v>0</v>
      </c>
      <c r="CC9" s="34">
        <f>'Monthly PL'!CD9</f>
        <v>0</v>
      </c>
      <c r="CD9" s="34">
        <f>'Monthly PL'!CE9</f>
        <v>0</v>
      </c>
      <c r="CE9" s="34">
        <f>'Monthly PL'!CF9</f>
        <v>0</v>
      </c>
      <c r="CF9" s="34">
        <f>'Monthly PL'!CG9</f>
        <v>0</v>
      </c>
      <c r="CG9" s="34">
        <f>'Monthly PL'!CH9</f>
        <v>0</v>
      </c>
      <c r="CH9" s="34">
        <f>'Monthly PL'!CI9</f>
        <v>0</v>
      </c>
      <c r="CI9" s="34">
        <f>'Monthly PL'!CJ9</f>
        <v>0</v>
      </c>
      <c r="CJ9" s="34">
        <f>'Monthly PL'!CK9</f>
        <v>0</v>
      </c>
      <c r="CK9" s="34">
        <f>'Monthly PL'!CL9</f>
        <v>0</v>
      </c>
      <c r="CL9" s="34">
        <f>'Monthly PL'!CM9</f>
        <v>0</v>
      </c>
      <c r="CM9" s="34">
        <f>'Monthly PL'!CN9</f>
        <v>0</v>
      </c>
      <c r="CN9" s="34">
        <f>'Monthly PL'!CO9</f>
        <v>0</v>
      </c>
      <c r="CO9" s="34">
        <f>'Monthly PL'!CP9</f>
        <v>0</v>
      </c>
      <c r="CP9" s="34">
        <f>'Monthly PL'!CQ9</f>
        <v>0</v>
      </c>
      <c r="CQ9" s="34">
        <f>'Monthly PL'!CR9</f>
        <v>0</v>
      </c>
      <c r="CR9" s="34">
        <f>'Monthly PL'!CS9</f>
        <v>0</v>
      </c>
      <c r="CS9" s="34">
        <f>'Monthly PL'!CT9</f>
        <v>0</v>
      </c>
      <c r="CT9" s="34">
        <f>'Monthly PL'!CU9</f>
        <v>0</v>
      </c>
      <c r="CU9" s="34">
        <f>'Monthly PL'!CV9</f>
        <v>0</v>
      </c>
      <c r="CV9" s="34">
        <f>'Monthly PL'!CW9</f>
        <v>0</v>
      </c>
      <c r="CW9" s="34">
        <f>'Monthly PL'!CX9</f>
        <v>0</v>
      </c>
      <c r="CX9" s="34">
        <f>'Monthly PL'!CY9</f>
        <v>0</v>
      </c>
      <c r="CY9" s="34">
        <f>'Monthly PL'!CZ9</f>
        <v>0</v>
      </c>
      <c r="CZ9" s="34">
        <f>'Monthly PL'!DA9</f>
        <v>0</v>
      </c>
      <c r="DA9" s="34">
        <f>'Monthly PL'!DB9</f>
        <v>0</v>
      </c>
    </row>
    <row r="10" spans="1:105">
      <c r="A10" s="25" t="s">
        <v>121</v>
      </c>
      <c r="B10" s="34">
        <v>0</v>
      </c>
      <c r="C10" s="34">
        <v>0</v>
      </c>
      <c r="D10" s="34">
        <v>0</v>
      </c>
      <c r="E10" s="34">
        <v>0</v>
      </c>
      <c r="F10" s="34">
        <v>0</v>
      </c>
      <c r="G10" s="34">
        <v>0</v>
      </c>
      <c r="H10" s="34">
        <v>0</v>
      </c>
      <c r="I10" s="34">
        <v>0</v>
      </c>
      <c r="J10" s="34">
        <v>0</v>
      </c>
      <c r="K10" s="34">
        <v>0</v>
      </c>
      <c r="L10" s="34">
        <v>0</v>
      </c>
      <c r="M10" s="34">
        <v>0</v>
      </c>
      <c r="N10" s="34">
        <v>0</v>
      </c>
      <c r="O10" s="34">
        <v>0</v>
      </c>
      <c r="P10" s="34">
        <v>0</v>
      </c>
      <c r="Q10" s="34">
        <v>0</v>
      </c>
      <c r="R10" s="34">
        <v>0</v>
      </c>
      <c r="S10" s="34">
        <v>0</v>
      </c>
      <c r="T10" s="34">
        <v>0</v>
      </c>
      <c r="U10" s="34">
        <v>0</v>
      </c>
      <c r="V10" s="34">
        <v>0</v>
      </c>
      <c r="W10" s="34">
        <v>0</v>
      </c>
      <c r="X10" s="34">
        <v>0</v>
      </c>
      <c r="Y10" s="34">
        <v>0</v>
      </c>
      <c r="Z10" s="34">
        <v>0</v>
      </c>
      <c r="AA10" s="34">
        <v>0</v>
      </c>
      <c r="AB10" s="34">
        <v>0</v>
      </c>
      <c r="AC10" s="34">
        <v>0</v>
      </c>
      <c r="AD10" s="34">
        <v>0</v>
      </c>
      <c r="AE10" s="34">
        <v>0</v>
      </c>
      <c r="AF10" s="34">
        <v>0</v>
      </c>
      <c r="AG10" s="34">
        <v>4</v>
      </c>
      <c r="AH10" s="34">
        <v>0</v>
      </c>
      <c r="AI10" s="34">
        <v>0</v>
      </c>
      <c r="AJ10" s="34">
        <v>0</v>
      </c>
      <c r="AK10" s="34">
        <v>0</v>
      </c>
      <c r="AL10" s="34">
        <v>0</v>
      </c>
      <c r="AM10" s="34">
        <v>0</v>
      </c>
      <c r="AN10" s="34">
        <v>0</v>
      </c>
      <c r="AO10" s="34">
        <v>0</v>
      </c>
      <c r="AP10" s="34">
        <v>0</v>
      </c>
      <c r="AQ10" s="34">
        <v>0</v>
      </c>
      <c r="AR10" s="34">
        <v>0</v>
      </c>
      <c r="AS10" s="34">
        <v>0</v>
      </c>
      <c r="AT10" s="34">
        <v>0</v>
      </c>
      <c r="AU10" s="34">
        <v>0</v>
      </c>
      <c r="AV10" s="34">
        <v>0</v>
      </c>
      <c r="AW10" s="34">
        <v>0</v>
      </c>
      <c r="AX10" s="34">
        <v>0</v>
      </c>
      <c r="AY10" s="34">
        <v>0</v>
      </c>
      <c r="AZ10" s="34">
        <v>0</v>
      </c>
      <c r="BA10" s="34">
        <v>0</v>
      </c>
      <c r="BB10" s="34">
        <v>0</v>
      </c>
      <c r="BC10" s="34">
        <v>0</v>
      </c>
      <c r="BD10" s="34">
        <v>0</v>
      </c>
      <c r="BE10" s="34">
        <v>0</v>
      </c>
      <c r="BF10" s="34">
        <v>0</v>
      </c>
      <c r="BG10" s="34">
        <v>0</v>
      </c>
      <c r="BH10" s="34">
        <v>0</v>
      </c>
      <c r="BI10" s="34">
        <v>0</v>
      </c>
      <c r="BJ10" s="34">
        <v>0</v>
      </c>
      <c r="BK10" s="34">
        <v>0</v>
      </c>
      <c r="BL10" s="34">
        <v>0</v>
      </c>
      <c r="BM10" s="34">
        <v>0</v>
      </c>
      <c r="BN10" s="34">
        <v>0</v>
      </c>
      <c r="BO10" s="34">
        <v>0</v>
      </c>
      <c r="BP10" s="34">
        <v>0</v>
      </c>
      <c r="BQ10" s="34">
        <v>0</v>
      </c>
      <c r="BR10" s="34">
        <v>0</v>
      </c>
      <c r="BS10" s="34">
        <v>0</v>
      </c>
      <c r="BT10" s="34">
        <v>0</v>
      </c>
      <c r="BU10" s="34">
        <v>0</v>
      </c>
      <c r="BV10" s="34">
        <v>0</v>
      </c>
      <c r="BW10" s="34">
        <v>0</v>
      </c>
      <c r="BX10" s="34">
        <v>0</v>
      </c>
      <c r="BY10" s="34">
        <v>0</v>
      </c>
      <c r="BZ10" s="34">
        <v>0</v>
      </c>
      <c r="CA10" s="34">
        <v>0</v>
      </c>
      <c r="CB10" s="34">
        <v>0</v>
      </c>
      <c r="CC10" s="34">
        <v>0</v>
      </c>
      <c r="CD10" s="34">
        <v>0</v>
      </c>
      <c r="CE10" s="34">
        <v>0</v>
      </c>
      <c r="CF10" s="34">
        <v>0</v>
      </c>
      <c r="CG10" s="34">
        <v>0</v>
      </c>
      <c r="CH10" s="34">
        <v>0</v>
      </c>
      <c r="CI10" s="34">
        <v>0</v>
      </c>
      <c r="CJ10" s="34">
        <v>0</v>
      </c>
      <c r="CK10" s="34">
        <v>0</v>
      </c>
      <c r="CL10" s="34">
        <v>0</v>
      </c>
      <c r="CM10" s="34">
        <v>0</v>
      </c>
      <c r="CN10" s="34">
        <v>0</v>
      </c>
      <c r="CO10" s="34">
        <v>0</v>
      </c>
      <c r="CP10" s="34">
        <v>0</v>
      </c>
      <c r="CQ10" s="34">
        <v>0</v>
      </c>
      <c r="CR10" s="34">
        <v>0</v>
      </c>
      <c r="CS10" s="34">
        <v>0</v>
      </c>
      <c r="CT10" s="34">
        <v>0</v>
      </c>
      <c r="CU10" s="34">
        <v>0</v>
      </c>
      <c r="CV10" s="34">
        <v>0</v>
      </c>
      <c r="CW10" s="34">
        <v>0</v>
      </c>
      <c r="CX10" s="34">
        <v>0</v>
      </c>
      <c r="CY10" s="34">
        <v>0</v>
      </c>
      <c r="CZ10" s="34">
        <v>0</v>
      </c>
      <c r="DA10" s="34">
        <v>0</v>
      </c>
    </row>
    <row r="11" spans="1:105">
      <c r="A11" s="25" t="s">
        <v>122</v>
      </c>
      <c r="B11" s="34">
        <v>0</v>
      </c>
      <c r="C11" s="34">
        <v>0</v>
      </c>
      <c r="D11" s="34">
        <v>0</v>
      </c>
      <c r="E11" s="34">
        <v>0</v>
      </c>
      <c r="F11" s="34">
        <v>0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34">
        <v>0</v>
      </c>
      <c r="M11" s="34">
        <v>0</v>
      </c>
      <c r="N11" s="34">
        <v>0</v>
      </c>
      <c r="O11" s="34">
        <v>0</v>
      </c>
      <c r="P11" s="34">
        <v>0</v>
      </c>
      <c r="Q11" s="34">
        <v>0</v>
      </c>
      <c r="R11" s="34">
        <v>0</v>
      </c>
      <c r="S11" s="34">
        <v>0</v>
      </c>
      <c r="T11" s="34">
        <v>0</v>
      </c>
      <c r="U11" s="34">
        <v>0</v>
      </c>
      <c r="V11" s="34">
        <v>0</v>
      </c>
      <c r="W11" s="34">
        <v>0</v>
      </c>
      <c r="X11" s="34">
        <v>0</v>
      </c>
      <c r="Y11" s="34">
        <v>0</v>
      </c>
      <c r="Z11" s="34">
        <v>0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>
        <v>0</v>
      </c>
      <c r="BJ11" s="34">
        <v>0</v>
      </c>
      <c r="BK11" s="34">
        <v>0</v>
      </c>
      <c r="BL11" s="34">
        <v>0</v>
      </c>
      <c r="BM11" s="34">
        <v>0</v>
      </c>
      <c r="BN11" s="34">
        <v>0</v>
      </c>
      <c r="BO11" s="34">
        <v>0</v>
      </c>
      <c r="BP11" s="34">
        <v>0</v>
      </c>
      <c r="BQ11" s="34">
        <v>0</v>
      </c>
      <c r="BR11" s="34">
        <v>0</v>
      </c>
      <c r="BS11" s="34">
        <v>0</v>
      </c>
      <c r="BT11" s="34">
        <v>0</v>
      </c>
      <c r="BU11" s="34">
        <v>0</v>
      </c>
      <c r="BV11" s="34">
        <v>0</v>
      </c>
      <c r="BW11" s="34">
        <v>0</v>
      </c>
      <c r="BX11" s="34">
        <v>0</v>
      </c>
      <c r="BY11" s="34">
        <v>0</v>
      </c>
      <c r="BZ11" s="34">
        <v>0</v>
      </c>
      <c r="CA11" s="34">
        <v>0</v>
      </c>
      <c r="CB11" s="34">
        <v>0</v>
      </c>
      <c r="CC11" s="34">
        <v>0</v>
      </c>
      <c r="CD11" s="34">
        <v>0</v>
      </c>
      <c r="CE11" s="34">
        <v>0</v>
      </c>
      <c r="CF11" s="34">
        <v>0</v>
      </c>
      <c r="CG11" s="34">
        <v>0</v>
      </c>
      <c r="CH11" s="34">
        <v>0</v>
      </c>
      <c r="CI11" s="34">
        <v>0</v>
      </c>
      <c r="CJ11" s="34">
        <v>0</v>
      </c>
      <c r="CK11" s="34">
        <v>0</v>
      </c>
      <c r="CL11" s="34">
        <v>0</v>
      </c>
      <c r="CM11" s="34">
        <v>0</v>
      </c>
      <c r="CN11" s="34">
        <v>0</v>
      </c>
      <c r="CO11" s="34">
        <v>0</v>
      </c>
      <c r="CP11" s="34">
        <v>0</v>
      </c>
      <c r="CQ11" s="34">
        <v>0</v>
      </c>
      <c r="CR11" s="34">
        <v>0</v>
      </c>
      <c r="CS11" s="34">
        <v>0</v>
      </c>
      <c r="CT11" s="34">
        <v>0</v>
      </c>
      <c r="CU11" s="34">
        <v>0</v>
      </c>
      <c r="CV11" s="34">
        <v>0</v>
      </c>
      <c r="CW11" s="34">
        <v>0</v>
      </c>
      <c r="CX11" s="34">
        <v>0</v>
      </c>
      <c r="CY11" s="34">
        <v>0</v>
      </c>
      <c r="CZ11" s="34">
        <v>0</v>
      </c>
      <c r="DA11" s="34">
        <v>0</v>
      </c>
    </row>
    <row r="12" spans="1:105">
      <c r="A12" s="25" t="s">
        <v>123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34">
        <v>0</v>
      </c>
      <c r="M12" s="34">
        <v>0</v>
      </c>
      <c r="N12" s="34">
        <v>0</v>
      </c>
      <c r="O12" s="34">
        <v>0</v>
      </c>
      <c r="P12" s="34">
        <v>0</v>
      </c>
      <c r="Q12" s="34">
        <v>0</v>
      </c>
      <c r="R12" s="34">
        <v>0</v>
      </c>
      <c r="S12" s="34">
        <v>0</v>
      </c>
      <c r="T12" s="34">
        <v>0</v>
      </c>
      <c r="U12" s="34">
        <v>0</v>
      </c>
      <c r="V12" s="34">
        <v>0</v>
      </c>
      <c r="W12" s="34">
        <v>0</v>
      </c>
      <c r="X12" s="34">
        <v>0</v>
      </c>
      <c r="Y12" s="34">
        <v>0</v>
      </c>
      <c r="Z12" s="34">
        <v>0</v>
      </c>
      <c r="AA12" s="34">
        <v>0</v>
      </c>
      <c r="AB12" s="34">
        <v>0</v>
      </c>
      <c r="AC12" s="34">
        <v>0</v>
      </c>
      <c r="AD12" s="34">
        <v>0</v>
      </c>
      <c r="AE12" s="34">
        <v>0</v>
      </c>
      <c r="AF12" s="34">
        <v>0</v>
      </c>
      <c r="AG12" s="34">
        <v>0.89</v>
      </c>
      <c r="AH12" s="34">
        <v>0</v>
      </c>
      <c r="AI12" s="34">
        <v>0</v>
      </c>
      <c r="AJ12" s="34">
        <v>0</v>
      </c>
      <c r="AK12" s="34">
        <v>0</v>
      </c>
      <c r="AL12" s="34">
        <v>0</v>
      </c>
      <c r="AM12" s="34">
        <v>0</v>
      </c>
      <c r="AN12" s="34">
        <v>0</v>
      </c>
      <c r="AO12" s="34">
        <v>0</v>
      </c>
      <c r="AP12" s="34">
        <v>0</v>
      </c>
      <c r="AQ12" s="34">
        <v>0</v>
      </c>
      <c r="AR12" s="34">
        <v>0</v>
      </c>
      <c r="AS12" s="34">
        <v>0</v>
      </c>
      <c r="AT12" s="34">
        <v>0</v>
      </c>
      <c r="AU12" s="34">
        <v>0</v>
      </c>
      <c r="AV12" s="34">
        <v>0</v>
      </c>
      <c r="AW12" s="34">
        <v>0</v>
      </c>
      <c r="AX12" s="34">
        <v>0</v>
      </c>
      <c r="AY12" s="34">
        <v>0</v>
      </c>
      <c r="AZ12" s="34">
        <v>0</v>
      </c>
      <c r="BA12" s="34">
        <v>0</v>
      </c>
      <c r="BB12" s="34">
        <v>0</v>
      </c>
      <c r="BC12" s="34">
        <v>0</v>
      </c>
      <c r="BD12" s="34">
        <v>0</v>
      </c>
      <c r="BE12" s="34">
        <v>0</v>
      </c>
      <c r="BF12" s="34">
        <v>0</v>
      </c>
      <c r="BG12" s="34">
        <v>0</v>
      </c>
      <c r="BH12" s="34">
        <v>0</v>
      </c>
      <c r="BI12" s="34">
        <v>0</v>
      </c>
      <c r="BJ12" s="34">
        <v>0</v>
      </c>
      <c r="BK12" s="34">
        <v>0</v>
      </c>
      <c r="BL12" s="34">
        <v>0</v>
      </c>
      <c r="BM12" s="34">
        <v>0</v>
      </c>
      <c r="BN12" s="34">
        <v>0</v>
      </c>
      <c r="BO12" s="34">
        <v>0</v>
      </c>
      <c r="BP12" s="34">
        <v>0</v>
      </c>
      <c r="BQ12" s="34">
        <v>0</v>
      </c>
      <c r="BR12" s="34">
        <v>0</v>
      </c>
      <c r="BS12" s="34">
        <v>0</v>
      </c>
      <c r="BT12" s="34">
        <v>0</v>
      </c>
      <c r="BU12" s="34">
        <v>0</v>
      </c>
      <c r="BV12" s="34">
        <v>0</v>
      </c>
      <c r="BW12" s="34">
        <v>0</v>
      </c>
      <c r="BX12" s="34">
        <v>0</v>
      </c>
      <c r="BY12" s="34">
        <v>0</v>
      </c>
      <c r="BZ12" s="34">
        <v>0</v>
      </c>
      <c r="CA12" s="34">
        <v>0</v>
      </c>
      <c r="CB12" s="34">
        <v>0</v>
      </c>
      <c r="CC12" s="34">
        <v>0</v>
      </c>
      <c r="CD12" s="34">
        <v>0</v>
      </c>
      <c r="CE12" s="34">
        <v>0</v>
      </c>
      <c r="CF12" s="34">
        <v>0</v>
      </c>
      <c r="CG12" s="34">
        <v>0</v>
      </c>
      <c r="CH12" s="34">
        <v>0</v>
      </c>
      <c r="CI12" s="34">
        <v>0</v>
      </c>
      <c r="CJ12" s="34">
        <v>0</v>
      </c>
      <c r="CK12" s="34">
        <v>0</v>
      </c>
      <c r="CL12" s="34">
        <v>0</v>
      </c>
      <c r="CM12" s="34">
        <v>0</v>
      </c>
      <c r="CN12" s="34">
        <v>0</v>
      </c>
      <c r="CO12" s="34">
        <v>0</v>
      </c>
      <c r="CP12" s="34">
        <v>0</v>
      </c>
      <c r="CQ12" s="34">
        <v>0</v>
      </c>
      <c r="CR12" s="34">
        <v>0</v>
      </c>
      <c r="CS12" s="34">
        <v>0</v>
      </c>
      <c r="CT12" s="34">
        <v>0</v>
      </c>
      <c r="CU12" s="34">
        <v>0</v>
      </c>
      <c r="CV12" s="34">
        <v>0</v>
      </c>
      <c r="CW12" s="34">
        <v>0</v>
      </c>
      <c r="CX12" s="34">
        <v>0</v>
      </c>
      <c r="CY12" s="34">
        <v>0</v>
      </c>
      <c r="CZ12" s="34">
        <v>0</v>
      </c>
      <c r="DA12" s="34">
        <v>0</v>
      </c>
    </row>
    <row r="13" spans="1:105">
      <c r="A13" s="25" t="s">
        <v>124</v>
      </c>
      <c r="B13" s="34">
        <v>0</v>
      </c>
      <c r="C13" s="34">
        <v>0</v>
      </c>
      <c r="D13" s="34">
        <v>0</v>
      </c>
      <c r="E13" s="34">
        <v>0</v>
      </c>
      <c r="F13" s="34">
        <v>0</v>
      </c>
      <c r="G13" s="34">
        <v>0</v>
      </c>
      <c r="H13" s="34">
        <v>0</v>
      </c>
      <c r="I13" s="34">
        <v>0</v>
      </c>
      <c r="J13" s="34">
        <v>0</v>
      </c>
      <c r="K13" s="34">
        <v>0</v>
      </c>
      <c r="L13" s="34">
        <v>0</v>
      </c>
      <c r="M13" s="34">
        <v>0</v>
      </c>
      <c r="N13" s="34">
        <v>0</v>
      </c>
      <c r="O13" s="34">
        <v>0</v>
      </c>
      <c r="P13" s="34">
        <v>0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0</v>
      </c>
      <c r="AE13" s="34">
        <v>0</v>
      </c>
      <c r="AF13" s="34">
        <v>0</v>
      </c>
      <c r="AG13" s="34">
        <v>1.5</v>
      </c>
      <c r="AH13" s="34">
        <v>0</v>
      </c>
      <c r="AI13" s="34">
        <v>0</v>
      </c>
      <c r="AJ13" s="34">
        <v>0</v>
      </c>
      <c r="AK13" s="34">
        <v>0</v>
      </c>
      <c r="AL13" s="34">
        <v>0</v>
      </c>
      <c r="AM13" s="34">
        <v>0</v>
      </c>
      <c r="AN13" s="34">
        <v>0</v>
      </c>
      <c r="AO13" s="34">
        <v>0</v>
      </c>
      <c r="AP13" s="34">
        <v>0</v>
      </c>
      <c r="AQ13" s="34">
        <v>0</v>
      </c>
      <c r="AR13" s="34">
        <v>0</v>
      </c>
      <c r="AS13" s="34">
        <v>0</v>
      </c>
      <c r="AT13" s="34">
        <v>0</v>
      </c>
      <c r="AU13" s="34">
        <v>0</v>
      </c>
      <c r="AV13" s="34">
        <v>0</v>
      </c>
      <c r="AW13" s="34">
        <v>0</v>
      </c>
      <c r="AX13" s="34">
        <v>0</v>
      </c>
      <c r="AY13" s="34">
        <v>0</v>
      </c>
      <c r="AZ13" s="34">
        <v>0</v>
      </c>
      <c r="BA13" s="34">
        <v>0</v>
      </c>
      <c r="BB13" s="34">
        <v>0</v>
      </c>
      <c r="BC13" s="34">
        <v>0</v>
      </c>
      <c r="BD13" s="34">
        <v>0</v>
      </c>
      <c r="BE13" s="34">
        <v>0</v>
      </c>
      <c r="BF13" s="34">
        <v>0</v>
      </c>
      <c r="BG13" s="34">
        <v>0</v>
      </c>
      <c r="BH13" s="34">
        <v>0</v>
      </c>
      <c r="BI13" s="34">
        <v>0</v>
      </c>
      <c r="BJ13" s="34">
        <v>0</v>
      </c>
      <c r="BK13" s="34">
        <v>0</v>
      </c>
      <c r="BL13" s="34">
        <v>0</v>
      </c>
      <c r="BM13" s="34">
        <v>0</v>
      </c>
      <c r="BN13" s="34">
        <v>0</v>
      </c>
      <c r="BO13" s="34">
        <v>0</v>
      </c>
      <c r="BP13" s="34">
        <v>0</v>
      </c>
      <c r="BQ13" s="34">
        <v>0</v>
      </c>
      <c r="BR13" s="34">
        <v>0</v>
      </c>
      <c r="BS13" s="34">
        <v>0</v>
      </c>
      <c r="BT13" s="34">
        <v>0</v>
      </c>
      <c r="BU13" s="34">
        <v>0</v>
      </c>
      <c r="BV13" s="34">
        <v>0</v>
      </c>
      <c r="BW13" s="34">
        <v>0</v>
      </c>
      <c r="BX13" s="34">
        <v>0</v>
      </c>
      <c r="BY13" s="34">
        <v>0</v>
      </c>
      <c r="BZ13" s="34">
        <v>0</v>
      </c>
      <c r="CA13" s="34">
        <v>0</v>
      </c>
      <c r="CB13" s="34">
        <v>0</v>
      </c>
      <c r="CC13" s="34">
        <v>0</v>
      </c>
      <c r="CD13" s="34">
        <v>0</v>
      </c>
      <c r="CE13" s="34">
        <v>0</v>
      </c>
      <c r="CF13" s="34">
        <v>0</v>
      </c>
      <c r="CG13" s="34">
        <v>0</v>
      </c>
      <c r="CH13" s="34">
        <v>0</v>
      </c>
      <c r="CI13" s="34">
        <v>0</v>
      </c>
      <c r="CJ13" s="34">
        <v>0</v>
      </c>
      <c r="CK13" s="34">
        <v>0</v>
      </c>
      <c r="CL13" s="34">
        <v>0</v>
      </c>
      <c r="CM13" s="34">
        <v>0</v>
      </c>
      <c r="CN13" s="34">
        <v>0</v>
      </c>
      <c r="CO13" s="34">
        <v>0</v>
      </c>
      <c r="CP13" s="34">
        <v>0</v>
      </c>
      <c r="CQ13" s="34">
        <v>0</v>
      </c>
      <c r="CR13" s="34">
        <v>0</v>
      </c>
      <c r="CS13" s="34">
        <v>0</v>
      </c>
      <c r="CT13" s="34">
        <v>0</v>
      </c>
      <c r="CU13" s="34">
        <v>0</v>
      </c>
      <c r="CV13" s="34">
        <v>0</v>
      </c>
      <c r="CW13" s="34">
        <v>0</v>
      </c>
      <c r="CX13" s="34">
        <v>0</v>
      </c>
      <c r="CY13" s="34">
        <v>0</v>
      </c>
      <c r="CZ13" s="34">
        <v>0</v>
      </c>
      <c r="DA13" s="34">
        <v>0</v>
      </c>
    </row>
    <row r="14" spans="1:105">
      <c r="A14" s="25" t="s">
        <v>22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  <c r="J14" s="34">
        <v>0</v>
      </c>
      <c r="K14" s="34">
        <v>0</v>
      </c>
      <c r="L14" s="34">
        <v>0</v>
      </c>
      <c r="M14" s="34">
        <v>0</v>
      </c>
      <c r="N14" s="34">
        <v>0</v>
      </c>
      <c r="O14" s="34">
        <v>0</v>
      </c>
      <c r="P14" s="34">
        <v>0</v>
      </c>
      <c r="Q14" s="34">
        <v>0</v>
      </c>
      <c r="R14" s="34">
        <v>0</v>
      </c>
      <c r="S14" s="34">
        <v>0</v>
      </c>
      <c r="T14" s="34">
        <v>0</v>
      </c>
      <c r="U14" s="34">
        <v>0</v>
      </c>
      <c r="V14" s="34">
        <v>0</v>
      </c>
      <c r="W14" s="34">
        <v>0</v>
      </c>
      <c r="X14" s="34">
        <v>0</v>
      </c>
      <c r="Y14" s="34">
        <v>0</v>
      </c>
      <c r="Z14" s="34">
        <v>0</v>
      </c>
      <c r="AA14" s="34">
        <v>0</v>
      </c>
      <c r="AB14" s="34">
        <v>0</v>
      </c>
      <c r="AC14" s="34">
        <v>0</v>
      </c>
      <c r="AD14" s="34">
        <v>0</v>
      </c>
      <c r="AE14" s="34">
        <v>0</v>
      </c>
      <c r="AF14" s="34">
        <v>0</v>
      </c>
      <c r="AG14" s="34">
        <v>0</v>
      </c>
      <c r="AH14" s="34">
        <v>0</v>
      </c>
      <c r="AI14" s="34">
        <v>0</v>
      </c>
      <c r="AJ14" s="34">
        <v>0</v>
      </c>
      <c r="AK14" s="34">
        <v>0</v>
      </c>
      <c r="AL14" s="34">
        <v>0</v>
      </c>
      <c r="AM14" s="34">
        <v>0</v>
      </c>
      <c r="AN14" s="34">
        <v>0</v>
      </c>
      <c r="AO14" s="34">
        <v>0</v>
      </c>
      <c r="AP14" s="34">
        <v>0</v>
      </c>
      <c r="AQ14" s="34">
        <v>0</v>
      </c>
      <c r="AR14" s="34">
        <v>0</v>
      </c>
      <c r="AS14" s="34">
        <v>0</v>
      </c>
      <c r="AT14" s="34">
        <v>0</v>
      </c>
      <c r="AU14" s="34">
        <v>0</v>
      </c>
      <c r="AV14" s="34">
        <v>0</v>
      </c>
      <c r="AW14" s="34">
        <v>0</v>
      </c>
      <c r="AX14" s="34">
        <v>0</v>
      </c>
      <c r="AY14" s="34">
        <v>0</v>
      </c>
      <c r="AZ14" s="34">
        <v>0</v>
      </c>
      <c r="BA14" s="34">
        <v>0</v>
      </c>
      <c r="BB14" s="34">
        <v>0</v>
      </c>
      <c r="BC14" s="34">
        <v>0</v>
      </c>
      <c r="BD14" s="34">
        <v>0</v>
      </c>
      <c r="BE14" s="34">
        <v>0</v>
      </c>
      <c r="BF14" s="34">
        <v>0</v>
      </c>
      <c r="BG14" s="34">
        <v>0</v>
      </c>
      <c r="BH14" s="34">
        <v>0</v>
      </c>
      <c r="BI14" s="34">
        <v>0</v>
      </c>
      <c r="BJ14" s="34">
        <v>0</v>
      </c>
      <c r="BK14" s="34">
        <v>0</v>
      </c>
      <c r="BL14" s="34">
        <v>0</v>
      </c>
      <c r="BM14" s="34">
        <v>0</v>
      </c>
      <c r="BN14" s="34">
        <v>0</v>
      </c>
      <c r="BO14" s="34">
        <v>0</v>
      </c>
      <c r="BP14" s="34">
        <v>0</v>
      </c>
      <c r="BQ14" s="34">
        <v>0</v>
      </c>
      <c r="BR14" s="34">
        <v>0</v>
      </c>
      <c r="BS14" s="34">
        <v>0</v>
      </c>
      <c r="BT14" s="34">
        <v>0</v>
      </c>
      <c r="BU14" s="34">
        <v>0</v>
      </c>
      <c r="BV14" s="34">
        <v>0</v>
      </c>
      <c r="BW14" s="34">
        <v>0</v>
      </c>
      <c r="BX14" s="34">
        <v>0</v>
      </c>
      <c r="BY14" s="34">
        <v>0</v>
      </c>
      <c r="BZ14" s="34">
        <v>0</v>
      </c>
      <c r="CA14" s="34">
        <v>0</v>
      </c>
      <c r="CB14" s="34">
        <v>0</v>
      </c>
      <c r="CC14" s="34">
        <v>0</v>
      </c>
      <c r="CD14" s="34">
        <v>0</v>
      </c>
      <c r="CE14" s="34">
        <v>0</v>
      </c>
      <c r="CF14" s="34">
        <v>0</v>
      </c>
      <c r="CG14" s="34">
        <v>0</v>
      </c>
      <c r="CH14" s="34">
        <v>0</v>
      </c>
      <c r="CI14" s="34">
        <v>0</v>
      </c>
      <c r="CJ14" s="34">
        <v>0</v>
      </c>
      <c r="CK14" s="34">
        <v>0</v>
      </c>
      <c r="CL14" s="34">
        <v>0</v>
      </c>
      <c r="CM14" s="34">
        <v>0</v>
      </c>
      <c r="CN14" s="34">
        <v>0</v>
      </c>
      <c r="CO14" s="34">
        <v>0</v>
      </c>
      <c r="CP14" s="34">
        <v>0</v>
      </c>
      <c r="CQ14" s="34">
        <v>0</v>
      </c>
      <c r="CR14" s="34">
        <v>0</v>
      </c>
      <c r="CS14" s="34">
        <v>0</v>
      </c>
      <c r="CT14" s="34">
        <v>0</v>
      </c>
      <c r="CU14" s="34">
        <v>0</v>
      </c>
      <c r="CV14" s="34">
        <v>0</v>
      </c>
      <c r="CW14" s="34">
        <v>0</v>
      </c>
      <c r="CX14" s="34">
        <v>0</v>
      </c>
      <c r="CY14" s="34">
        <v>0</v>
      </c>
      <c r="CZ14" s="34">
        <v>0</v>
      </c>
      <c r="DA14" s="34">
        <v>0</v>
      </c>
    </row>
    <row r="15" spans="1:105">
      <c r="A15" s="25" t="s">
        <v>624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>
        <v>0</v>
      </c>
      <c r="R15" s="34">
        <v>0</v>
      </c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v>0</v>
      </c>
      <c r="Y15" s="34">
        <v>0</v>
      </c>
      <c r="Z15" s="34">
        <f>'CF Capex'!Q11</f>
        <v>50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34">
        <v>0</v>
      </c>
      <c r="AR15" s="34"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0</v>
      </c>
      <c r="BJ15" s="34">
        <v>0</v>
      </c>
      <c r="BK15" s="34">
        <v>0</v>
      </c>
      <c r="BL15" s="34">
        <v>0</v>
      </c>
      <c r="BM15" s="34">
        <v>0</v>
      </c>
      <c r="BN15" s="34">
        <v>0</v>
      </c>
      <c r="BO15" s="34">
        <v>0</v>
      </c>
      <c r="BP15" s="34">
        <v>0</v>
      </c>
      <c r="BQ15" s="34">
        <v>0</v>
      </c>
      <c r="BR15" s="34">
        <v>0</v>
      </c>
      <c r="BS15" s="34">
        <v>0</v>
      </c>
      <c r="BT15" s="34">
        <v>0</v>
      </c>
      <c r="BU15" s="34">
        <v>0</v>
      </c>
      <c r="BV15" s="34">
        <v>0</v>
      </c>
      <c r="BW15" s="34">
        <v>0</v>
      </c>
      <c r="BX15" s="34">
        <v>0</v>
      </c>
      <c r="BY15" s="34">
        <v>0</v>
      </c>
      <c r="BZ15" s="34">
        <v>0</v>
      </c>
      <c r="CA15" s="34">
        <v>0</v>
      </c>
      <c r="CB15" s="34">
        <v>0</v>
      </c>
      <c r="CC15" s="34">
        <v>0</v>
      </c>
      <c r="CD15" s="34">
        <v>0</v>
      </c>
      <c r="CE15" s="34">
        <v>0</v>
      </c>
      <c r="CF15" s="34">
        <v>0</v>
      </c>
      <c r="CG15" s="34">
        <v>0</v>
      </c>
      <c r="CH15" s="34">
        <v>0</v>
      </c>
      <c r="CI15" s="34">
        <v>0</v>
      </c>
      <c r="CJ15" s="34">
        <v>0</v>
      </c>
      <c r="CK15" s="34">
        <v>0</v>
      </c>
      <c r="CL15" s="34">
        <v>0</v>
      </c>
      <c r="CM15" s="34">
        <v>0</v>
      </c>
      <c r="CN15" s="34">
        <v>0</v>
      </c>
      <c r="CO15" s="34">
        <v>0</v>
      </c>
      <c r="CP15" s="34">
        <v>0</v>
      </c>
      <c r="CQ15" s="34">
        <v>0</v>
      </c>
      <c r="CR15" s="34">
        <v>0</v>
      </c>
      <c r="CS15" s="34">
        <v>0</v>
      </c>
      <c r="CT15" s="34">
        <v>0</v>
      </c>
      <c r="CU15" s="34">
        <v>0</v>
      </c>
      <c r="CV15" s="34">
        <v>0</v>
      </c>
      <c r="CW15" s="34">
        <v>0</v>
      </c>
      <c r="CX15" s="34">
        <v>0</v>
      </c>
      <c r="CY15" s="34">
        <v>0</v>
      </c>
      <c r="CZ15" s="34">
        <v>0</v>
      </c>
      <c r="DA15" s="34">
        <v>0</v>
      </c>
    </row>
    <row r="16" spans="1:105">
      <c r="A16" s="25" t="s">
        <v>125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f>'CF Capex'!P13-'CF Capex'!P11</f>
        <v>2.67</v>
      </c>
      <c r="Z16" s="34">
        <f>'CF Capex'!Q13-'CF Capex'!Q11</f>
        <v>0.17000000000000171</v>
      </c>
      <c r="AA16" s="34">
        <f>'CF Capex'!R13-'CF Capex'!R11</f>
        <v>1.1921599999999999</v>
      </c>
      <c r="AB16" s="34">
        <f>'CF Capex'!S13-'CF Capex'!S11</f>
        <v>8.5776136336539537</v>
      </c>
      <c r="AC16" s="34">
        <f>'CF Capex'!T13-'CF Capex'!T11</f>
        <v>10.127296812004001</v>
      </c>
      <c r="AD16" s="34">
        <f>'CF Capex'!U13-'CF Capex'!U11</f>
        <v>13.0501621009</v>
      </c>
      <c r="AE16" s="34">
        <f>'CF Capex'!V13-'CF Capex'!V11</f>
        <v>10.694108543692005</v>
      </c>
      <c r="AF16" s="34">
        <f>'CF Capex'!W13-'CF Capex'!W11</f>
        <v>10.211589258947999</v>
      </c>
      <c r="AG16" s="34">
        <f>'CF Capex'!X13-'CF Capex'!X11</f>
        <v>10.057474174669068</v>
      </c>
      <c r="AH16" s="34">
        <f>'CF Capex'!Y13-'CF Capex'!Y11</f>
        <v>3.973232712528</v>
      </c>
      <c r="AI16" s="34">
        <f>'CF Capex'!Z13-'CF Capex'!Z11</f>
        <v>4.8313522728775036</v>
      </c>
      <c r="AJ16" s="34">
        <f>'CF Capex'!AA13-'CF Capex'!AA11</f>
        <v>3.0173961251520001</v>
      </c>
      <c r="AK16" s="34">
        <f>'CF Capex'!AB13-'CF Capex'!AB11</f>
        <v>3.8466982511909116</v>
      </c>
      <c r="AL16" s="34">
        <f>'CF Capex'!AC13-'CF Capex'!AC11</f>
        <v>2.9106839999999998</v>
      </c>
      <c r="AM16" s="34">
        <f>'CF Capex'!AD13-'CF Capex'!AD11</f>
        <v>18.026942399999999</v>
      </c>
      <c r="AN16" s="34">
        <f>'CF Capex'!AE13-'CF Capex'!AE11</f>
        <v>1.0878015000000001</v>
      </c>
      <c r="AO16" s="34">
        <f>'CF Capex'!AF13-'CF Capex'!AF11</f>
        <v>0.80965799999999999</v>
      </c>
      <c r="AP16" s="34">
        <f>'CF Capex'!AG13-'CF Capex'!AG11</f>
        <v>2.8465962730000003</v>
      </c>
      <c r="AQ16" s="34">
        <f>'CF Capex'!AH13-'CF Capex'!AH11</f>
        <v>0</v>
      </c>
      <c r="AR16" s="34">
        <f>'CF Capex'!AI13-'CF Capex'!AI11</f>
        <v>0</v>
      </c>
      <c r="AS16" s="34">
        <f>'CF Capex'!AJ13-'CF Capex'!AJ11</f>
        <v>0</v>
      </c>
      <c r="AT16" s="34">
        <f>'CF Capex'!AK13-'CF Capex'!AK11</f>
        <v>0</v>
      </c>
      <c r="AU16" s="34">
        <f>'CF Capex'!AL13-'CF Capex'!AL11</f>
        <v>0</v>
      </c>
      <c r="AV16" s="34">
        <f>'CF Capex'!AM13-'CF Capex'!AM11</f>
        <v>0</v>
      </c>
      <c r="AW16" s="34">
        <f>'CF Capex'!AN13-'CF Capex'!AN11</f>
        <v>0</v>
      </c>
      <c r="AX16" s="34">
        <f>'CF Capex'!AO13-'CF Capex'!AO11</f>
        <v>0</v>
      </c>
      <c r="AY16" s="34">
        <f>'CF Capex'!AP13-'CF Capex'!AP11</f>
        <v>0</v>
      </c>
      <c r="AZ16" s="34">
        <f>'CF Capex'!AQ13-'CF Capex'!AQ11</f>
        <v>0</v>
      </c>
      <c r="BA16" s="34">
        <f>'CF Capex'!AR13-'CF Capex'!AR11</f>
        <v>0</v>
      </c>
      <c r="BB16" s="34">
        <f>'CF Capex'!AS13-'CF Capex'!AS11</f>
        <v>0</v>
      </c>
      <c r="BC16" s="34">
        <f>'CF Capex'!AT13-'CF Capex'!AT11</f>
        <v>0</v>
      </c>
      <c r="BD16" s="34">
        <f>'CF Capex'!AU13-'CF Capex'!AU11</f>
        <v>0</v>
      </c>
      <c r="BE16" s="34">
        <f>'CF Capex'!AV13-'CF Capex'!AV11</f>
        <v>0</v>
      </c>
      <c r="BF16" s="34">
        <f>'CF Capex'!AW13-'CF Capex'!AW11</f>
        <v>0</v>
      </c>
      <c r="BG16" s="34">
        <f>'CF Capex'!AX13-'CF Capex'!AX11</f>
        <v>0</v>
      </c>
      <c r="BH16" s="34">
        <f>'CF Capex'!AY13-'CF Capex'!AY11</f>
        <v>0</v>
      </c>
      <c r="BI16" s="34">
        <f>'CF Capex'!AZ13-'CF Capex'!AZ11</f>
        <v>0</v>
      </c>
      <c r="BJ16" s="34">
        <f>'CF Capex'!BA13-'CF Capex'!BA11</f>
        <v>0</v>
      </c>
      <c r="BK16" s="34">
        <f>'CF Capex'!BB13-'CF Capex'!BB11</f>
        <v>0</v>
      </c>
      <c r="BL16" s="34">
        <f>'CF Capex'!BC13-'CF Capex'!BC11</f>
        <v>0</v>
      </c>
      <c r="BM16" s="34">
        <f>'CF Capex'!BD13-'CF Capex'!BD11</f>
        <v>0</v>
      </c>
      <c r="BN16" s="34">
        <f>'CF Capex'!BE13-'CF Capex'!BE11</f>
        <v>0</v>
      </c>
      <c r="BO16" s="34">
        <f>'CF Capex'!BF13-'CF Capex'!BF11</f>
        <v>0</v>
      </c>
      <c r="BP16" s="34">
        <f>'CF Capex'!BG13-'CF Capex'!BG11</f>
        <v>0</v>
      </c>
      <c r="BQ16" s="34">
        <f>'CF Capex'!BH13-'CF Capex'!BH11</f>
        <v>0</v>
      </c>
      <c r="BR16" s="34">
        <f>'CF Capex'!BI13-'CF Capex'!BI11</f>
        <v>0</v>
      </c>
      <c r="BS16" s="34">
        <f>'CF Capex'!BJ13-'CF Capex'!BJ11</f>
        <v>0</v>
      </c>
      <c r="BT16" s="34">
        <f>'CF Capex'!BK13-'CF Capex'!BK11</f>
        <v>0</v>
      </c>
      <c r="BU16" s="34">
        <f>'CF Capex'!BL13-'CF Capex'!BL11</f>
        <v>0</v>
      </c>
      <c r="BV16" s="34">
        <f>'CF Capex'!BM13-'CF Capex'!BM11</f>
        <v>0</v>
      </c>
      <c r="BW16" s="34">
        <f>'CF Capex'!BN13-'CF Capex'!BN11</f>
        <v>0</v>
      </c>
      <c r="BX16" s="34">
        <f>'CF Capex'!BO13-'CF Capex'!BO11</f>
        <v>0</v>
      </c>
      <c r="BY16" s="34">
        <f>'CF Capex'!BP13-'CF Capex'!BP11</f>
        <v>0</v>
      </c>
      <c r="BZ16" s="34">
        <f>'CF Capex'!BQ13-'CF Capex'!BQ11</f>
        <v>0</v>
      </c>
      <c r="CA16" s="34">
        <f>'CF Capex'!BR13-'CF Capex'!BR11</f>
        <v>0</v>
      </c>
      <c r="CB16" s="34">
        <f>'CF Capex'!BS13-'CF Capex'!BS11</f>
        <v>0</v>
      </c>
      <c r="CC16" s="34">
        <f>'CF Capex'!BT13-'CF Capex'!BT11</f>
        <v>0</v>
      </c>
      <c r="CD16" s="34">
        <f>'CF Capex'!BU13-'CF Capex'!BU11</f>
        <v>0</v>
      </c>
      <c r="CE16" s="34">
        <f>'CF Capex'!BV13-'CF Capex'!BV11</f>
        <v>0</v>
      </c>
      <c r="CF16" s="34">
        <f>'CF Capex'!BW13-'CF Capex'!BW11</f>
        <v>0</v>
      </c>
      <c r="CG16" s="34">
        <f>'CF Capex'!BX13-'CF Capex'!BX11</f>
        <v>0</v>
      </c>
      <c r="CH16" s="34">
        <f>'CF Capex'!BY13-'CF Capex'!BY11</f>
        <v>0</v>
      </c>
      <c r="CI16" s="34">
        <f>'CF Capex'!BZ13-'CF Capex'!BZ11</f>
        <v>0</v>
      </c>
      <c r="CJ16" s="34">
        <f>'CF Capex'!CA13-'CF Capex'!CA11</f>
        <v>0</v>
      </c>
      <c r="CK16" s="34">
        <f>'CF Capex'!CB13-'CF Capex'!CB11</f>
        <v>0</v>
      </c>
      <c r="CL16" s="34">
        <f>'CF Capex'!CC13-'CF Capex'!CC11</f>
        <v>0</v>
      </c>
      <c r="CM16" s="34">
        <f>'CF Capex'!CD13-'CF Capex'!CD11</f>
        <v>0</v>
      </c>
      <c r="CN16" s="34">
        <f>'CF Capex'!CE13-'CF Capex'!CE11</f>
        <v>0</v>
      </c>
      <c r="CO16" s="34">
        <f>'CF Capex'!CF13-'CF Capex'!CF11</f>
        <v>0</v>
      </c>
      <c r="CP16" s="34">
        <f>'CF Capex'!CG13-'CF Capex'!CG11</f>
        <v>0</v>
      </c>
      <c r="CQ16" s="34">
        <f>'CF Capex'!CH13-'CF Capex'!CH11</f>
        <v>0</v>
      </c>
      <c r="CR16" s="34">
        <f>'CF Capex'!CI13-'CF Capex'!CI11</f>
        <v>0</v>
      </c>
      <c r="CS16" s="34">
        <f>'CF Capex'!CJ13-'CF Capex'!CJ11</f>
        <v>0</v>
      </c>
      <c r="CT16" s="34">
        <f>'CF Capex'!CK13-'CF Capex'!CK11</f>
        <v>0</v>
      </c>
      <c r="CU16" s="34">
        <f>'CF Capex'!CL13-'CF Capex'!CL11</f>
        <v>0</v>
      </c>
      <c r="CV16" s="34">
        <f>'CF Capex'!CM13-'CF Capex'!CM11</f>
        <v>0</v>
      </c>
      <c r="CW16" s="34">
        <f>'CF Capex'!CN13-'CF Capex'!CN11</f>
        <v>0</v>
      </c>
      <c r="CX16" s="34">
        <f>'CF Capex'!CO13-'CF Capex'!CO11</f>
        <v>0</v>
      </c>
      <c r="CY16" s="34">
        <f>'CF Capex'!CP13-'CF Capex'!CP11</f>
        <v>0</v>
      </c>
      <c r="CZ16" s="34">
        <f>'CF Capex'!CQ13-'CF Capex'!CQ11</f>
        <v>0</v>
      </c>
      <c r="DA16" s="34">
        <f>'CF Capex'!CR13-'CF Capex'!CR11</f>
        <v>0</v>
      </c>
    </row>
    <row r="17" spans="1:105" ht="12.75" thickBot="1">
      <c r="A17" s="37" t="s">
        <v>126</v>
      </c>
      <c r="B17" s="36">
        <f t="shared" ref="B17:AG17" si="0">SUM(B4:B16)</f>
        <v>0</v>
      </c>
      <c r="C17" s="36">
        <f t="shared" si="0"/>
        <v>0</v>
      </c>
      <c r="D17" s="36">
        <f t="shared" si="0"/>
        <v>0</v>
      </c>
      <c r="E17" s="36">
        <f t="shared" si="0"/>
        <v>0</v>
      </c>
      <c r="F17" s="36">
        <f t="shared" si="0"/>
        <v>0</v>
      </c>
      <c r="G17" s="36">
        <f t="shared" si="0"/>
        <v>0</v>
      </c>
      <c r="H17" s="36">
        <f t="shared" si="0"/>
        <v>0</v>
      </c>
      <c r="I17" s="36">
        <f t="shared" si="0"/>
        <v>0</v>
      </c>
      <c r="J17" s="36">
        <f t="shared" si="0"/>
        <v>0</v>
      </c>
      <c r="K17" s="36">
        <f t="shared" si="0"/>
        <v>0</v>
      </c>
      <c r="L17" s="36">
        <f t="shared" si="0"/>
        <v>0</v>
      </c>
      <c r="M17" s="36">
        <f t="shared" si="0"/>
        <v>0</v>
      </c>
      <c r="N17" s="36">
        <f t="shared" si="0"/>
        <v>0</v>
      </c>
      <c r="O17" s="36">
        <f t="shared" si="0"/>
        <v>0</v>
      </c>
      <c r="P17" s="36">
        <f t="shared" si="0"/>
        <v>0</v>
      </c>
      <c r="Q17" s="36">
        <f t="shared" si="0"/>
        <v>0</v>
      </c>
      <c r="R17" s="36">
        <f t="shared" si="0"/>
        <v>0</v>
      </c>
      <c r="S17" s="36">
        <f t="shared" si="0"/>
        <v>0</v>
      </c>
      <c r="T17" s="36">
        <f t="shared" si="0"/>
        <v>0</v>
      </c>
      <c r="U17" s="36">
        <f t="shared" si="0"/>
        <v>0</v>
      </c>
      <c r="V17" s="36">
        <f t="shared" si="0"/>
        <v>6.9271149119999995</v>
      </c>
      <c r="W17" s="36">
        <f t="shared" si="0"/>
        <v>3.51469824</v>
      </c>
      <c r="X17" s="36">
        <f t="shared" si="0"/>
        <v>7.0453855999999995</v>
      </c>
      <c r="Y17" s="36">
        <f t="shared" si="0"/>
        <v>6.2519622400000001</v>
      </c>
      <c r="Z17" s="36">
        <f t="shared" si="0"/>
        <v>57.353276800000003</v>
      </c>
      <c r="AA17" s="36">
        <f t="shared" si="0"/>
        <v>4.9427306666666659</v>
      </c>
      <c r="AB17" s="36">
        <f t="shared" si="0"/>
        <v>15.734881686987288</v>
      </c>
      <c r="AC17" s="36">
        <f t="shared" si="0"/>
        <v>13.905669932004001</v>
      </c>
      <c r="AD17" s="36">
        <f t="shared" si="0"/>
        <v>20.1773249809</v>
      </c>
      <c r="AE17" s="36">
        <f t="shared" si="0"/>
        <v>14.415919317025338</v>
      </c>
      <c r="AF17" s="36">
        <f t="shared" si="0"/>
        <v>17.568570805614666</v>
      </c>
      <c r="AG17" s="36">
        <f t="shared" si="0"/>
        <v>22.844624041335734</v>
      </c>
      <c r="AH17" s="36">
        <f t="shared" ref="AH17:BM17" si="1">SUM(AH4:AH16)</f>
        <v>12.247893044528002</v>
      </c>
      <c r="AI17" s="36">
        <f t="shared" si="1"/>
        <v>9.6190156000775051</v>
      </c>
      <c r="AJ17" s="36">
        <f t="shared" si="1"/>
        <v>11.820129405376003</v>
      </c>
      <c r="AK17" s="36">
        <f t="shared" si="1"/>
        <v>8.6914444993509115</v>
      </c>
      <c r="AL17" s="36">
        <f t="shared" si="1"/>
        <v>11.830437268192</v>
      </c>
      <c r="AM17" s="36">
        <f t="shared" si="1"/>
        <v>23.058635214304001</v>
      </c>
      <c r="AN17" s="36">
        <f t="shared" si="1"/>
        <v>9.993284037951998</v>
      </c>
      <c r="AO17" s="36">
        <f t="shared" si="1"/>
        <v>5.8301449856960001</v>
      </c>
      <c r="AP17" s="36">
        <f t="shared" si="1"/>
        <v>11.797004521288002</v>
      </c>
      <c r="AQ17" s="36">
        <f t="shared" si="1"/>
        <v>5.0794726706880011</v>
      </c>
      <c r="AR17" s="36">
        <f t="shared" si="1"/>
        <v>9.2674563051199996</v>
      </c>
      <c r="AS17" s="36">
        <f t="shared" si="1"/>
        <v>4.8673144811200011</v>
      </c>
      <c r="AT17" s="36">
        <f t="shared" si="1"/>
        <v>8.8019915878239985</v>
      </c>
      <c r="AU17" s="36">
        <f t="shared" si="1"/>
        <v>5.3699951309459202</v>
      </c>
      <c r="AV17" s="36">
        <f t="shared" si="1"/>
        <v>10.522508018649091</v>
      </c>
      <c r="AW17" s="36">
        <f t="shared" si="1"/>
        <v>5.4038988183136007</v>
      </c>
      <c r="AX17" s="36">
        <f t="shared" si="1"/>
        <v>10.592010577752834</v>
      </c>
      <c r="AY17" s="36">
        <f t="shared" si="1"/>
        <v>5.6028004508706575</v>
      </c>
      <c r="AZ17" s="36">
        <f t="shared" si="1"/>
        <v>10.49566759948301</v>
      </c>
      <c r="BA17" s="36">
        <f t="shared" si="1"/>
        <v>5.6378342611505934</v>
      </c>
      <c r="BB17" s="36">
        <f t="shared" si="1"/>
        <v>10.564040035674495</v>
      </c>
      <c r="BC17" s="36">
        <f t="shared" si="1"/>
        <v>5.6728680714305284</v>
      </c>
      <c r="BD17" s="36">
        <f t="shared" si="1"/>
        <v>10.884147350571013</v>
      </c>
      <c r="BE17" s="36">
        <f t="shared" si="1"/>
        <v>5.2027369399320325</v>
      </c>
      <c r="BF17" s="36">
        <f t="shared" si="1"/>
        <v>10.477700425241665</v>
      </c>
      <c r="BG17" s="36">
        <f t="shared" si="1"/>
        <v>5.5440923456424844</v>
      </c>
      <c r="BH17" s="36">
        <f t="shared" si="1"/>
        <v>11.101923815826268</v>
      </c>
      <c r="BI17" s="36">
        <f t="shared" si="1"/>
        <v>5.561722263073678</v>
      </c>
      <c r="BJ17" s="36">
        <f t="shared" si="1"/>
        <v>11.138065146560216</v>
      </c>
      <c r="BK17" s="36">
        <f t="shared" si="1"/>
        <v>5.7565328506883677</v>
      </c>
      <c r="BL17" s="36">
        <f t="shared" si="1"/>
        <v>10.996585059174887</v>
      </c>
      <c r="BM17" s="36">
        <f t="shared" si="1"/>
        <v>5.7747504320339331</v>
      </c>
      <c r="BN17" s="36">
        <f t="shared" ref="BN17:CS17" si="2">SUM(BN4:BN16)</f>
        <v>11.032138725994461</v>
      </c>
      <c r="BO17" s="36">
        <f t="shared" si="2"/>
        <v>5.7929680133795021</v>
      </c>
      <c r="BP17" s="36">
        <f t="shared" si="2"/>
        <v>11.335667137768178</v>
      </c>
      <c r="BQ17" s="36">
        <f t="shared" si="2"/>
        <v>5.274354608945222</v>
      </c>
      <c r="BR17" s="36">
        <f t="shared" si="2"/>
        <v>11.103686807569387</v>
      </c>
      <c r="BS17" s="36">
        <f t="shared" si="2"/>
        <v>6.1948022274881751</v>
      </c>
      <c r="BT17" s="36">
        <f t="shared" si="2"/>
        <v>12.437261466547334</v>
      </c>
      <c r="BU17" s="36">
        <f t="shared" si="2"/>
        <v>6.2142158777418199</v>
      </c>
      <c r="BV17" s="36">
        <f t="shared" si="2"/>
        <v>12.477059449567301</v>
      </c>
      <c r="BW17" s="36">
        <f t="shared" si="2"/>
        <v>6.4326194430953123</v>
      </c>
      <c r="BX17" s="36">
        <f t="shared" si="2"/>
        <v>12.317382176231082</v>
      </c>
      <c r="BY17" s="36">
        <f t="shared" si="2"/>
        <v>6.4526802150240758</v>
      </c>
      <c r="BZ17" s="36">
        <f t="shared" si="2"/>
        <v>12.356533037575931</v>
      </c>
      <c r="CA17" s="36">
        <f t="shared" si="2"/>
        <v>6.4727409869528429</v>
      </c>
      <c r="CB17" s="36">
        <f t="shared" si="2"/>
        <v>12.805063605141511</v>
      </c>
      <c r="CC17" s="36">
        <f t="shared" si="2"/>
        <v>5.9554274050583622</v>
      </c>
      <c r="CD17" s="36">
        <f t="shared" si="2"/>
        <v>12.576847869272223</v>
      </c>
      <c r="CE17" s="36">
        <f t="shared" si="2"/>
        <v>6.6263089801956774</v>
      </c>
      <c r="CF17" s="36">
        <f t="shared" si="2"/>
        <v>13.322634079291676</v>
      </c>
      <c r="CG17" s="36">
        <f t="shared" si="2"/>
        <v>6.6467339461834651</v>
      </c>
      <c r="CH17" s="36">
        <f t="shared" si="2"/>
        <v>13.364505259566638</v>
      </c>
      <c r="CI17" s="36">
        <f t="shared" si="2"/>
        <v>6.8805998067436267</v>
      </c>
      <c r="CJ17" s="36">
        <f t="shared" si="2"/>
        <v>13.192424921119532</v>
      </c>
      <c r="CK17" s="36">
        <f t="shared" si="2"/>
        <v>6.9017056049310064</v>
      </c>
      <c r="CL17" s="36">
        <f t="shared" si="2"/>
        <v>13.2336152691949</v>
      </c>
      <c r="CM17" s="36">
        <f t="shared" si="2"/>
        <v>6.9228114031183861</v>
      </c>
      <c r="CN17" s="36">
        <f t="shared" si="2"/>
        <v>13.597520079877308</v>
      </c>
      <c r="CO17" s="36">
        <f t="shared" si="2"/>
        <v>6.5129504189634595</v>
      </c>
      <c r="CP17" s="36">
        <f t="shared" si="2"/>
        <v>13.424248285080912</v>
      </c>
      <c r="CQ17" s="36">
        <f t="shared" si="2"/>
        <v>7.0082558441672962</v>
      </c>
      <c r="CR17" s="36">
        <f t="shared" si="2"/>
        <v>14.106258324379114</v>
      </c>
      <c r="CS17" s="36">
        <f t="shared" si="2"/>
        <v>7.0294978087945967</v>
      </c>
      <c r="CT17" s="36">
        <f t="shared" ref="CT17:DA17" si="3">SUM(CT4:CT16)</f>
        <v>14.149804351865075</v>
      </c>
      <c r="CU17" s="36">
        <f t="shared" si="3"/>
        <v>21.243559103657248</v>
      </c>
      <c r="CV17" s="36">
        <f t="shared" si="3"/>
        <v>0</v>
      </c>
      <c r="CW17" s="36">
        <f t="shared" si="3"/>
        <v>0</v>
      </c>
      <c r="CX17" s="36">
        <f t="shared" si="3"/>
        <v>0</v>
      </c>
      <c r="CY17" s="36">
        <f t="shared" si="3"/>
        <v>0</v>
      </c>
      <c r="CZ17" s="36">
        <f t="shared" si="3"/>
        <v>0</v>
      </c>
      <c r="DA17" s="36">
        <f t="shared" si="3"/>
        <v>0</v>
      </c>
    </row>
    <row r="18" spans="1:105" ht="12.75" thickTop="1">
      <c r="A18" s="22"/>
      <c r="C18" s="34"/>
      <c r="D18" s="34"/>
      <c r="E18" s="34"/>
      <c r="F18" s="34"/>
    </row>
    <row r="19" spans="1:105" s="31" customFormat="1">
      <c r="A19" s="37" t="s">
        <v>37</v>
      </c>
      <c r="B19" s="8">
        <f t="shared" ref="B19:AG19" si="4">B3</f>
        <v>44074</v>
      </c>
      <c r="C19" s="8">
        <f t="shared" si="4"/>
        <v>44104</v>
      </c>
      <c r="D19" s="8">
        <f t="shared" si="4"/>
        <v>44135</v>
      </c>
      <c r="E19" s="8">
        <f t="shared" si="4"/>
        <v>44165</v>
      </c>
      <c r="F19" s="8">
        <f t="shared" si="4"/>
        <v>44196</v>
      </c>
      <c r="G19" s="8">
        <f t="shared" si="4"/>
        <v>44227</v>
      </c>
      <c r="H19" s="8">
        <f t="shared" si="4"/>
        <v>44255</v>
      </c>
      <c r="I19" s="8">
        <f t="shared" si="4"/>
        <v>44286</v>
      </c>
      <c r="J19" s="8">
        <f t="shared" si="4"/>
        <v>44316</v>
      </c>
      <c r="K19" s="8">
        <f t="shared" si="4"/>
        <v>44347</v>
      </c>
      <c r="L19" s="8">
        <f t="shared" si="4"/>
        <v>44377</v>
      </c>
      <c r="M19" s="8">
        <f t="shared" si="4"/>
        <v>44408</v>
      </c>
      <c r="N19" s="8">
        <f t="shared" si="4"/>
        <v>44439</v>
      </c>
      <c r="O19" s="8">
        <f t="shared" si="4"/>
        <v>44469</v>
      </c>
      <c r="P19" s="8">
        <f t="shared" si="4"/>
        <v>44500</v>
      </c>
      <c r="Q19" s="8">
        <f t="shared" si="4"/>
        <v>44530</v>
      </c>
      <c r="R19" s="8">
        <f t="shared" si="4"/>
        <v>44561</v>
      </c>
      <c r="S19" s="8">
        <f t="shared" si="4"/>
        <v>44592</v>
      </c>
      <c r="T19" s="8">
        <f t="shared" si="4"/>
        <v>44620</v>
      </c>
      <c r="U19" s="8">
        <f t="shared" si="4"/>
        <v>44651</v>
      </c>
      <c r="V19" s="8">
        <f t="shared" si="4"/>
        <v>44681</v>
      </c>
      <c r="W19" s="8">
        <f t="shared" si="4"/>
        <v>44712</v>
      </c>
      <c r="X19" s="8">
        <f t="shared" si="4"/>
        <v>44742</v>
      </c>
      <c r="Y19" s="8">
        <f t="shared" si="4"/>
        <v>44773</v>
      </c>
      <c r="Z19" s="8">
        <f t="shared" si="4"/>
        <v>44804</v>
      </c>
      <c r="AA19" s="8">
        <f t="shared" si="4"/>
        <v>44834</v>
      </c>
      <c r="AB19" s="8">
        <f t="shared" si="4"/>
        <v>44865</v>
      </c>
      <c r="AC19" s="8">
        <f t="shared" si="4"/>
        <v>44895</v>
      </c>
      <c r="AD19" s="8">
        <f t="shared" si="4"/>
        <v>44926</v>
      </c>
      <c r="AE19" s="8">
        <f t="shared" si="4"/>
        <v>44957</v>
      </c>
      <c r="AF19" s="8">
        <f t="shared" si="4"/>
        <v>44985</v>
      </c>
      <c r="AG19" s="8">
        <f t="shared" si="4"/>
        <v>45016</v>
      </c>
      <c r="AH19" s="8">
        <f t="shared" ref="AH19:BM19" si="5">AH3</f>
        <v>45046</v>
      </c>
      <c r="AI19" s="8">
        <f t="shared" si="5"/>
        <v>45077</v>
      </c>
      <c r="AJ19" s="8">
        <f t="shared" si="5"/>
        <v>45107</v>
      </c>
      <c r="AK19" s="8">
        <f t="shared" si="5"/>
        <v>45138</v>
      </c>
      <c r="AL19" s="8">
        <f t="shared" si="5"/>
        <v>45169</v>
      </c>
      <c r="AM19" s="8">
        <f t="shared" si="5"/>
        <v>45199</v>
      </c>
      <c r="AN19" s="8">
        <f t="shared" si="5"/>
        <v>45230</v>
      </c>
      <c r="AO19" s="8">
        <f t="shared" si="5"/>
        <v>45260</v>
      </c>
      <c r="AP19" s="8">
        <f t="shared" si="5"/>
        <v>45291</v>
      </c>
      <c r="AQ19" s="8">
        <f t="shared" si="5"/>
        <v>45322</v>
      </c>
      <c r="AR19" s="8">
        <f t="shared" si="5"/>
        <v>45351</v>
      </c>
      <c r="AS19" s="8">
        <f t="shared" si="5"/>
        <v>45382</v>
      </c>
      <c r="AT19" s="8">
        <f t="shared" si="5"/>
        <v>45412</v>
      </c>
      <c r="AU19" s="8">
        <f t="shared" si="5"/>
        <v>45443</v>
      </c>
      <c r="AV19" s="8">
        <f t="shared" si="5"/>
        <v>45473</v>
      </c>
      <c r="AW19" s="8">
        <f t="shared" si="5"/>
        <v>45504</v>
      </c>
      <c r="AX19" s="8">
        <f t="shared" si="5"/>
        <v>45535</v>
      </c>
      <c r="AY19" s="8">
        <f t="shared" si="5"/>
        <v>45565</v>
      </c>
      <c r="AZ19" s="8">
        <f t="shared" si="5"/>
        <v>45596</v>
      </c>
      <c r="BA19" s="8">
        <f t="shared" si="5"/>
        <v>45626</v>
      </c>
      <c r="BB19" s="8">
        <f t="shared" si="5"/>
        <v>45657</v>
      </c>
      <c r="BC19" s="8">
        <f t="shared" si="5"/>
        <v>45688</v>
      </c>
      <c r="BD19" s="8">
        <f t="shared" si="5"/>
        <v>45716</v>
      </c>
      <c r="BE19" s="8">
        <f t="shared" si="5"/>
        <v>45747</v>
      </c>
      <c r="BF19" s="8">
        <f t="shared" si="5"/>
        <v>45777</v>
      </c>
      <c r="BG19" s="8">
        <f t="shared" si="5"/>
        <v>45808</v>
      </c>
      <c r="BH19" s="8">
        <f t="shared" si="5"/>
        <v>45838</v>
      </c>
      <c r="BI19" s="8">
        <f t="shared" si="5"/>
        <v>45869</v>
      </c>
      <c r="BJ19" s="8">
        <f t="shared" si="5"/>
        <v>45900</v>
      </c>
      <c r="BK19" s="8">
        <f t="shared" si="5"/>
        <v>45930</v>
      </c>
      <c r="BL19" s="8">
        <f t="shared" si="5"/>
        <v>45961</v>
      </c>
      <c r="BM19" s="8">
        <f t="shared" si="5"/>
        <v>45991</v>
      </c>
      <c r="BN19" s="8">
        <f t="shared" ref="BN19:CS19" si="6">BN3</f>
        <v>46022</v>
      </c>
      <c r="BO19" s="8">
        <f t="shared" si="6"/>
        <v>46053</v>
      </c>
      <c r="BP19" s="8">
        <f t="shared" si="6"/>
        <v>46081</v>
      </c>
      <c r="BQ19" s="8">
        <f t="shared" si="6"/>
        <v>46112</v>
      </c>
      <c r="BR19" s="8">
        <f t="shared" si="6"/>
        <v>46142</v>
      </c>
      <c r="BS19" s="8">
        <f t="shared" si="6"/>
        <v>46173</v>
      </c>
      <c r="BT19" s="8">
        <f t="shared" si="6"/>
        <v>46203</v>
      </c>
      <c r="BU19" s="8">
        <f t="shared" si="6"/>
        <v>46234</v>
      </c>
      <c r="BV19" s="8">
        <f t="shared" si="6"/>
        <v>46265</v>
      </c>
      <c r="BW19" s="8">
        <f t="shared" si="6"/>
        <v>46295</v>
      </c>
      <c r="BX19" s="8">
        <f t="shared" si="6"/>
        <v>46326</v>
      </c>
      <c r="BY19" s="8">
        <f t="shared" si="6"/>
        <v>46356</v>
      </c>
      <c r="BZ19" s="8">
        <f t="shared" si="6"/>
        <v>46387</v>
      </c>
      <c r="CA19" s="8">
        <f t="shared" si="6"/>
        <v>46418</v>
      </c>
      <c r="CB19" s="8">
        <f t="shared" si="6"/>
        <v>46446</v>
      </c>
      <c r="CC19" s="8">
        <f t="shared" si="6"/>
        <v>46477</v>
      </c>
      <c r="CD19" s="8">
        <f t="shared" si="6"/>
        <v>46507</v>
      </c>
      <c r="CE19" s="8">
        <f t="shared" si="6"/>
        <v>46538</v>
      </c>
      <c r="CF19" s="8">
        <f t="shared" si="6"/>
        <v>46568</v>
      </c>
      <c r="CG19" s="8">
        <f t="shared" si="6"/>
        <v>46599</v>
      </c>
      <c r="CH19" s="8">
        <f t="shared" si="6"/>
        <v>46630</v>
      </c>
      <c r="CI19" s="8">
        <f t="shared" si="6"/>
        <v>46660</v>
      </c>
      <c r="CJ19" s="8">
        <f t="shared" si="6"/>
        <v>46691</v>
      </c>
      <c r="CK19" s="8">
        <f t="shared" si="6"/>
        <v>46721</v>
      </c>
      <c r="CL19" s="8">
        <f t="shared" si="6"/>
        <v>46752</v>
      </c>
      <c r="CM19" s="8">
        <f t="shared" si="6"/>
        <v>46783</v>
      </c>
      <c r="CN19" s="8">
        <f t="shared" si="6"/>
        <v>46812</v>
      </c>
      <c r="CO19" s="8">
        <f t="shared" si="6"/>
        <v>46843</v>
      </c>
      <c r="CP19" s="8">
        <f t="shared" si="6"/>
        <v>46873</v>
      </c>
      <c r="CQ19" s="8">
        <f t="shared" si="6"/>
        <v>46904</v>
      </c>
      <c r="CR19" s="8">
        <f t="shared" si="6"/>
        <v>46934</v>
      </c>
      <c r="CS19" s="8">
        <f t="shared" si="6"/>
        <v>46965</v>
      </c>
      <c r="CT19" s="8">
        <f t="shared" ref="CT19:DA19" si="7">CT3</f>
        <v>46996</v>
      </c>
      <c r="CU19" s="8">
        <f t="shared" si="7"/>
        <v>47026</v>
      </c>
      <c r="CV19" s="8">
        <f t="shared" si="7"/>
        <v>47056</v>
      </c>
      <c r="CW19" s="8">
        <f t="shared" si="7"/>
        <v>47087</v>
      </c>
      <c r="CX19" s="8">
        <f t="shared" si="7"/>
        <v>47117</v>
      </c>
      <c r="CY19" s="8">
        <f t="shared" si="7"/>
        <v>47148</v>
      </c>
      <c r="CZ19" s="8">
        <f t="shared" si="7"/>
        <v>47177</v>
      </c>
      <c r="DA19" s="8">
        <f t="shared" si="7"/>
        <v>47207</v>
      </c>
    </row>
    <row r="20" spans="1:105">
      <c r="A20" s="25" t="s">
        <v>60</v>
      </c>
      <c r="B20" s="42">
        <v>0</v>
      </c>
      <c r="C20" s="42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42">
        <f>'Monthly PL'!X14</f>
        <v>1.8805417646439362</v>
      </c>
      <c r="W20" s="42">
        <f>'Monthly PL'!Y14</f>
        <v>2.2561153323094092</v>
      </c>
      <c r="X20" s="42">
        <f>'Monthly PL'!Z14</f>
        <v>2.0127280446330214</v>
      </c>
      <c r="Y20" s="42">
        <f>'Monthly PL'!AA14</f>
        <v>1.8307174872684493</v>
      </c>
      <c r="Z20" s="42">
        <f>'Monthly PL'!AB14</f>
        <v>1.8145528911845246</v>
      </c>
      <c r="AA20" s="42">
        <f>'Monthly PL'!AC14</f>
        <v>1.9919760803452502</v>
      </c>
      <c r="AB20" s="42">
        <f>'Monthly PL'!AD14</f>
        <v>2.0913729399978118</v>
      </c>
      <c r="AC20" s="42">
        <f>'Monthly PL'!AE14</f>
        <v>1.7308974067525926</v>
      </c>
      <c r="AD20" s="42">
        <f>'Monthly PL'!AF14</f>
        <v>2.0844528266631852</v>
      </c>
      <c r="AE20" s="42">
        <f>'Monthly PL'!AG14</f>
        <v>1.7495042040264051</v>
      </c>
      <c r="AF20" s="42">
        <f>'Monthly PL'!AH14</f>
        <v>1.7566641275986679</v>
      </c>
      <c r="AG20" s="42">
        <f>'Monthly PL'!AI14</f>
        <v>1.7448232705305506</v>
      </c>
      <c r="AH20" s="42">
        <f>'Monthly PL'!AJ14</f>
        <v>1.8391451426450365</v>
      </c>
      <c r="AI20" s="42">
        <f>'Monthly PL'!AK14</f>
        <v>2.2147446334792757</v>
      </c>
      <c r="AJ20" s="42">
        <f>'Monthly PL'!AL14</f>
        <v>1.9749688367876832</v>
      </c>
      <c r="AK20" s="42">
        <f>'Monthly PL'!AM14</f>
        <v>1.7893128416585393</v>
      </c>
      <c r="AL20" s="42">
        <f>'Monthly PL'!AN14</f>
        <v>1.7723550483079213</v>
      </c>
      <c r="AM20" s="42">
        <f>'Monthly PL'!AO14</f>
        <v>1.9541194596669205</v>
      </c>
      <c r="AN20" s="42">
        <f>'Monthly PL'!AP14</f>
        <v>1.9728077924011729</v>
      </c>
      <c r="AO20" s="42">
        <f>'Monthly PL'!AQ14</f>
        <v>1.6856476225940762</v>
      </c>
      <c r="AP20" s="42">
        <f>'Monthly PL'!AR14</f>
        <v>2.0402602541500006</v>
      </c>
      <c r="AQ20" s="42">
        <f>'Monthly PL'!AS14</f>
        <v>1.7049886835463064</v>
      </c>
      <c r="AR20" s="42">
        <f>'Monthly PL'!AT14</f>
        <v>1.7124300030983712</v>
      </c>
      <c r="AS20" s="42">
        <f>'Monthly PL'!AU14</f>
        <v>1.6997105128915397</v>
      </c>
      <c r="AT20" s="42">
        <f>'Monthly PL'!AV14</f>
        <v>1.7929505249691595</v>
      </c>
      <c r="AU20" s="42">
        <f>'Monthly PL'!AW14</f>
        <v>2.168577197488017</v>
      </c>
      <c r="AV20" s="42">
        <f>'Monthly PL'!AX14</f>
        <v>1.9325575731135562</v>
      </c>
      <c r="AW20" s="42">
        <f>'Monthly PL'!AY14</f>
        <v>1.7431105445064787</v>
      </c>
      <c r="AX20" s="42">
        <f>'Monthly PL'!AZ14</f>
        <v>1.7253280479004318</v>
      </c>
      <c r="AY20" s="42">
        <f>'Monthly PL'!BA14</f>
        <v>1.9116243229527137</v>
      </c>
      <c r="AZ20" s="42">
        <f>'Monthly PL'!BB14</f>
        <v>2.025364369484588</v>
      </c>
      <c r="BA20" s="42">
        <f>'Monthly PL'!BC14</f>
        <v>1.7267130078718274</v>
      </c>
      <c r="BB20" s="42">
        <f>'Monthly PL'!BD14</f>
        <v>2.0824253618640527</v>
      </c>
      <c r="BC20" s="42">
        <f>'Monthly PL'!BE14</f>
        <v>1.746818147806833</v>
      </c>
      <c r="BD20" s="42">
        <f>'Monthly PL'!BF14</f>
        <v>1.7545523417173139</v>
      </c>
      <c r="BE20" s="42">
        <f>'Monthly PL'!BG14</f>
        <v>1.7409192956934438</v>
      </c>
      <c r="BF20" s="42">
        <f>'Monthly PL'!BH14</f>
        <v>1.836574852518067</v>
      </c>
      <c r="BG20" s="42">
        <f>'Monthly PL'!BI14</f>
        <v>2.212234933519774</v>
      </c>
      <c r="BH20" s="42">
        <f>'Monthly PL'!BJ14</f>
        <v>1.9801268679951338</v>
      </c>
      <c r="BI20" s="42">
        <f>'Monthly PL'!BK14</f>
        <v>1.5242423043206192</v>
      </c>
      <c r="BJ20" s="42">
        <f>'Monthly PL'!BL14</f>
        <v>1.5056072561886085</v>
      </c>
      <c r="BK20" s="42">
        <f>'Monthly PL'!BM14</f>
        <v>1.6966402571121137</v>
      </c>
      <c r="BL20" s="42">
        <f>'Monthly PL'!BN14</f>
        <v>1.9229902583947105</v>
      </c>
      <c r="BM20" s="42">
        <f>'Monthly PL'!BO14</f>
        <v>1.6123931974967038</v>
      </c>
      <c r="BN20" s="42">
        <f>'Monthly PL'!BP14</f>
        <v>1.9692544031272412</v>
      </c>
      <c r="BO20" s="42">
        <f>'Monthly PL'!BQ14</f>
        <v>1.6333032602952942</v>
      </c>
      <c r="BP20" s="42">
        <f>'Monthly PL'!BR14</f>
        <v>3.7623471840683154</v>
      </c>
      <c r="BQ20" s="42">
        <f>'Monthly PL'!BS14</f>
        <v>1.8367691806378308</v>
      </c>
      <c r="BR20" s="42">
        <f>'Monthly PL'!BT14</f>
        <v>2.6174654919144205</v>
      </c>
      <c r="BS20" s="42">
        <f>'Monthly PL'!BU14</f>
        <v>3.2556603452761195</v>
      </c>
      <c r="BT20" s="42">
        <f>'Monthly PL'!BV14</f>
        <v>3.0276203286078616</v>
      </c>
      <c r="BU20" s="42">
        <f>'Monthly PL'!BW14</f>
        <v>2.8316107562310013</v>
      </c>
      <c r="BV20" s="42">
        <f>'Monthly PL'!BX14</f>
        <v>2.8160790823954756</v>
      </c>
      <c r="BW20" s="42">
        <f>'Monthly PL'!BY14</f>
        <v>3.0132135986507209</v>
      </c>
      <c r="BX20" s="42">
        <f>'Monthly PL'!BZ14</f>
        <v>3.1411129809904033</v>
      </c>
      <c r="BY20" s="42">
        <f>'Monthly PL'!CA14</f>
        <v>2.8177774210692261</v>
      </c>
      <c r="BZ20" s="42">
        <f>'Monthly PL'!CB14</f>
        <v>3.1732084607547328</v>
      </c>
      <c r="CA20" s="42">
        <f>'Monthly PL'!CC14</f>
        <v>2.7951117070892484</v>
      </c>
      <c r="CB20" s="42">
        <f>'Monthly PL'!CD14</f>
        <v>2.8034777785071867</v>
      </c>
      <c r="CC20" s="42">
        <f>'Monthly PL'!CE14</f>
        <v>2.7863642485813185</v>
      </c>
      <c r="CD20" s="42">
        <f>'Monthly PL'!CF14</f>
        <v>2.8872080712196446</v>
      </c>
      <c r="CE20" s="42">
        <f>'Monthly PL'!CG14</f>
        <v>3.262939116782452</v>
      </c>
      <c r="CF20" s="42">
        <f>'Monthly PL'!CH14</f>
        <v>2.1975149885126806</v>
      </c>
      <c r="CG20" s="42">
        <f>'Monthly PL'!CI14</f>
        <v>1.9973915477532995</v>
      </c>
      <c r="CH20" s="42">
        <f>'Monthly PL'!CJ14</f>
        <v>1.9769478124961768</v>
      </c>
      <c r="CI20" s="42">
        <f>'Monthly PL'!CK14</f>
        <v>2.1764791443177391</v>
      </c>
      <c r="CJ20" s="42">
        <f>'Monthly PL'!CL14</f>
        <v>2.3155894239910877</v>
      </c>
      <c r="CK20" s="42">
        <f>'Monthly PL'!CM14</f>
        <v>1.9796484547637769</v>
      </c>
      <c r="CL20" s="42">
        <f>'Monthly PL'!CN14</f>
        <v>2.3373322401885948</v>
      </c>
      <c r="CM20" s="42">
        <f>'Monthly PL'!CO14</f>
        <v>2.002266417550739</v>
      </c>
      <c r="CN20" s="42">
        <f>'Monthly PL'!CP14</f>
        <v>2.0109675525698787</v>
      </c>
      <c r="CO20" s="42">
        <f>'Monthly PL'!CQ14</f>
        <v>1.9927699047640051</v>
      </c>
      <c r="CP20" s="42">
        <f>'Monthly PL'!CR14</f>
        <v>2.0964280463502916</v>
      </c>
      <c r="CQ20" s="42">
        <f>'Monthly PL'!CS14</f>
        <v>2.2597967622299349</v>
      </c>
      <c r="CR20" s="42">
        <f>'Monthly PL'!CT14</f>
        <v>1.847608099928534</v>
      </c>
      <c r="CS20" s="42">
        <f>'Monthly PL'!CU14</f>
        <v>1.7316201552536308</v>
      </c>
      <c r="CT20" s="42">
        <f>'Monthly PL'!CV14</f>
        <v>1.7102175069276653</v>
      </c>
      <c r="CU20" s="42">
        <f>'Monthly PL'!CW14</f>
        <v>1.8296850189458369</v>
      </c>
      <c r="CV20" s="42">
        <v>0</v>
      </c>
      <c r="CW20" s="42">
        <v>0</v>
      </c>
      <c r="CX20" s="42">
        <v>0</v>
      </c>
      <c r="CY20" s="42">
        <v>0</v>
      </c>
      <c r="CZ20" s="42">
        <v>0</v>
      </c>
      <c r="DA20" s="42">
        <v>0</v>
      </c>
    </row>
    <row r="21" spans="1:105">
      <c r="A21" s="25" t="s">
        <v>127</v>
      </c>
      <c r="B21" s="42">
        <v>0</v>
      </c>
      <c r="C21" s="42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34">
        <v>0</v>
      </c>
      <c r="R21" s="34">
        <v>0</v>
      </c>
      <c r="S21" s="34">
        <v>0</v>
      </c>
      <c r="T21" s="34">
        <v>0</v>
      </c>
      <c r="U21" s="34">
        <v>0</v>
      </c>
      <c r="V21" s="42">
        <f>'Monthly PL'!X15</f>
        <v>1.9063933836977101</v>
      </c>
      <c r="W21" s="42">
        <f>'Monthly PL'!Y15</f>
        <v>1.9064026836977097</v>
      </c>
      <c r="X21" s="42">
        <f>'Monthly PL'!Z15</f>
        <v>1.9064116836977099</v>
      </c>
      <c r="Y21" s="42">
        <f>'Monthly PL'!AA15</f>
        <v>1.9064209836977097</v>
      </c>
      <c r="Z21" s="42">
        <f>'Monthly PL'!AB15</f>
        <v>1.9064302836977098</v>
      </c>
      <c r="AA21" s="42">
        <f>'Monthly PL'!AC15</f>
        <v>1.9064392836977098</v>
      </c>
      <c r="AB21" s="42">
        <f>'Monthly PL'!AD15</f>
        <v>1.9064485836977099</v>
      </c>
      <c r="AC21" s="42">
        <f>'Monthly PL'!AE15</f>
        <v>1.9064575836977098</v>
      </c>
      <c r="AD21" s="42">
        <f>'Monthly PL'!AF15</f>
        <v>1.9064668836977099</v>
      </c>
      <c r="AE21" s="42">
        <f>'Monthly PL'!AG15</f>
        <v>1.90647618369771</v>
      </c>
      <c r="AF21" s="42">
        <f>'Monthly PL'!AH15</f>
        <v>1.90648458369771</v>
      </c>
      <c r="AG21" s="42">
        <f>'Monthly PL'!AI15</f>
        <v>1.9064938836977097</v>
      </c>
      <c r="AH21" s="42">
        <f>'Monthly PL'!AJ15</f>
        <v>2.0011523378825959</v>
      </c>
      <c r="AI21" s="42">
        <f>'Monthly PL'!AK15</f>
        <v>2.0011616378825958</v>
      </c>
      <c r="AJ21" s="42">
        <f>'Monthly PL'!AL15</f>
        <v>2.0011706378825957</v>
      </c>
      <c r="AK21" s="42">
        <f>'Monthly PL'!AM15</f>
        <v>2.0011799378825961</v>
      </c>
      <c r="AL21" s="42">
        <f>'Monthly PL'!AN15</f>
        <v>2.001189237882596</v>
      </c>
      <c r="AM21" s="42">
        <f>'Monthly PL'!AO15</f>
        <v>2.0011982378825959</v>
      </c>
      <c r="AN21" s="42">
        <f>'Monthly PL'!AP15</f>
        <v>2.0012075378825958</v>
      </c>
      <c r="AO21" s="42">
        <f>'Monthly PL'!AQ15</f>
        <v>2.0012165378825957</v>
      </c>
      <c r="AP21" s="42">
        <f>'Monthly PL'!AR15</f>
        <v>2.001225837882596</v>
      </c>
      <c r="AQ21" s="42">
        <f>'Monthly PL'!AS15</f>
        <v>2.0012351378825959</v>
      </c>
      <c r="AR21" s="42">
        <f>'Monthly PL'!AT15</f>
        <v>2.0012438378825959</v>
      </c>
      <c r="AS21" s="42">
        <f>'Monthly PL'!AU15</f>
        <v>2.0012531378825957</v>
      </c>
      <c r="AT21" s="42">
        <f>'Monthly PL'!AV15</f>
        <v>2.1006440647767257</v>
      </c>
      <c r="AU21" s="42">
        <f>'Monthly PL'!AW15</f>
        <v>2.1006533647767256</v>
      </c>
      <c r="AV21" s="42">
        <f>'Monthly PL'!AX15</f>
        <v>2.1006623647767255</v>
      </c>
      <c r="AW21" s="42">
        <f>'Monthly PL'!AY15</f>
        <v>2.1006716647767258</v>
      </c>
      <c r="AX21" s="42">
        <f>'Monthly PL'!AZ15</f>
        <v>2.1006809647767257</v>
      </c>
      <c r="AY21" s="42">
        <f>'Monthly PL'!BA15</f>
        <v>2.1006899647767256</v>
      </c>
      <c r="AZ21" s="42">
        <f>'Monthly PL'!BB15</f>
        <v>2.100699264776726</v>
      </c>
      <c r="BA21" s="42">
        <f>'Monthly PL'!BC15</f>
        <v>2.1007082647767259</v>
      </c>
      <c r="BB21" s="42">
        <f>'Monthly PL'!BD15</f>
        <v>2.1007175647767258</v>
      </c>
      <c r="BC21" s="42">
        <f>'Monthly PL'!BE15</f>
        <v>2.1007268647767257</v>
      </c>
      <c r="BD21" s="42">
        <f>'Monthly PL'!BF15</f>
        <v>2.1007352647767261</v>
      </c>
      <c r="BE21" s="42">
        <f>'Monthly PL'!BG15</f>
        <v>2.1007445647767256</v>
      </c>
      <c r="BF21" s="42">
        <f>'Monthly PL'!BH15</f>
        <v>2.205104588015562</v>
      </c>
      <c r="BG21" s="42">
        <f>'Monthly PL'!BI15</f>
        <v>2.2051138880155619</v>
      </c>
      <c r="BH21" s="42">
        <f>'Monthly PL'!BJ15</f>
        <v>2.2051228880155618</v>
      </c>
      <c r="BI21" s="42">
        <f>'Monthly PL'!BK15</f>
        <v>2.2051321880155621</v>
      </c>
      <c r="BJ21" s="42">
        <f>'Monthly PL'!BL15</f>
        <v>2.2051414880155615</v>
      </c>
      <c r="BK21" s="42">
        <f>'Monthly PL'!BM15</f>
        <v>2.2051504880155619</v>
      </c>
      <c r="BL21" s="42">
        <f>'Monthly PL'!BN15</f>
        <v>2.2051597880155618</v>
      </c>
      <c r="BM21" s="42">
        <f>'Monthly PL'!BO15</f>
        <v>2.2051687880155617</v>
      </c>
      <c r="BN21" s="42">
        <f>'Monthly PL'!BP15</f>
        <v>2.205178088015562</v>
      </c>
      <c r="BO21" s="42">
        <f>'Monthly PL'!BQ15</f>
        <v>2.2051873880155619</v>
      </c>
      <c r="BP21" s="42">
        <f>'Monthly PL'!BR15</f>
        <v>2.2051957880155619</v>
      </c>
      <c r="BQ21" s="42">
        <f>'Monthly PL'!BS15</f>
        <v>2.2052050880155618</v>
      </c>
      <c r="BR21" s="42">
        <f>'Monthly PL'!BT15</f>
        <v>2.3147826624163406</v>
      </c>
      <c r="BS21" s="42">
        <f>'Monthly PL'!BU15</f>
        <v>2.3147919624163404</v>
      </c>
      <c r="BT21" s="42">
        <f>'Monthly PL'!BV15</f>
        <v>2.3148009624163404</v>
      </c>
      <c r="BU21" s="42">
        <f>'Monthly PL'!BW15</f>
        <v>2.3148102624163407</v>
      </c>
      <c r="BV21" s="42">
        <f>'Monthly PL'!BX15</f>
        <v>2.3148195624163406</v>
      </c>
      <c r="BW21" s="42">
        <f>'Monthly PL'!BY15</f>
        <v>2.3148285624163405</v>
      </c>
      <c r="BX21" s="42">
        <f>'Monthly PL'!BZ15</f>
        <v>2.3148378624163408</v>
      </c>
      <c r="BY21" s="42">
        <f>'Monthly PL'!CA15</f>
        <v>2.3148468624163403</v>
      </c>
      <c r="BZ21" s="42">
        <f>'Monthly PL'!CB15</f>
        <v>2.3148561624163406</v>
      </c>
      <c r="CA21" s="42">
        <f>'Monthly PL'!CC15</f>
        <v>2.3148654624163405</v>
      </c>
      <c r="CB21" s="42">
        <f>'Monthly PL'!CD15</f>
        <v>2.3148738624163405</v>
      </c>
      <c r="CC21" s="42">
        <f>'Monthly PL'!CE15</f>
        <v>2.3148831624163404</v>
      </c>
      <c r="CD21" s="42">
        <f>'Monthly PL'!CF15</f>
        <v>2.4299391655371565</v>
      </c>
      <c r="CE21" s="42">
        <f>'Monthly PL'!CG15</f>
        <v>2.4299484655371568</v>
      </c>
      <c r="CF21" s="42">
        <f>'Monthly PL'!CH15</f>
        <v>2.4299574655371567</v>
      </c>
      <c r="CG21" s="42">
        <f>'Monthly PL'!CI15</f>
        <v>2.4299667655371566</v>
      </c>
      <c r="CH21" s="42">
        <f>'Monthly PL'!CJ15</f>
        <v>2.4299760655371565</v>
      </c>
      <c r="CI21" s="42">
        <f>'Monthly PL'!CK15</f>
        <v>2.4299850655371564</v>
      </c>
      <c r="CJ21" s="42">
        <f>'Monthly PL'!CL15</f>
        <v>2.4299943655371568</v>
      </c>
      <c r="CK21" s="42">
        <f>'Monthly PL'!CM15</f>
        <v>2.4300033655371567</v>
      </c>
      <c r="CL21" s="42">
        <f>'Monthly PL'!CN15</f>
        <v>2.4300126655371566</v>
      </c>
      <c r="CM21" s="42">
        <f>'Monthly PL'!CO15</f>
        <v>2.4300219655371569</v>
      </c>
      <c r="CN21" s="42">
        <f>'Monthly PL'!CP15</f>
        <v>2.4300306655371564</v>
      </c>
      <c r="CO21" s="42">
        <f>'Monthly PL'!CQ15</f>
        <v>2.4300399655371567</v>
      </c>
      <c r="CP21" s="42">
        <f>'Monthly PL'!CR15</f>
        <v>2.5508483188140136</v>
      </c>
      <c r="CQ21" s="42">
        <f>'Monthly PL'!CS15</f>
        <v>2.550857618814014</v>
      </c>
      <c r="CR21" s="42">
        <f>'Monthly PL'!CT15</f>
        <v>2.5508666188140139</v>
      </c>
      <c r="CS21" s="42">
        <f>'Monthly PL'!CU15</f>
        <v>2.5508759188140138</v>
      </c>
      <c r="CT21" s="42">
        <f>'Monthly PL'!CV15</f>
        <v>2.5508852188140141</v>
      </c>
      <c r="CU21" s="42">
        <f>'Monthly PL'!CW15</f>
        <v>2.550894218814014</v>
      </c>
      <c r="CV21" s="42">
        <v>0</v>
      </c>
      <c r="CW21" s="42">
        <v>0</v>
      </c>
      <c r="CX21" s="42">
        <v>0</v>
      </c>
      <c r="CY21" s="42">
        <v>0</v>
      </c>
      <c r="CZ21" s="42">
        <v>0</v>
      </c>
      <c r="DA21" s="42">
        <v>0</v>
      </c>
    </row>
    <row r="22" spans="1:105">
      <c r="A22" s="25" t="s">
        <v>108</v>
      </c>
      <c r="B22" s="42">
        <v>0</v>
      </c>
      <c r="C22" s="42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34">
        <v>0</v>
      </c>
      <c r="R22" s="34">
        <v>0</v>
      </c>
      <c r="S22" s="34">
        <v>0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f>'Monthly PL'!Z16</f>
        <v>0</v>
      </c>
      <c r="Z22" s="34">
        <f>'Monthly PL'!AB16</f>
        <v>0</v>
      </c>
      <c r="AA22" s="34">
        <f>'Monthly PL'!AC16</f>
        <v>0</v>
      </c>
      <c r="AB22" s="34">
        <f>'Monthly PL'!AD16</f>
        <v>0</v>
      </c>
      <c r="AC22" s="34">
        <f>'Monthly PL'!AE16</f>
        <v>0</v>
      </c>
      <c r="AD22" s="34">
        <f>'Monthly PL'!AF16</f>
        <v>0</v>
      </c>
      <c r="AE22" s="34">
        <f>'Monthly PL'!AG16</f>
        <v>0</v>
      </c>
      <c r="AF22" s="34">
        <f>'Monthly PL'!AH16</f>
        <v>0</v>
      </c>
      <c r="AG22" s="34">
        <f>'Monthly PL'!AI16</f>
        <v>0</v>
      </c>
      <c r="AH22" s="34">
        <f>'Monthly PL'!AJ16</f>
        <v>0.89572830000000003</v>
      </c>
      <c r="AI22" s="34">
        <f>'Monthly PL'!AK16</f>
        <v>0.89572830000000003</v>
      </c>
      <c r="AJ22" s="34">
        <f>'Monthly PL'!AL16</f>
        <v>0.89572830000000003</v>
      </c>
      <c r="AK22" s="34">
        <f>'Monthly PL'!AM16</f>
        <v>0.89572830000000003</v>
      </c>
      <c r="AL22" s="34">
        <f>'Monthly PL'!AN16</f>
        <v>0.89572830000000003</v>
      </c>
      <c r="AM22" s="34">
        <f>'Monthly PL'!AO16</f>
        <v>0.89572830000000003</v>
      </c>
      <c r="AN22" s="34">
        <f>'Monthly PL'!AP16</f>
        <v>0.89572830000000003</v>
      </c>
      <c r="AO22" s="34">
        <f>'Monthly PL'!AQ16</f>
        <v>0.89572830000000003</v>
      </c>
      <c r="AP22" s="34">
        <f>'Monthly PL'!AR16</f>
        <v>0.89572830000000003</v>
      </c>
      <c r="AQ22" s="34">
        <f>'Monthly PL'!AS16</f>
        <v>0.89572830000000003</v>
      </c>
      <c r="AR22" s="34">
        <f>'Monthly PL'!AT16</f>
        <v>0.89572830000000003</v>
      </c>
      <c r="AS22" s="34">
        <f>'Monthly PL'!AU16</f>
        <v>0.89572830000000003</v>
      </c>
      <c r="AT22" s="34">
        <f>'Monthly PL'!AV16</f>
        <v>0.44786415000000002</v>
      </c>
      <c r="AU22" s="34">
        <f>'Monthly PL'!AW16</f>
        <v>0.44786415000000002</v>
      </c>
      <c r="AV22" s="34">
        <f>'Monthly PL'!AX16</f>
        <v>0.44786415000000002</v>
      </c>
      <c r="AW22" s="34">
        <f>'Monthly PL'!AY16</f>
        <v>0.44786415000000002</v>
      </c>
      <c r="AX22" s="34">
        <f>'Monthly PL'!AZ16</f>
        <v>0.44786415000000002</v>
      </c>
      <c r="AY22" s="34">
        <f>'Monthly PL'!BA16</f>
        <v>0.44786415000000002</v>
      </c>
      <c r="AZ22" s="34">
        <f>'Monthly PL'!BB16</f>
        <v>0.44786415000000002</v>
      </c>
      <c r="BA22" s="34">
        <f>'Monthly PL'!BC16</f>
        <v>0.44786415000000002</v>
      </c>
      <c r="BB22" s="34">
        <f>'Monthly PL'!BD16</f>
        <v>0.44786415000000002</v>
      </c>
      <c r="BC22" s="34">
        <f>'Monthly PL'!BE16</f>
        <v>0.44786415000000002</v>
      </c>
      <c r="BD22" s="34">
        <f>'Monthly PL'!BF16</f>
        <v>0.44786415000000002</v>
      </c>
      <c r="BE22" s="34">
        <f>'Monthly PL'!BG16</f>
        <v>0.44786415000000002</v>
      </c>
      <c r="BF22" s="34">
        <f>'Monthly PL'!BH16</f>
        <v>0.22393207500000001</v>
      </c>
      <c r="BG22" s="34">
        <f>'Monthly PL'!BI16</f>
        <v>0.22393207500000001</v>
      </c>
      <c r="BH22" s="34">
        <f>'Monthly PL'!BJ16</f>
        <v>0.22393207500000001</v>
      </c>
      <c r="BI22" s="34">
        <f>'Monthly PL'!BK16</f>
        <v>0.22393207500000001</v>
      </c>
      <c r="BJ22" s="34">
        <f>'Monthly PL'!BL16</f>
        <v>0.22393207500000001</v>
      </c>
      <c r="BK22" s="34">
        <f>'Monthly PL'!BM16</f>
        <v>0.22393207500000001</v>
      </c>
      <c r="BL22" s="34">
        <f>'Monthly PL'!BN16</f>
        <v>0.22393207500000001</v>
      </c>
      <c r="BM22" s="34">
        <f>'Monthly PL'!BO16</f>
        <v>0.22393207500000001</v>
      </c>
      <c r="BN22" s="34">
        <f>'Monthly PL'!BP16</f>
        <v>0.22393207500000001</v>
      </c>
      <c r="BO22" s="34">
        <f>'Monthly PL'!BQ16</f>
        <v>0.22393207500000001</v>
      </c>
      <c r="BP22" s="34">
        <f>'Monthly PL'!BR16</f>
        <v>0.22393207500000001</v>
      </c>
      <c r="BQ22" s="34">
        <f>'Monthly PL'!BS16</f>
        <v>0.22393207500000001</v>
      </c>
      <c r="BR22" s="34">
        <f>'Monthly PL'!BT16</f>
        <v>0.22393207500000001</v>
      </c>
      <c r="BS22" s="34">
        <f>'Monthly PL'!BU16</f>
        <v>0.22393207500000001</v>
      </c>
      <c r="BT22" s="34">
        <f>'Monthly PL'!BV16</f>
        <v>0.22393207500000001</v>
      </c>
      <c r="BU22" s="34">
        <f>'Monthly PL'!BW16</f>
        <v>0.22393207500000001</v>
      </c>
      <c r="BV22" s="34">
        <f>'Monthly PL'!BX16</f>
        <v>0.22393207500000001</v>
      </c>
      <c r="BW22" s="34">
        <f>'Monthly PL'!BY16</f>
        <v>0.22393207500000001</v>
      </c>
      <c r="BX22" s="34">
        <f>'Monthly PL'!BZ16</f>
        <v>0.22393207500000001</v>
      </c>
      <c r="BY22" s="34">
        <f>'Monthly PL'!CA16</f>
        <v>0.22393207500000001</v>
      </c>
      <c r="BZ22" s="34">
        <f>'Monthly PL'!CB16</f>
        <v>0.22393207500000001</v>
      </c>
      <c r="CA22" s="34">
        <f>'Monthly PL'!CC16</f>
        <v>0.22393207500000001</v>
      </c>
      <c r="CB22" s="34">
        <f>'Monthly PL'!CD16</f>
        <v>0.22393207500000001</v>
      </c>
      <c r="CC22" s="34">
        <f>'Monthly PL'!CE16</f>
        <v>0.22393207500000001</v>
      </c>
      <c r="CD22" s="34">
        <f>'Monthly PL'!CF16</f>
        <v>0.22393207500000001</v>
      </c>
      <c r="CE22" s="34">
        <f>'Monthly PL'!CG16</f>
        <v>0.22393207500000001</v>
      </c>
      <c r="CF22" s="34">
        <f>'Monthly PL'!CH16</f>
        <v>0.22393207500000001</v>
      </c>
      <c r="CG22" s="34">
        <f>'Monthly PL'!CI16</f>
        <v>0.22393207500000001</v>
      </c>
      <c r="CH22" s="34">
        <f>'Monthly PL'!CJ16</f>
        <v>0.22393207500000001</v>
      </c>
      <c r="CI22" s="34">
        <f>'Monthly PL'!CK16</f>
        <v>0.22393207500000001</v>
      </c>
      <c r="CJ22" s="34">
        <f>'Monthly PL'!CL16</f>
        <v>0.22393207500000001</v>
      </c>
      <c r="CK22" s="34">
        <f>'Monthly PL'!CM16</f>
        <v>0.22393207500000001</v>
      </c>
      <c r="CL22" s="34">
        <f>'Monthly PL'!CN16</f>
        <v>0.22393207500000001</v>
      </c>
      <c r="CM22" s="34">
        <f>'Monthly PL'!CO16</f>
        <v>0.22393207500000001</v>
      </c>
      <c r="CN22" s="34">
        <f>'Monthly PL'!CP16</f>
        <v>0.22393207500000001</v>
      </c>
      <c r="CO22" s="34">
        <f>'Monthly PL'!CQ16</f>
        <v>0.22393207500000001</v>
      </c>
      <c r="CP22" s="34">
        <f>'Monthly PL'!CR16</f>
        <v>0.22393207500000001</v>
      </c>
      <c r="CQ22" s="34">
        <f>'Monthly PL'!CS16</f>
        <v>0.22393207500000001</v>
      </c>
      <c r="CR22" s="34">
        <f>'Monthly PL'!CT16</f>
        <v>0.22393207500000001</v>
      </c>
      <c r="CS22" s="34">
        <f>'Monthly PL'!CU16</f>
        <v>0.22393207500000001</v>
      </c>
      <c r="CT22" s="34">
        <f>'Monthly PL'!CV16</f>
        <v>0.22393207500000001</v>
      </c>
      <c r="CU22" s="34">
        <f>'Monthly PL'!CW16</f>
        <v>0.22393207500000001</v>
      </c>
      <c r="CV22" s="42">
        <v>0</v>
      </c>
      <c r="CW22" s="42">
        <v>0</v>
      </c>
      <c r="CX22" s="42">
        <v>0</v>
      </c>
      <c r="CY22" s="42">
        <v>0</v>
      </c>
      <c r="CZ22" s="42">
        <v>0</v>
      </c>
      <c r="DA22" s="42">
        <v>0</v>
      </c>
    </row>
    <row r="23" spans="1:105">
      <c r="A23" s="144" t="s">
        <v>630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34"/>
      <c r="R23" s="34"/>
      <c r="S23" s="34"/>
      <c r="T23" s="34"/>
      <c r="U23" s="34"/>
      <c r="V23" s="34">
        <v>0</v>
      </c>
      <c r="W23" s="34">
        <v>0</v>
      </c>
      <c r="X23" s="34">
        <v>0</v>
      </c>
      <c r="Y23" s="34">
        <f>'Monthly PL'!Z17</f>
        <v>0</v>
      </c>
      <c r="Z23" s="34">
        <f>'Monthly PL'!AB17</f>
        <v>0</v>
      </c>
      <c r="AA23" s="34">
        <f>'Monthly PL'!AC17</f>
        <v>0</v>
      </c>
      <c r="AB23" s="34">
        <f>'Monthly PL'!AD17</f>
        <v>0</v>
      </c>
      <c r="AC23" s="34">
        <f>'Monthly PL'!AE17</f>
        <v>0</v>
      </c>
      <c r="AD23" s="34">
        <f>'Monthly PL'!AF17</f>
        <v>0</v>
      </c>
      <c r="AE23" s="34">
        <f>'Monthly PL'!AG17</f>
        <v>0</v>
      </c>
      <c r="AF23" s="34">
        <f>'Monthly PL'!AH17</f>
        <v>0</v>
      </c>
      <c r="AG23" s="34">
        <f>'Monthly PL'!AI17</f>
        <v>0.35644314666666665</v>
      </c>
      <c r="AH23" s="34">
        <f>'Monthly PL'!AJ17</f>
        <v>0.18537958400000004</v>
      </c>
      <c r="AI23" s="34">
        <f>'Monthly PL'!AK17</f>
        <v>0.38219673856000008</v>
      </c>
      <c r="AJ23" s="34">
        <f>'Monthly PL'!AL17</f>
        <v>0.18817776640000003</v>
      </c>
      <c r="AK23" s="34">
        <f>'Monthly PL'!AM17</f>
        <v>0.38793301248000006</v>
      </c>
      <c r="AL23" s="34">
        <f>'Monthly PL'!AN17</f>
        <v>0.19734181376000004</v>
      </c>
      <c r="AM23" s="34">
        <f>'Monthly PL'!AO17</f>
        <v>0.38723346688000004</v>
      </c>
      <c r="AN23" s="34">
        <f>'Monthly PL'!AP17</f>
        <v>0.20023326890666671</v>
      </c>
      <c r="AO23" s="34">
        <f>'Monthly PL'!AQ17</f>
        <v>0.39287646805333348</v>
      </c>
      <c r="AP23" s="34">
        <f>'Monthly PL'!AR17</f>
        <v>0.20312472405333337</v>
      </c>
      <c r="AQ23" s="34">
        <f>'Monthly PL'!AS17</f>
        <v>0.40841803946666677</v>
      </c>
      <c r="AR23" s="34">
        <f>'Monthly PL'!AT17</f>
        <v>0.19272481280000003</v>
      </c>
      <c r="AS23" s="34">
        <f>'Monthly PL'!AU17</f>
        <v>0.40755526656000002</v>
      </c>
      <c r="AT23" s="34">
        <f>'Monthly PL'!AV17</f>
        <v>0.23932014612480002</v>
      </c>
      <c r="AU23" s="34">
        <f>'Monthly PL'!AW17</f>
        <v>0.49189430728672018</v>
      </c>
      <c r="AV23" s="34">
        <f>'Monthly PL'!AX17</f>
        <v>0.24098209158400002</v>
      </c>
      <c r="AW23" s="34">
        <f>'Monthly PL'!AY17</f>
        <v>0.49530129547808022</v>
      </c>
      <c r="AX23" s="34">
        <f>'Monthly PL'!AZ17</f>
        <v>0.25073217161130673</v>
      </c>
      <c r="AY23" s="34">
        <f>'Monthly PL'!BA17</f>
        <v>0.49057860046485352</v>
      </c>
      <c r="AZ23" s="34">
        <f>'Monthly PL'!BB17</f>
        <v>0.25244951525248011</v>
      </c>
      <c r="BA23" s="34">
        <f>'Monthly PL'!BC17</f>
        <v>0.49393019047424008</v>
      </c>
      <c r="BB23" s="34">
        <f>'Monthly PL'!BD17</f>
        <v>0.25416685889365337</v>
      </c>
      <c r="BC23" s="34">
        <f>'Monthly PL'!BE17</f>
        <v>0.50962172551818685</v>
      </c>
      <c r="BD23" s="34">
        <f>'Monthly PL'!BF17</f>
        <v>0.2311212151927467</v>
      </c>
      <c r="BE23" s="34">
        <f>'Monthly PL'!BG17</f>
        <v>0.50067491912949336</v>
      </c>
      <c r="BF23" s="34">
        <f>'Monthly PL'!BH17</f>
        <v>0.25883138581580806</v>
      </c>
      <c r="BG23" s="34">
        <f>'Monthly PL'!BI17</f>
        <v>0.53127410494246419</v>
      </c>
      <c r="BH23" s="34">
        <f>'Monthly PL'!BJ17</f>
        <v>0.25969559745459203</v>
      </c>
      <c r="BI23" s="34">
        <f>'Monthly PL'!BK17</f>
        <v>0.53304573880197148</v>
      </c>
      <c r="BJ23" s="34">
        <f>'Monthly PL'!BL17</f>
        <v>0.26924513606315531</v>
      </c>
      <c r="BK23" s="34">
        <f>'Monthly PL'!BM17</f>
        <v>0.52611044040072974</v>
      </c>
      <c r="BL23" s="34">
        <f>'Monthly PL'!BN17</f>
        <v>0.27013815475656539</v>
      </c>
      <c r="BM23" s="34">
        <f>'Monthly PL'!BO17</f>
        <v>0.52785326720561088</v>
      </c>
      <c r="BN23" s="34">
        <f>'Monthly PL'!BP17</f>
        <v>0.27103117344997557</v>
      </c>
      <c r="BO23" s="34">
        <f>'Monthly PL'!BQ17</f>
        <v>0.54273211092000873</v>
      </c>
      <c r="BP23" s="34">
        <f>'Monthly PL'!BR17</f>
        <v>0.24560894774241282</v>
      </c>
      <c r="BQ23" s="34">
        <f>'Monthly PL'!BS17</f>
        <v>0.53136052610634255</v>
      </c>
      <c r="BR23" s="34">
        <f>'Monthly PL'!BT17</f>
        <v>0.29072892904353803</v>
      </c>
      <c r="BS23" s="34">
        <f>'Monthly PL'!BU17</f>
        <v>0.59673183291898702</v>
      </c>
      <c r="BT23" s="34">
        <f>'Monthly PL'!BV17</f>
        <v>0.29168057856577545</v>
      </c>
      <c r="BU23" s="34">
        <f>'Monthly PL'!BW17</f>
        <v>0.59868271443957366</v>
      </c>
      <c r="BV23" s="34">
        <f>'Monthly PL'!BX17</f>
        <v>0.30238663569094665</v>
      </c>
      <c r="BW23" s="34">
        <f>'Monthly PL'!BY17</f>
        <v>0.59085539711917068</v>
      </c>
      <c r="BX23" s="34">
        <f>'Monthly PL'!BZ17</f>
        <v>0.30337000686392535</v>
      </c>
      <c r="BY23" s="34">
        <f>'Monthly PL'!CA17</f>
        <v>0.59277455698901627</v>
      </c>
      <c r="BZ23" s="34">
        <f>'Monthly PL'!CB17</f>
        <v>0.3043533780369041</v>
      </c>
      <c r="CA23" s="34">
        <f>'Monthly PL'!CC17</f>
        <v>0.61476134951674077</v>
      </c>
      <c r="CB23" s="34">
        <f>'Monthly PL'!CD17</f>
        <v>0.27899486912050797</v>
      </c>
      <c r="CC23" s="34">
        <f>'Monthly PL'!CE17</f>
        <v>0.60357430364079523</v>
      </c>
      <c r="CD23" s="34">
        <f>'Monthly PL'!CF17</f>
        <v>0.31188122084292536</v>
      </c>
      <c r="CE23" s="34">
        <f>'Monthly PL'!CG17</f>
        <v>0.64013245119076856</v>
      </c>
      <c r="CF23" s="34">
        <f>'Monthly PL'!CH17</f>
        <v>0.31288244466585613</v>
      </c>
      <c r="CG23" s="34">
        <f>'Monthly PL'!CI17</f>
        <v>0.64218496002777636</v>
      </c>
      <c r="CH23" s="34">
        <f>'Monthly PL'!CJ17</f>
        <v>0.32434645743841312</v>
      </c>
      <c r="CI23" s="34">
        <f>'Monthly PL'!CK17</f>
        <v>0.633749649319585</v>
      </c>
      <c r="CJ23" s="34">
        <f>'Monthly PL'!CL17</f>
        <v>0.32538105538877482</v>
      </c>
      <c r="CK23" s="34">
        <f>'Monthly PL'!CM17</f>
        <v>0.63576878402916182</v>
      </c>
      <c r="CL23" s="34">
        <f>'Monthly PL'!CN17</f>
        <v>0.32641565333913658</v>
      </c>
      <c r="CM23" s="34">
        <f>'Monthly PL'!CO17</f>
        <v>0.65360725514104456</v>
      </c>
      <c r="CN23" s="34">
        <f>'Monthly PL'!CP17</f>
        <v>0.30632442862565978</v>
      </c>
      <c r="CO23" s="34">
        <f>'Monthly PL'!CQ17</f>
        <v>0.64511353970984864</v>
      </c>
      <c r="CP23" s="34">
        <f>'Monthly PL'!CR17</f>
        <v>0.33060410633173021</v>
      </c>
      <c r="CQ23" s="34">
        <f>'Monthly PL'!CS17</f>
        <v>0.67854540438132915</v>
      </c>
      <c r="CR23" s="34">
        <f>'Monthly PL'!CT17</f>
        <v>0.33164537910757824</v>
      </c>
      <c r="CS23" s="34">
        <f>'Monthly PL'!CU17</f>
        <v>0.68068001357181751</v>
      </c>
      <c r="CT23" s="34">
        <f>'Monthly PL'!CV17</f>
        <v>0.34377620694620709</v>
      </c>
      <c r="CU23" s="34">
        <f>'Monthly PL'!CW17</f>
        <v>0.6716990358801288</v>
      </c>
      <c r="CV23" s="34">
        <f>'Monthly PL'!CX17</f>
        <v>0</v>
      </c>
      <c r="CW23" s="34">
        <f>'Monthly PL'!CY17</f>
        <v>0</v>
      </c>
      <c r="CX23" s="34">
        <f>'Monthly PL'!CZ17</f>
        <v>0</v>
      </c>
      <c r="CY23" s="34">
        <f>'Monthly PL'!DA17</f>
        <v>0</v>
      </c>
      <c r="CZ23" s="34">
        <f>'Monthly PL'!DB17</f>
        <v>0</v>
      </c>
      <c r="DA23" s="34">
        <f>'Monthly PL'!DC17</f>
        <v>0</v>
      </c>
    </row>
    <row r="24" spans="1:105">
      <c r="A24" s="25" t="s">
        <v>109</v>
      </c>
      <c r="B24" s="42">
        <v>0</v>
      </c>
      <c r="C24" s="42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34">
        <v>0</v>
      </c>
      <c r="R24" s="34">
        <v>0</v>
      </c>
      <c r="S24" s="34">
        <v>0</v>
      </c>
      <c r="T24" s="34">
        <v>0</v>
      </c>
      <c r="U24" s="34">
        <v>0</v>
      </c>
      <c r="V24" s="42">
        <f>'Monthly PL'!X18</f>
        <v>0.21088189439999999</v>
      </c>
      <c r="W24" s="42">
        <f>'Monthly PL'!Y18</f>
        <v>0.42272313599999994</v>
      </c>
      <c r="X24" s="42">
        <f>'Monthly PL'!Z18</f>
        <v>0.2149177344</v>
      </c>
      <c r="Y24" s="42">
        <f>'Monthly PL'!AA18</f>
        <v>0.43099660800000006</v>
      </c>
      <c r="Z24" s="42">
        <f>'Monthly PL'!AB18</f>
        <v>0.22503423999999997</v>
      </c>
      <c r="AA24" s="42">
        <f>'Monthly PL'!AC18</f>
        <v>0.42943608320000004</v>
      </c>
      <c r="AB24" s="42">
        <f>'Monthly PL'!AD18</f>
        <v>0.22670238719999999</v>
      </c>
      <c r="AC24" s="42">
        <f>'Monthly PL'!AE18</f>
        <v>0.42762977279999992</v>
      </c>
      <c r="AD24" s="42">
        <f>'Monthly PL'!AF18</f>
        <v>0.22330864640000003</v>
      </c>
      <c r="AE24" s="42">
        <f>'Monthly PL'!AG18</f>
        <v>0.44141889279999996</v>
      </c>
      <c r="AF24" s="42">
        <f>'Monthly PL'!AH18</f>
        <v>0.38382899199999998</v>
      </c>
      <c r="AG24" s="42">
        <f>'Monthly PL'!AI18</f>
        <v>0.44273592192</v>
      </c>
      <c r="AH24" s="42">
        <f>'Monthly PL'!AJ18</f>
        <v>0.2872597996320001</v>
      </c>
      <c r="AI24" s="42">
        <f>'Monthly PL'!AK18</f>
        <v>0.52816399681344006</v>
      </c>
      <c r="AJ24" s="42">
        <f>'Monthly PL'!AL18</f>
        <v>0.29068477488960004</v>
      </c>
      <c r="AK24" s="42">
        <f>'Monthly PL'!AM18</f>
        <v>0.53518519609152004</v>
      </c>
      <c r="AL24" s="42">
        <f>'Monthly PL'!AN18</f>
        <v>0.30190156885824004</v>
      </c>
      <c r="AM24" s="42">
        <f>'Monthly PL'!AO18</f>
        <v>0.53432895227711985</v>
      </c>
      <c r="AN24" s="42">
        <f>'Monthly PL'!AP18</f>
        <v>0.30122921914175999</v>
      </c>
      <c r="AO24" s="42">
        <f>'Monthly PL'!AQ18</f>
        <v>0.5370244948972801</v>
      </c>
      <c r="AP24" s="42">
        <f>'Monthly PL'!AR18</f>
        <v>0.30476836024128007</v>
      </c>
      <c r="AQ24" s="42">
        <f>'Monthly PL'!AS18</f>
        <v>0.55604737830719997</v>
      </c>
      <c r="AR24" s="42">
        <f>'Monthly PL'!AT18</f>
        <v>0.29203886886720004</v>
      </c>
      <c r="AS24" s="42">
        <f>'Monthly PL'!AU18</f>
        <v>0.55499134426943997</v>
      </c>
      <c r="AT24" s="42">
        <f>'Monthly PL'!AV18</f>
        <v>0.32219970785675522</v>
      </c>
      <c r="AU24" s="42">
        <f>'Monthly PL'!AW18</f>
        <v>0.63135048111894543</v>
      </c>
      <c r="AV24" s="42">
        <f>'Monthly PL'!AX18</f>
        <v>0.32423392909881604</v>
      </c>
      <c r="AW24" s="42">
        <f>'Monthly PL'!AY18</f>
        <v>0.63552063466517006</v>
      </c>
      <c r="AX24" s="42">
        <f>'Monthly PL'!AZ18</f>
        <v>0.33616802705223942</v>
      </c>
      <c r="AY24" s="42">
        <f>'Monthly PL'!BA18</f>
        <v>0.62974005596898053</v>
      </c>
      <c r="AZ24" s="42">
        <f>'Monthly PL'!BB18</f>
        <v>0.33827005566903556</v>
      </c>
      <c r="BA24" s="42">
        <f>'Monthly PL'!BC18</f>
        <v>0.63384240214046972</v>
      </c>
      <c r="BB24" s="42">
        <f>'Monthly PL'!BD18</f>
        <v>0.34037208428583171</v>
      </c>
      <c r="BC24" s="42">
        <f>'Monthly PL'!BE18</f>
        <v>0.65304884103426075</v>
      </c>
      <c r="BD24" s="42">
        <f>'Monthly PL'!BF18</f>
        <v>0.31216421639592196</v>
      </c>
      <c r="BE24" s="42">
        <f>'Monthly PL'!BG18</f>
        <v>0.64209795001449987</v>
      </c>
      <c r="BF24" s="42">
        <f>'Monthly PL'!BH18</f>
        <v>0.33264554073854907</v>
      </c>
      <c r="BG24" s="42">
        <f>'Monthly PL'!BI18</f>
        <v>0.66611542894957609</v>
      </c>
      <c r="BH24" s="42">
        <f>'Monthly PL'!BJ18</f>
        <v>0.33370333578442068</v>
      </c>
      <c r="BI24" s="42">
        <f>'Monthly PL'!BK18</f>
        <v>0.66828390879361288</v>
      </c>
      <c r="BJ24" s="42">
        <f>'Monthly PL'!BL18</f>
        <v>0.34539197104130204</v>
      </c>
      <c r="BK24" s="42">
        <f>'Monthly PL'!BM18</f>
        <v>0.6597951035504932</v>
      </c>
      <c r="BL24" s="42">
        <f>'Monthly PL'!BN18</f>
        <v>0.34648502592203595</v>
      </c>
      <c r="BM24" s="42">
        <f>'Monthly PL'!BO18</f>
        <v>0.66192832355966758</v>
      </c>
      <c r="BN24" s="42">
        <f>'Monthly PL'!BP18</f>
        <v>0.34757808080277008</v>
      </c>
      <c r="BO24" s="42">
        <f>'Monthly PL'!BQ18</f>
        <v>0.68014002826609066</v>
      </c>
      <c r="BP24" s="42">
        <f>'Monthly PL'!BR18</f>
        <v>0.3164612765367133</v>
      </c>
      <c r="BQ24" s="42">
        <f>'Monthly PL'!BS18</f>
        <v>0.66622120845416322</v>
      </c>
      <c r="BR24" s="42">
        <f>'Monthly PL'!BT18</f>
        <v>0.37168813364929049</v>
      </c>
      <c r="BS24" s="42">
        <f>'Monthly PL'!BU18</f>
        <v>0.74623568799284001</v>
      </c>
      <c r="BT24" s="42">
        <f>'Monthly PL'!BV18</f>
        <v>0.37285295266450919</v>
      </c>
      <c r="BU24" s="42">
        <f>'Monthly PL'!BW18</f>
        <v>0.74862356697403809</v>
      </c>
      <c r="BV24" s="42">
        <f>'Monthly PL'!BX18</f>
        <v>0.38595716658571871</v>
      </c>
      <c r="BW24" s="42">
        <f>'Monthly PL'!BY18</f>
        <v>0.73904293057386483</v>
      </c>
      <c r="BX24" s="42">
        <f>'Monthly PL'!BZ18</f>
        <v>0.38716081290144455</v>
      </c>
      <c r="BY24" s="42">
        <f>'Monthly PL'!CA18</f>
        <v>0.74139198225455583</v>
      </c>
      <c r="BZ24" s="42">
        <f>'Monthly PL'!CB18</f>
        <v>0.38836445921717055</v>
      </c>
      <c r="CA24" s="42">
        <f>'Monthly PL'!CC18</f>
        <v>0.76830381630849065</v>
      </c>
      <c r="CB24" s="42">
        <f>'Monthly PL'!CD18</f>
        <v>0.35732564430350172</v>
      </c>
      <c r="CC24" s="42">
        <f>'Monthly PL'!CE18</f>
        <v>0.75461087215633338</v>
      </c>
      <c r="CD24" s="42">
        <f>'Monthly PL'!CF18</f>
        <v>0.3975785388117406</v>
      </c>
      <c r="CE24" s="42">
        <f>'Monthly PL'!CG18</f>
        <v>0.7993580447575005</v>
      </c>
      <c r="CF24" s="42">
        <f>'Monthly PL'!CH18</f>
        <v>0.3988040367710079</v>
      </c>
      <c r="CG24" s="42">
        <f>'Monthly PL'!CI18</f>
        <v>0.80187031557399824</v>
      </c>
      <c r="CH24" s="42">
        <f>'Monthly PL'!CJ18</f>
        <v>0.4128359884046176</v>
      </c>
      <c r="CI24" s="42">
        <f>'Monthly PL'!CK18</f>
        <v>0.79154549526717188</v>
      </c>
      <c r="CJ24" s="42">
        <f>'Monthly PL'!CL18</f>
        <v>0.41410233629586035</v>
      </c>
      <c r="CK24" s="42">
        <f>'Monthly PL'!CM18</f>
        <v>0.7940169161516939</v>
      </c>
      <c r="CL24" s="42">
        <f>'Monthly PL'!CN18</f>
        <v>0.41536868418710315</v>
      </c>
      <c r="CM24" s="42">
        <f>'Monthly PL'!CO18</f>
        <v>0.8158512047926384</v>
      </c>
      <c r="CN24" s="42">
        <f>'Monthly PL'!CP18</f>
        <v>0.39077702513780754</v>
      </c>
      <c r="CO24" s="42">
        <f>'Monthly PL'!CQ18</f>
        <v>0.80545489710485474</v>
      </c>
      <c r="CP24" s="42">
        <f>'Monthly PL'!CR18</f>
        <v>0.42049535065003774</v>
      </c>
      <c r="CQ24" s="42">
        <f>'Monthly PL'!CS18</f>
        <v>0.84637549946274682</v>
      </c>
      <c r="CR24" s="42">
        <f>'Monthly PL'!CT18</f>
        <v>0.42176986852767578</v>
      </c>
      <c r="CS24" s="42">
        <f>'Monthly PL'!CU18</f>
        <v>0.84898826111190451</v>
      </c>
      <c r="CT24" s="42">
        <f>'Monthly PL'!CV18</f>
        <v>0.43661800180215743</v>
      </c>
      <c r="CU24" s="42">
        <f>'Monthly PL'!CW18</f>
        <v>0.83799554441727742</v>
      </c>
      <c r="CV24" s="42">
        <v>0</v>
      </c>
      <c r="CW24" s="42">
        <v>0</v>
      </c>
      <c r="CX24" s="42">
        <v>0</v>
      </c>
      <c r="CY24" s="42">
        <v>0</v>
      </c>
      <c r="CZ24" s="42">
        <v>0</v>
      </c>
      <c r="DA24" s="42">
        <v>0</v>
      </c>
    </row>
    <row r="25" spans="1:105">
      <c r="A25" s="25" t="s">
        <v>110</v>
      </c>
      <c r="B25" s="42">
        <v>0</v>
      </c>
      <c r="C25" s="42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34">
        <v>0</v>
      </c>
      <c r="R25" s="34">
        <v>0</v>
      </c>
      <c r="S25" s="34">
        <v>0</v>
      </c>
      <c r="T25" s="34">
        <v>0</v>
      </c>
      <c r="U25" s="34">
        <v>0</v>
      </c>
      <c r="V25" s="42">
        <f>'Monthly PL'!X19</f>
        <v>0</v>
      </c>
      <c r="W25" s="42">
        <f>'Monthly PL'!Y19</f>
        <v>0</v>
      </c>
      <c r="X25" s="42">
        <f>'Monthly PL'!Z19</f>
        <v>0</v>
      </c>
      <c r="Y25" s="42">
        <f>'Monthly PL'!AA19</f>
        <v>6.6750000000000004E-2</v>
      </c>
      <c r="Z25" s="42">
        <f>'Monthly PL'!AB19</f>
        <v>1.2542500000000001</v>
      </c>
      <c r="AA25" s="42">
        <f>'Monthly PL'!AC19</f>
        <v>2.9803999999999997E-2</v>
      </c>
      <c r="AB25" s="42">
        <f>'Monthly PL'!AD19</f>
        <v>0.21444034084134886</v>
      </c>
      <c r="AC25" s="42">
        <f>'Monthly PL'!AE19</f>
        <v>0.25318242030010002</v>
      </c>
      <c r="AD25" s="42">
        <v>0</v>
      </c>
      <c r="AE25" s="42">
        <f>'Monthly PL'!AG19</f>
        <v>0.26735271359230012</v>
      </c>
      <c r="AF25" s="42">
        <f>'Monthly PL'!AH19</f>
        <v>0.25528973147369999</v>
      </c>
      <c r="AG25" s="42">
        <f>'Monthly PL'!AI19</f>
        <v>0.25143685436672669</v>
      </c>
      <c r="AH25" s="42">
        <f>'Monthly PL'!AJ19</f>
        <v>9.9330817813200009E-2</v>
      </c>
      <c r="AI25" s="42">
        <f>'Monthly PL'!AK19</f>
        <v>0.12078380682193759</v>
      </c>
      <c r="AJ25" s="42">
        <f>'Monthly PL'!AL19</f>
        <v>7.543490312880001E-2</v>
      </c>
      <c r="AK25" s="42">
        <f>'Monthly PL'!AM19</f>
        <v>9.6167456279772801E-2</v>
      </c>
      <c r="AL25" s="42">
        <f>'Monthly PL'!AN19</f>
        <v>7.2767100000000001E-2</v>
      </c>
      <c r="AM25" s="42">
        <f>'Monthly PL'!AO19</f>
        <v>0.45067356000000003</v>
      </c>
      <c r="AN25" s="42">
        <f>'Monthly PL'!AP19</f>
        <v>2.7195037500000005E-2</v>
      </c>
      <c r="AO25" s="42">
        <f>'Monthly PL'!AQ19</f>
        <v>2.0241450000000001E-2</v>
      </c>
      <c r="AP25" s="42">
        <f>'Monthly PL'!AR19</f>
        <v>7.1164906825000013E-2</v>
      </c>
      <c r="AQ25" s="42">
        <f>'Monthly PL'!AS19</f>
        <v>0</v>
      </c>
      <c r="AR25" s="42">
        <f>'Monthly PL'!AT19</f>
        <v>0</v>
      </c>
      <c r="AS25" s="42">
        <f>'Monthly PL'!AU19</f>
        <v>0</v>
      </c>
      <c r="AT25" s="42">
        <f>'Monthly PL'!AV19</f>
        <v>0</v>
      </c>
      <c r="AU25" s="42">
        <f>'Monthly PL'!AW19</f>
        <v>0</v>
      </c>
      <c r="AV25" s="42">
        <f>'Monthly PL'!AX19</f>
        <v>0</v>
      </c>
      <c r="AW25" s="42">
        <f>'Monthly PL'!AY19</f>
        <v>0</v>
      </c>
      <c r="AX25" s="42">
        <f>'Monthly PL'!AZ19</f>
        <v>0</v>
      </c>
      <c r="AY25" s="42">
        <f>'Monthly PL'!BA19</f>
        <v>0</v>
      </c>
      <c r="AZ25" s="42">
        <f>'Monthly PL'!BB19</f>
        <v>0</v>
      </c>
      <c r="BA25" s="42">
        <f>'Monthly PL'!BC19</f>
        <v>0</v>
      </c>
      <c r="BB25" s="42">
        <f>'Monthly PL'!BD19</f>
        <v>0</v>
      </c>
      <c r="BC25" s="42">
        <f>'Monthly PL'!BE19</f>
        <v>0</v>
      </c>
      <c r="BD25" s="42">
        <f>'Monthly PL'!BF19</f>
        <v>0</v>
      </c>
      <c r="BE25" s="42">
        <f>'Monthly PL'!BG19</f>
        <v>0</v>
      </c>
      <c r="BF25" s="42">
        <f>'Monthly PL'!BH19</f>
        <v>0</v>
      </c>
      <c r="BG25" s="42">
        <f>'Monthly PL'!BI19</f>
        <v>0</v>
      </c>
      <c r="BH25" s="42">
        <f>'Monthly PL'!BJ19</f>
        <v>0</v>
      </c>
      <c r="BI25" s="42">
        <f>'Monthly PL'!BK19</f>
        <v>0</v>
      </c>
      <c r="BJ25" s="42">
        <f>'Monthly PL'!BL19</f>
        <v>0</v>
      </c>
      <c r="BK25" s="42">
        <f>'Monthly PL'!BM19</f>
        <v>0</v>
      </c>
      <c r="BL25" s="42">
        <f>'Monthly PL'!BN19</f>
        <v>0</v>
      </c>
      <c r="BM25" s="42">
        <f>'Monthly PL'!BO19</f>
        <v>0</v>
      </c>
      <c r="BN25" s="42">
        <f>'Monthly PL'!BP19</f>
        <v>0</v>
      </c>
      <c r="BO25" s="42">
        <f>'Monthly PL'!BQ19</f>
        <v>0</v>
      </c>
      <c r="BP25" s="42">
        <f>'Monthly PL'!BR19</f>
        <v>0</v>
      </c>
      <c r="BQ25" s="42">
        <f>'Monthly PL'!BS19</f>
        <v>0</v>
      </c>
      <c r="BR25" s="42">
        <f>'Monthly PL'!BT19</f>
        <v>0</v>
      </c>
      <c r="BS25" s="42">
        <f>'Monthly PL'!BU19</f>
        <v>0</v>
      </c>
      <c r="BT25" s="42">
        <f>'Monthly PL'!BV19</f>
        <v>0</v>
      </c>
      <c r="BU25" s="42">
        <f>'Monthly PL'!BW19</f>
        <v>0</v>
      </c>
      <c r="BV25" s="42">
        <f>'Monthly PL'!BX19</f>
        <v>0</v>
      </c>
      <c r="BW25" s="42">
        <f>'Monthly PL'!BY19</f>
        <v>0</v>
      </c>
      <c r="BX25" s="42">
        <f>'Monthly PL'!BZ19</f>
        <v>0</v>
      </c>
      <c r="BY25" s="42">
        <f>'Monthly PL'!CA19</f>
        <v>0</v>
      </c>
      <c r="BZ25" s="42">
        <f>'Monthly PL'!CB19</f>
        <v>0</v>
      </c>
      <c r="CA25" s="42">
        <f>'Monthly PL'!CC19</f>
        <v>0</v>
      </c>
      <c r="CB25" s="42">
        <f>'Monthly PL'!CD19</f>
        <v>0</v>
      </c>
      <c r="CC25" s="42">
        <f>'Monthly PL'!CE19</f>
        <v>0</v>
      </c>
      <c r="CD25" s="42">
        <f>'Monthly PL'!CF19</f>
        <v>0</v>
      </c>
      <c r="CE25" s="42">
        <f>'Monthly PL'!CG19</f>
        <v>0</v>
      </c>
      <c r="CF25" s="42">
        <f>'Monthly PL'!CH19</f>
        <v>0</v>
      </c>
      <c r="CG25" s="42">
        <f>'Monthly PL'!CI19</f>
        <v>0</v>
      </c>
      <c r="CH25" s="42">
        <f>'Monthly PL'!CJ19</f>
        <v>0</v>
      </c>
      <c r="CI25" s="42">
        <f>'Monthly PL'!CK19</f>
        <v>0</v>
      </c>
      <c r="CJ25" s="42">
        <f>'Monthly PL'!CL19</f>
        <v>0</v>
      </c>
      <c r="CK25" s="42">
        <f>'Monthly PL'!CM19</f>
        <v>0</v>
      </c>
      <c r="CL25" s="42">
        <f>'Monthly PL'!CN19</f>
        <v>0</v>
      </c>
      <c r="CM25" s="42">
        <f>'Monthly PL'!CO19</f>
        <v>0</v>
      </c>
      <c r="CN25" s="42">
        <f>'Monthly PL'!CP19</f>
        <v>0</v>
      </c>
      <c r="CO25" s="42">
        <f>'Monthly PL'!CQ19</f>
        <v>0</v>
      </c>
      <c r="CP25" s="42">
        <f>'Monthly PL'!CR19</f>
        <v>0</v>
      </c>
      <c r="CQ25" s="42">
        <f>'Monthly PL'!CS19</f>
        <v>0</v>
      </c>
      <c r="CR25" s="42">
        <f>'Monthly PL'!CT19</f>
        <v>0</v>
      </c>
      <c r="CS25" s="42">
        <f>'Monthly PL'!CU19</f>
        <v>0</v>
      </c>
      <c r="CT25" s="42">
        <f>'Monthly PL'!CV19</f>
        <v>0</v>
      </c>
      <c r="CU25" s="42">
        <f>'Monthly PL'!CW19</f>
        <v>0</v>
      </c>
      <c r="CV25" s="42">
        <v>0</v>
      </c>
      <c r="CW25" s="42">
        <v>0</v>
      </c>
      <c r="CX25" s="42">
        <v>0</v>
      </c>
      <c r="CY25" s="42">
        <v>0</v>
      </c>
      <c r="CZ25" s="42">
        <v>0</v>
      </c>
      <c r="DA25" s="42">
        <v>0</v>
      </c>
    </row>
    <row r="26" spans="1:105">
      <c r="A26" s="25" t="s">
        <v>66</v>
      </c>
      <c r="B26" s="42">
        <v>0</v>
      </c>
      <c r="C26" s="42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42">
        <f>'Monthly PL'!X24</f>
        <v>2.2975608469164337</v>
      </c>
      <c r="W26" s="42">
        <f>'Monthly PL'!Y24</f>
        <v>2.2975608469164337</v>
      </c>
      <c r="X26" s="42">
        <f>'Monthly PL'!Z24</f>
        <v>2.2837706276777627</v>
      </c>
      <c r="Y26" s="42">
        <f>'Monthly PL'!AA24</f>
        <v>2.2837706276777627</v>
      </c>
      <c r="Z26" s="42">
        <f>'Monthly PL'!AB24</f>
        <v>1.069067440171005</v>
      </c>
      <c r="AA26" s="42">
        <f>'Monthly PL'!AC24</f>
        <v>1.6206762097178293</v>
      </c>
      <c r="AB26" s="42">
        <f>'Monthly PL'!AD24</f>
        <v>1.6206762097178293</v>
      </c>
      <c r="AC26" s="42">
        <f>'Monthly PL'!AE24</f>
        <v>1.6206762097178293</v>
      </c>
      <c r="AD26" s="42">
        <f>'Monthly PL'!AF24</f>
        <v>1.6206762097178293</v>
      </c>
      <c r="AE26" s="42">
        <f>'Monthly PL'!AG24</f>
        <v>1.2967391197846974</v>
      </c>
      <c r="AF26" s="42">
        <f>'Monthly PL'!AH24</f>
        <v>1.2967391197846974</v>
      </c>
      <c r="AG26" s="42">
        <f>'Monthly PL'!AI24</f>
        <v>1.2967391197846974</v>
      </c>
      <c r="AH26" s="42">
        <f>'Monthly PL'!AJ24</f>
        <v>1.2967391197846974</v>
      </c>
      <c r="AI26" s="42">
        <f>'Monthly PL'!AK24</f>
        <v>1.2967391197846974</v>
      </c>
      <c r="AJ26" s="42">
        <f>'Monthly PL'!AL24</f>
        <v>1.2967391197846974</v>
      </c>
      <c r="AK26" s="42">
        <f>'Monthly PL'!AM24</f>
        <v>1.2967391197846974</v>
      </c>
      <c r="AL26" s="42">
        <f>'Monthly PL'!AN24</f>
        <v>1.2967391197846974</v>
      </c>
      <c r="AM26" s="42">
        <f>'Monthly PL'!AO24</f>
        <v>1.2967391197846974</v>
      </c>
      <c r="AN26" s="42">
        <f>'Monthly PL'!AP24</f>
        <v>1.2967391197846974</v>
      </c>
      <c r="AO26" s="42">
        <f>'Monthly PL'!AQ24</f>
        <v>1.2967391197846974</v>
      </c>
      <c r="AP26" s="42">
        <f>'Monthly PL'!AR24</f>
        <v>1.2967391197846974</v>
      </c>
      <c r="AQ26" s="42">
        <f>'Monthly PL'!AS24</f>
        <v>1.2967391197846974</v>
      </c>
      <c r="AR26" s="42">
        <f>'Monthly PL'!AT24</f>
        <v>1.2967391197846974</v>
      </c>
      <c r="AS26" s="42">
        <f>'Monthly PL'!AU24</f>
        <v>1.2837717285868508</v>
      </c>
      <c r="AT26" s="42">
        <f>'Monthly PL'!AV24</f>
        <v>1.2837717285868508</v>
      </c>
      <c r="AU26" s="42">
        <f>'Monthly PL'!AW24</f>
        <v>1.2837717285868508</v>
      </c>
      <c r="AV26" s="42">
        <f>'Monthly PL'!AX24</f>
        <v>1.2448695549933095</v>
      </c>
      <c r="AW26" s="42">
        <f>'Monthly PL'!AY24</f>
        <v>1.2448695549933095</v>
      </c>
      <c r="AX26" s="42">
        <f>'Monthly PL'!AZ24</f>
        <v>1.2448695549933095</v>
      </c>
      <c r="AY26" s="42">
        <f>'Monthly PL'!BA24</f>
        <v>1.2059673813997684</v>
      </c>
      <c r="AZ26" s="42">
        <f>'Monthly PL'!BB24</f>
        <v>1.2059673813997684</v>
      </c>
      <c r="BA26" s="42">
        <f>'Monthly PL'!BC24</f>
        <v>1.2059673813997684</v>
      </c>
      <c r="BB26" s="42">
        <f>'Monthly PL'!BD24</f>
        <v>1.1670652078062276</v>
      </c>
      <c r="BC26" s="42">
        <f>'Monthly PL'!BE24</f>
        <v>1.1670652078062276</v>
      </c>
      <c r="BD26" s="42">
        <f>'Monthly PL'!BF24</f>
        <v>1.1670652078062276</v>
      </c>
      <c r="BE26" s="42">
        <f>'Monthly PL'!BG24</f>
        <v>1.1151956430148398</v>
      </c>
      <c r="BF26" s="42">
        <f>'Monthly PL'!BH24</f>
        <v>1.1151956430148398</v>
      </c>
      <c r="BG26" s="42">
        <f>'Monthly PL'!BI24</f>
        <v>1.1151956430148398</v>
      </c>
      <c r="BH26" s="42">
        <f>'Monthly PL'!BJ24</f>
        <v>1.0633260782234517</v>
      </c>
      <c r="BI26" s="42">
        <f>'Monthly PL'!BK24</f>
        <v>1.0633260782234517</v>
      </c>
      <c r="BJ26" s="42">
        <f>'Monthly PL'!BL24</f>
        <v>1.0633260782234517</v>
      </c>
      <c r="BK26" s="42">
        <f>'Monthly PL'!BM24</f>
        <v>1.0114565134320637</v>
      </c>
      <c r="BL26" s="42">
        <f>'Monthly PL'!BN24</f>
        <v>1.0114565134320637</v>
      </c>
      <c r="BM26" s="42">
        <f>'Monthly PL'!BO24</f>
        <v>1.0114565134320637</v>
      </c>
      <c r="BN26" s="42">
        <f>'Monthly PL'!BP24</f>
        <v>0.95958694864067573</v>
      </c>
      <c r="BO26" s="42">
        <f>'Monthly PL'!BQ24</f>
        <v>0.95958694864067573</v>
      </c>
      <c r="BP26" s="42">
        <f>'Monthly PL'!BR24</f>
        <v>0.95958694864067573</v>
      </c>
      <c r="BQ26" s="42">
        <f>'Monthly PL'!BS24</f>
        <v>0.89799184045090263</v>
      </c>
      <c r="BR26" s="42">
        <f>'Monthly PL'!BT24</f>
        <v>0.89799184045090263</v>
      </c>
      <c r="BS26" s="42">
        <f>'Monthly PL'!BU24</f>
        <v>0.89799184045090263</v>
      </c>
      <c r="BT26" s="42">
        <f>'Monthly PL'!BV24</f>
        <v>0.83639673226112943</v>
      </c>
      <c r="BU26" s="42">
        <f>'Monthly PL'!BW24</f>
        <v>0.83639673226112943</v>
      </c>
      <c r="BV26" s="42">
        <f>'Monthly PL'!BX24</f>
        <v>0.83639673226112943</v>
      </c>
      <c r="BW26" s="42">
        <f>'Monthly PL'!BY24</f>
        <v>0.77480162407135622</v>
      </c>
      <c r="BX26" s="42">
        <f>'Monthly PL'!BZ24</f>
        <v>0.77480162407135622</v>
      </c>
      <c r="BY26" s="42">
        <f>'Monthly PL'!CA24</f>
        <v>0.77480162407135622</v>
      </c>
      <c r="BZ26" s="42">
        <f>'Monthly PL'!CB24</f>
        <v>0.71320651588158324</v>
      </c>
      <c r="CA26" s="42">
        <f>'Monthly PL'!CC24</f>
        <v>0.71320651588158324</v>
      </c>
      <c r="CB26" s="42">
        <f>'Monthly PL'!CD24</f>
        <v>0.71320651588158324</v>
      </c>
      <c r="CC26" s="42">
        <f>'Monthly PL'!CE24</f>
        <v>0.65161140769181003</v>
      </c>
      <c r="CD26" s="42">
        <f>'Monthly PL'!CF24</f>
        <v>0.65161140769181003</v>
      </c>
      <c r="CE26" s="42">
        <f>'Monthly PL'!CG24</f>
        <v>0.65161140769181003</v>
      </c>
      <c r="CF26" s="42">
        <f>'Monthly PL'!CH24</f>
        <v>0.56732336490580471</v>
      </c>
      <c r="CG26" s="42">
        <f>'Monthly PL'!CI24</f>
        <v>0.56732336490580471</v>
      </c>
      <c r="CH26" s="42">
        <f>'Monthly PL'!CJ24</f>
        <v>0.56732336490580471</v>
      </c>
      <c r="CI26" s="42">
        <f>'Monthly PL'!CK24</f>
        <v>0.48303532211979927</v>
      </c>
      <c r="CJ26" s="42">
        <f>'Monthly PL'!CL24</f>
        <v>0.48303532211979927</v>
      </c>
      <c r="CK26" s="42">
        <f>'Monthly PL'!CM24</f>
        <v>0.48303532211979927</v>
      </c>
      <c r="CL26" s="42">
        <f>'Monthly PL'!CN24</f>
        <v>0.36632880133917656</v>
      </c>
      <c r="CM26" s="42">
        <f>'Monthly PL'!CO24</f>
        <v>0.36632880133917656</v>
      </c>
      <c r="CN26" s="42">
        <f>'Monthly PL'!CP24</f>
        <v>0.36632880133917656</v>
      </c>
      <c r="CO26" s="42">
        <f>'Monthly PL'!CQ24</f>
        <v>0.24962228055855379</v>
      </c>
      <c r="CP26" s="42">
        <f>'Monthly PL'!CR24</f>
        <v>0.24962228055855379</v>
      </c>
      <c r="CQ26" s="42">
        <f>'Monthly PL'!CS24</f>
        <v>0.24962228055855379</v>
      </c>
      <c r="CR26" s="42">
        <f>'Monthly PL'!CT24</f>
        <v>0.12643206417900749</v>
      </c>
      <c r="CS26" s="42">
        <f>'Monthly PL'!CU24</f>
        <v>0.12643206417900749</v>
      </c>
      <c r="CT26" s="42">
        <f>'Monthly PL'!CV24</f>
        <v>0.12643206417900749</v>
      </c>
      <c r="CU26" s="42">
        <f>'Monthly PL'!CW24</f>
        <v>-5.1744198675646075E-16</v>
      </c>
      <c r="CV26" s="42">
        <f>'Monthly PL'!CX24</f>
        <v>0</v>
      </c>
      <c r="CW26" s="42">
        <f>'Monthly PL'!CY24</f>
        <v>0</v>
      </c>
      <c r="CX26" s="42">
        <f>'Monthly PL'!CZ24</f>
        <v>0</v>
      </c>
      <c r="CY26" s="42">
        <f>'Monthly PL'!DA24</f>
        <v>0</v>
      </c>
      <c r="CZ26" s="42">
        <f>'Monthly PL'!DB24</f>
        <v>0</v>
      </c>
      <c r="DA26" s="42">
        <f>'Monthly PL'!DC24</f>
        <v>0</v>
      </c>
    </row>
    <row r="27" spans="1:105">
      <c r="A27" s="25" t="s">
        <v>112</v>
      </c>
      <c r="B27" s="42">
        <v>0</v>
      </c>
      <c r="C27" s="42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42">
        <f>'Monthly PL'!X25</f>
        <v>2.7125E-2</v>
      </c>
      <c r="W27" s="42">
        <f>'Monthly PL'!Y25</f>
        <v>2.7125E-2</v>
      </c>
      <c r="X27" s="42">
        <f>'Monthly PL'!Z25</f>
        <v>2.7125E-2</v>
      </c>
      <c r="Y27" s="42">
        <f>'Monthly PL'!AA25</f>
        <v>2.7125E-2</v>
      </c>
      <c r="Z27" s="42">
        <f>'Monthly PL'!AB25</f>
        <v>2.7125E-2</v>
      </c>
      <c r="AA27" s="42">
        <f>'Monthly PL'!AC25</f>
        <v>2.7125E-2</v>
      </c>
      <c r="AB27" s="42">
        <f>'Monthly PL'!AD25</f>
        <v>2.7125E-2</v>
      </c>
      <c r="AC27" s="42">
        <f>'Monthly PL'!AE25</f>
        <v>2.7125E-2</v>
      </c>
      <c r="AD27" s="42">
        <f>'Monthly PL'!AF25</f>
        <v>2.7125E-2</v>
      </c>
      <c r="AE27" s="42">
        <f>'Monthly PL'!AG25</f>
        <v>2.7125E-2</v>
      </c>
      <c r="AF27" s="42">
        <f>'Monthly PL'!AH25</f>
        <v>2.7125E-2</v>
      </c>
      <c r="AG27" s="42">
        <f>'Monthly PL'!AI25</f>
        <v>2.7125E-2</v>
      </c>
      <c r="AH27" s="42">
        <f>'Monthly PL'!AJ25</f>
        <v>0</v>
      </c>
      <c r="AI27" s="42">
        <f>'Monthly PL'!AK25</f>
        <v>0</v>
      </c>
      <c r="AJ27" s="42">
        <f>'Monthly PL'!AL25</f>
        <v>0</v>
      </c>
      <c r="AK27" s="42">
        <f>'Monthly PL'!AM25</f>
        <v>0</v>
      </c>
      <c r="AL27" s="42">
        <f>'Monthly PL'!AN25</f>
        <v>0</v>
      </c>
      <c r="AM27" s="42">
        <f>'Monthly PL'!AO25</f>
        <v>0</v>
      </c>
      <c r="AN27" s="42">
        <f>'Monthly PL'!AP25</f>
        <v>0</v>
      </c>
      <c r="AO27" s="42">
        <f>'Monthly PL'!AQ25</f>
        <v>0</v>
      </c>
      <c r="AP27" s="42">
        <f>'Monthly PL'!AR25</f>
        <v>0</v>
      </c>
      <c r="AQ27" s="42">
        <f>'Monthly PL'!AS25</f>
        <v>0</v>
      </c>
      <c r="AR27" s="42">
        <f>'Monthly PL'!AT25</f>
        <v>0</v>
      </c>
      <c r="AS27" s="42">
        <f>'Monthly PL'!AU25</f>
        <v>0</v>
      </c>
      <c r="AT27" s="42">
        <f>'Monthly PL'!AV25</f>
        <v>0</v>
      </c>
      <c r="AU27" s="42">
        <f>'Monthly PL'!AW25</f>
        <v>0</v>
      </c>
      <c r="AV27" s="42">
        <f>'Monthly PL'!AX25</f>
        <v>0</v>
      </c>
      <c r="AW27" s="42">
        <f>'Monthly PL'!AY25</f>
        <v>0</v>
      </c>
      <c r="AX27" s="42">
        <f>'Monthly PL'!AZ25</f>
        <v>0</v>
      </c>
      <c r="AY27" s="42">
        <f>'Monthly PL'!BA25</f>
        <v>0</v>
      </c>
      <c r="AZ27" s="42">
        <f>'Monthly PL'!BB25</f>
        <v>0</v>
      </c>
      <c r="BA27" s="42">
        <f>'Monthly PL'!BC25</f>
        <v>0</v>
      </c>
      <c r="BB27" s="42">
        <f>'Monthly PL'!BD25</f>
        <v>0</v>
      </c>
      <c r="BC27" s="42">
        <f>'Monthly PL'!BE25</f>
        <v>0</v>
      </c>
      <c r="BD27" s="42">
        <f>'Monthly PL'!BF25</f>
        <v>0</v>
      </c>
      <c r="BE27" s="42">
        <f>'Monthly PL'!BG25</f>
        <v>0</v>
      </c>
      <c r="BF27" s="42">
        <f>'Monthly PL'!BH25</f>
        <v>0</v>
      </c>
      <c r="BG27" s="42">
        <f>'Monthly PL'!BI25</f>
        <v>0</v>
      </c>
      <c r="BH27" s="42">
        <f>'Monthly PL'!BJ25</f>
        <v>0</v>
      </c>
      <c r="BI27" s="42">
        <f>'Monthly PL'!BK25</f>
        <v>0</v>
      </c>
      <c r="BJ27" s="42">
        <f>'Monthly PL'!BL25</f>
        <v>0</v>
      </c>
      <c r="BK27" s="42">
        <f>'Monthly PL'!BM25</f>
        <v>0</v>
      </c>
      <c r="BL27" s="42">
        <f>'Monthly PL'!BN25</f>
        <v>0</v>
      </c>
      <c r="BM27" s="42">
        <f>'Monthly PL'!BO25</f>
        <v>0</v>
      </c>
      <c r="BN27" s="42">
        <f>'Monthly PL'!BP25</f>
        <v>0</v>
      </c>
      <c r="BO27" s="42">
        <f>'Monthly PL'!BQ25</f>
        <v>0</v>
      </c>
      <c r="BP27" s="42">
        <f>'Monthly PL'!BR25</f>
        <v>0</v>
      </c>
      <c r="BQ27" s="42">
        <f>'Monthly PL'!BS25</f>
        <v>0</v>
      </c>
      <c r="BR27" s="42">
        <f>'Monthly PL'!BT25</f>
        <v>0</v>
      </c>
      <c r="BS27" s="42">
        <f>'Monthly PL'!BU25</f>
        <v>0</v>
      </c>
      <c r="BT27" s="42">
        <f>'Monthly PL'!BV25</f>
        <v>0</v>
      </c>
      <c r="BU27" s="42">
        <f>'Monthly PL'!BW25</f>
        <v>0</v>
      </c>
      <c r="BV27" s="42">
        <f>'Monthly PL'!BX25</f>
        <v>0</v>
      </c>
      <c r="BW27" s="42">
        <f>'Monthly PL'!BY25</f>
        <v>0</v>
      </c>
      <c r="BX27" s="42">
        <f>'Monthly PL'!BZ25</f>
        <v>0</v>
      </c>
      <c r="BY27" s="42">
        <f>'Monthly PL'!CA25</f>
        <v>0</v>
      </c>
      <c r="BZ27" s="42">
        <f>'Monthly PL'!CB25</f>
        <v>0</v>
      </c>
      <c r="CA27" s="42">
        <f>'Monthly PL'!CC25</f>
        <v>0</v>
      </c>
      <c r="CB27" s="42">
        <f>'Monthly PL'!CD25</f>
        <v>0</v>
      </c>
      <c r="CC27" s="42">
        <f>'Monthly PL'!CE25</f>
        <v>0</v>
      </c>
      <c r="CD27" s="42">
        <f>'Monthly PL'!CF25</f>
        <v>0</v>
      </c>
      <c r="CE27" s="42">
        <f>'Monthly PL'!CG25</f>
        <v>0</v>
      </c>
      <c r="CF27" s="42">
        <f>'Monthly PL'!CH25</f>
        <v>0</v>
      </c>
      <c r="CG27" s="42">
        <f>'Monthly PL'!CI25</f>
        <v>0</v>
      </c>
      <c r="CH27" s="42">
        <f>'Monthly PL'!CJ25</f>
        <v>0</v>
      </c>
      <c r="CI27" s="42">
        <f>'Monthly PL'!CK25</f>
        <v>0</v>
      </c>
      <c r="CJ27" s="42">
        <f>'Monthly PL'!CL25</f>
        <v>0</v>
      </c>
      <c r="CK27" s="42">
        <f>'Monthly PL'!CM25</f>
        <v>0</v>
      </c>
      <c r="CL27" s="42">
        <f>'Monthly PL'!CN25</f>
        <v>0</v>
      </c>
      <c r="CM27" s="42">
        <f>'Monthly PL'!CO25</f>
        <v>0</v>
      </c>
      <c r="CN27" s="42">
        <f>'Monthly PL'!CP25</f>
        <v>0</v>
      </c>
      <c r="CO27" s="42">
        <f>'Monthly PL'!CQ25</f>
        <v>0</v>
      </c>
      <c r="CP27" s="42">
        <f>'Monthly PL'!CR25</f>
        <v>0</v>
      </c>
      <c r="CQ27" s="42">
        <f>'Monthly PL'!CS25</f>
        <v>0</v>
      </c>
      <c r="CR27" s="42">
        <f>'Monthly PL'!CT25</f>
        <v>0</v>
      </c>
      <c r="CS27" s="42">
        <f>'Monthly PL'!CU25</f>
        <v>0</v>
      </c>
      <c r="CT27" s="42">
        <f>'Monthly PL'!CV25</f>
        <v>0</v>
      </c>
      <c r="CU27" s="42">
        <f>'Monthly PL'!CW25</f>
        <v>0</v>
      </c>
      <c r="CV27" s="42">
        <f>'Monthly PL'!CX25</f>
        <v>0</v>
      </c>
      <c r="CW27" s="42">
        <f>'Monthly PL'!CY25</f>
        <v>0</v>
      </c>
      <c r="CX27" s="42">
        <f>'Monthly PL'!CZ25</f>
        <v>0</v>
      </c>
      <c r="CY27" s="42">
        <f>'Monthly PL'!DA25</f>
        <v>0</v>
      </c>
      <c r="CZ27" s="42">
        <f>'Monthly PL'!DB25</f>
        <v>0</v>
      </c>
      <c r="DA27" s="42">
        <f>'Monthly PL'!DC25</f>
        <v>0</v>
      </c>
    </row>
    <row r="28" spans="1:105">
      <c r="A28" s="25" t="s">
        <v>128</v>
      </c>
      <c r="B28" s="42">
        <v>0</v>
      </c>
      <c r="C28" s="42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42">
        <v>0</v>
      </c>
      <c r="W28" s="42">
        <v>0</v>
      </c>
      <c r="X28" s="42">
        <v>0</v>
      </c>
      <c r="Y28" s="42">
        <v>0</v>
      </c>
      <c r="Z28" s="42">
        <v>0</v>
      </c>
      <c r="AA28" s="42">
        <v>0</v>
      </c>
      <c r="AB28" s="42">
        <v>0</v>
      </c>
      <c r="AC28" s="42">
        <v>0</v>
      </c>
      <c r="AD28" s="42">
        <v>0</v>
      </c>
      <c r="AE28" s="42">
        <v>0</v>
      </c>
      <c r="AF28" s="42">
        <v>0</v>
      </c>
      <c r="AG28" s="42">
        <v>0</v>
      </c>
      <c r="AH28" s="42">
        <v>0</v>
      </c>
      <c r="AI28" s="42">
        <v>0</v>
      </c>
      <c r="AJ28" s="42">
        <v>0</v>
      </c>
      <c r="AK28" s="42">
        <v>0</v>
      </c>
      <c r="AL28" s="42">
        <v>0</v>
      </c>
      <c r="AM28" s="42">
        <v>0</v>
      </c>
      <c r="AN28" s="42">
        <v>0</v>
      </c>
      <c r="AO28" s="42">
        <v>0</v>
      </c>
      <c r="AP28" s="42">
        <v>0</v>
      </c>
      <c r="AQ28" s="42">
        <v>0</v>
      </c>
      <c r="AR28" s="42">
        <v>0</v>
      </c>
      <c r="AS28" s="42">
        <v>0</v>
      </c>
      <c r="AT28" s="42">
        <v>0</v>
      </c>
      <c r="AU28" s="42">
        <v>0</v>
      </c>
      <c r="AV28" s="42">
        <v>0</v>
      </c>
      <c r="AW28" s="42">
        <v>0</v>
      </c>
      <c r="AX28" s="42">
        <v>0</v>
      </c>
      <c r="AY28" s="42">
        <v>0</v>
      </c>
      <c r="AZ28" s="42">
        <v>0</v>
      </c>
      <c r="BA28" s="42">
        <v>0</v>
      </c>
      <c r="BB28" s="42">
        <v>0</v>
      </c>
      <c r="BC28" s="42">
        <v>0</v>
      </c>
      <c r="BD28" s="42">
        <v>0</v>
      </c>
      <c r="BE28" s="42">
        <v>0</v>
      </c>
      <c r="BF28" s="42">
        <v>0</v>
      </c>
      <c r="BG28" s="42">
        <v>0</v>
      </c>
      <c r="BH28" s="42">
        <v>0</v>
      </c>
      <c r="BI28" s="42">
        <v>0</v>
      </c>
      <c r="BJ28" s="42">
        <v>0</v>
      </c>
      <c r="BK28" s="42">
        <v>0</v>
      </c>
      <c r="BL28" s="42">
        <v>0</v>
      </c>
      <c r="BM28" s="42">
        <v>0</v>
      </c>
      <c r="BN28" s="42">
        <v>0</v>
      </c>
      <c r="BO28" s="42">
        <v>0</v>
      </c>
      <c r="BP28" s="42">
        <v>0</v>
      </c>
      <c r="BQ28" s="42">
        <v>0</v>
      </c>
      <c r="BR28" s="42">
        <v>0</v>
      </c>
      <c r="BS28" s="42">
        <v>0</v>
      </c>
      <c r="BT28" s="42">
        <v>0</v>
      </c>
      <c r="BU28" s="42">
        <v>0</v>
      </c>
      <c r="BV28" s="42">
        <v>0</v>
      </c>
      <c r="BW28" s="42">
        <v>0</v>
      </c>
      <c r="BX28" s="42">
        <v>0</v>
      </c>
      <c r="BY28" s="42">
        <v>0</v>
      </c>
      <c r="BZ28" s="42">
        <v>0</v>
      </c>
      <c r="CA28" s="42">
        <v>0</v>
      </c>
      <c r="CB28" s="42">
        <v>0</v>
      </c>
      <c r="CC28" s="42">
        <v>0</v>
      </c>
      <c r="CD28" s="42">
        <v>0</v>
      </c>
      <c r="CE28" s="42">
        <v>0</v>
      </c>
      <c r="CF28" s="42">
        <v>0</v>
      </c>
      <c r="CG28" s="42">
        <v>0</v>
      </c>
      <c r="CH28" s="42">
        <v>0</v>
      </c>
      <c r="CI28" s="42">
        <v>0</v>
      </c>
      <c r="CJ28" s="42">
        <v>0</v>
      </c>
      <c r="CK28" s="42">
        <v>0</v>
      </c>
      <c r="CL28" s="42">
        <v>0</v>
      </c>
      <c r="CM28" s="42">
        <v>0</v>
      </c>
      <c r="CN28" s="42">
        <v>0</v>
      </c>
      <c r="CO28" s="42">
        <v>0</v>
      </c>
      <c r="CP28" s="42">
        <v>0</v>
      </c>
      <c r="CQ28" s="42">
        <v>0</v>
      </c>
      <c r="CR28" s="42">
        <v>0</v>
      </c>
      <c r="CS28" s="42">
        <v>0</v>
      </c>
      <c r="CT28" s="42">
        <v>0</v>
      </c>
      <c r="CU28" s="42">
        <v>0</v>
      </c>
      <c r="CV28" s="42">
        <v>0</v>
      </c>
      <c r="CW28" s="42">
        <v>0</v>
      </c>
      <c r="CX28" s="42">
        <v>0</v>
      </c>
      <c r="CY28" s="42">
        <v>0</v>
      </c>
      <c r="CZ28" s="42">
        <v>0</v>
      </c>
      <c r="DA28" s="42">
        <v>0</v>
      </c>
    </row>
    <row r="29" spans="1:105">
      <c r="A29" s="25" t="s">
        <v>113</v>
      </c>
      <c r="B29" s="42">
        <v>0</v>
      </c>
      <c r="C29" s="42">
        <v>0</v>
      </c>
      <c r="D29" s="42">
        <v>0</v>
      </c>
      <c r="E29" s="42">
        <v>0</v>
      </c>
      <c r="F29" s="42">
        <v>0</v>
      </c>
      <c r="G29" s="42">
        <v>0</v>
      </c>
      <c r="H29" s="42">
        <v>0</v>
      </c>
      <c r="I29" s="42">
        <v>0</v>
      </c>
      <c r="J29" s="42">
        <v>0</v>
      </c>
      <c r="K29" s="42">
        <v>0</v>
      </c>
      <c r="L29" s="42">
        <v>0</v>
      </c>
      <c r="M29" s="42">
        <v>0</v>
      </c>
      <c r="N29" s="42">
        <v>0</v>
      </c>
      <c r="O29" s="42">
        <v>0</v>
      </c>
      <c r="P29" s="42">
        <v>0</v>
      </c>
      <c r="Q29" s="34">
        <v>0</v>
      </c>
      <c r="R29" s="34">
        <v>0</v>
      </c>
      <c r="S29" s="34">
        <v>0</v>
      </c>
      <c r="T29" s="34">
        <v>0</v>
      </c>
      <c r="U29" s="34">
        <v>0</v>
      </c>
      <c r="V29" s="42">
        <f>'Monthly PL'!X26</f>
        <v>0</v>
      </c>
      <c r="W29" s="42">
        <f>'Monthly PL'!Y26</f>
        <v>0</v>
      </c>
      <c r="X29" s="42">
        <f>'Monthly PL'!Z26</f>
        <v>0</v>
      </c>
      <c r="Y29" s="42">
        <f>'Monthly PL'!AA26</f>
        <v>0</v>
      </c>
      <c r="Z29" s="42">
        <f>'Monthly PL'!AB26</f>
        <v>0</v>
      </c>
      <c r="AA29" s="42">
        <f>'Monthly PL'!AC26</f>
        <v>0</v>
      </c>
      <c r="AB29" s="42">
        <f>'Monthly PL'!AD26</f>
        <v>0</v>
      </c>
      <c r="AC29" s="42">
        <f>'Monthly PL'!AE26</f>
        <v>0</v>
      </c>
      <c r="AD29" s="42">
        <f>'Monthly PL'!AF26</f>
        <v>0</v>
      </c>
      <c r="AE29" s="42">
        <f>'Monthly PL'!AG26</f>
        <v>0</v>
      </c>
      <c r="AF29" s="42">
        <f>'Monthly PL'!AH26</f>
        <v>0</v>
      </c>
      <c r="AG29" s="42">
        <f>'Monthly PL'!AI26</f>
        <v>0</v>
      </c>
      <c r="AH29" s="42">
        <f>'Monthly PL'!AJ26</f>
        <v>0</v>
      </c>
      <c r="AI29" s="42">
        <f>'Monthly PL'!AK26</f>
        <v>0</v>
      </c>
      <c r="AJ29" s="42">
        <f>'Monthly PL'!AL26</f>
        <v>0</v>
      </c>
      <c r="AK29" s="42">
        <f>'Monthly PL'!AM26</f>
        <v>0</v>
      </c>
      <c r="AL29" s="42">
        <f>'Monthly PL'!AN26</f>
        <v>0</v>
      </c>
      <c r="AM29" s="42">
        <f>'Monthly PL'!AO26</f>
        <v>0</v>
      </c>
      <c r="AN29" s="42">
        <f>'Monthly PL'!AP26</f>
        <v>0</v>
      </c>
      <c r="AO29" s="42">
        <f>'Monthly PL'!AQ26</f>
        <v>0</v>
      </c>
      <c r="AP29" s="42">
        <f>'Monthly PL'!AR26</f>
        <v>0</v>
      </c>
      <c r="AQ29" s="42">
        <f>'Monthly PL'!AS26</f>
        <v>0</v>
      </c>
      <c r="AR29" s="42">
        <f>'Monthly PL'!AT26</f>
        <v>0</v>
      </c>
      <c r="AS29" s="42">
        <f>'Monthly PL'!AU26</f>
        <v>0</v>
      </c>
      <c r="AT29" s="42">
        <f>'Monthly PL'!AV26</f>
        <v>0</v>
      </c>
      <c r="AU29" s="42">
        <f>'Monthly PL'!AW26</f>
        <v>0</v>
      </c>
      <c r="AV29" s="42">
        <f>'Monthly PL'!AX26</f>
        <v>0</v>
      </c>
      <c r="AW29" s="42">
        <f>'Monthly PL'!AY26</f>
        <v>0</v>
      </c>
      <c r="AX29" s="42">
        <f>'Monthly PL'!AZ26</f>
        <v>0</v>
      </c>
      <c r="AY29" s="42">
        <f>'Monthly PL'!BA26</f>
        <v>0</v>
      </c>
      <c r="AZ29" s="42">
        <f>'Monthly PL'!BB26</f>
        <v>0</v>
      </c>
      <c r="BA29" s="42">
        <f>'Monthly PL'!BC26</f>
        <v>0</v>
      </c>
      <c r="BB29" s="42">
        <f>'Monthly PL'!BD26</f>
        <v>0</v>
      </c>
      <c r="BC29" s="42">
        <f>'Monthly PL'!BE26</f>
        <v>0</v>
      </c>
      <c r="BD29" s="42">
        <f>'Monthly PL'!BF26</f>
        <v>0</v>
      </c>
      <c r="BE29" s="42">
        <f>'Monthly PL'!BG26</f>
        <v>0</v>
      </c>
      <c r="BF29" s="42">
        <f>'Monthly PL'!BH26</f>
        <v>0</v>
      </c>
      <c r="BG29" s="42">
        <f>'Monthly PL'!BI26</f>
        <v>0</v>
      </c>
      <c r="BH29" s="42">
        <f>'Monthly PL'!BJ26</f>
        <v>0</v>
      </c>
      <c r="BI29" s="42">
        <f>'Monthly PL'!BK26</f>
        <v>0</v>
      </c>
      <c r="BJ29" s="42">
        <f>'Monthly PL'!BL26</f>
        <v>0</v>
      </c>
      <c r="BK29" s="42">
        <f>'Monthly PL'!BM26</f>
        <v>0</v>
      </c>
      <c r="BL29" s="42">
        <f>'Monthly PL'!BN26</f>
        <v>0</v>
      </c>
      <c r="BM29" s="42">
        <f>'Monthly PL'!BO26</f>
        <v>0</v>
      </c>
      <c r="BN29" s="42">
        <f>'Monthly PL'!BP26</f>
        <v>0</v>
      </c>
      <c r="BO29" s="42">
        <f>'Monthly PL'!BQ26</f>
        <v>0</v>
      </c>
      <c r="BP29" s="42">
        <f>'Monthly PL'!BR26</f>
        <v>0</v>
      </c>
      <c r="BQ29" s="42">
        <f>'Monthly PL'!BS26</f>
        <v>0</v>
      </c>
      <c r="BR29" s="42">
        <f>'Monthly PL'!BT26</f>
        <v>0</v>
      </c>
      <c r="BS29" s="42">
        <f>'Monthly PL'!BU26</f>
        <v>0</v>
      </c>
      <c r="BT29" s="42">
        <f>'Monthly PL'!BV26</f>
        <v>0</v>
      </c>
      <c r="BU29" s="42">
        <f>'Monthly PL'!BW26</f>
        <v>0</v>
      </c>
      <c r="BV29" s="42">
        <f>'Monthly PL'!BX26</f>
        <v>0</v>
      </c>
      <c r="BW29" s="42">
        <f>'Monthly PL'!BY26</f>
        <v>0</v>
      </c>
      <c r="BX29" s="42">
        <f>'Monthly PL'!BZ26</f>
        <v>0</v>
      </c>
      <c r="BY29" s="42">
        <f>'Monthly PL'!CA26</f>
        <v>0</v>
      </c>
      <c r="BZ29" s="42">
        <f>'Monthly PL'!CB26</f>
        <v>0</v>
      </c>
      <c r="CA29" s="42">
        <f>'Monthly PL'!CC26</f>
        <v>0</v>
      </c>
      <c r="CB29" s="42">
        <f>'Monthly PL'!CD26</f>
        <v>0</v>
      </c>
      <c r="CC29" s="42">
        <f>'Monthly PL'!CE26</f>
        <v>0</v>
      </c>
      <c r="CD29" s="42">
        <f>'Monthly PL'!CF26</f>
        <v>0</v>
      </c>
      <c r="CE29" s="42">
        <f>'Monthly PL'!CG26</f>
        <v>0</v>
      </c>
      <c r="CF29" s="42">
        <f>'Monthly PL'!CH26</f>
        <v>0</v>
      </c>
      <c r="CG29" s="42">
        <f>'Monthly PL'!CI26</f>
        <v>0</v>
      </c>
      <c r="CH29" s="42">
        <f>'Monthly PL'!CJ26</f>
        <v>0</v>
      </c>
      <c r="CI29" s="42">
        <f>'Monthly PL'!CK26</f>
        <v>0</v>
      </c>
      <c r="CJ29" s="42">
        <f>'Monthly PL'!CL26</f>
        <v>0</v>
      </c>
      <c r="CK29" s="42">
        <f>'Monthly PL'!CM26</f>
        <v>0</v>
      </c>
      <c r="CL29" s="42">
        <f>'Monthly PL'!CN26</f>
        <v>0</v>
      </c>
      <c r="CM29" s="42">
        <f>'Monthly PL'!CO26</f>
        <v>0</v>
      </c>
      <c r="CN29" s="42">
        <f>'Monthly PL'!CP26</f>
        <v>0</v>
      </c>
      <c r="CO29" s="42">
        <f>'Monthly PL'!CQ26</f>
        <v>0</v>
      </c>
      <c r="CP29" s="42">
        <f>'Monthly PL'!CR26</f>
        <v>0</v>
      </c>
      <c r="CQ29" s="42">
        <f>'Monthly PL'!CS26</f>
        <v>0</v>
      </c>
      <c r="CR29" s="42">
        <f>'Monthly PL'!CT26</f>
        <v>0</v>
      </c>
      <c r="CS29" s="42">
        <f>'Monthly PL'!CU26</f>
        <v>0</v>
      </c>
      <c r="CT29" s="42">
        <f>'Monthly PL'!CV26</f>
        <v>0</v>
      </c>
      <c r="CU29" s="42">
        <f>'Monthly PL'!DC26</f>
        <v>0</v>
      </c>
      <c r="CV29" s="42">
        <f>'Monthly PL'!CX26</f>
        <v>0</v>
      </c>
      <c r="CW29" s="42">
        <f>'Monthly PL'!CY26</f>
        <v>0</v>
      </c>
      <c r="CX29" s="42">
        <f>'Monthly PL'!CZ26</f>
        <v>0</v>
      </c>
      <c r="CY29" s="42">
        <f>'Monthly PL'!DA26</f>
        <v>0</v>
      </c>
      <c r="CZ29" s="42">
        <f>'Monthly PL'!DB26</f>
        <v>0</v>
      </c>
      <c r="DA29" s="42">
        <v>0</v>
      </c>
    </row>
    <row r="30" spans="1:105" s="34" customFormat="1">
      <c r="A30" s="25" t="s">
        <v>114</v>
      </c>
      <c r="B30" s="42">
        <v>0</v>
      </c>
      <c r="C30" s="42">
        <v>0</v>
      </c>
      <c r="D30" s="42">
        <v>0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</v>
      </c>
      <c r="L30" s="42">
        <v>0</v>
      </c>
      <c r="M30" s="42">
        <v>0</v>
      </c>
      <c r="N30" s="42">
        <v>0</v>
      </c>
      <c r="O30" s="42">
        <v>0</v>
      </c>
      <c r="P30" s="42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42">
        <f>'Monthly PL'!X27</f>
        <v>0</v>
      </c>
      <c r="W30" s="42">
        <f>'Monthly PL'!Y27</f>
        <v>0</v>
      </c>
      <c r="X30" s="42">
        <f>'Monthly PL'!Z27</f>
        <v>0</v>
      </c>
      <c r="Y30" s="42">
        <f>'Monthly PL'!AA27</f>
        <v>0</v>
      </c>
      <c r="Z30" s="42">
        <f>'Monthly PL'!AB27</f>
        <v>0</v>
      </c>
      <c r="AA30" s="42">
        <f>'Monthly PL'!AC27</f>
        <v>0</v>
      </c>
      <c r="AB30" s="42">
        <f>'Monthly PL'!AD27</f>
        <v>0</v>
      </c>
      <c r="AC30" s="42">
        <f>'Monthly PL'!AE27</f>
        <v>0</v>
      </c>
      <c r="AD30" s="42">
        <f>'Monthly PL'!AF27</f>
        <v>0</v>
      </c>
      <c r="AE30" s="42">
        <f>'Monthly PL'!AG27</f>
        <v>0</v>
      </c>
      <c r="AF30" s="42">
        <f>'Monthly PL'!AH27</f>
        <v>0</v>
      </c>
      <c r="AG30" s="42">
        <f>'Monthly PL'!AI27</f>
        <v>0</v>
      </c>
      <c r="AH30" s="42">
        <f>'Monthly PL'!AJ27</f>
        <v>0</v>
      </c>
      <c r="AI30" s="42">
        <f>'Monthly PL'!AK27</f>
        <v>0</v>
      </c>
      <c r="AJ30" s="42">
        <f>'Monthly PL'!AL27</f>
        <v>0</v>
      </c>
      <c r="AK30" s="42">
        <f>'Monthly PL'!AM27</f>
        <v>0</v>
      </c>
      <c r="AL30" s="42">
        <f>'Monthly PL'!AN27</f>
        <v>0</v>
      </c>
      <c r="AM30" s="42">
        <f>'Monthly PL'!AO27</f>
        <v>0</v>
      </c>
      <c r="AN30" s="42">
        <f>'Monthly PL'!AP27</f>
        <v>0</v>
      </c>
      <c r="AO30" s="42">
        <f>'Monthly PL'!AQ27</f>
        <v>0</v>
      </c>
      <c r="AP30" s="42">
        <f>'Monthly PL'!AR27</f>
        <v>0</v>
      </c>
      <c r="AQ30" s="42">
        <f>'Monthly PL'!AS27</f>
        <v>0</v>
      </c>
      <c r="AR30" s="42">
        <f>'Monthly PL'!AT27</f>
        <v>0</v>
      </c>
      <c r="AS30" s="42">
        <f>'Monthly PL'!AU27</f>
        <v>0</v>
      </c>
      <c r="AT30" s="42">
        <f>'Monthly PL'!AV27</f>
        <v>0</v>
      </c>
      <c r="AU30" s="42">
        <f>'Monthly PL'!AW27</f>
        <v>0</v>
      </c>
      <c r="AV30" s="42">
        <f>'Monthly PL'!AX27</f>
        <v>0</v>
      </c>
      <c r="AW30" s="42">
        <f>'Monthly PL'!AY27</f>
        <v>0</v>
      </c>
      <c r="AX30" s="42">
        <f>'Monthly PL'!AZ27</f>
        <v>0</v>
      </c>
      <c r="AY30" s="42">
        <f>'Monthly PL'!BA27</f>
        <v>0</v>
      </c>
      <c r="AZ30" s="42">
        <f>'Monthly PL'!BB27</f>
        <v>0</v>
      </c>
      <c r="BA30" s="42">
        <f>'Monthly PL'!BC27</f>
        <v>0</v>
      </c>
      <c r="BB30" s="42">
        <f>'Monthly PL'!BD27</f>
        <v>0</v>
      </c>
      <c r="BC30" s="42">
        <f>'Monthly PL'!BE27</f>
        <v>0</v>
      </c>
      <c r="BD30" s="42">
        <f>'Monthly PL'!BF27</f>
        <v>0</v>
      </c>
      <c r="BE30" s="42">
        <f>'Monthly PL'!BG27</f>
        <v>0</v>
      </c>
      <c r="BF30" s="42">
        <f>'Monthly PL'!BH27</f>
        <v>0</v>
      </c>
      <c r="BG30" s="42">
        <f>'Monthly PL'!BI27</f>
        <v>0</v>
      </c>
      <c r="BH30" s="42">
        <f>'Monthly PL'!BJ27</f>
        <v>0</v>
      </c>
      <c r="BI30" s="42">
        <f>'Monthly PL'!BK27</f>
        <v>0</v>
      </c>
      <c r="BJ30" s="42">
        <f>'Monthly PL'!BL27</f>
        <v>0</v>
      </c>
      <c r="BK30" s="42">
        <f>'Monthly PL'!BM27</f>
        <v>0</v>
      </c>
      <c r="BL30" s="42">
        <f>'Monthly PL'!BN27</f>
        <v>0</v>
      </c>
      <c r="BM30" s="42">
        <f>'Monthly PL'!BO27</f>
        <v>0</v>
      </c>
      <c r="BN30" s="42">
        <f>'Monthly PL'!BP27</f>
        <v>0</v>
      </c>
      <c r="BO30" s="42">
        <f>'Monthly PL'!BQ27</f>
        <v>0</v>
      </c>
      <c r="BP30" s="42">
        <f>'Monthly PL'!BR27</f>
        <v>0</v>
      </c>
      <c r="BQ30" s="42">
        <f>'Monthly PL'!BS27</f>
        <v>0</v>
      </c>
      <c r="BR30" s="42">
        <f>'Monthly PL'!BT27</f>
        <v>0</v>
      </c>
      <c r="BS30" s="42">
        <f>'Monthly PL'!BU27</f>
        <v>0</v>
      </c>
      <c r="BT30" s="42">
        <f>'Monthly PL'!BV27</f>
        <v>0</v>
      </c>
      <c r="BU30" s="42">
        <f>'Monthly PL'!BW27</f>
        <v>0</v>
      </c>
      <c r="BV30" s="42">
        <f>'Monthly PL'!BX27</f>
        <v>0</v>
      </c>
      <c r="BW30" s="42">
        <f>'Monthly PL'!BY27</f>
        <v>0</v>
      </c>
      <c r="BX30" s="42">
        <f>'Monthly PL'!BZ27</f>
        <v>0</v>
      </c>
      <c r="BY30" s="42">
        <f>'Monthly PL'!CA27</f>
        <v>0</v>
      </c>
      <c r="BZ30" s="42">
        <f>'Monthly PL'!CB27</f>
        <v>0</v>
      </c>
      <c r="CA30" s="42">
        <f>'Monthly PL'!CC27</f>
        <v>0</v>
      </c>
      <c r="CB30" s="42">
        <f>'Monthly PL'!CD27</f>
        <v>0</v>
      </c>
      <c r="CC30" s="42">
        <f>'Monthly PL'!CE27</f>
        <v>0</v>
      </c>
      <c r="CD30" s="42">
        <f>'Monthly PL'!CF27</f>
        <v>0</v>
      </c>
      <c r="CE30" s="42">
        <f>'Monthly PL'!CG27</f>
        <v>0</v>
      </c>
      <c r="CF30" s="42">
        <f>'Monthly PL'!CH27</f>
        <v>0</v>
      </c>
      <c r="CG30" s="42">
        <f>'Monthly PL'!CI27</f>
        <v>0</v>
      </c>
      <c r="CH30" s="42">
        <f>'Monthly PL'!CJ27</f>
        <v>0</v>
      </c>
      <c r="CI30" s="42">
        <f>'Monthly PL'!CK27</f>
        <v>0</v>
      </c>
      <c r="CJ30" s="42">
        <f>'Monthly PL'!CL27</f>
        <v>0</v>
      </c>
      <c r="CK30" s="42">
        <f>'Monthly PL'!CM27</f>
        <v>0</v>
      </c>
      <c r="CL30" s="42">
        <f>'Monthly PL'!CN27</f>
        <v>0</v>
      </c>
      <c r="CM30" s="42">
        <f>'Monthly PL'!CO27</f>
        <v>0</v>
      </c>
      <c r="CN30" s="42">
        <f>'Monthly PL'!CP27</f>
        <v>0</v>
      </c>
      <c r="CO30" s="42">
        <f>'Monthly PL'!CQ27</f>
        <v>0</v>
      </c>
      <c r="CP30" s="42">
        <f>'Monthly PL'!CR27</f>
        <v>0</v>
      </c>
      <c r="CQ30" s="42">
        <f>'Monthly PL'!CS27</f>
        <v>0</v>
      </c>
      <c r="CR30" s="42">
        <f>'Monthly PL'!CT27</f>
        <v>0</v>
      </c>
      <c r="CS30" s="42">
        <f>'Monthly PL'!CU27</f>
        <v>0</v>
      </c>
      <c r="CT30" s="42">
        <f>'Monthly PL'!CV27</f>
        <v>0</v>
      </c>
      <c r="CU30" s="42">
        <f>'Monthly PL'!CW27</f>
        <v>0</v>
      </c>
      <c r="CV30" s="42">
        <f>'Monthly PL'!CX27</f>
        <v>0</v>
      </c>
      <c r="CW30" s="42">
        <f>'Monthly PL'!CY27</f>
        <v>0</v>
      </c>
      <c r="CX30" s="42">
        <f>'Monthly PL'!CZ27</f>
        <v>0</v>
      </c>
      <c r="CY30" s="42">
        <f>'Monthly PL'!DA27</f>
        <v>0</v>
      </c>
      <c r="CZ30" s="42">
        <f>'Monthly PL'!DB27</f>
        <v>0</v>
      </c>
      <c r="DA30" s="42">
        <f>'Monthly PL'!DC27</f>
        <v>0</v>
      </c>
    </row>
    <row r="31" spans="1:105" s="34" customFormat="1">
      <c r="A31" s="25" t="s">
        <v>129</v>
      </c>
      <c r="B31" s="42">
        <v>0</v>
      </c>
      <c r="C31" s="42">
        <v>0</v>
      </c>
      <c r="D31" s="42">
        <v>0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</v>
      </c>
      <c r="M31" s="42">
        <v>0</v>
      </c>
      <c r="N31" s="42">
        <v>0</v>
      </c>
      <c r="O31" s="42">
        <v>0</v>
      </c>
      <c r="P31" s="42"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42">
        <f>'Monthly PL'!X30</f>
        <v>0</v>
      </c>
      <c r="W31" s="42">
        <f>'Monthly PL'!Y30</f>
        <v>0</v>
      </c>
      <c r="X31" s="42">
        <f>'Monthly PL'!Z30</f>
        <v>0</v>
      </c>
      <c r="Y31" s="42">
        <f>'Monthly PL'!AA30</f>
        <v>0</v>
      </c>
      <c r="Z31" s="42">
        <f>'Monthly PL'!AB30</f>
        <v>0</v>
      </c>
      <c r="AA31" s="42">
        <f>'Monthly PL'!AC30</f>
        <v>0</v>
      </c>
      <c r="AB31" s="42">
        <f>'Monthly PL'!AD30</f>
        <v>0</v>
      </c>
      <c r="AC31" s="42">
        <f>'Monthly PL'!AE30</f>
        <v>0</v>
      </c>
      <c r="AD31" s="42">
        <f>'Monthly PL'!AF30</f>
        <v>0</v>
      </c>
      <c r="AE31" s="42">
        <f>'Monthly PL'!AG30</f>
        <v>0</v>
      </c>
      <c r="AF31" s="42">
        <f>'Monthly PL'!AH30</f>
        <v>0</v>
      </c>
      <c r="AG31" s="42">
        <f>'Monthly PL'!AI30</f>
        <v>0</v>
      </c>
      <c r="AH31" s="42">
        <f>'Monthly PL'!AJ30</f>
        <v>0</v>
      </c>
      <c r="AI31" s="42">
        <f>'Monthly PL'!AK30</f>
        <v>0</v>
      </c>
      <c r="AJ31" s="42">
        <f>'Monthly PL'!AL30</f>
        <v>0</v>
      </c>
      <c r="AK31" s="42">
        <f>'Monthly PL'!AM30</f>
        <v>0</v>
      </c>
      <c r="AL31" s="42">
        <f>'Monthly PL'!AN30</f>
        <v>0</v>
      </c>
      <c r="AM31" s="42">
        <f>'Monthly PL'!AO30</f>
        <v>0</v>
      </c>
      <c r="AN31" s="42">
        <f>'Monthly PL'!AP30</f>
        <v>0</v>
      </c>
      <c r="AO31" s="42">
        <f>'Monthly PL'!AQ30</f>
        <v>0</v>
      </c>
      <c r="AP31" s="42">
        <f>'Monthly PL'!AR30</f>
        <v>0</v>
      </c>
      <c r="AQ31" s="42">
        <f>'Monthly PL'!AS30</f>
        <v>0</v>
      </c>
      <c r="AR31" s="42">
        <f>'Monthly PL'!AT30</f>
        <v>0</v>
      </c>
      <c r="AS31" s="42">
        <f>'Monthly PL'!AU30</f>
        <v>0</v>
      </c>
      <c r="AT31" s="42">
        <f>'Monthly PL'!AV30</f>
        <v>0</v>
      </c>
      <c r="AU31" s="42">
        <f>'Monthly PL'!AW30</f>
        <v>0</v>
      </c>
      <c r="AV31" s="42">
        <f>'Monthly PL'!AX30</f>
        <v>0</v>
      </c>
      <c r="AW31" s="42">
        <f>'Monthly PL'!AY30</f>
        <v>0</v>
      </c>
      <c r="AX31" s="42">
        <f>'Monthly PL'!AZ30</f>
        <v>0</v>
      </c>
      <c r="AY31" s="42">
        <f>'Monthly PL'!BA30</f>
        <v>0</v>
      </c>
      <c r="AZ31" s="42">
        <f>'Monthly PL'!BB30</f>
        <v>0</v>
      </c>
      <c r="BA31" s="42">
        <f>'Monthly PL'!BC30</f>
        <v>0</v>
      </c>
      <c r="BB31" s="42">
        <f>'Monthly PL'!BD30</f>
        <v>0</v>
      </c>
      <c r="BC31" s="42">
        <f>'Monthly PL'!BE30</f>
        <v>0</v>
      </c>
      <c r="BD31" s="42">
        <f>'Monthly PL'!BF30</f>
        <v>0</v>
      </c>
      <c r="BE31" s="42">
        <f>'Monthly PL'!BG30</f>
        <v>0</v>
      </c>
      <c r="BF31" s="42">
        <f>'Monthly PL'!BH30</f>
        <v>0</v>
      </c>
      <c r="BG31" s="42">
        <f>'Monthly PL'!BI30</f>
        <v>0</v>
      </c>
      <c r="BH31" s="42">
        <f>'Monthly PL'!BJ30</f>
        <v>0</v>
      </c>
      <c r="BI31" s="42">
        <f>'Monthly PL'!BK30</f>
        <v>0</v>
      </c>
      <c r="BJ31" s="42">
        <f>'Monthly PL'!BL30</f>
        <v>0</v>
      </c>
      <c r="BK31" s="42">
        <f>'Monthly PL'!BM30</f>
        <v>0</v>
      </c>
      <c r="BL31" s="42">
        <f>'Monthly PL'!BN30</f>
        <v>0</v>
      </c>
      <c r="BM31" s="42">
        <f>'Monthly PL'!BO30</f>
        <v>0</v>
      </c>
      <c r="BN31" s="42">
        <f>'Monthly PL'!BP30</f>
        <v>0</v>
      </c>
      <c r="BO31" s="42">
        <f>'Monthly PL'!BQ30</f>
        <v>0</v>
      </c>
      <c r="BP31" s="42">
        <f>'Monthly PL'!BR30</f>
        <v>0</v>
      </c>
      <c r="BQ31" s="42">
        <f>'Monthly PL'!BS30</f>
        <v>0</v>
      </c>
      <c r="BR31" s="42">
        <f>'Monthly PL'!BT30</f>
        <v>0</v>
      </c>
      <c r="BS31" s="42">
        <f>'Monthly PL'!BU30</f>
        <v>0</v>
      </c>
      <c r="BT31" s="42">
        <f>'Monthly PL'!BV30</f>
        <v>0</v>
      </c>
      <c r="BU31" s="42">
        <f>'Monthly PL'!BW30</f>
        <v>0</v>
      </c>
      <c r="BV31" s="42">
        <f>'Monthly PL'!BX30</f>
        <v>0</v>
      </c>
      <c r="BW31" s="42">
        <f>'Monthly PL'!BY30</f>
        <v>0</v>
      </c>
      <c r="BX31" s="42">
        <f>'Monthly PL'!BZ30</f>
        <v>0</v>
      </c>
      <c r="BY31" s="42">
        <f>'Monthly PL'!CA30</f>
        <v>0</v>
      </c>
      <c r="BZ31" s="42">
        <f>'Monthly PL'!CB30</f>
        <v>0</v>
      </c>
      <c r="CA31" s="42">
        <f>'Monthly PL'!CC30</f>
        <v>0</v>
      </c>
      <c r="CB31" s="42">
        <f>'Monthly PL'!CD30</f>
        <v>0</v>
      </c>
      <c r="CC31" s="42">
        <f>'Monthly PL'!CE30</f>
        <v>0</v>
      </c>
      <c r="CD31" s="42">
        <f>'Monthly PL'!CF30</f>
        <v>0</v>
      </c>
      <c r="CE31" s="42">
        <f>'Monthly PL'!CG30</f>
        <v>0</v>
      </c>
      <c r="CF31" s="42">
        <f>'Monthly PL'!CH30</f>
        <v>0</v>
      </c>
      <c r="CG31" s="42">
        <f>'Monthly PL'!CI30</f>
        <v>0</v>
      </c>
      <c r="CH31" s="42">
        <f>'Monthly PL'!CJ30</f>
        <v>0</v>
      </c>
      <c r="CI31" s="42">
        <f>'Monthly PL'!CK30</f>
        <v>0</v>
      </c>
      <c r="CJ31" s="42">
        <f>'Monthly PL'!CL30</f>
        <v>0</v>
      </c>
      <c r="CK31" s="42">
        <f>'Monthly PL'!CM30</f>
        <v>0</v>
      </c>
      <c r="CL31" s="42">
        <f>'Monthly PL'!CN30</f>
        <v>0</v>
      </c>
      <c r="CM31" s="42">
        <f>'Monthly PL'!CO30</f>
        <v>0</v>
      </c>
      <c r="CN31" s="42">
        <f>'Monthly PL'!CP30</f>
        <v>0</v>
      </c>
      <c r="CO31" s="42">
        <f>'Monthly PL'!CQ30</f>
        <v>0</v>
      </c>
      <c r="CP31" s="42">
        <f>'Monthly PL'!CR30</f>
        <v>0</v>
      </c>
      <c r="CQ31" s="42">
        <f>'Monthly PL'!CS30</f>
        <v>0</v>
      </c>
      <c r="CR31" s="42">
        <f>'Monthly PL'!CT30</f>
        <v>0</v>
      </c>
      <c r="CS31" s="42">
        <f>'Monthly PL'!CU30</f>
        <v>0</v>
      </c>
      <c r="CT31" s="42">
        <f>'Monthly PL'!CV30</f>
        <v>0</v>
      </c>
      <c r="CU31" s="42">
        <f>'Monthly PL'!CW30</f>
        <v>0</v>
      </c>
      <c r="CV31" s="42">
        <f>'Monthly PL'!CX30</f>
        <v>0</v>
      </c>
      <c r="CW31" s="42">
        <f>'Monthly PL'!CY30</f>
        <v>0</v>
      </c>
      <c r="CX31" s="42">
        <f>'Monthly PL'!CZ30</f>
        <v>0</v>
      </c>
      <c r="CY31" s="42">
        <f>'Monthly PL'!DA30</f>
        <v>0</v>
      </c>
      <c r="CZ31" s="42">
        <f>'Monthly PL'!DB30</f>
        <v>0</v>
      </c>
      <c r="DA31" s="42">
        <f>'Monthly PL'!DC30</f>
        <v>0</v>
      </c>
    </row>
    <row r="32" spans="1:105">
      <c r="A32" s="25" t="s">
        <v>22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34">
        <v>0</v>
      </c>
      <c r="R32" s="34">
        <v>0</v>
      </c>
      <c r="S32" s="34">
        <v>0</v>
      </c>
      <c r="T32" s="34">
        <v>0</v>
      </c>
      <c r="U32" s="34">
        <v>0</v>
      </c>
      <c r="V32" s="34">
        <v>0</v>
      </c>
      <c r="W32" s="34">
        <v>0</v>
      </c>
      <c r="X32" s="34">
        <v>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0</v>
      </c>
      <c r="AE32" s="34">
        <v>0</v>
      </c>
      <c r="AF32" s="34">
        <v>0</v>
      </c>
      <c r="AG32" s="34">
        <v>3</v>
      </c>
      <c r="AH32" s="34">
        <v>0</v>
      </c>
      <c r="AI32" s="34">
        <v>0</v>
      </c>
      <c r="AJ32" s="34">
        <v>0</v>
      </c>
      <c r="AK32" s="34">
        <v>0</v>
      </c>
      <c r="AL32" s="34">
        <v>0</v>
      </c>
      <c r="AM32" s="34">
        <v>0</v>
      </c>
      <c r="AN32" s="34">
        <v>0</v>
      </c>
      <c r="AO32" s="34">
        <v>0</v>
      </c>
      <c r="AP32" s="34">
        <v>0</v>
      </c>
      <c r="AQ32" s="34">
        <v>0</v>
      </c>
      <c r="AR32" s="34">
        <v>0</v>
      </c>
      <c r="AS32" s="34">
        <v>0</v>
      </c>
      <c r="AT32" s="34">
        <v>0</v>
      </c>
      <c r="AU32" s="34">
        <v>0</v>
      </c>
      <c r="AV32" s="34">
        <v>0</v>
      </c>
      <c r="AW32" s="34">
        <v>0</v>
      </c>
      <c r="AX32" s="34">
        <v>0</v>
      </c>
      <c r="AY32" s="34">
        <v>0</v>
      </c>
      <c r="AZ32" s="34">
        <v>0</v>
      </c>
      <c r="BA32" s="34">
        <v>0</v>
      </c>
      <c r="BB32" s="34">
        <v>0</v>
      </c>
      <c r="BC32" s="34">
        <v>0</v>
      </c>
      <c r="BD32" s="34">
        <v>0</v>
      </c>
      <c r="BE32" s="34">
        <v>0</v>
      </c>
      <c r="BF32" s="34">
        <v>0</v>
      </c>
      <c r="BG32" s="34">
        <v>0</v>
      </c>
      <c r="BH32" s="34">
        <v>0</v>
      </c>
      <c r="BI32" s="34">
        <v>0</v>
      </c>
      <c r="BJ32" s="34">
        <v>0</v>
      </c>
      <c r="BK32" s="34">
        <v>0</v>
      </c>
      <c r="BL32" s="34">
        <v>0</v>
      </c>
      <c r="BM32" s="34">
        <v>0</v>
      </c>
      <c r="BN32" s="34">
        <v>0</v>
      </c>
      <c r="BO32" s="34">
        <v>0</v>
      </c>
      <c r="BP32" s="34">
        <v>0</v>
      </c>
      <c r="BQ32" s="34">
        <v>0</v>
      </c>
      <c r="BR32" s="34">
        <v>0</v>
      </c>
      <c r="BS32" s="34">
        <v>0</v>
      </c>
      <c r="BT32" s="34">
        <v>0</v>
      </c>
      <c r="BU32" s="34">
        <v>0</v>
      </c>
      <c r="BV32" s="34">
        <v>0</v>
      </c>
      <c r="BW32" s="34">
        <v>0</v>
      </c>
      <c r="BX32" s="34">
        <v>0</v>
      </c>
      <c r="BY32" s="34">
        <v>0</v>
      </c>
      <c r="BZ32" s="34">
        <v>0</v>
      </c>
      <c r="CA32" s="34">
        <v>0</v>
      </c>
      <c r="CB32" s="34">
        <v>0</v>
      </c>
      <c r="CC32" s="34">
        <v>0</v>
      </c>
      <c r="CD32" s="34">
        <v>0</v>
      </c>
      <c r="CE32" s="34">
        <v>0</v>
      </c>
      <c r="CF32" s="34">
        <v>0</v>
      </c>
      <c r="CG32" s="34">
        <v>0</v>
      </c>
      <c r="CH32" s="34">
        <v>0</v>
      </c>
      <c r="CI32" s="34">
        <v>0</v>
      </c>
      <c r="CJ32" s="34">
        <v>0</v>
      </c>
      <c r="CK32" s="34">
        <v>0</v>
      </c>
      <c r="CL32" s="34">
        <v>0</v>
      </c>
      <c r="CM32" s="34">
        <v>0</v>
      </c>
      <c r="CN32" s="34">
        <v>0</v>
      </c>
      <c r="CO32" s="34">
        <v>0</v>
      </c>
      <c r="CP32" s="34">
        <v>0</v>
      </c>
      <c r="CQ32" s="34">
        <v>0</v>
      </c>
      <c r="CR32" s="34">
        <v>0</v>
      </c>
      <c r="CS32" s="34">
        <v>0</v>
      </c>
      <c r="CT32" s="34">
        <v>0</v>
      </c>
      <c r="CU32" s="34">
        <v>0</v>
      </c>
      <c r="CV32" s="34">
        <v>0</v>
      </c>
      <c r="CW32" s="34">
        <v>0</v>
      </c>
      <c r="CX32" s="34">
        <v>0</v>
      </c>
      <c r="CY32" s="34">
        <v>0</v>
      </c>
      <c r="CZ32" s="34">
        <v>0</v>
      </c>
      <c r="DA32" s="34">
        <v>0</v>
      </c>
    </row>
    <row r="33" spans="1:105">
      <c r="A33" s="25" t="s">
        <v>130</v>
      </c>
      <c r="B33" s="42">
        <v>0</v>
      </c>
      <c r="C33" s="42">
        <v>0</v>
      </c>
      <c r="D33" s="42">
        <v>0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</v>
      </c>
      <c r="L33" s="42">
        <v>0</v>
      </c>
      <c r="M33" s="42">
        <v>0</v>
      </c>
      <c r="N33" s="42">
        <v>0</v>
      </c>
      <c r="O33" s="42">
        <v>0</v>
      </c>
      <c r="P33" s="42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42">
        <f>Debt!W13</f>
        <v>0</v>
      </c>
      <c r="W33" s="42">
        <f>Debt!X13</f>
        <v>0</v>
      </c>
      <c r="X33" s="42">
        <v>1.25</v>
      </c>
      <c r="Y33" s="42">
        <f>Debt!Z13</f>
        <v>0</v>
      </c>
      <c r="Z33" s="42">
        <v>-3.75</v>
      </c>
      <c r="AA33" s="42">
        <f>Debt!AB13</f>
        <v>0</v>
      </c>
      <c r="AB33" s="42">
        <f>Debt!AC13</f>
        <v>0</v>
      </c>
      <c r="AC33" s="42">
        <f>Debt!AD13</f>
        <v>0</v>
      </c>
      <c r="AD33" s="42">
        <f>Debt!AE13</f>
        <v>0</v>
      </c>
      <c r="AE33" s="42">
        <f>Debt!AF13</f>
        <v>0</v>
      </c>
      <c r="AF33" s="42">
        <f>Debt!AG13</f>
        <v>0</v>
      </c>
      <c r="AG33" s="42">
        <f>Debt!AH13</f>
        <v>0</v>
      </c>
      <c r="AH33" s="42">
        <f>Debt!AI13</f>
        <v>0</v>
      </c>
      <c r="AI33" s="42">
        <f>Debt!AJ13</f>
        <v>0</v>
      </c>
      <c r="AJ33" s="42">
        <f>Debt!AK13</f>
        <v>0</v>
      </c>
      <c r="AK33" s="42">
        <f>Debt!AL13</f>
        <v>0</v>
      </c>
      <c r="AL33" s="42">
        <f>Debt!AM13</f>
        <v>0</v>
      </c>
      <c r="AM33" s="42">
        <f>Debt!AN13</f>
        <v>0</v>
      </c>
      <c r="AN33" s="42">
        <f>Debt!AO13</f>
        <v>0</v>
      </c>
      <c r="AO33" s="42">
        <f>Debt!AP13</f>
        <v>0</v>
      </c>
      <c r="AP33" s="42">
        <f>Debt!AQ13</f>
        <v>0</v>
      </c>
      <c r="AQ33" s="42">
        <f>Debt!AR13</f>
        <v>0</v>
      </c>
      <c r="AR33" s="42">
        <f>Debt!AS13</f>
        <v>0</v>
      </c>
      <c r="AS33" s="42">
        <f>Debt!AT13</f>
        <v>1.4690449999999999</v>
      </c>
      <c r="AT33" s="42">
        <f>Debt!AU13</f>
        <v>0</v>
      </c>
      <c r="AU33" s="42">
        <f>Debt!AV13</f>
        <v>0</v>
      </c>
      <c r="AV33" s="42">
        <f>Debt!AW13</f>
        <v>4.4071349999999994</v>
      </c>
      <c r="AW33" s="42">
        <f>Debt!AX13</f>
        <v>0</v>
      </c>
      <c r="AX33" s="42">
        <f>Debt!AY13</f>
        <v>0</v>
      </c>
      <c r="AY33" s="42">
        <f>Debt!AZ13</f>
        <v>4.4071349999999994</v>
      </c>
      <c r="AZ33" s="42">
        <f>Debt!BA13</f>
        <v>0</v>
      </c>
      <c r="BA33" s="42">
        <f>Debt!BB13</f>
        <v>0</v>
      </c>
      <c r="BB33" s="42">
        <f>Debt!BC13</f>
        <v>4.4071349999999994</v>
      </c>
      <c r="BC33" s="42">
        <f>Debt!BD13</f>
        <v>0</v>
      </c>
      <c r="BD33" s="42">
        <f>Debt!BE13</f>
        <v>0</v>
      </c>
      <c r="BE33" s="42">
        <f>Debt!BF13</f>
        <v>5.8761799999999997</v>
      </c>
      <c r="BF33" s="42">
        <f>Debt!BG13</f>
        <v>0</v>
      </c>
      <c r="BG33" s="42">
        <f>Debt!BH13</f>
        <v>0</v>
      </c>
      <c r="BH33" s="42">
        <f>Debt!BI13</f>
        <v>5.8761799999999997</v>
      </c>
      <c r="BI33" s="42">
        <f>Debt!BJ13</f>
        <v>0</v>
      </c>
      <c r="BJ33" s="42">
        <f>Debt!BK13</f>
        <v>0</v>
      </c>
      <c r="BK33" s="42">
        <f>Debt!BL13</f>
        <v>5.8761799999999997</v>
      </c>
      <c r="BL33" s="42">
        <f>Debt!BM13</f>
        <v>0</v>
      </c>
      <c r="BM33" s="42">
        <f>Debt!BN13</f>
        <v>0</v>
      </c>
      <c r="BN33" s="42">
        <f>Debt!BO13</f>
        <v>5.8761799999999997</v>
      </c>
      <c r="BO33" s="42">
        <f>Debt!BP13</f>
        <v>0</v>
      </c>
      <c r="BP33" s="42">
        <f>Debt!BQ13</f>
        <v>0</v>
      </c>
      <c r="BQ33" s="42">
        <f>Debt!BR13</f>
        <v>6.9779637499999989</v>
      </c>
      <c r="BR33" s="42">
        <f>Debt!BS13</f>
        <v>0</v>
      </c>
      <c r="BS33" s="42">
        <f>Debt!BT13</f>
        <v>0</v>
      </c>
      <c r="BT33" s="42">
        <f>Debt!BU13</f>
        <v>6.9779637499999989</v>
      </c>
      <c r="BU33" s="42">
        <f>Debt!BV13</f>
        <v>0</v>
      </c>
      <c r="BV33" s="42">
        <f>Debt!BW13</f>
        <v>0</v>
      </c>
      <c r="BW33" s="42">
        <f>Debt!BX13</f>
        <v>6.9779637499999989</v>
      </c>
      <c r="BX33" s="42">
        <f>Debt!BY13</f>
        <v>0</v>
      </c>
      <c r="BY33" s="42">
        <f>Debt!BZ13</f>
        <v>0</v>
      </c>
      <c r="BZ33" s="42">
        <f>Debt!CA13</f>
        <v>6.9779637499999989</v>
      </c>
      <c r="CA33" s="42">
        <f>Debt!CB13</f>
        <v>0</v>
      </c>
      <c r="CB33" s="42">
        <f>Debt!CC13</f>
        <v>0</v>
      </c>
      <c r="CC33" s="42">
        <f>Debt!CD13</f>
        <v>6.9779637499999989</v>
      </c>
      <c r="CD33" s="42">
        <f>Debt!CE13</f>
        <v>0</v>
      </c>
      <c r="CE33" s="42">
        <f>Debt!CF13</f>
        <v>0</v>
      </c>
      <c r="CF33" s="42">
        <f>Debt!CG13</f>
        <v>9.5487924999999994</v>
      </c>
      <c r="CG33" s="42">
        <f>Debt!CH13</f>
        <v>0</v>
      </c>
      <c r="CH33" s="42">
        <f>Debt!CI13</f>
        <v>0</v>
      </c>
      <c r="CI33" s="42">
        <f>Debt!CJ13</f>
        <v>9.5487924999999994</v>
      </c>
      <c r="CJ33" s="42">
        <f>Debt!CK13</f>
        <v>0</v>
      </c>
      <c r="CK33" s="42">
        <f>Debt!CL13</f>
        <v>0</v>
      </c>
      <c r="CL33" s="42">
        <f>Debt!CM13</f>
        <v>13.221404999999999</v>
      </c>
      <c r="CM33" s="42">
        <f>Debt!CN13</f>
        <v>0</v>
      </c>
      <c r="CN33" s="42">
        <f>Debt!CO13</f>
        <v>0</v>
      </c>
      <c r="CO33" s="42">
        <f>Debt!CP13</f>
        <v>13.221404999999999</v>
      </c>
      <c r="CP33" s="42">
        <f>Debt!CQ13</f>
        <v>0</v>
      </c>
      <c r="CQ33" s="42">
        <f>Debt!CR13</f>
        <v>0</v>
      </c>
      <c r="CR33" s="42">
        <f>Debt!CS13</f>
        <v>13.955927499999998</v>
      </c>
      <c r="CS33" s="42">
        <f>Debt!CT13</f>
        <v>0</v>
      </c>
      <c r="CT33" s="42">
        <f>Debt!CU13</f>
        <v>0</v>
      </c>
      <c r="CU33" s="42">
        <f>Debt!CV13</f>
        <v>14.323188749999998</v>
      </c>
      <c r="CV33" s="42">
        <f>Debt!CW13</f>
        <v>0</v>
      </c>
      <c r="CW33" s="42">
        <f>Debt!CX13</f>
        <v>0</v>
      </c>
      <c r="CX33" s="42">
        <f>Debt!CY13</f>
        <v>0</v>
      </c>
      <c r="CY33" s="42">
        <f>Debt!CZ13</f>
        <v>0</v>
      </c>
      <c r="CZ33" s="42">
        <f>Debt!DA13</f>
        <v>0</v>
      </c>
      <c r="DA33" s="42">
        <f>Debt!DB13</f>
        <v>0</v>
      </c>
    </row>
    <row r="34" spans="1:105" s="34" customFormat="1">
      <c r="A34" s="25" t="s">
        <v>131</v>
      </c>
      <c r="B34" s="42">
        <v>0</v>
      </c>
      <c r="C34" s="42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42">
        <v>0.04</v>
      </c>
      <c r="W34" s="42">
        <v>0.04</v>
      </c>
      <c r="X34" s="42">
        <v>0.04</v>
      </c>
      <c r="Y34" s="42">
        <v>0.04</v>
      </c>
      <c r="Z34" s="42">
        <v>0.04</v>
      </c>
      <c r="AA34" s="42">
        <v>0.04</v>
      </c>
      <c r="AB34" s="42">
        <v>0.04</v>
      </c>
      <c r="AC34" s="42">
        <v>0.04</v>
      </c>
      <c r="AD34" s="42">
        <v>0.04</v>
      </c>
      <c r="AE34" s="42">
        <v>0.04</v>
      </c>
      <c r="AF34" s="42">
        <v>0.04</v>
      </c>
      <c r="AG34" s="42">
        <v>0.04</v>
      </c>
      <c r="AH34" s="42">
        <v>0.04</v>
      </c>
      <c r="AI34" s="42">
        <v>0.04</v>
      </c>
      <c r="AJ34" s="42">
        <v>0.04</v>
      </c>
      <c r="AK34" s="42">
        <v>0.04</v>
      </c>
      <c r="AL34" s="42">
        <v>0.04</v>
      </c>
      <c r="AM34" s="42">
        <v>0.04</v>
      </c>
      <c r="AN34" s="42">
        <v>0.04</v>
      </c>
      <c r="AO34" s="42">
        <v>0.04</v>
      </c>
      <c r="AP34" s="42">
        <v>0.04</v>
      </c>
      <c r="AQ34" s="42">
        <v>0.04</v>
      </c>
      <c r="AR34" s="42">
        <v>0.04</v>
      </c>
      <c r="AS34" s="42">
        <v>0.04</v>
      </c>
      <c r="AT34" s="42">
        <v>0.04</v>
      </c>
      <c r="AU34" s="42">
        <v>0.04</v>
      </c>
      <c r="AV34" s="42">
        <v>0.04</v>
      </c>
      <c r="AW34" s="42">
        <v>0.04</v>
      </c>
      <c r="AX34" s="42">
        <v>0.04</v>
      </c>
      <c r="AY34" s="42">
        <v>0.04</v>
      </c>
      <c r="AZ34" s="42">
        <v>0.04</v>
      </c>
      <c r="BA34" s="42">
        <v>0.04</v>
      </c>
      <c r="BB34" s="42">
        <v>0.04</v>
      </c>
      <c r="BC34" s="42">
        <v>0.04</v>
      </c>
      <c r="BD34" s="42">
        <v>0.04</v>
      </c>
      <c r="BE34" s="42">
        <v>0.04</v>
      </c>
      <c r="BF34" s="42">
        <v>0.04</v>
      </c>
      <c r="BG34" s="42">
        <v>0.04</v>
      </c>
      <c r="BH34" s="42">
        <v>0.04</v>
      </c>
      <c r="BI34" s="42">
        <v>0.04</v>
      </c>
      <c r="BJ34" s="42">
        <v>0.04</v>
      </c>
      <c r="BK34" s="42">
        <v>0.04</v>
      </c>
      <c r="BL34" s="42">
        <v>0.04</v>
      </c>
      <c r="BM34" s="42">
        <v>0.04</v>
      </c>
      <c r="BN34" s="42">
        <v>0.04</v>
      </c>
      <c r="BO34" s="42">
        <v>0.04</v>
      </c>
      <c r="BP34" s="42">
        <v>0.04</v>
      </c>
      <c r="BQ34" s="42">
        <v>0.04</v>
      </c>
      <c r="BR34" s="42">
        <v>0.04</v>
      </c>
      <c r="BS34" s="42">
        <v>0.04</v>
      </c>
      <c r="BT34" s="42">
        <v>0.04</v>
      </c>
      <c r="BU34" s="42">
        <v>0.04</v>
      </c>
      <c r="BV34" s="42">
        <v>0.04</v>
      </c>
      <c r="BW34" s="42">
        <v>0.04</v>
      </c>
      <c r="BX34" s="42">
        <v>0.04</v>
      </c>
      <c r="BY34" s="42">
        <v>0.04</v>
      </c>
      <c r="BZ34" s="42">
        <v>0.04</v>
      </c>
      <c r="CA34" s="42">
        <v>0.04</v>
      </c>
      <c r="CB34" s="42">
        <v>0.04</v>
      </c>
      <c r="CC34" s="42">
        <v>0.04</v>
      </c>
      <c r="CD34" s="42">
        <v>0.04</v>
      </c>
      <c r="CE34" s="42">
        <v>0.04</v>
      </c>
      <c r="CF34" s="42">
        <v>0.04</v>
      </c>
      <c r="CG34" s="42">
        <v>0.04</v>
      </c>
      <c r="CH34" s="42">
        <v>0.04</v>
      </c>
      <c r="CI34" s="42">
        <v>0.04</v>
      </c>
      <c r="CJ34" s="42">
        <v>0.04</v>
      </c>
      <c r="CK34" s="42">
        <v>0.04</v>
      </c>
      <c r="CL34" s="42">
        <v>0.04</v>
      </c>
      <c r="CM34" s="42">
        <v>0.04</v>
      </c>
      <c r="CN34" s="42">
        <v>0.04</v>
      </c>
      <c r="CO34" s="42">
        <v>0.04</v>
      </c>
      <c r="CP34" s="42">
        <v>0.04</v>
      </c>
      <c r="CQ34" s="42">
        <v>0.04</v>
      </c>
      <c r="CR34" s="42">
        <v>0.04</v>
      </c>
      <c r="CS34" s="42">
        <v>0.04</v>
      </c>
      <c r="CT34" s="42">
        <v>0.04</v>
      </c>
      <c r="CU34" s="42">
        <v>0.04</v>
      </c>
      <c r="CV34" s="42">
        <f>Debt!CW14</f>
        <v>0</v>
      </c>
      <c r="CW34" s="42">
        <f>Debt!CX14</f>
        <v>0</v>
      </c>
      <c r="CX34" s="42">
        <f>Debt!CY14</f>
        <v>0</v>
      </c>
      <c r="CY34" s="42">
        <f>Debt!CZ14</f>
        <v>0</v>
      </c>
      <c r="CZ34" s="42">
        <f>Debt!DA14</f>
        <v>0</v>
      </c>
      <c r="DA34" s="42">
        <f>Debt!DB14</f>
        <v>0</v>
      </c>
    </row>
    <row r="35" spans="1:105" s="25" customFormat="1" ht="12" customHeight="1">
      <c r="A35" s="25" t="s">
        <v>133</v>
      </c>
      <c r="B35" s="42">
        <v>0</v>
      </c>
      <c r="C35" s="42">
        <v>0</v>
      </c>
      <c r="D35" s="42">
        <v>0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</v>
      </c>
      <c r="M35" s="42">
        <v>0</v>
      </c>
      <c r="N35" s="42">
        <v>0</v>
      </c>
      <c r="O35" s="42">
        <v>0</v>
      </c>
      <c r="P35" s="42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42">
        <v>0</v>
      </c>
      <c r="W35" s="42">
        <v>0</v>
      </c>
      <c r="X35" s="42">
        <v>0</v>
      </c>
      <c r="Y35" s="42">
        <f>'CF Capex'!P25</f>
        <v>3.4933591148214287</v>
      </c>
      <c r="Z35" s="42">
        <f>'CF Capex'!Q25</f>
        <v>2.2409182308214288</v>
      </c>
      <c r="AA35" s="42">
        <f>'CF Capex'!R25</f>
        <v>9.0824201207296689</v>
      </c>
      <c r="AB35" s="42">
        <f>'CF Capex'!S25</f>
        <v>14.628746178428116</v>
      </c>
      <c r="AC35" s="42">
        <f>'CF Capex'!T25</f>
        <v>12.652692739735715</v>
      </c>
      <c r="AD35" s="42">
        <f>'CF Capex'!U25</f>
        <v>16.958333117733766</v>
      </c>
      <c r="AE35" s="42">
        <f>'CF Capex'!V25</f>
        <v>16.656724835853858</v>
      </c>
      <c r="AF35" s="42">
        <f>'CF Capex'!W25</f>
        <v>15.235048693825716</v>
      </c>
      <c r="AG35" s="42">
        <f>'CF Capex'!X25</f>
        <v>9.423193202822798</v>
      </c>
      <c r="AH35" s="42">
        <f>'CF Capex'!Y25</f>
        <v>8.256697952877504</v>
      </c>
      <c r="AI35" s="42">
        <f>'CF Capex'!Z25</f>
        <v>7.2510802751519998</v>
      </c>
      <c r="AJ35" s="42">
        <f>'CF Capex'!AA25</f>
        <v>7.403342971190912</v>
      </c>
      <c r="AK35" s="42">
        <f>'CF Capex'!AB25</f>
        <v>6.98336969</v>
      </c>
      <c r="AL35" s="42">
        <f>'CF Capex'!AC25</f>
        <v>6.3094256800000004</v>
      </c>
      <c r="AM35" s="42">
        <f>'CF Capex'!AD25</f>
        <v>4.3412425499999996</v>
      </c>
      <c r="AN35" s="42">
        <f>'CF Capex'!AE25</f>
        <v>3.7355982000000001</v>
      </c>
      <c r="AO35" s="42">
        <f>'CF Capex'!AF25</f>
        <v>3.7653906269999999</v>
      </c>
      <c r="AP35" s="42">
        <f>'CF Capex'!AG25</f>
        <v>2.94</v>
      </c>
      <c r="AQ35" s="42">
        <f>'CF Capex'!AH25</f>
        <v>0</v>
      </c>
      <c r="AR35" s="42">
        <f>'CF Capex'!AI25</f>
        <v>0</v>
      </c>
      <c r="AS35" s="42">
        <f>'CF Capex'!AJ25</f>
        <v>0</v>
      </c>
      <c r="AT35" s="42">
        <f>'CF Capex'!AK25</f>
        <v>0</v>
      </c>
      <c r="AU35" s="42">
        <f>'CF Capex'!AL25</f>
        <v>0</v>
      </c>
      <c r="AV35" s="42">
        <f>'CF Capex'!AM25</f>
        <v>0</v>
      </c>
      <c r="AW35" s="42">
        <f>'CF Capex'!AN25</f>
        <v>0</v>
      </c>
      <c r="AX35" s="42">
        <f>'CF Capex'!AO25</f>
        <v>0</v>
      </c>
      <c r="AY35" s="42">
        <f>'CF Capex'!AP25</f>
        <v>0</v>
      </c>
      <c r="AZ35" s="42">
        <f>'CF Capex'!AQ25</f>
        <v>0</v>
      </c>
      <c r="BA35" s="42">
        <f>'CF Capex'!AR25</f>
        <v>0</v>
      </c>
      <c r="BB35" s="42">
        <f>'CF Capex'!AS25</f>
        <v>0</v>
      </c>
      <c r="BC35" s="42">
        <f>'CF Capex'!AT25</f>
        <v>0</v>
      </c>
      <c r="BD35" s="42">
        <f>'CF Capex'!AU25</f>
        <v>0</v>
      </c>
      <c r="BE35" s="42">
        <f>'CF Capex'!AV25</f>
        <v>0</v>
      </c>
      <c r="BF35" s="42">
        <f>'CF Capex'!AW25</f>
        <v>0</v>
      </c>
      <c r="BG35" s="42">
        <f>'CF Capex'!AX25</f>
        <v>0</v>
      </c>
      <c r="BH35" s="42">
        <f>'CF Capex'!AY25</f>
        <v>0</v>
      </c>
      <c r="BI35" s="42">
        <f>'CF Capex'!AZ25</f>
        <v>0</v>
      </c>
      <c r="BJ35" s="42">
        <f>'CF Capex'!BA25</f>
        <v>0</v>
      </c>
      <c r="BK35" s="42">
        <f>'CF Capex'!BB25</f>
        <v>0</v>
      </c>
      <c r="BL35" s="42">
        <f>'CF Capex'!BC25</f>
        <v>0</v>
      </c>
      <c r="BM35" s="42">
        <f>'CF Capex'!BD25</f>
        <v>0</v>
      </c>
      <c r="BN35" s="42">
        <f>'CF Capex'!BE25</f>
        <v>0</v>
      </c>
      <c r="BO35" s="42">
        <f>'CF Capex'!BF25</f>
        <v>0</v>
      </c>
      <c r="BP35" s="42">
        <f>'CF Capex'!BG25</f>
        <v>0</v>
      </c>
      <c r="BQ35" s="42">
        <f>'CF Capex'!BH25</f>
        <v>0</v>
      </c>
      <c r="BR35" s="42">
        <f>'CF Capex'!BI25</f>
        <v>0</v>
      </c>
      <c r="BS35" s="42">
        <f>'CF Capex'!BJ25</f>
        <v>0</v>
      </c>
      <c r="BT35" s="42">
        <f>'CF Capex'!BK25</f>
        <v>0</v>
      </c>
      <c r="BU35" s="42">
        <f>'CF Capex'!BL25</f>
        <v>0</v>
      </c>
      <c r="BV35" s="42">
        <f>'CF Capex'!BM25</f>
        <v>0</v>
      </c>
      <c r="BW35" s="42">
        <f>'CF Capex'!BN25</f>
        <v>0</v>
      </c>
      <c r="BX35" s="42">
        <f>'CF Capex'!BO25</f>
        <v>0</v>
      </c>
      <c r="BY35" s="42">
        <f>'CF Capex'!BP25</f>
        <v>0</v>
      </c>
      <c r="BZ35" s="42">
        <f>'CF Capex'!BQ25</f>
        <v>0</v>
      </c>
      <c r="CA35" s="42">
        <f>'CF Capex'!BR25</f>
        <v>0</v>
      </c>
      <c r="CB35" s="42">
        <f>'CF Capex'!BS25</f>
        <v>0</v>
      </c>
      <c r="CC35" s="42">
        <f>'CF Capex'!BT25</f>
        <v>0</v>
      </c>
      <c r="CD35" s="42">
        <f>'CF Capex'!BU25</f>
        <v>0</v>
      </c>
      <c r="CE35" s="42">
        <f>'CF Capex'!BV25</f>
        <v>0</v>
      </c>
      <c r="CF35" s="42">
        <f>'CF Capex'!BW25</f>
        <v>0</v>
      </c>
      <c r="CG35" s="42">
        <f>'CF Capex'!BX25</f>
        <v>0</v>
      </c>
      <c r="CH35" s="42">
        <f>'CF Capex'!BY25</f>
        <v>0</v>
      </c>
      <c r="CI35" s="42">
        <f>'CF Capex'!BZ25</f>
        <v>0</v>
      </c>
      <c r="CJ35" s="42">
        <f>'CF Capex'!CA25</f>
        <v>0</v>
      </c>
      <c r="CK35" s="42">
        <f>'CF Capex'!CB25</f>
        <v>0</v>
      </c>
      <c r="CL35" s="42">
        <f>'CF Capex'!CC25</f>
        <v>0</v>
      </c>
      <c r="CM35" s="42">
        <f>'CF Capex'!CD25</f>
        <v>0</v>
      </c>
      <c r="CN35" s="42">
        <f>'CF Capex'!CE25</f>
        <v>0</v>
      </c>
      <c r="CO35" s="42">
        <f>'CF Capex'!CF25</f>
        <v>0</v>
      </c>
      <c r="CP35" s="42">
        <f>'CF Capex'!CG25</f>
        <v>0</v>
      </c>
      <c r="CQ35" s="42">
        <f>'CF Capex'!CH25</f>
        <v>0</v>
      </c>
      <c r="CR35" s="42">
        <f>'CF Capex'!CI25</f>
        <v>0</v>
      </c>
      <c r="CS35" s="42">
        <f>'CF Capex'!CJ25</f>
        <v>0</v>
      </c>
      <c r="CT35" s="42">
        <f>'CF Capex'!CK25</f>
        <v>0</v>
      </c>
      <c r="CU35" s="42">
        <f>'CF Capex'!CL25</f>
        <v>0</v>
      </c>
      <c r="CV35" s="42">
        <f>'CF Capex'!CM25</f>
        <v>0</v>
      </c>
      <c r="CW35" s="42">
        <f>'CF Capex'!CN25</f>
        <v>0</v>
      </c>
      <c r="CX35" s="42">
        <f>'CF Capex'!CO25</f>
        <v>0</v>
      </c>
      <c r="CY35" s="42">
        <f>'CF Capex'!CP25</f>
        <v>0</v>
      </c>
      <c r="CZ35" s="42">
        <f>'CF Capex'!CQ25</f>
        <v>0</v>
      </c>
      <c r="DA35" s="42">
        <f>'CF Capex'!CR25</f>
        <v>0</v>
      </c>
    </row>
    <row r="36" spans="1:105" s="25" customFormat="1" ht="12" customHeight="1">
      <c r="A36" s="25" t="s">
        <v>562</v>
      </c>
      <c r="B36" s="42">
        <v>0</v>
      </c>
      <c r="C36" s="42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42">
        <v>0</v>
      </c>
      <c r="W36" s="42">
        <v>0</v>
      </c>
      <c r="X36" s="42">
        <v>0</v>
      </c>
      <c r="Y36" s="42">
        <v>0</v>
      </c>
      <c r="Z36" s="42">
        <v>0</v>
      </c>
      <c r="AA36" s="42">
        <v>0</v>
      </c>
      <c r="AB36" s="42">
        <v>0</v>
      </c>
      <c r="AC36" s="42">
        <v>0</v>
      </c>
      <c r="AD36" s="42">
        <v>0</v>
      </c>
      <c r="AE36" s="42">
        <v>0</v>
      </c>
      <c r="AF36" s="42">
        <v>0</v>
      </c>
      <c r="AG36" s="42">
        <v>0</v>
      </c>
      <c r="AH36" s="42">
        <v>0.25</v>
      </c>
      <c r="AI36" s="42">
        <v>0.25</v>
      </c>
      <c r="AJ36" s="42">
        <v>0.25</v>
      </c>
      <c r="AK36" s="42">
        <v>0.25</v>
      </c>
      <c r="AL36" s="42">
        <v>0.25</v>
      </c>
      <c r="AM36" s="42">
        <v>0.25</v>
      </c>
      <c r="AN36" s="42">
        <v>0.25</v>
      </c>
      <c r="AO36" s="42">
        <v>0.25</v>
      </c>
      <c r="AP36" s="42">
        <v>0.25</v>
      </c>
      <c r="AQ36" s="42">
        <v>0.25</v>
      </c>
      <c r="AR36" s="42">
        <v>0.25</v>
      </c>
      <c r="AS36" s="42">
        <v>0.25</v>
      </c>
      <c r="AT36" s="42">
        <v>0.25</v>
      </c>
      <c r="AU36" s="42">
        <v>0.25</v>
      </c>
      <c r="AV36" s="42">
        <v>0.25</v>
      </c>
      <c r="AW36" s="42">
        <v>0.25</v>
      </c>
      <c r="AX36" s="42">
        <v>0.25</v>
      </c>
      <c r="AY36" s="42">
        <v>0.25</v>
      </c>
      <c r="AZ36" s="42">
        <v>0.25</v>
      </c>
      <c r="BA36" s="42">
        <v>0.25</v>
      </c>
      <c r="BB36" s="42">
        <v>0.25</v>
      </c>
      <c r="BC36" s="42">
        <v>0.25</v>
      </c>
      <c r="BD36" s="42">
        <v>0.25</v>
      </c>
      <c r="BE36" s="42">
        <v>0.25</v>
      </c>
      <c r="BF36" s="42">
        <v>0.25</v>
      </c>
      <c r="BG36" s="42">
        <v>0.25</v>
      </c>
      <c r="BH36" s="42">
        <v>0.25</v>
      </c>
      <c r="BI36" s="42">
        <v>0.25</v>
      </c>
      <c r="BJ36" s="42">
        <v>0.25</v>
      </c>
      <c r="BK36" s="42">
        <v>0.25</v>
      </c>
      <c r="BL36" s="42">
        <v>0.25</v>
      </c>
      <c r="BM36" s="42">
        <v>0.25</v>
      </c>
      <c r="BN36" s="42">
        <v>0.25</v>
      </c>
      <c r="BO36" s="42">
        <v>0.25</v>
      </c>
      <c r="BP36" s="42">
        <v>0.25</v>
      </c>
      <c r="BQ36" s="42">
        <v>0.25</v>
      </c>
      <c r="BR36" s="42">
        <v>0.25</v>
      </c>
      <c r="BS36" s="42">
        <v>0.25</v>
      </c>
      <c r="BT36" s="42">
        <v>0.25</v>
      </c>
      <c r="BU36" s="42">
        <v>0.25</v>
      </c>
      <c r="BV36" s="42">
        <v>0.25</v>
      </c>
      <c r="BW36" s="42">
        <v>0.25</v>
      </c>
      <c r="BX36" s="42">
        <v>0.25</v>
      </c>
      <c r="BY36" s="42">
        <v>0.25</v>
      </c>
      <c r="BZ36" s="42">
        <v>0.25</v>
      </c>
      <c r="CA36" s="42">
        <v>0.25</v>
      </c>
      <c r="CB36" s="42">
        <v>0.25</v>
      </c>
      <c r="CC36" s="42">
        <v>0.25</v>
      </c>
      <c r="CD36" s="42">
        <v>0.25</v>
      </c>
      <c r="CE36" s="42">
        <v>0.25</v>
      </c>
      <c r="CF36" s="42">
        <v>0.25</v>
      </c>
      <c r="CG36" s="42">
        <v>0.25</v>
      </c>
      <c r="CH36" s="42">
        <v>0.25</v>
      </c>
      <c r="CI36" s="42">
        <v>0.25</v>
      </c>
      <c r="CJ36" s="42">
        <v>0.25</v>
      </c>
      <c r="CK36" s="42">
        <v>0.25</v>
      </c>
      <c r="CL36" s="42">
        <v>0.25</v>
      </c>
      <c r="CM36" s="42">
        <v>0.25</v>
      </c>
      <c r="CN36" s="42">
        <v>0.25</v>
      </c>
      <c r="CO36" s="42">
        <v>0.25</v>
      </c>
      <c r="CP36" s="42">
        <v>0.25</v>
      </c>
      <c r="CQ36" s="42">
        <v>0.25</v>
      </c>
      <c r="CR36" s="42">
        <v>0.25</v>
      </c>
      <c r="CS36" s="42">
        <v>0</v>
      </c>
      <c r="CT36" s="42">
        <v>0</v>
      </c>
      <c r="CU36" s="42">
        <v>0</v>
      </c>
      <c r="CV36" s="42">
        <v>0</v>
      </c>
      <c r="CW36" s="42">
        <v>0</v>
      </c>
      <c r="CX36" s="42">
        <v>0</v>
      </c>
      <c r="CY36" s="42">
        <v>0</v>
      </c>
      <c r="CZ36" s="42">
        <v>0</v>
      </c>
      <c r="DA36" s="42">
        <v>0</v>
      </c>
    </row>
    <row r="37" spans="1:105" ht="12.75" thickBot="1">
      <c r="A37" s="37" t="s">
        <v>134</v>
      </c>
      <c r="B37" s="36">
        <f t="shared" ref="B37:AG37" si="8">SUM(B20:B36)</f>
        <v>0</v>
      </c>
      <c r="C37" s="36">
        <f t="shared" si="8"/>
        <v>0</v>
      </c>
      <c r="D37" s="36">
        <f t="shared" si="8"/>
        <v>0</v>
      </c>
      <c r="E37" s="36">
        <f t="shared" si="8"/>
        <v>0</v>
      </c>
      <c r="F37" s="36">
        <f t="shared" si="8"/>
        <v>0</v>
      </c>
      <c r="G37" s="36">
        <f t="shared" si="8"/>
        <v>0</v>
      </c>
      <c r="H37" s="36">
        <f t="shared" si="8"/>
        <v>0</v>
      </c>
      <c r="I37" s="36">
        <f t="shared" si="8"/>
        <v>0</v>
      </c>
      <c r="J37" s="36">
        <f t="shared" si="8"/>
        <v>0</v>
      </c>
      <c r="K37" s="36">
        <f t="shared" si="8"/>
        <v>0</v>
      </c>
      <c r="L37" s="36">
        <f t="shared" si="8"/>
        <v>0</v>
      </c>
      <c r="M37" s="36">
        <f t="shared" si="8"/>
        <v>0</v>
      </c>
      <c r="N37" s="36">
        <f t="shared" si="8"/>
        <v>0</v>
      </c>
      <c r="O37" s="36">
        <f t="shared" si="8"/>
        <v>0</v>
      </c>
      <c r="P37" s="36">
        <f t="shared" si="8"/>
        <v>0</v>
      </c>
      <c r="Q37" s="36">
        <f t="shared" si="8"/>
        <v>0</v>
      </c>
      <c r="R37" s="36">
        <f t="shared" si="8"/>
        <v>0</v>
      </c>
      <c r="S37" s="36">
        <f t="shared" si="8"/>
        <v>0</v>
      </c>
      <c r="T37" s="36">
        <f t="shared" si="8"/>
        <v>0</v>
      </c>
      <c r="U37" s="36">
        <f t="shared" si="8"/>
        <v>0</v>
      </c>
      <c r="V37" s="36">
        <f t="shared" si="8"/>
        <v>6.3625028896580798</v>
      </c>
      <c r="W37" s="36">
        <f t="shared" si="8"/>
        <v>6.9499269989235524</v>
      </c>
      <c r="X37" s="36">
        <f t="shared" si="8"/>
        <v>7.734953090408494</v>
      </c>
      <c r="Y37" s="36">
        <f t="shared" si="8"/>
        <v>10.07913982146535</v>
      </c>
      <c r="Z37" s="36">
        <f t="shared" si="8"/>
        <v>4.8273780858746687</v>
      </c>
      <c r="AA37" s="36">
        <f t="shared" si="8"/>
        <v>15.127876777690458</v>
      </c>
      <c r="AB37" s="36">
        <f t="shared" si="8"/>
        <v>20.755511639882815</v>
      </c>
      <c r="AC37" s="36">
        <f t="shared" si="8"/>
        <v>18.658661133003946</v>
      </c>
      <c r="AD37" s="36">
        <f t="shared" si="8"/>
        <v>22.86036268421249</v>
      </c>
      <c r="AE37" s="36">
        <f t="shared" si="8"/>
        <v>22.385340949754969</v>
      </c>
      <c r="AF37" s="36">
        <f t="shared" si="8"/>
        <v>20.901180248380491</v>
      </c>
      <c r="AG37" s="36">
        <f t="shared" si="8"/>
        <v>18.488990399789149</v>
      </c>
      <c r="AH37" s="36">
        <f t="shared" ref="AH37:BM37" si="9">SUM(AH20:AH36)</f>
        <v>15.151433054635035</v>
      </c>
      <c r="AI37" s="36">
        <f t="shared" si="9"/>
        <v>14.980598508493948</v>
      </c>
      <c r="AJ37" s="36">
        <f t="shared" si="9"/>
        <v>14.416247310064289</v>
      </c>
      <c r="AK37" s="36">
        <f t="shared" si="9"/>
        <v>14.275615554177126</v>
      </c>
      <c r="AL37" s="36">
        <f t="shared" si="9"/>
        <v>13.137447868593455</v>
      </c>
      <c r="AM37" s="36">
        <f t="shared" si="9"/>
        <v>12.151263646491334</v>
      </c>
      <c r="AN37" s="36">
        <f t="shared" si="9"/>
        <v>10.720738475616894</v>
      </c>
      <c r="AO37" s="36">
        <f t="shared" si="9"/>
        <v>10.884864620211983</v>
      </c>
      <c r="AP37" s="36">
        <f t="shared" si="9"/>
        <v>10.043011502936908</v>
      </c>
      <c r="AQ37" s="36">
        <f t="shared" si="9"/>
        <v>7.1531566589874664</v>
      </c>
      <c r="AR37" s="36">
        <f t="shared" si="9"/>
        <v>6.6809049424328641</v>
      </c>
      <c r="AS37" s="36">
        <f t="shared" si="9"/>
        <v>8.6020552901904264</v>
      </c>
      <c r="AT37" s="36">
        <f t="shared" si="9"/>
        <v>6.4767503223142917</v>
      </c>
      <c r="AU37" s="36">
        <f t="shared" si="9"/>
        <v>7.4141112292572595</v>
      </c>
      <c r="AV37" s="36">
        <f t="shared" si="9"/>
        <v>10.988304663566407</v>
      </c>
      <c r="AW37" s="36">
        <f t="shared" si="9"/>
        <v>6.9573378444197642</v>
      </c>
      <c r="AX37" s="36">
        <f t="shared" si="9"/>
        <v>6.3956429163340127</v>
      </c>
      <c r="AY37" s="36">
        <f t="shared" si="9"/>
        <v>11.48359947556304</v>
      </c>
      <c r="AZ37" s="36">
        <f t="shared" si="9"/>
        <v>6.6606147365825974</v>
      </c>
      <c r="BA37" s="36">
        <f t="shared" si="9"/>
        <v>6.8990253966630304</v>
      </c>
      <c r="BB37" s="36">
        <f t="shared" si="9"/>
        <v>11.08974622762649</v>
      </c>
      <c r="BC37" s="36">
        <f t="shared" si="9"/>
        <v>6.9151449369422338</v>
      </c>
      <c r="BD37" s="36">
        <f t="shared" si="9"/>
        <v>6.3035023958889367</v>
      </c>
      <c r="BE37" s="36">
        <f t="shared" si="9"/>
        <v>12.713676522629001</v>
      </c>
      <c r="BF37" s="36">
        <f t="shared" si="9"/>
        <v>6.2622840851028272</v>
      </c>
      <c r="BG37" s="36">
        <f t="shared" si="9"/>
        <v>7.2438660734422164</v>
      </c>
      <c r="BH37" s="36">
        <f t="shared" si="9"/>
        <v>12.232086842473159</v>
      </c>
      <c r="BI37" s="36">
        <f t="shared" si="9"/>
        <v>6.5079622931552175</v>
      </c>
      <c r="BJ37" s="36">
        <f t="shared" si="9"/>
        <v>5.9026440045320792</v>
      </c>
      <c r="BK37" s="36">
        <f t="shared" si="9"/>
        <v>12.489264877510962</v>
      </c>
      <c r="BL37" s="36">
        <f t="shared" si="9"/>
        <v>6.2701618155209378</v>
      </c>
      <c r="BM37" s="36">
        <f t="shared" si="9"/>
        <v>6.5327321647096079</v>
      </c>
      <c r="BN37" s="36">
        <f t="shared" ref="BN37:CS37" si="10">SUM(BN20:BN36)</f>
        <v>12.142740769036223</v>
      </c>
      <c r="BO37" s="36">
        <f t="shared" si="10"/>
        <v>6.5348818111376312</v>
      </c>
      <c r="BP37" s="36">
        <f t="shared" si="10"/>
        <v>8.0031322200036783</v>
      </c>
      <c r="BQ37" s="36">
        <f t="shared" si="10"/>
        <v>13.6294436686648</v>
      </c>
      <c r="BR37" s="36">
        <f t="shared" si="10"/>
        <v>7.0065891324744927</v>
      </c>
      <c r="BS37" s="36">
        <f t="shared" si="10"/>
        <v>8.3253437440551892</v>
      </c>
      <c r="BT37" s="36">
        <f t="shared" si="10"/>
        <v>14.335247379515614</v>
      </c>
      <c r="BU37" s="36">
        <f t="shared" si="10"/>
        <v>7.8440561073220829</v>
      </c>
      <c r="BV37" s="36">
        <f t="shared" si="10"/>
        <v>7.169571254349612</v>
      </c>
      <c r="BW37" s="36">
        <f t="shared" si="10"/>
        <v>14.924637937831452</v>
      </c>
      <c r="BX37" s="36">
        <f t="shared" si="10"/>
        <v>7.4352153622434702</v>
      </c>
      <c r="BY37" s="36">
        <f t="shared" si="10"/>
        <v>7.7555245218004947</v>
      </c>
      <c r="BZ37" s="36">
        <f t="shared" si="10"/>
        <v>14.38588480130673</v>
      </c>
      <c r="CA37" s="36">
        <f t="shared" si="10"/>
        <v>7.7201809262124037</v>
      </c>
      <c r="CB37" s="36">
        <f t="shared" si="10"/>
        <v>6.9818107452291196</v>
      </c>
      <c r="CC37" s="36">
        <f t="shared" si="10"/>
        <v>14.602939819486595</v>
      </c>
      <c r="CD37" s="36">
        <f t="shared" si="10"/>
        <v>7.1921504791032778</v>
      </c>
      <c r="CE37" s="36">
        <f t="shared" si="10"/>
        <v>8.2979215609596864</v>
      </c>
      <c r="CF37" s="36">
        <f t="shared" si="10"/>
        <v>15.969206875392505</v>
      </c>
      <c r="CG37" s="36">
        <f t="shared" si="10"/>
        <v>6.9526690287980371</v>
      </c>
      <c r="CH37" s="36">
        <f t="shared" si="10"/>
        <v>6.2253617637821685</v>
      </c>
      <c r="CI37" s="36">
        <f t="shared" si="10"/>
        <v>16.577519251561451</v>
      </c>
      <c r="CJ37" s="36">
        <f t="shared" si="10"/>
        <v>6.4820345783326783</v>
      </c>
      <c r="CK37" s="36">
        <f t="shared" si="10"/>
        <v>6.8364049176015893</v>
      </c>
      <c r="CL37" s="36">
        <f t="shared" si="10"/>
        <v>19.610795119591167</v>
      </c>
      <c r="CM37" s="36">
        <f t="shared" si="10"/>
        <v>6.7820077193607551</v>
      </c>
      <c r="CN37" s="36">
        <f t="shared" si="10"/>
        <v>6.0183605482096789</v>
      </c>
      <c r="CO37" s="36">
        <f t="shared" si="10"/>
        <v>19.858337662674415</v>
      </c>
      <c r="CP37" s="36">
        <f t="shared" si="10"/>
        <v>6.1619301777046278</v>
      </c>
      <c r="CQ37" s="36">
        <f t="shared" si="10"/>
        <v>7.099129640446578</v>
      </c>
      <c r="CR37" s="36">
        <f t="shared" si="10"/>
        <v>19.748181605556809</v>
      </c>
      <c r="CS37" s="36">
        <f t="shared" si="10"/>
        <v>6.2025284879303744</v>
      </c>
      <c r="CT37" s="36">
        <f t="shared" ref="CT37:DA37" si="11">SUM(CT20:CT36)</f>
        <v>5.4318610736690518</v>
      </c>
      <c r="CU37" s="36">
        <f t="shared" si="11"/>
        <v>20.477394643057252</v>
      </c>
      <c r="CV37" s="36">
        <f t="shared" si="11"/>
        <v>0</v>
      </c>
      <c r="CW37" s="36">
        <f t="shared" si="11"/>
        <v>0</v>
      </c>
      <c r="CX37" s="36">
        <f t="shared" si="11"/>
        <v>0</v>
      </c>
      <c r="CY37" s="36">
        <f t="shared" si="11"/>
        <v>0</v>
      </c>
      <c r="CZ37" s="36">
        <f t="shared" si="11"/>
        <v>0</v>
      </c>
      <c r="DA37" s="36">
        <f t="shared" si="11"/>
        <v>0</v>
      </c>
    </row>
    <row r="38" spans="1:105" s="41" customFormat="1" ht="12.75" thickTop="1">
      <c r="A38" s="37" t="s">
        <v>135</v>
      </c>
      <c r="B38" s="43">
        <f t="shared" ref="B38:AG38" si="12">B17-B37</f>
        <v>0</v>
      </c>
      <c r="C38" s="43">
        <f t="shared" si="12"/>
        <v>0</v>
      </c>
      <c r="D38" s="43">
        <f t="shared" si="12"/>
        <v>0</v>
      </c>
      <c r="E38" s="43">
        <f t="shared" si="12"/>
        <v>0</v>
      </c>
      <c r="F38" s="43">
        <f t="shared" si="12"/>
        <v>0</v>
      </c>
      <c r="G38" s="43">
        <f t="shared" si="12"/>
        <v>0</v>
      </c>
      <c r="H38" s="43">
        <f t="shared" si="12"/>
        <v>0</v>
      </c>
      <c r="I38" s="43">
        <f t="shared" si="12"/>
        <v>0</v>
      </c>
      <c r="J38" s="43">
        <f t="shared" si="12"/>
        <v>0</v>
      </c>
      <c r="K38" s="43">
        <f t="shared" si="12"/>
        <v>0</v>
      </c>
      <c r="L38" s="43">
        <f t="shared" si="12"/>
        <v>0</v>
      </c>
      <c r="M38" s="43">
        <f t="shared" si="12"/>
        <v>0</v>
      </c>
      <c r="N38" s="43">
        <f t="shared" si="12"/>
        <v>0</v>
      </c>
      <c r="O38" s="43">
        <f t="shared" si="12"/>
        <v>0</v>
      </c>
      <c r="P38" s="43">
        <f t="shared" si="12"/>
        <v>0</v>
      </c>
      <c r="Q38" s="43">
        <f t="shared" si="12"/>
        <v>0</v>
      </c>
      <c r="R38" s="43">
        <f t="shared" si="12"/>
        <v>0</v>
      </c>
      <c r="S38" s="43">
        <f t="shared" si="12"/>
        <v>0</v>
      </c>
      <c r="T38" s="43">
        <f t="shared" si="12"/>
        <v>0</v>
      </c>
      <c r="U38" s="43">
        <f t="shared" si="12"/>
        <v>0</v>
      </c>
      <c r="V38" s="43">
        <f t="shared" si="12"/>
        <v>0.56461202234191976</v>
      </c>
      <c r="W38" s="43">
        <f t="shared" si="12"/>
        <v>-3.4352287589235524</v>
      </c>
      <c r="X38" s="43">
        <f t="shared" si="12"/>
        <v>-0.68956749040849452</v>
      </c>
      <c r="Y38" s="43">
        <f t="shared" si="12"/>
        <v>-3.8271775814653504</v>
      </c>
      <c r="Z38" s="43">
        <f t="shared" si="12"/>
        <v>52.525898714125333</v>
      </c>
      <c r="AA38" s="43">
        <f t="shared" si="12"/>
        <v>-10.185146111023792</v>
      </c>
      <c r="AB38" s="43">
        <f t="shared" si="12"/>
        <v>-5.0206299528955274</v>
      </c>
      <c r="AC38" s="43">
        <f t="shared" si="12"/>
        <v>-4.7529912009999453</v>
      </c>
      <c r="AD38" s="43">
        <f t="shared" si="12"/>
        <v>-2.6830377033124897</v>
      </c>
      <c r="AE38" s="43">
        <f t="shared" si="12"/>
        <v>-7.969421632729631</v>
      </c>
      <c r="AF38" s="43">
        <f t="shared" si="12"/>
        <v>-3.3326094427658255</v>
      </c>
      <c r="AG38" s="43">
        <f t="shared" si="12"/>
        <v>4.3556336415465857</v>
      </c>
      <c r="AH38" s="43">
        <f t="shared" ref="AH38:BM38" si="13">AH17-AH37</f>
        <v>-2.903540010107033</v>
      </c>
      <c r="AI38" s="43">
        <f t="shared" si="13"/>
        <v>-5.3615829084164428</v>
      </c>
      <c r="AJ38" s="43">
        <f t="shared" si="13"/>
        <v>-2.5961179046882865</v>
      </c>
      <c r="AK38" s="43">
        <f t="shared" si="13"/>
        <v>-5.5841710548262142</v>
      </c>
      <c r="AL38" s="43">
        <f t="shared" si="13"/>
        <v>-1.3070106004014548</v>
      </c>
      <c r="AM38" s="43">
        <f t="shared" si="13"/>
        <v>10.907371567812667</v>
      </c>
      <c r="AN38" s="43">
        <f t="shared" si="13"/>
        <v>-0.72745443766489615</v>
      </c>
      <c r="AO38" s="43">
        <f t="shared" si="13"/>
        <v>-5.0547196345159833</v>
      </c>
      <c r="AP38" s="43">
        <f t="shared" si="13"/>
        <v>1.7539930183510943</v>
      </c>
      <c r="AQ38" s="43">
        <f t="shared" si="13"/>
        <v>-2.0736839882994653</v>
      </c>
      <c r="AR38" s="43">
        <f t="shared" si="13"/>
        <v>2.5865513626871355</v>
      </c>
      <c r="AS38" s="43">
        <f t="shared" si="13"/>
        <v>-3.7347408090704253</v>
      </c>
      <c r="AT38" s="43">
        <f t="shared" si="13"/>
        <v>2.3252412655097068</v>
      </c>
      <c r="AU38" s="43">
        <f t="shared" si="13"/>
        <v>-2.0441160983113393</v>
      </c>
      <c r="AV38" s="43">
        <f t="shared" si="13"/>
        <v>-0.46579664491731521</v>
      </c>
      <c r="AW38" s="43">
        <f t="shared" si="13"/>
        <v>-1.5534390261061635</v>
      </c>
      <c r="AX38" s="43">
        <f t="shared" si="13"/>
        <v>4.1963676614188214</v>
      </c>
      <c r="AY38" s="43">
        <f t="shared" si="13"/>
        <v>-5.880799024692382</v>
      </c>
      <c r="AZ38" s="43">
        <f t="shared" si="13"/>
        <v>3.8350528629004126</v>
      </c>
      <c r="BA38" s="43">
        <f t="shared" si="13"/>
        <v>-1.261191135512437</v>
      </c>
      <c r="BB38" s="43">
        <f t="shared" si="13"/>
        <v>-0.52570619195199519</v>
      </c>
      <c r="BC38" s="43">
        <f t="shared" si="13"/>
        <v>-1.2422768655117054</v>
      </c>
      <c r="BD38" s="43">
        <f t="shared" si="13"/>
        <v>4.580644954682076</v>
      </c>
      <c r="BE38" s="43">
        <f t="shared" si="13"/>
        <v>-7.5109395826969685</v>
      </c>
      <c r="BF38" s="43">
        <f t="shared" si="13"/>
        <v>4.2154163401388374</v>
      </c>
      <c r="BG38" s="43">
        <f t="shared" si="13"/>
        <v>-1.699773727799732</v>
      </c>
      <c r="BH38" s="43">
        <f t="shared" si="13"/>
        <v>-1.1301630266468905</v>
      </c>
      <c r="BI38" s="43">
        <f t="shared" si="13"/>
        <v>-0.94624003008153945</v>
      </c>
      <c r="BJ38" s="43">
        <f t="shared" si="13"/>
        <v>5.2354211420281365</v>
      </c>
      <c r="BK38" s="43">
        <f t="shared" si="13"/>
        <v>-6.7327320268225943</v>
      </c>
      <c r="BL38" s="43">
        <f t="shared" si="13"/>
        <v>4.7264232436539491</v>
      </c>
      <c r="BM38" s="43">
        <f t="shared" si="13"/>
        <v>-0.75798173267567481</v>
      </c>
      <c r="BN38" s="43">
        <f t="shared" ref="BN38:CS38" si="14">BN17-BN37</f>
        <v>-1.1106020430417622</v>
      </c>
      <c r="BO38" s="43">
        <f t="shared" si="14"/>
        <v>-0.74191379775812916</v>
      </c>
      <c r="BP38" s="43">
        <f t="shared" si="14"/>
        <v>3.3325349177644998</v>
      </c>
      <c r="BQ38" s="43">
        <f t="shared" si="14"/>
        <v>-8.3550890597195782</v>
      </c>
      <c r="BR38" s="43">
        <f t="shared" si="14"/>
        <v>4.0970976750948944</v>
      </c>
      <c r="BS38" s="43">
        <f t="shared" si="14"/>
        <v>-2.1305415165670141</v>
      </c>
      <c r="BT38" s="43">
        <f t="shared" si="14"/>
        <v>-1.8979859129682808</v>
      </c>
      <c r="BU38" s="43">
        <f t="shared" si="14"/>
        <v>-1.629840229580263</v>
      </c>
      <c r="BV38" s="43">
        <f t="shared" si="14"/>
        <v>5.3074881952176893</v>
      </c>
      <c r="BW38" s="43">
        <f t="shared" si="14"/>
        <v>-8.4920184947361399</v>
      </c>
      <c r="BX38" s="43">
        <f t="shared" si="14"/>
        <v>4.8821668139876113</v>
      </c>
      <c r="BY38" s="43">
        <f t="shared" si="14"/>
        <v>-1.3028443067764188</v>
      </c>
      <c r="BZ38" s="43">
        <f t="shared" si="14"/>
        <v>-2.0293517637307996</v>
      </c>
      <c r="CA38" s="43">
        <f t="shared" si="14"/>
        <v>-1.2474399392595608</v>
      </c>
      <c r="CB38" s="43">
        <f t="shared" si="14"/>
        <v>5.8232528599123912</v>
      </c>
      <c r="CC38" s="43">
        <f t="shared" si="14"/>
        <v>-8.6475124144282329</v>
      </c>
      <c r="CD38" s="43">
        <f t="shared" si="14"/>
        <v>5.3846973901689452</v>
      </c>
      <c r="CE38" s="43">
        <f t="shared" si="14"/>
        <v>-1.671612580764009</v>
      </c>
      <c r="CF38" s="43">
        <f t="shared" si="14"/>
        <v>-2.6465727961008287</v>
      </c>
      <c r="CG38" s="43">
        <f t="shared" si="14"/>
        <v>-0.30593508261457192</v>
      </c>
      <c r="CH38" s="43">
        <f t="shared" si="14"/>
        <v>7.1391434957844693</v>
      </c>
      <c r="CI38" s="43">
        <f t="shared" si="14"/>
        <v>-9.6969194448178246</v>
      </c>
      <c r="CJ38" s="43">
        <f t="shared" si="14"/>
        <v>6.7103903427868534</v>
      </c>
      <c r="CK38" s="43">
        <f t="shared" si="14"/>
        <v>6.5300687329417073E-2</v>
      </c>
      <c r="CL38" s="43">
        <f t="shared" si="14"/>
        <v>-6.3771798503962671</v>
      </c>
      <c r="CM38" s="43">
        <f t="shared" si="14"/>
        <v>0.14080368375763097</v>
      </c>
      <c r="CN38" s="43">
        <f t="shared" si="14"/>
        <v>7.5791595316676288</v>
      </c>
      <c r="CO38" s="43">
        <f t="shared" si="14"/>
        <v>-13.345387243710956</v>
      </c>
      <c r="CP38" s="43">
        <f t="shared" si="14"/>
        <v>7.2623181073762844</v>
      </c>
      <c r="CQ38" s="43">
        <f t="shared" si="14"/>
        <v>-9.0873796279281827E-2</v>
      </c>
      <c r="CR38" s="43">
        <f t="shared" si="14"/>
        <v>-5.6419232811776947</v>
      </c>
      <c r="CS38" s="43">
        <f t="shared" si="14"/>
        <v>0.82696932086422237</v>
      </c>
      <c r="CT38" s="43">
        <f t="shared" ref="CT38:DA38" si="15">CT17-CT37</f>
        <v>8.7179432781960244</v>
      </c>
      <c r="CU38" s="43">
        <f t="shared" si="15"/>
        <v>0.76616446059999532</v>
      </c>
      <c r="CV38" s="43">
        <f t="shared" si="15"/>
        <v>0</v>
      </c>
      <c r="CW38" s="43">
        <f t="shared" si="15"/>
        <v>0</v>
      </c>
      <c r="CX38" s="43">
        <f t="shared" si="15"/>
        <v>0</v>
      </c>
      <c r="CY38" s="43">
        <f t="shared" si="15"/>
        <v>0</v>
      </c>
      <c r="CZ38" s="43">
        <f t="shared" si="15"/>
        <v>0</v>
      </c>
      <c r="DA38" s="43">
        <f t="shared" si="15"/>
        <v>0</v>
      </c>
    </row>
    <row r="39" spans="1:105">
      <c r="A39" s="25" t="s">
        <v>136</v>
      </c>
      <c r="B39" s="34">
        <v>0</v>
      </c>
      <c r="C39" s="34">
        <f>B40</f>
        <v>0</v>
      </c>
      <c r="D39" s="34">
        <f t="shared" ref="D39:BO39" si="16">C40</f>
        <v>0</v>
      </c>
      <c r="E39" s="34">
        <f t="shared" si="16"/>
        <v>0</v>
      </c>
      <c r="F39" s="34">
        <f t="shared" si="16"/>
        <v>0</v>
      </c>
      <c r="G39" s="34">
        <f t="shared" si="16"/>
        <v>0</v>
      </c>
      <c r="H39" s="34">
        <f t="shared" si="16"/>
        <v>0</v>
      </c>
      <c r="I39" s="34">
        <f t="shared" si="16"/>
        <v>0</v>
      </c>
      <c r="J39" s="34">
        <f>I39</f>
        <v>0</v>
      </c>
      <c r="K39" s="34">
        <f t="shared" si="16"/>
        <v>0</v>
      </c>
      <c r="L39" s="34">
        <f t="shared" si="16"/>
        <v>0</v>
      </c>
      <c r="M39" s="34">
        <f t="shared" si="16"/>
        <v>0</v>
      </c>
      <c r="N39" s="34">
        <f t="shared" si="16"/>
        <v>0</v>
      </c>
      <c r="O39" s="34">
        <f t="shared" si="16"/>
        <v>0</v>
      </c>
      <c r="P39" s="34">
        <f t="shared" si="16"/>
        <v>0</v>
      </c>
      <c r="Q39" s="34">
        <f t="shared" si="16"/>
        <v>0</v>
      </c>
      <c r="R39" s="34">
        <f t="shared" si="16"/>
        <v>0</v>
      </c>
      <c r="S39" s="34">
        <f t="shared" si="16"/>
        <v>0</v>
      </c>
      <c r="T39" s="34">
        <f t="shared" si="16"/>
        <v>0</v>
      </c>
      <c r="U39" s="34">
        <f t="shared" si="16"/>
        <v>0</v>
      </c>
      <c r="V39" s="34">
        <f t="shared" si="16"/>
        <v>0</v>
      </c>
      <c r="W39" s="34">
        <f t="shared" si="16"/>
        <v>0.56461202234191976</v>
      </c>
      <c r="X39" s="34">
        <f t="shared" si="16"/>
        <v>-2.8706167365816326</v>
      </c>
      <c r="Y39" s="34">
        <f t="shared" si="16"/>
        <v>-3.5601842269901272</v>
      </c>
      <c r="Z39" s="34">
        <f t="shared" si="16"/>
        <v>-7.3873618084554771</v>
      </c>
      <c r="AA39" s="34">
        <f t="shared" si="16"/>
        <v>45.138536905669852</v>
      </c>
      <c r="AB39" s="34">
        <f t="shared" si="16"/>
        <v>34.953390794646062</v>
      </c>
      <c r="AC39" s="34">
        <f t="shared" si="16"/>
        <v>29.932760841750536</v>
      </c>
      <c r="AD39" s="34">
        <f t="shared" si="16"/>
        <v>25.179769640750592</v>
      </c>
      <c r="AE39" s="34">
        <f t="shared" si="16"/>
        <v>22.496731937438103</v>
      </c>
      <c r="AF39" s="34">
        <f t="shared" si="16"/>
        <v>14.527310304708472</v>
      </c>
      <c r="AG39" s="34">
        <f t="shared" si="16"/>
        <v>11.194700861942646</v>
      </c>
      <c r="AH39" s="34">
        <f t="shared" si="16"/>
        <v>15.550334503489232</v>
      </c>
      <c r="AI39" s="34">
        <f t="shared" si="16"/>
        <v>12.646794493382199</v>
      </c>
      <c r="AJ39" s="34">
        <f t="shared" si="16"/>
        <v>7.2852115849657562</v>
      </c>
      <c r="AK39" s="34">
        <f t="shared" si="16"/>
        <v>4.6890936802774696</v>
      </c>
      <c r="AL39" s="34">
        <f t="shared" si="16"/>
        <v>-0.89507737454874459</v>
      </c>
      <c r="AM39" s="34">
        <f t="shared" si="16"/>
        <v>-2.2020879749501994</v>
      </c>
      <c r="AN39" s="34">
        <f t="shared" si="16"/>
        <v>8.7052835928624681</v>
      </c>
      <c r="AO39" s="34">
        <f t="shared" si="16"/>
        <v>7.977829155197572</v>
      </c>
      <c r="AP39" s="34">
        <f t="shared" si="16"/>
        <v>2.9231095206815887</v>
      </c>
      <c r="AQ39" s="34">
        <f t="shared" si="16"/>
        <v>4.677102539032683</v>
      </c>
      <c r="AR39" s="34">
        <f t="shared" si="16"/>
        <v>2.6034185507332177</v>
      </c>
      <c r="AS39" s="34">
        <f t="shared" si="16"/>
        <v>5.1899699134203532</v>
      </c>
      <c r="AT39" s="34">
        <f t="shared" si="16"/>
        <v>1.4552291043499279</v>
      </c>
      <c r="AU39" s="34">
        <f t="shared" si="16"/>
        <v>3.7804703698596347</v>
      </c>
      <c r="AV39" s="34">
        <f t="shared" si="16"/>
        <v>1.7363542715482954</v>
      </c>
      <c r="AW39" s="34">
        <f t="shared" si="16"/>
        <v>1.2705576266309802</v>
      </c>
      <c r="AX39" s="34">
        <f t="shared" si="16"/>
        <v>-0.28288139947518331</v>
      </c>
      <c r="AY39" s="34">
        <f t="shared" si="16"/>
        <v>3.9134862619436381</v>
      </c>
      <c r="AZ39" s="34">
        <f t="shared" si="16"/>
        <v>-1.9673127627487439</v>
      </c>
      <c r="BA39" s="34">
        <f t="shared" si="16"/>
        <v>1.8677401001516687</v>
      </c>
      <c r="BB39" s="34">
        <f t="shared" si="16"/>
        <v>0.60654896463923169</v>
      </c>
      <c r="BC39" s="34">
        <f t="shared" si="16"/>
        <v>8.0842772687236497E-2</v>
      </c>
      <c r="BD39" s="34">
        <f t="shared" si="16"/>
        <v>-1.1614340928244689</v>
      </c>
      <c r="BE39" s="34">
        <f t="shared" si="16"/>
        <v>3.4192108618576071</v>
      </c>
      <c r="BF39" s="34">
        <f t="shared" si="16"/>
        <v>-4.0917287208393613</v>
      </c>
      <c r="BG39" s="34">
        <f t="shared" si="16"/>
        <v>0.12368761929947603</v>
      </c>
      <c r="BH39" s="34">
        <f t="shared" si="16"/>
        <v>-1.576086108500256</v>
      </c>
      <c r="BI39" s="34">
        <f t="shared" si="16"/>
        <v>-2.7062491351471465</v>
      </c>
      <c r="BJ39" s="34">
        <f t="shared" si="16"/>
        <v>-3.6524891652286859</v>
      </c>
      <c r="BK39" s="34">
        <f t="shared" si="16"/>
        <v>1.5829319767994505</v>
      </c>
      <c r="BL39" s="34">
        <f t="shared" si="16"/>
        <v>-5.1498000500231438</v>
      </c>
      <c r="BM39" s="34">
        <f t="shared" si="16"/>
        <v>-0.42337680636919472</v>
      </c>
      <c r="BN39" s="34">
        <f t="shared" si="16"/>
        <v>-1.1813585390448695</v>
      </c>
      <c r="BO39" s="34">
        <f t="shared" si="16"/>
        <v>-2.2919605820866318</v>
      </c>
      <c r="BP39" s="34">
        <f t="shared" ref="BP39:DA39" si="17">BO40</f>
        <v>-3.0338743798447609</v>
      </c>
      <c r="BQ39" s="34">
        <f t="shared" si="17"/>
        <v>0.2986605379197389</v>
      </c>
      <c r="BR39" s="34">
        <f t="shared" si="17"/>
        <v>-8.0564285217998393</v>
      </c>
      <c r="BS39" s="34">
        <f t="shared" si="17"/>
        <v>-3.9593308467049448</v>
      </c>
      <c r="BT39" s="34">
        <f t="shared" si="17"/>
        <v>-6.0898723632719589</v>
      </c>
      <c r="BU39" s="34">
        <f t="shared" si="17"/>
        <v>-7.9878582762402397</v>
      </c>
      <c r="BV39" s="34">
        <f t="shared" si="17"/>
        <v>-9.6176985058205027</v>
      </c>
      <c r="BW39" s="34">
        <f t="shared" si="17"/>
        <v>-4.3102103106028133</v>
      </c>
      <c r="BX39" s="34">
        <f t="shared" si="17"/>
        <v>-12.802228805338952</v>
      </c>
      <c r="BY39" s="34">
        <f t="shared" si="17"/>
        <v>-7.920061991351341</v>
      </c>
      <c r="BZ39" s="34">
        <f t="shared" si="17"/>
        <v>-9.2229062981277607</v>
      </c>
      <c r="CA39" s="34">
        <f t="shared" si="17"/>
        <v>-11.25225806185856</v>
      </c>
      <c r="CB39" s="34">
        <f t="shared" si="17"/>
        <v>-12.499698001118121</v>
      </c>
      <c r="CC39" s="34">
        <f t="shared" si="17"/>
        <v>-6.67644514120573</v>
      </c>
      <c r="CD39" s="34">
        <f t="shared" si="17"/>
        <v>-15.323957555633964</v>
      </c>
      <c r="CE39" s="34">
        <f t="shared" si="17"/>
        <v>-9.9392601654650186</v>
      </c>
      <c r="CF39" s="34">
        <f t="shared" si="17"/>
        <v>-11.610872746229028</v>
      </c>
      <c r="CG39" s="34">
        <f t="shared" si="17"/>
        <v>-14.257445542329856</v>
      </c>
      <c r="CH39" s="34">
        <f t="shared" si="17"/>
        <v>-14.563380624944429</v>
      </c>
      <c r="CI39" s="34">
        <f t="shared" si="17"/>
        <v>-7.4242371291599598</v>
      </c>
      <c r="CJ39" s="34">
        <f t="shared" si="17"/>
        <v>-17.121156573977785</v>
      </c>
      <c r="CK39" s="34">
        <f t="shared" si="17"/>
        <v>-10.410766231190932</v>
      </c>
      <c r="CL39" s="34">
        <f t="shared" si="17"/>
        <v>-10.345465543861515</v>
      </c>
      <c r="CM39" s="34">
        <f t="shared" si="17"/>
        <v>-16.722645394257782</v>
      </c>
      <c r="CN39" s="34">
        <f t="shared" si="17"/>
        <v>-16.58184171050015</v>
      </c>
      <c r="CO39" s="34">
        <f t="shared" si="17"/>
        <v>-9.0026821788325222</v>
      </c>
      <c r="CP39" s="34">
        <f t="shared" si="17"/>
        <v>-22.348069422543478</v>
      </c>
      <c r="CQ39" s="34">
        <f t="shared" si="17"/>
        <v>-15.085751315167194</v>
      </c>
      <c r="CR39" s="34">
        <f t="shared" si="17"/>
        <v>-15.176625111446477</v>
      </c>
      <c r="CS39" s="34">
        <f t="shared" si="17"/>
        <v>-20.818548392624173</v>
      </c>
      <c r="CT39" s="34">
        <f t="shared" si="17"/>
        <v>-19.991579071759951</v>
      </c>
      <c r="CU39" s="34">
        <f t="shared" si="17"/>
        <v>-11.273635793563926</v>
      </c>
      <c r="CV39" s="34">
        <f t="shared" si="17"/>
        <v>-10.507471332963931</v>
      </c>
      <c r="CW39" s="34">
        <f t="shared" si="17"/>
        <v>-10.507471332963931</v>
      </c>
      <c r="CX39" s="34">
        <f t="shared" si="17"/>
        <v>-10.507471332963931</v>
      </c>
      <c r="CY39" s="34">
        <f t="shared" si="17"/>
        <v>-10.507471332963931</v>
      </c>
      <c r="CZ39" s="34">
        <f t="shared" si="17"/>
        <v>-10.507471332963931</v>
      </c>
      <c r="DA39" s="34">
        <f t="shared" si="17"/>
        <v>-10.507471332963931</v>
      </c>
    </row>
    <row r="40" spans="1:105" ht="12.75" thickBot="1">
      <c r="A40" s="37" t="s">
        <v>137</v>
      </c>
      <c r="B40" s="36">
        <f>SUM(B38:B39)</f>
        <v>0</v>
      </c>
      <c r="C40" s="36">
        <f t="shared" ref="C40:BN40" si="18">SUM(C38:C39)</f>
        <v>0</v>
      </c>
      <c r="D40" s="36">
        <f t="shared" si="18"/>
        <v>0</v>
      </c>
      <c r="E40" s="36">
        <f t="shared" si="18"/>
        <v>0</v>
      </c>
      <c r="F40" s="36">
        <f t="shared" si="18"/>
        <v>0</v>
      </c>
      <c r="G40" s="36">
        <f t="shared" si="18"/>
        <v>0</v>
      </c>
      <c r="H40" s="36">
        <f t="shared" si="18"/>
        <v>0</v>
      </c>
      <c r="I40" s="36">
        <f t="shared" si="18"/>
        <v>0</v>
      </c>
      <c r="J40" s="36">
        <f t="shared" si="18"/>
        <v>0</v>
      </c>
      <c r="K40" s="36">
        <f t="shared" si="18"/>
        <v>0</v>
      </c>
      <c r="L40" s="36">
        <f t="shared" si="18"/>
        <v>0</v>
      </c>
      <c r="M40" s="36">
        <f t="shared" si="18"/>
        <v>0</v>
      </c>
      <c r="N40" s="36">
        <f t="shared" si="18"/>
        <v>0</v>
      </c>
      <c r="O40" s="36">
        <f t="shared" si="18"/>
        <v>0</v>
      </c>
      <c r="P40" s="36">
        <f t="shared" si="18"/>
        <v>0</v>
      </c>
      <c r="Q40" s="36">
        <f t="shared" si="18"/>
        <v>0</v>
      </c>
      <c r="R40" s="36">
        <f t="shared" si="18"/>
        <v>0</v>
      </c>
      <c r="S40" s="36">
        <f t="shared" si="18"/>
        <v>0</v>
      </c>
      <c r="T40" s="36">
        <f t="shared" si="18"/>
        <v>0</v>
      </c>
      <c r="U40" s="36">
        <f t="shared" si="18"/>
        <v>0</v>
      </c>
      <c r="V40" s="36">
        <f t="shared" si="18"/>
        <v>0.56461202234191976</v>
      </c>
      <c r="W40" s="36">
        <f t="shared" si="18"/>
        <v>-2.8706167365816326</v>
      </c>
      <c r="X40" s="36">
        <f t="shared" si="18"/>
        <v>-3.5601842269901272</v>
      </c>
      <c r="Y40" s="36">
        <f t="shared" si="18"/>
        <v>-7.3873618084554771</v>
      </c>
      <c r="Z40" s="36">
        <f t="shared" si="18"/>
        <v>45.138536905669852</v>
      </c>
      <c r="AA40" s="36">
        <f t="shared" si="18"/>
        <v>34.953390794646062</v>
      </c>
      <c r="AB40" s="36">
        <f t="shared" si="18"/>
        <v>29.932760841750536</v>
      </c>
      <c r="AC40" s="36">
        <f t="shared" si="18"/>
        <v>25.179769640750592</v>
      </c>
      <c r="AD40" s="36">
        <f t="shared" si="18"/>
        <v>22.496731937438103</v>
      </c>
      <c r="AE40" s="36">
        <f t="shared" si="18"/>
        <v>14.527310304708472</v>
      </c>
      <c r="AF40" s="36">
        <f t="shared" si="18"/>
        <v>11.194700861942646</v>
      </c>
      <c r="AG40" s="36">
        <f t="shared" si="18"/>
        <v>15.550334503489232</v>
      </c>
      <c r="AH40" s="36">
        <f t="shared" si="18"/>
        <v>12.646794493382199</v>
      </c>
      <c r="AI40" s="36">
        <f t="shared" si="18"/>
        <v>7.2852115849657562</v>
      </c>
      <c r="AJ40" s="36">
        <f t="shared" si="18"/>
        <v>4.6890936802774696</v>
      </c>
      <c r="AK40" s="36">
        <f t="shared" si="18"/>
        <v>-0.89507737454874459</v>
      </c>
      <c r="AL40" s="36">
        <f t="shared" si="18"/>
        <v>-2.2020879749501994</v>
      </c>
      <c r="AM40" s="36">
        <f t="shared" si="18"/>
        <v>8.7052835928624681</v>
      </c>
      <c r="AN40" s="36">
        <f t="shared" si="18"/>
        <v>7.977829155197572</v>
      </c>
      <c r="AO40" s="36">
        <f t="shared" si="18"/>
        <v>2.9231095206815887</v>
      </c>
      <c r="AP40" s="36">
        <f t="shared" si="18"/>
        <v>4.677102539032683</v>
      </c>
      <c r="AQ40" s="36">
        <f t="shared" si="18"/>
        <v>2.6034185507332177</v>
      </c>
      <c r="AR40" s="36">
        <f t="shared" si="18"/>
        <v>5.1899699134203532</v>
      </c>
      <c r="AS40" s="36">
        <f t="shared" si="18"/>
        <v>1.4552291043499279</v>
      </c>
      <c r="AT40" s="36">
        <f t="shared" si="18"/>
        <v>3.7804703698596347</v>
      </c>
      <c r="AU40" s="36">
        <f t="shared" si="18"/>
        <v>1.7363542715482954</v>
      </c>
      <c r="AV40" s="36">
        <f t="shared" si="18"/>
        <v>1.2705576266309802</v>
      </c>
      <c r="AW40" s="36">
        <f t="shared" si="18"/>
        <v>-0.28288139947518331</v>
      </c>
      <c r="AX40" s="36">
        <f t="shared" si="18"/>
        <v>3.9134862619436381</v>
      </c>
      <c r="AY40" s="36">
        <f t="shared" si="18"/>
        <v>-1.9673127627487439</v>
      </c>
      <c r="AZ40" s="36">
        <f t="shared" si="18"/>
        <v>1.8677401001516687</v>
      </c>
      <c r="BA40" s="36">
        <f t="shared" si="18"/>
        <v>0.60654896463923169</v>
      </c>
      <c r="BB40" s="36">
        <f t="shared" si="18"/>
        <v>8.0842772687236497E-2</v>
      </c>
      <c r="BC40" s="36">
        <f t="shared" si="18"/>
        <v>-1.1614340928244689</v>
      </c>
      <c r="BD40" s="36">
        <f t="shared" si="18"/>
        <v>3.4192108618576071</v>
      </c>
      <c r="BE40" s="36">
        <f t="shared" si="18"/>
        <v>-4.0917287208393613</v>
      </c>
      <c r="BF40" s="36">
        <f t="shared" si="18"/>
        <v>0.12368761929947603</v>
      </c>
      <c r="BG40" s="36">
        <f t="shared" si="18"/>
        <v>-1.576086108500256</v>
      </c>
      <c r="BH40" s="36">
        <f t="shared" si="18"/>
        <v>-2.7062491351471465</v>
      </c>
      <c r="BI40" s="36">
        <f t="shared" si="18"/>
        <v>-3.6524891652286859</v>
      </c>
      <c r="BJ40" s="36">
        <f t="shared" si="18"/>
        <v>1.5829319767994505</v>
      </c>
      <c r="BK40" s="36">
        <f t="shared" si="18"/>
        <v>-5.1498000500231438</v>
      </c>
      <c r="BL40" s="36">
        <f t="shared" si="18"/>
        <v>-0.42337680636919472</v>
      </c>
      <c r="BM40" s="36">
        <f t="shared" si="18"/>
        <v>-1.1813585390448695</v>
      </c>
      <c r="BN40" s="36">
        <f t="shared" si="18"/>
        <v>-2.2919605820866318</v>
      </c>
      <c r="BO40" s="36">
        <f t="shared" ref="BO40:DA40" si="19">SUM(BO38:BO39)</f>
        <v>-3.0338743798447609</v>
      </c>
      <c r="BP40" s="36">
        <f t="shared" si="19"/>
        <v>0.2986605379197389</v>
      </c>
      <c r="BQ40" s="36">
        <f t="shared" si="19"/>
        <v>-8.0564285217998393</v>
      </c>
      <c r="BR40" s="36">
        <f t="shared" si="19"/>
        <v>-3.9593308467049448</v>
      </c>
      <c r="BS40" s="36">
        <f t="shared" si="19"/>
        <v>-6.0898723632719589</v>
      </c>
      <c r="BT40" s="36">
        <f t="shared" si="19"/>
        <v>-7.9878582762402397</v>
      </c>
      <c r="BU40" s="36">
        <f t="shared" si="19"/>
        <v>-9.6176985058205027</v>
      </c>
      <c r="BV40" s="36">
        <f t="shared" si="19"/>
        <v>-4.3102103106028133</v>
      </c>
      <c r="BW40" s="36">
        <f t="shared" si="19"/>
        <v>-12.802228805338952</v>
      </c>
      <c r="BX40" s="36">
        <f t="shared" si="19"/>
        <v>-7.920061991351341</v>
      </c>
      <c r="BY40" s="36">
        <f t="shared" si="19"/>
        <v>-9.2229062981277607</v>
      </c>
      <c r="BZ40" s="36">
        <f t="shared" si="19"/>
        <v>-11.25225806185856</v>
      </c>
      <c r="CA40" s="36">
        <f t="shared" si="19"/>
        <v>-12.499698001118121</v>
      </c>
      <c r="CB40" s="36">
        <f t="shared" si="19"/>
        <v>-6.67644514120573</v>
      </c>
      <c r="CC40" s="36">
        <f t="shared" si="19"/>
        <v>-15.323957555633964</v>
      </c>
      <c r="CD40" s="36">
        <f t="shared" si="19"/>
        <v>-9.9392601654650186</v>
      </c>
      <c r="CE40" s="36">
        <f t="shared" si="19"/>
        <v>-11.610872746229028</v>
      </c>
      <c r="CF40" s="36">
        <f t="shared" si="19"/>
        <v>-14.257445542329856</v>
      </c>
      <c r="CG40" s="36">
        <f t="shared" si="19"/>
        <v>-14.563380624944429</v>
      </c>
      <c r="CH40" s="36">
        <f t="shared" si="19"/>
        <v>-7.4242371291599598</v>
      </c>
      <c r="CI40" s="36">
        <f t="shared" si="19"/>
        <v>-17.121156573977785</v>
      </c>
      <c r="CJ40" s="36">
        <f t="shared" si="19"/>
        <v>-10.410766231190932</v>
      </c>
      <c r="CK40" s="36">
        <f t="shared" si="19"/>
        <v>-10.345465543861515</v>
      </c>
      <c r="CL40" s="36">
        <f t="shared" si="19"/>
        <v>-16.722645394257782</v>
      </c>
      <c r="CM40" s="36">
        <f t="shared" si="19"/>
        <v>-16.58184171050015</v>
      </c>
      <c r="CN40" s="36">
        <f t="shared" si="19"/>
        <v>-9.0026821788325222</v>
      </c>
      <c r="CO40" s="36">
        <f t="shared" si="19"/>
        <v>-22.348069422543478</v>
      </c>
      <c r="CP40" s="36">
        <f t="shared" si="19"/>
        <v>-15.085751315167194</v>
      </c>
      <c r="CQ40" s="36">
        <f t="shared" si="19"/>
        <v>-15.176625111446477</v>
      </c>
      <c r="CR40" s="36">
        <f t="shared" si="19"/>
        <v>-20.818548392624173</v>
      </c>
      <c r="CS40" s="36">
        <f t="shared" si="19"/>
        <v>-19.991579071759951</v>
      </c>
      <c r="CT40" s="36">
        <f t="shared" si="19"/>
        <v>-11.273635793563926</v>
      </c>
      <c r="CU40" s="36">
        <f t="shared" si="19"/>
        <v>-10.507471332963931</v>
      </c>
      <c r="CV40" s="36">
        <f t="shared" si="19"/>
        <v>-10.507471332963931</v>
      </c>
      <c r="CW40" s="36">
        <f t="shared" si="19"/>
        <v>-10.507471332963931</v>
      </c>
      <c r="CX40" s="36">
        <f t="shared" si="19"/>
        <v>-10.507471332963931</v>
      </c>
      <c r="CY40" s="36">
        <f t="shared" si="19"/>
        <v>-10.507471332963931</v>
      </c>
      <c r="CZ40" s="36">
        <f t="shared" si="19"/>
        <v>-10.507471332963931</v>
      </c>
      <c r="DA40" s="36">
        <f t="shared" si="19"/>
        <v>-10.507471332963931</v>
      </c>
    </row>
    <row r="41" spans="1:105" ht="12.75" thickTop="1"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  <c r="CN41" s="34"/>
      <c r="CO41" s="34"/>
      <c r="CP41" s="34"/>
      <c r="CQ41" s="34"/>
      <c r="CR41" s="34"/>
      <c r="CS41" s="34"/>
      <c r="CT41" s="34"/>
      <c r="CU41" s="34"/>
      <c r="CV41" s="34"/>
      <c r="CW41" s="34"/>
      <c r="CX41" s="34"/>
      <c r="CY41" s="34"/>
      <c r="CZ41" s="34"/>
      <c r="DA41" s="34"/>
    </row>
    <row r="42" spans="1:105"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</row>
    <row r="43" spans="1:105">
      <c r="AC43" s="35">
        <f>AC37-AC35-AC34-AC27-AC26</f>
        <v>4.3181671835504023</v>
      </c>
      <c r="AD43" s="35">
        <f>AD37-AD35-AD34-AD27-AD26</f>
        <v>4.2142283567608949</v>
      </c>
    </row>
  </sheetData>
  <pageMargins left="0.75" right="0.75" top="1" bottom="1" header="0.4921259845" footer="0.4921259845"/>
  <pageSetup orientation="portrait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Q40"/>
  <sheetViews>
    <sheetView topLeftCell="A8" workbookViewId="0">
      <selection activeCell="A32" sqref="A32"/>
    </sheetView>
  </sheetViews>
  <sheetFormatPr defaultColWidth="9.33203125" defaultRowHeight="12"/>
  <cols>
    <col min="1" max="1" width="33.33203125" bestFit="1" customWidth="1"/>
    <col min="2" max="17" width="7.83203125" customWidth="1"/>
  </cols>
  <sheetData>
    <row r="1" spans="1:17">
      <c r="A1" s="7" t="s">
        <v>166</v>
      </c>
      <c r="Q1" s="6" t="s">
        <v>20</v>
      </c>
    </row>
    <row r="2" spans="1:17">
      <c r="A2" s="7" t="s">
        <v>167</v>
      </c>
      <c r="B2" s="16" t="s">
        <v>38</v>
      </c>
      <c r="C2" s="16" t="s">
        <v>39</v>
      </c>
      <c r="D2" s="16" t="s">
        <v>40</v>
      </c>
      <c r="E2" s="16" t="s">
        <v>41</v>
      </c>
      <c r="F2" s="16" t="s">
        <v>42</v>
      </c>
      <c r="G2" s="16" t="s">
        <v>43</v>
      </c>
      <c r="H2" s="16" t="s">
        <v>44</v>
      </c>
      <c r="I2" s="16" t="s">
        <v>45</v>
      </c>
      <c r="J2" s="16" t="s">
        <v>46</v>
      </c>
      <c r="K2" s="16" t="s">
        <v>47</v>
      </c>
      <c r="L2" s="16" t="s">
        <v>48</v>
      </c>
      <c r="M2" s="16" t="s">
        <v>49</v>
      </c>
      <c r="N2" s="16" t="s">
        <v>50</v>
      </c>
      <c r="O2" s="16" t="s">
        <v>51</v>
      </c>
      <c r="P2" s="16" t="s">
        <v>52</v>
      </c>
      <c r="Q2" s="16" t="s">
        <v>53</v>
      </c>
    </row>
    <row r="3" spans="1:17">
      <c r="A3" t="s">
        <v>168</v>
      </c>
      <c r="B3" s="11">
        <f>BS!B30</f>
        <v>53.390035217680008</v>
      </c>
      <c r="C3" s="11">
        <f>BS!C30</f>
        <v>25.60652418284586</v>
      </c>
      <c r="D3" s="11">
        <f>BS!D30</f>
        <v>67.737848541083977</v>
      </c>
      <c r="E3" s="11">
        <f>BS!E30</f>
        <v>37.363924068133457</v>
      </c>
      <c r="F3" s="11">
        <f>BS!F30</f>
        <v>38.246667990256697</v>
      </c>
      <c r="G3" s="11">
        <f>BS!G30</f>
        <v>13.037060500000024</v>
      </c>
      <c r="H3" s="11">
        <f>BS!H30</f>
        <v>42.102939499999991</v>
      </c>
      <c r="I3" s="11">
        <f>BS!I30</f>
        <v>-5.6769954231369866</v>
      </c>
      <c r="J3" s="11">
        <f>BS!J30</f>
        <v>33.285697786252001</v>
      </c>
      <c r="K3" s="11">
        <f>BS!K30</f>
        <v>42.613962060103688</v>
      </c>
      <c r="L3" s="11">
        <v>0</v>
      </c>
      <c r="M3" s="11">
        <v>0</v>
      </c>
      <c r="N3" s="11">
        <v>0</v>
      </c>
      <c r="O3" s="11">
        <v>0</v>
      </c>
      <c r="P3" s="11">
        <v>0</v>
      </c>
      <c r="Q3" s="11">
        <v>0</v>
      </c>
    </row>
    <row r="4" spans="1:17">
      <c r="A4" t="s">
        <v>131</v>
      </c>
      <c r="B4" s="11">
        <v>0</v>
      </c>
      <c r="C4" s="11">
        <v>0</v>
      </c>
      <c r="D4" s="11">
        <v>0</v>
      </c>
      <c r="E4" s="11">
        <v>0</v>
      </c>
      <c r="F4" s="11">
        <v>0</v>
      </c>
      <c r="G4" s="11">
        <v>0</v>
      </c>
      <c r="H4" s="11">
        <v>0</v>
      </c>
      <c r="I4" s="11">
        <v>0</v>
      </c>
      <c r="J4" s="11">
        <v>0</v>
      </c>
      <c r="K4" s="11">
        <v>0</v>
      </c>
      <c r="L4" s="11">
        <f>BS!L30</f>
        <v>-0.53714393772565927</v>
      </c>
      <c r="M4" s="11">
        <f>BS!M30</f>
        <v>0.48000000000024556</v>
      </c>
      <c r="N4" s="11">
        <f>BS!N30</f>
        <v>0.48000000000024556</v>
      </c>
      <c r="O4" s="11">
        <f>BS!O30</f>
        <v>0.48000000000024556</v>
      </c>
      <c r="P4" s="11">
        <f>BS!P30</f>
        <v>0.48000000000024556</v>
      </c>
      <c r="Q4" s="11">
        <f>BS!Q30</f>
        <v>0.24000000000012278</v>
      </c>
    </row>
    <row r="5" spans="1:17" ht="12.75" thickBot="1">
      <c r="A5" s="7" t="s">
        <v>169</v>
      </c>
      <c r="B5" s="10">
        <f t="shared" ref="B5:Q5" si="0">SUM(B3:B4)</f>
        <v>53.390035217680008</v>
      </c>
      <c r="C5" s="10">
        <f t="shared" si="0"/>
        <v>25.60652418284586</v>
      </c>
      <c r="D5" s="10">
        <f t="shared" si="0"/>
        <v>67.737848541083977</v>
      </c>
      <c r="E5" s="10">
        <f t="shared" si="0"/>
        <v>37.363924068133457</v>
      </c>
      <c r="F5" s="10">
        <f t="shared" si="0"/>
        <v>38.246667990256697</v>
      </c>
      <c r="G5" s="10">
        <f t="shared" si="0"/>
        <v>13.037060500000024</v>
      </c>
      <c r="H5" s="10">
        <f t="shared" si="0"/>
        <v>42.102939499999991</v>
      </c>
      <c r="I5" s="10">
        <f t="shared" si="0"/>
        <v>-5.6769954231369866</v>
      </c>
      <c r="J5" s="10">
        <f t="shared" si="0"/>
        <v>33.285697786252001</v>
      </c>
      <c r="K5" s="10">
        <f t="shared" si="0"/>
        <v>42.613962060103688</v>
      </c>
      <c r="L5" s="10">
        <f t="shared" si="0"/>
        <v>-0.53714393772565927</v>
      </c>
      <c r="M5" s="10">
        <f t="shared" si="0"/>
        <v>0.48000000000024556</v>
      </c>
      <c r="N5" s="10">
        <f t="shared" si="0"/>
        <v>0.48000000000024556</v>
      </c>
      <c r="O5" s="10">
        <f t="shared" si="0"/>
        <v>0.48000000000024556</v>
      </c>
      <c r="P5" s="10">
        <f t="shared" si="0"/>
        <v>0.48000000000024556</v>
      </c>
      <c r="Q5" s="10">
        <f t="shared" si="0"/>
        <v>0.24000000000012278</v>
      </c>
    </row>
    <row r="6" spans="1:17" ht="12.75" thickTop="1"/>
    <row r="7" spans="1:17">
      <c r="A7" s="7" t="s">
        <v>167</v>
      </c>
      <c r="B7" s="8" t="str">
        <f t="shared" ref="B7:Q7" si="1">B2</f>
        <v>2013-14</v>
      </c>
      <c r="C7" s="8" t="str">
        <f t="shared" si="1"/>
        <v>2014-15</v>
      </c>
      <c r="D7" s="8" t="str">
        <f t="shared" si="1"/>
        <v>2015-16</v>
      </c>
      <c r="E7" s="8" t="str">
        <f t="shared" si="1"/>
        <v>2016-17</v>
      </c>
      <c r="F7" s="8" t="str">
        <f t="shared" si="1"/>
        <v>2017-18</v>
      </c>
      <c r="G7" s="8" t="str">
        <f t="shared" si="1"/>
        <v>2018-19</v>
      </c>
      <c r="H7" s="8" t="str">
        <f t="shared" si="1"/>
        <v>2019-20</v>
      </c>
      <c r="I7" s="8" t="str">
        <f t="shared" si="1"/>
        <v>2020-21</v>
      </c>
      <c r="J7" s="8" t="str">
        <f t="shared" si="1"/>
        <v>2021-22</v>
      </c>
      <c r="K7" s="8" t="str">
        <f t="shared" si="1"/>
        <v>2022-23</v>
      </c>
      <c r="L7" s="8" t="str">
        <f t="shared" si="1"/>
        <v>2023-24</v>
      </c>
      <c r="M7" s="8" t="str">
        <f t="shared" si="1"/>
        <v>2024-25</v>
      </c>
      <c r="N7" s="8" t="str">
        <f t="shared" si="1"/>
        <v>2025-26</v>
      </c>
      <c r="O7" s="8" t="str">
        <f t="shared" si="1"/>
        <v>2026-27</v>
      </c>
      <c r="P7" s="8" t="str">
        <f t="shared" si="1"/>
        <v>2027-28</v>
      </c>
      <c r="Q7" s="8" t="str">
        <f t="shared" si="1"/>
        <v>2028-29</v>
      </c>
    </row>
    <row r="8" spans="1:17">
      <c r="A8" t="s">
        <v>170</v>
      </c>
      <c r="B8" s="11">
        <f>PL!B20-PL!B24</f>
        <v>-2.7516612156181797</v>
      </c>
      <c r="C8" s="11">
        <f>PL!C20-PL!C24</f>
        <v>5.7305129247087194E-2</v>
      </c>
      <c r="D8" s="11">
        <f>PL!D20-PL!D24</f>
        <v>1.385240827999997</v>
      </c>
      <c r="E8" s="11">
        <f>PL!E20-PL!E24</f>
        <v>1.1139091248832926</v>
      </c>
      <c r="F8" s="11">
        <f>PL!F20-PL!F24</f>
        <v>1.0628000000000029</v>
      </c>
      <c r="G8" s="11">
        <f>PL!G20-PL!G24</f>
        <v>1.3299999999999983</v>
      </c>
      <c r="H8" s="11">
        <f>PL!H20-PL!H24</f>
        <v>1.4899999999999949</v>
      </c>
      <c r="I8" s="11">
        <f>PL!I20-PL!I24</f>
        <v>-0.32999999999999829</v>
      </c>
      <c r="J8" s="11">
        <f>(PL!J20-PL!J24)+$J$6</f>
        <v>11.711231999999995</v>
      </c>
      <c r="K8" s="11">
        <f>(PL!K20-PL!K24)+$J$6</f>
        <v>128.67258186945699</v>
      </c>
      <c r="L8" s="11">
        <f>(PL!L20-PL!L24)+$J$6</f>
        <v>17.012823464375245</v>
      </c>
      <c r="M8" s="11">
        <f>(PL!M20-PL!M24)+$J$6</f>
        <v>33.466713620014829</v>
      </c>
      <c r="N8" s="11">
        <f>(PL!N20-PL!N24)+$J$6</f>
        <v>36.979282078736396</v>
      </c>
      <c r="O8" s="11">
        <f>(PL!O20-PL!O24)+$J$6</f>
        <v>35.018296733104492</v>
      </c>
      <c r="P8" s="11">
        <f>(PL!P20-PL!P24)+$J$6</f>
        <v>48.646591109935727</v>
      </c>
      <c r="Q8" s="11">
        <f>(PL!Q20-PL!Q24)+$J$6</f>
        <v>28.564006808152769</v>
      </c>
    </row>
    <row r="9" spans="1:17">
      <c r="A9" t="s">
        <v>171</v>
      </c>
      <c r="B9" s="11">
        <f>BS!B33</f>
        <v>2.4296389852142415</v>
      </c>
      <c r="C9" s="11">
        <f>BS!C33</f>
        <v>-0.96074615885427583</v>
      </c>
      <c r="D9" s="11">
        <f>BS!D33</f>
        <v>17.306484493620946</v>
      </c>
      <c r="E9" s="11">
        <f>BS!E33</f>
        <v>23.621873380019103</v>
      </c>
      <c r="F9" s="11">
        <f>BS!F33</f>
        <v>4.1315031637483699</v>
      </c>
      <c r="G9" s="11">
        <f>BS!G33</f>
        <v>-52.385820063748326</v>
      </c>
      <c r="H9" s="11">
        <f>BS!H33</f>
        <v>4.8111917879999666</v>
      </c>
      <c r="I9" s="11">
        <f>BS!I33</f>
        <v>32.615874411999982</v>
      </c>
      <c r="J9" s="11">
        <f>BS!J33</f>
        <v>-10.960000000000008</v>
      </c>
      <c r="K9" s="11">
        <f>BS!K33</f>
        <v>-1.5618171199999935</v>
      </c>
      <c r="L9" s="11">
        <f>BS!L33</f>
        <v>-15.705195405824002</v>
      </c>
      <c r="M9" s="11">
        <f>BS!M33</f>
        <v>-4.8996409124176665</v>
      </c>
      <c r="N9" s="11">
        <f>BS!N33</f>
        <v>-3.6259863823277225</v>
      </c>
      <c r="O9" s="11">
        <f>BS!O33</f>
        <v>-4.4731610617028306</v>
      </c>
      <c r="P9" s="11">
        <f>BS!P33</f>
        <v>-3.8474004158086856</v>
      </c>
      <c r="Q9" s="11">
        <f>BS!Q33</f>
        <v>13.503201298080901</v>
      </c>
    </row>
    <row r="10" spans="1:17" ht="12.75" thickBot="1">
      <c r="A10" s="7" t="s">
        <v>172</v>
      </c>
      <c r="B10" s="10">
        <f t="shared" ref="B10:Q10" si="2">SUM(B8:B9)</f>
        <v>-0.32202223040393818</v>
      </c>
      <c r="C10" s="10">
        <f t="shared" si="2"/>
        <v>-0.90344102960718864</v>
      </c>
      <c r="D10" s="10">
        <f t="shared" si="2"/>
        <v>18.691725321620943</v>
      </c>
      <c r="E10" s="10">
        <f t="shared" si="2"/>
        <v>24.735782504902396</v>
      </c>
      <c r="F10" s="10">
        <f t="shared" si="2"/>
        <v>5.1943031637483728</v>
      </c>
      <c r="G10" s="10">
        <f t="shared" si="2"/>
        <v>-51.055820063748328</v>
      </c>
      <c r="H10" s="10">
        <f t="shared" si="2"/>
        <v>6.3011917879999615</v>
      </c>
      <c r="I10" s="10">
        <f t="shared" si="2"/>
        <v>32.285874411999984</v>
      </c>
      <c r="J10" s="10">
        <f t="shared" si="2"/>
        <v>0.75123199999998747</v>
      </c>
      <c r="K10" s="10">
        <f t="shared" si="2"/>
        <v>127.11076474945699</v>
      </c>
      <c r="L10" s="10">
        <f t="shared" si="2"/>
        <v>1.3076280585512432</v>
      </c>
      <c r="M10" s="10">
        <f t="shared" si="2"/>
        <v>28.567072707597163</v>
      </c>
      <c r="N10" s="10">
        <f t="shared" si="2"/>
        <v>33.353295696408672</v>
      </c>
      <c r="O10" s="10">
        <f t="shared" si="2"/>
        <v>30.54513567140166</v>
      </c>
      <c r="P10" s="10">
        <f t="shared" si="2"/>
        <v>44.799190694127041</v>
      </c>
      <c r="Q10" s="10">
        <f t="shared" si="2"/>
        <v>42.067208106233672</v>
      </c>
    </row>
    <row r="11" spans="1:17" ht="12.75" thickTop="1">
      <c r="A11" s="7" t="s">
        <v>173</v>
      </c>
      <c r="B11" s="11">
        <f t="shared" ref="B11:Q11" si="3">B10-B5</f>
        <v>-53.712057448083947</v>
      </c>
      <c r="C11" s="11">
        <f t="shared" si="3"/>
        <v>-26.509965212453046</v>
      </c>
      <c r="D11" s="11">
        <f t="shared" si="3"/>
        <v>-49.046123219463034</v>
      </c>
      <c r="E11" s="11">
        <f t="shared" si="3"/>
        <v>-12.628141563231061</v>
      </c>
      <c r="F11" s="11">
        <f t="shared" si="3"/>
        <v>-33.052364826508324</v>
      </c>
      <c r="G11" s="11">
        <f t="shared" si="3"/>
        <v>-64.092880563748352</v>
      </c>
      <c r="H11" s="11">
        <f t="shared" si="3"/>
        <v>-35.801747712000029</v>
      </c>
      <c r="I11" s="11">
        <f t="shared" si="3"/>
        <v>37.962869835136971</v>
      </c>
      <c r="J11" s="11">
        <f t="shared" si="3"/>
        <v>-32.534465786252014</v>
      </c>
      <c r="K11" s="11">
        <f t="shared" si="3"/>
        <v>84.496802689353302</v>
      </c>
      <c r="L11" s="11">
        <f t="shared" si="3"/>
        <v>1.8447719962769025</v>
      </c>
      <c r="M11" s="11">
        <f t="shared" si="3"/>
        <v>28.087072707596917</v>
      </c>
      <c r="N11" s="11">
        <f t="shared" si="3"/>
        <v>32.873295696408427</v>
      </c>
      <c r="O11" s="11">
        <f t="shared" si="3"/>
        <v>30.065135671401414</v>
      </c>
      <c r="P11" s="11">
        <f t="shared" si="3"/>
        <v>44.319190694126796</v>
      </c>
      <c r="Q11" s="11">
        <f t="shared" si="3"/>
        <v>41.827208106233549</v>
      </c>
    </row>
    <row r="12" spans="1:17">
      <c r="A12" s="7" t="s">
        <v>174</v>
      </c>
      <c r="C12" s="53">
        <f>IRR(B11:Q11)</f>
        <v>-2.5183675069391231E-3</v>
      </c>
    </row>
    <row r="13" spans="1:17">
      <c r="A13" s="54"/>
      <c r="B13" s="55"/>
    </row>
    <row r="15" spans="1:17">
      <c r="A15" s="7" t="s">
        <v>175</v>
      </c>
    </row>
    <row r="16" spans="1:17">
      <c r="A16" s="7" t="s">
        <v>176</v>
      </c>
      <c r="B16" s="8" t="str">
        <f t="shared" ref="B16:Q16" si="4">B7</f>
        <v>2013-14</v>
      </c>
      <c r="C16" s="8" t="str">
        <f t="shared" si="4"/>
        <v>2014-15</v>
      </c>
      <c r="D16" s="8" t="str">
        <f t="shared" si="4"/>
        <v>2015-16</v>
      </c>
      <c r="E16" s="8" t="str">
        <f t="shared" si="4"/>
        <v>2016-17</v>
      </c>
      <c r="F16" s="8" t="str">
        <f t="shared" si="4"/>
        <v>2017-18</v>
      </c>
      <c r="G16" s="8" t="str">
        <f t="shared" si="4"/>
        <v>2018-19</v>
      </c>
      <c r="H16" s="8" t="str">
        <f t="shared" si="4"/>
        <v>2019-20</v>
      </c>
      <c r="I16" s="8" t="str">
        <f t="shared" si="4"/>
        <v>2020-21</v>
      </c>
      <c r="J16" s="8" t="str">
        <f t="shared" si="4"/>
        <v>2021-22</v>
      </c>
      <c r="K16" s="8" t="str">
        <f t="shared" si="4"/>
        <v>2022-23</v>
      </c>
      <c r="L16" s="8" t="str">
        <f t="shared" si="4"/>
        <v>2023-24</v>
      </c>
      <c r="M16" s="8" t="str">
        <f t="shared" si="4"/>
        <v>2024-25</v>
      </c>
      <c r="N16" s="8" t="str">
        <f t="shared" si="4"/>
        <v>2025-26</v>
      </c>
      <c r="O16" s="8" t="str">
        <f t="shared" si="4"/>
        <v>2026-27</v>
      </c>
      <c r="P16" s="8" t="str">
        <f t="shared" si="4"/>
        <v>2027-28</v>
      </c>
      <c r="Q16" s="8" t="str">
        <f t="shared" si="4"/>
        <v>2028-29</v>
      </c>
    </row>
    <row r="17" spans="1:17">
      <c r="A17" t="s">
        <v>177</v>
      </c>
      <c r="B17" s="11">
        <f>SUM(BS!B6:B8)</f>
        <v>18.100000000000001</v>
      </c>
      <c r="C17" s="11">
        <f>SUM(BS!C6:C8)-SUM(BS!B6:B8)</f>
        <v>24</v>
      </c>
      <c r="D17" s="11">
        <f>SUM(BS!D6:D8)-SUM(BS!C6:C8)</f>
        <v>24.999999999999993</v>
      </c>
      <c r="E17" s="11">
        <f>SUM(BS!E6:E8)-SUM(BS!D6:D8)</f>
        <v>20.557864499999994</v>
      </c>
      <c r="F17" s="11">
        <f>SUM(BS!F6:F8)-SUM(BS!E6:E8)</f>
        <v>25.000000100000008</v>
      </c>
      <c r="G17" s="11">
        <f>SUM(BS!G6:G8)-SUM(BS!F6:F8)</f>
        <v>76.867824599999992</v>
      </c>
      <c r="H17" s="11">
        <f>SUM(BS!H6:H8)-SUM(BS!G6:G8)</f>
        <v>25.614310799999998</v>
      </c>
      <c r="I17" s="11">
        <f>SUM(BS!I6:I8)-SUM(BS!H6:H8)</f>
        <v>4.5700000000000216</v>
      </c>
      <c r="J17" s="11">
        <f>SUM(BS!J6:J8)-SUM(BS!I6:I8)</f>
        <v>20.549999999999983</v>
      </c>
      <c r="K17" s="11">
        <f>SUM(BS!K6:K8)-SUM(BS!J6:J8)</f>
        <v>-80.355500000000006</v>
      </c>
      <c r="L17" s="11">
        <v>0</v>
      </c>
      <c r="M17" s="11">
        <v>0</v>
      </c>
      <c r="N17" s="11">
        <v>0</v>
      </c>
      <c r="O17" s="11">
        <v>0</v>
      </c>
      <c r="P17" s="11">
        <v>0</v>
      </c>
      <c r="Q17" s="11">
        <v>0</v>
      </c>
    </row>
    <row r="18" spans="1:17">
      <c r="A18" t="s">
        <v>178</v>
      </c>
      <c r="B18" s="11">
        <f>PL!B21+PL!B25</f>
        <v>-2.8291523156181797</v>
      </c>
      <c r="C18" s="11">
        <f>PL!C21+PL!C25</f>
        <v>-0.17056637075291281</v>
      </c>
      <c r="D18" s="11">
        <f>PL!D21+PL!D25</f>
        <v>1.1466213279999968</v>
      </c>
      <c r="E18" s="11">
        <f>PL!E21+PL!E25</f>
        <v>0.85451640488329272</v>
      </c>
      <c r="F18" s="11">
        <f>PL!F21+PL!F25</f>
        <v>0.79690000000000283</v>
      </c>
      <c r="G18" s="11">
        <f>PL!G21+PL!G25</f>
        <v>0.77559999999999818</v>
      </c>
      <c r="H18" s="11">
        <f>PL!H21+PL!H25</f>
        <v>0.15999999999999481</v>
      </c>
      <c r="I18" s="11">
        <f>PL!I21+PL!I25</f>
        <v>-42.74</v>
      </c>
      <c r="J18" s="11">
        <f>PL!J21+PL!J25</f>
        <v>-35.708768000000006</v>
      </c>
      <c r="K18" s="11">
        <f>PL!K21+PL!K25</f>
        <v>107.74242928187219</v>
      </c>
      <c r="L18" s="11">
        <f>PL!L21+PL!L25</f>
        <v>1.4649214181567274</v>
      </c>
      <c r="M18" s="11">
        <f>PL!M21+PL!M25</f>
        <v>18.93026808722837</v>
      </c>
      <c r="N18" s="11">
        <f>PL!N21+PL!N25</f>
        <v>24.747790331367241</v>
      </c>
      <c r="O18" s="11">
        <f>PL!O21+PL!O25</f>
        <v>25.597487027868667</v>
      </c>
      <c r="P18" s="11">
        <f>PL!P21+PL!P25</f>
        <v>42.843683548899214</v>
      </c>
      <c r="Q18" s="11">
        <f>PL!Q21+PL!Q25</f>
        <v>27.68546605449864</v>
      </c>
    </row>
    <row r="19" spans="1:17">
      <c r="A19" t="s">
        <v>179</v>
      </c>
      <c r="B19" s="11">
        <f t="shared" ref="B19:Q19" si="5">B9</f>
        <v>2.4296389852142415</v>
      </c>
      <c r="C19" s="11">
        <f t="shared" si="5"/>
        <v>-0.96074615885427583</v>
      </c>
      <c r="D19" s="11">
        <f t="shared" si="5"/>
        <v>17.306484493620946</v>
      </c>
      <c r="E19" s="11">
        <f t="shared" si="5"/>
        <v>23.621873380019103</v>
      </c>
      <c r="F19" s="11">
        <f t="shared" si="5"/>
        <v>4.1315031637483699</v>
      </c>
      <c r="G19" s="11">
        <f t="shared" si="5"/>
        <v>-52.385820063748326</v>
      </c>
      <c r="H19" s="11">
        <f t="shared" si="5"/>
        <v>4.8111917879999666</v>
      </c>
      <c r="I19" s="11">
        <f t="shared" si="5"/>
        <v>32.615874411999982</v>
      </c>
      <c r="J19" s="11">
        <f t="shared" si="5"/>
        <v>-10.960000000000008</v>
      </c>
      <c r="K19" s="11">
        <f t="shared" si="5"/>
        <v>-1.5618171199999935</v>
      </c>
      <c r="L19" s="11">
        <f t="shared" si="5"/>
        <v>-15.705195405824002</v>
      </c>
      <c r="M19" s="11">
        <f t="shared" si="5"/>
        <v>-4.8996409124176665</v>
      </c>
      <c r="N19" s="11">
        <f t="shared" si="5"/>
        <v>-3.6259863823277225</v>
      </c>
      <c r="O19" s="11">
        <f t="shared" si="5"/>
        <v>-4.4731610617028306</v>
      </c>
      <c r="P19" s="11">
        <f t="shared" si="5"/>
        <v>-3.8474004158086856</v>
      </c>
      <c r="Q19" s="11">
        <f t="shared" si="5"/>
        <v>13.503201298080901</v>
      </c>
    </row>
    <row r="20" spans="1:17" ht="12.75" thickBot="1">
      <c r="A20" s="7" t="s">
        <v>172</v>
      </c>
      <c r="B20" s="10">
        <f t="shared" ref="B20:Q20" si="6">SUM(B17:B19)</f>
        <v>17.700486669596064</v>
      </c>
      <c r="C20" s="10">
        <f t="shared" si="6"/>
        <v>22.868687470392814</v>
      </c>
      <c r="D20" s="10">
        <f t="shared" si="6"/>
        <v>43.453105821620937</v>
      </c>
      <c r="E20" s="10">
        <f t="shared" si="6"/>
        <v>45.034254284902389</v>
      </c>
      <c r="F20" s="10">
        <f t="shared" si="6"/>
        <v>29.928403263748383</v>
      </c>
      <c r="G20" s="10">
        <f t="shared" si="6"/>
        <v>25.257604536251662</v>
      </c>
      <c r="H20" s="10">
        <f t="shared" si="6"/>
        <v>30.585502587999962</v>
      </c>
      <c r="I20" s="10">
        <f t="shared" si="6"/>
        <v>-5.554125587999998</v>
      </c>
      <c r="J20" s="10">
        <f t="shared" si="6"/>
        <v>-26.118768000000031</v>
      </c>
      <c r="K20" s="10">
        <f t="shared" si="6"/>
        <v>25.825112161872191</v>
      </c>
      <c r="L20" s="10">
        <f t="shared" si="6"/>
        <v>-14.240273987667274</v>
      </c>
      <c r="M20" s="10">
        <f t="shared" si="6"/>
        <v>14.030627174810704</v>
      </c>
      <c r="N20" s="10">
        <f t="shared" si="6"/>
        <v>21.121803949039517</v>
      </c>
      <c r="O20" s="10">
        <f t="shared" si="6"/>
        <v>21.124325966165834</v>
      </c>
      <c r="P20" s="10">
        <f t="shared" si="6"/>
        <v>38.996283133090529</v>
      </c>
      <c r="Q20" s="10">
        <f t="shared" si="6"/>
        <v>41.188667352579543</v>
      </c>
    </row>
    <row r="21" spans="1:17" ht="12.75" thickTop="1">
      <c r="A21" s="7"/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8"/>
      <c r="N21" s="228"/>
      <c r="O21" s="228"/>
      <c r="P21" s="228"/>
      <c r="Q21" s="228"/>
    </row>
    <row r="22" spans="1:17">
      <c r="A22" s="7" t="s">
        <v>180</v>
      </c>
      <c r="B22" s="8" t="str">
        <f t="shared" ref="B22:Q22" si="7">B16</f>
        <v>2013-14</v>
      </c>
      <c r="C22" s="8" t="str">
        <f t="shared" si="7"/>
        <v>2014-15</v>
      </c>
      <c r="D22" s="8" t="str">
        <f t="shared" si="7"/>
        <v>2015-16</v>
      </c>
      <c r="E22" s="8" t="str">
        <f t="shared" si="7"/>
        <v>2016-17</v>
      </c>
      <c r="F22" s="8" t="str">
        <f t="shared" si="7"/>
        <v>2017-18</v>
      </c>
      <c r="G22" s="8" t="str">
        <f t="shared" si="7"/>
        <v>2018-19</v>
      </c>
      <c r="H22" s="8" t="str">
        <f t="shared" si="7"/>
        <v>2019-20</v>
      </c>
      <c r="I22" s="8" t="str">
        <f t="shared" si="7"/>
        <v>2020-21</v>
      </c>
      <c r="J22" s="8" t="str">
        <f t="shared" si="7"/>
        <v>2021-22</v>
      </c>
      <c r="K22" s="8" t="str">
        <f t="shared" si="7"/>
        <v>2022-23</v>
      </c>
      <c r="L22" s="8" t="str">
        <f t="shared" si="7"/>
        <v>2023-24</v>
      </c>
      <c r="M22" s="8" t="str">
        <f t="shared" si="7"/>
        <v>2024-25</v>
      </c>
      <c r="N22" s="8" t="str">
        <f t="shared" si="7"/>
        <v>2025-26</v>
      </c>
      <c r="O22" s="8" t="str">
        <f t="shared" si="7"/>
        <v>2026-27</v>
      </c>
      <c r="P22" s="8" t="str">
        <f t="shared" si="7"/>
        <v>2027-28</v>
      </c>
      <c r="Q22" s="8" t="str">
        <f t="shared" si="7"/>
        <v>2028-29</v>
      </c>
    </row>
    <row r="23" spans="1:17">
      <c r="A23" t="s">
        <v>168</v>
      </c>
      <c r="B23" s="11">
        <f t="shared" ref="B23:Q23" si="8">B5</f>
        <v>53.390035217680008</v>
      </c>
      <c r="C23" s="11">
        <f t="shared" si="8"/>
        <v>25.60652418284586</v>
      </c>
      <c r="D23" s="11">
        <f t="shared" si="8"/>
        <v>67.737848541083977</v>
      </c>
      <c r="E23" s="11">
        <f t="shared" si="8"/>
        <v>37.363924068133457</v>
      </c>
      <c r="F23" s="11">
        <f t="shared" si="8"/>
        <v>38.246667990256697</v>
      </c>
      <c r="G23" s="11">
        <f t="shared" si="8"/>
        <v>13.037060500000024</v>
      </c>
      <c r="H23" s="11">
        <f t="shared" si="8"/>
        <v>42.102939499999991</v>
      </c>
      <c r="I23" s="11">
        <f t="shared" si="8"/>
        <v>-5.6769954231369866</v>
      </c>
      <c r="J23" s="11">
        <f t="shared" si="8"/>
        <v>33.285697786252001</v>
      </c>
      <c r="K23" s="11">
        <f t="shared" si="8"/>
        <v>42.613962060103688</v>
      </c>
      <c r="L23" s="11">
        <f t="shared" si="8"/>
        <v>-0.53714393772565927</v>
      </c>
      <c r="M23" s="11">
        <f t="shared" si="8"/>
        <v>0.48000000000024556</v>
      </c>
      <c r="N23" s="11">
        <f t="shared" si="8"/>
        <v>0.48000000000024556</v>
      </c>
      <c r="O23" s="11">
        <f t="shared" si="8"/>
        <v>0.48000000000024556</v>
      </c>
      <c r="P23" s="11">
        <f t="shared" si="8"/>
        <v>0.48000000000024556</v>
      </c>
      <c r="Q23" s="11">
        <f t="shared" si="8"/>
        <v>0.24000000000012278</v>
      </c>
    </row>
    <row r="24" spans="1:17">
      <c r="A24" t="s">
        <v>130</v>
      </c>
      <c r="B24" s="11">
        <v>0</v>
      </c>
      <c r="C24" s="11">
        <v>0</v>
      </c>
      <c r="D24" s="11">
        <v>0</v>
      </c>
      <c r="E24" s="11">
        <v>0</v>
      </c>
      <c r="F24" s="11">
        <v>0</v>
      </c>
      <c r="G24" s="11">
        <v>0</v>
      </c>
      <c r="H24" s="11">
        <v>0</v>
      </c>
      <c r="I24" s="11">
        <v>0</v>
      </c>
      <c r="J24" s="11">
        <v>0</v>
      </c>
      <c r="K24" s="11">
        <v>0</v>
      </c>
      <c r="L24" s="11">
        <f>-(SUM(BS!L6:L9)-SUM(BS!K6:K9))+L17</f>
        <v>1.4690449999999942</v>
      </c>
      <c r="M24" s="11">
        <f>-(SUM(BS!M6:M9)-SUM(BS!L6:L9))+M17</f>
        <v>19.097585000000038</v>
      </c>
      <c r="N24" s="11">
        <f>-(SUM(BS!N6:N9)-SUM(BS!M6:M9))+N17</f>
        <v>24.606503750000016</v>
      </c>
      <c r="O24" s="11">
        <f>-(SUM(BS!O6:O9)-SUM(BS!N6:N9))+O17</f>
        <v>27.911855000000003</v>
      </c>
      <c r="P24" s="11">
        <f>-(SUM(BS!P6:P9)-SUM(BS!O6:O9))+P17</f>
        <v>45.540394999999997</v>
      </c>
      <c r="Q24" s="11">
        <f>-(SUM(BS!Q6:Q9)-SUM(BS!P6:P9))+Q17</f>
        <v>28.279116249999937</v>
      </c>
    </row>
    <row r="25" spans="1:17" ht="12.75" thickBot="1">
      <c r="A25" s="7" t="s">
        <v>169</v>
      </c>
      <c r="B25" s="10">
        <f t="shared" ref="B25:Q25" si="9">SUM(B23:B24)</f>
        <v>53.390035217680008</v>
      </c>
      <c r="C25" s="10">
        <f t="shared" si="9"/>
        <v>25.60652418284586</v>
      </c>
      <c r="D25" s="10">
        <f t="shared" si="9"/>
        <v>67.737848541083977</v>
      </c>
      <c r="E25" s="10">
        <f t="shared" si="9"/>
        <v>37.363924068133457</v>
      </c>
      <c r="F25" s="10">
        <f t="shared" si="9"/>
        <v>38.246667990256697</v>
      </c>
      <c r="G25" s="10">
        <f t="shared" si="9"/>
        <v>13.037060500000024</v>
      </c>
      <c r="H25" s="10">
        <f t="shared" si="9"/>
        <v>42.102939499999991</v>
      </c>
      <c r="I25" s="10">
        <f t="shared" si="9"/>
        <v>-5.6769954231369866</v>
      </c>
      <c r="J25" s="10">
        <f t="shared" si="9"/>
        <v>33.285697786252001</v>
      </c>
      <c r="K25" s="10">
        <f t="shared" si="9"/>
        <v>42.613962060103688</v>
      </c>
      <c r="L25" s="10">
        <f t="shared" si="9"/>
        <v>0.93190106227433489</v>
      </c>
      <c r="M25" s="10">
        <f t="shared" si="9"/>
        <v>19.577585000000283</v>
      </c>
      <c r="N25" s="10">
        <f t="shared" si="9"/>
        <v>25.086503750000261</v>
      </c>
      <c r="O25" s="10">
        <f t="shared" si="9"/>
        <v>28.391855000000248</v>
      </c>
      <c r="P25" s="10">
        <f t="shared" si="9"/>
        <v>46.020395000000242</v>
      </c>
      <c r="Q25" s="10">
        <f t="shared" si="9"/>
        <v>28.51911625000006</v>
      </c>
    </row>
    <row r="26" spans="1:17" ht="12.75" thickTop="1">
      <c r="A26" s="7" t="s">
        <v>173</v>
      </c>
      <c r="B26" s="11">
        <f t="shared" ref="B26:Q26" si="10">B20-B25</f>
        <v>-35.689548548083948</v>
      </c>
      <c r="C26" s="11">
        <f t="shared" si="10"/>
        <v>-2.7378367124530456</v>
      </c>
      <c r="D26" s="11">
        <f t="shared" si="10"/>
        <v>-24.28474271946304</v>
      </c>
      <c r="E26" s="11">
        <f t="shared" si="10"/>
        <v>7.6703302167689316</v>
      </c>
      <c r="F26" s="11">
        <f t="shared" si="10"/>
        <v>-8.3182647265083141</v>
      </c>
      <c r="G26" s="11">
        <f t="shared" si="10"/>
        <v>12.220544036251638</v>
      </c>
      <c r="H26" s="11">
        <f t="shared" si="10"/>
        <v>-11.517436912000029</v>
      </c>
      <c r="I26" s="11">
        <f t="shared" si="10"/>
        <v>0.12286983513698857</v>
      </c>
      <c r="J26" s="11">
        <f t="shared" si="10"/>
        <v>-59.404465786252032</v>
      </c>
      <c r="K26" s="11">
        <f t="shared" si="10"/>
        <v>-16.788849898231497</v>
      </c>
      <c r="L26" s="11">
        <f t="shared" si="10"/>
        <v>-15.172175049941609</v>
      </c>
      <c r="M26" s="11">
        <f t="shared" si="10"/>
        <v>-5.5469578251895797</v>
      </c>
      <c r="N26" s="11">
        <f t="shared" si="10"/>
        <v>-3.9646998009607444</v>
      </c>
      <c r="O26" s="11">
        <f t="shared" si="10"/>
        <v>-7.2675290338344141</v>
      </c>
      <c r="P26" s="11">
        <f t="shared" si="10"/>
        <v>-7.0241118669097133</v>
      </c>
      <c r="Q26" s="11">
        <f t="shared" si="10"/>
        <v>12.669551102579483</v>
      </c>
    </row>
    <row r="27" spans="1:17">
      <c r="A27" s="7" t="s">
        <v>181</v>
      </c>
      <c r="B27" s="53" t="e">
        <f>IRR(B26:Q26)</f>
        <v>#NUM!</v>
      </c>
    </row>
    <row r="29" spans="1:17">
      <c r="A29" s="7" t="s">
        <v>175</v>
      </c>
    </row>
    <row r="30" spans="1:17">
      <c r="A30" s="7" t="s">
        <v>176</v>
      </c>
      <c r="B30" s="8" t="str">
        <f t="shared" ref="B30:Q30" si="11">B22</f>
        <v>2013-14</v>
      </c>
      <c r="C30" s="8" t="str">
        <f t="shared" si="11"/>
        <v>2014-15</v>
      </c>
      <c r="D30" s="8" t="str">
        <f t="shared" si="11"/>
        <v>2015-16</v>
      </c>
      <c r="E30" s="8" t="str">
        <f t="shared" si="11"/>
        <v>2016-17</v>
      </c>
      <c r="F30" s="8" t="str">
        <f t="shared" si="11"/>
        <v>2017-18</v>
      </c>
      <c r="G30" s="8" t="str">
        <f t="shared" si="11"/>
        <v>2018-19</v>
      </c>
      <c r="H30" s="8" t="str">
        <f t="shared" si="11"/>
        <v>2019-20</v>
      </c>
      <c r="I30" s="8" t="str">
        <f t="shared" si="11"/>
        <v>2020-21</v>
      </c>
      <c r="J30" s="8" t="str">
        <f t="shared" si="11"/>
        <v>2021-22</v>
      </c>
      <c r="K30" s="8" t="str">
        <f t="shared" si="11"/>
        <v>2022-23</v>
      </c>
      <c r="L30" s="8" t="str">
        <f t="shared" si="11"/>
        <v>2023-24</v>
      </c>
      <c r="M30" s="8" t="str">
        <f t="shared" si="11"/>
        <v>2024-25</v>
      </c>
      <c r="N30" s="8" t="str">
        <f t="shared" si="11"/>
        <v>2025-26</v>
      </c>
      <c r="O30" s="8" t="str">
        <f t="shared" si="11"/>
        <v>2026-27</v>
      </c>
      <c r="P30" s="8" t="str">
        <f t="shared" si="11"/>
        <v>2027-28</v>
      </c>
      <c r="Q30" s="8" t="str">
        <f t="shared" si="11"/>
        <v>2028-29</v>
      </c>
    </row>
    <row r="31" spans="1:17">
      <c r="A31" t="s">
        <v>177</v>
      </c>
      <c r="B31" s="11">
        <f t="shared" ref="B31:Q31" si="12">B17</f>
        <v>18.100000000000001</v>
      </c>
      <c r="C31" s="11">
        <f t="shared" si="12"/>
        <v>24</v>
      </c>
      <c r="D31" s="11">
        <f t="shared" si="12"/>
        <v>24.999999999999993</v>
      </c>
      <c r="E31" s="11">
        <f t="shared" si="12"/>
        <v>20.557864499999994</v>
      </c>
      <c r="F31" s="11">
        <f t="shared" si="12"/>
        <v>25.000000100000008</v>
      </c>
      <c r="G31" s="11">
        <f t="shared" si="12"/>
        <v>76.867824599999992</v>
      </c>
      <c r="H31" s="11">
        <f t="shared" si="12"/>
        <v>25.614310799999998</v>
      </c>
      <c r="I31" s="11">
        <f t="shared" si="12"/>
        <v>4.5700000000000216</v>
      </c>
      <c r="J31" s="11">
        <f t="shared" si="12"/>
        <v>20.549999999999983</v>
      </c>
      <c r="K31" s="11">
        <f t="shared" si="12"/>
        <v>-80.355500000000006</v>
      </c>
      <c r="L31" s="11">
        <f t="shared" si="12"/>
        <v>0</v>
      </c>
      <c r="M31" s="11">
        <f t="shared" si="12"/>
        <v>0</v>
      </c>
      <c r="N31" s="11">
        <f t="shared" si="12"/>
        <v>0</v>
      </c>
      <c r="O31" s="11">
        <f t="shared" si="12"/>
        <v>0</v>
      </c>
      <c r="P31" s="11">
        <f t="shared" si="12"/>
        <v>0</v>
      </c>
      <c r="Q31" s="11">
        <f t="shared" si="12"/>
        <v>0</v>
      </c>
    </row>
    <row r="32" spans="1:17">
      <c r="A32" t="s">
        <v>135</v>
      </c>
      <c r="B32" s="11">
        <f t="shared" ref="B32:Q32" si="13">B11</f>
        <v>-53.712057448083947</v>
      </c>
      <c r="C32" s="11">
        <f t="shared" si="13"/>
        <v>-26.509965212453046</v>
      </c>
      <c r="D32" s="11">
        <f t="shared" si="13"/>
        <v>-49.046123219463034</v>
      </c>
      <c r="E32" s="11">
        <f t="shared" si="13"/>
        <v>-12.628141563231061</v>
      </c>
      <c r="F32" s="11">
        <f t="shared" si="13"/>
        <v>-33.052364826508324</v>
      </c>
      <c r="G32" s="11">
        <f t="shared" si="13"/>
        <v>-64.092880563748352</v>
      </c>
      <c r="H32" s="11">
        <f t="shared" si="13"/>
        <v>-35.801747712000029</v>
      </c>
      <c r="I32" s="11">
        <f t="shared" si="13"/>
        <v>37.962869835136971</v>
      </c>
      <c r="J32" s="11">
        <f t="shared" si="13"/>
        <v>-32.534465786252014</v>
      </c>
      <c r="K32" s="11">
        <f t="shared" si="13"/>
        <v>84.496802689353302</v>
      </c>
      <c r="L32" s="11">
        <f t="shared" si="13"/>
        <v>1.8447719962769025</v>
      </c>
      <c r="M32" s="11">
        <f t="shared" si="13"/>
        <v>28.087072707596917</v>
      </c>
      <c r="N32" s="11">
        <f t="shared" si="13"/>
        <v>32.873295696408427</v>
      </c>
      <c r="O32" s="11">
        <f t="shared" si="13"/>
        <v>30.065135671401414</v>
      </c>
      <c r="P32" s="11">
        <f t="shared" si="13"/>
        <v>44.319190694126796</v>
      </c>
      <c r="Q32" s="11">
        <f t="shared" si="13"/>
        <v>41.827208106233549</v>
      </c>
    </row>
    <row r="33" spans="1:17" ht="12.75" thickBot="1">
      <c r="A33" s="7" t="s">
        <v>172</v>
      </c>
      <c r="B33" s="10">
        <f t="shared" ref="B33:Q33" si="14">SUM(B31:B32)</f>
        <v>-35.612057448083945</v>
      </c>
      <c r="C33" s="10">
        <f t="shared" si="14"/>
        <v>-2.5099652124530465</v>
      </c>
      <c r="D33" s="10">
        <f t="shared" si="14"/>
        <v>-24.046123219463041</v>
      </c>
      <c r="E33" s="10">
        <f t="shared" si="14"/>
        <v>7.9297229367689326</v>
      </c>
      <c r="F33" s="10">
        <f t="shared" si="14"/>
        <v>-8.0523647265083156</v>
      </c>
      <c r="G33" s="10">
        <f t="shared" si="14"/>
        <v>12.77494403625164</v>
      </c>
      <c r="H33" s="10">
        <f t="shared" si="14"/>
        <v>-10.187436912000031</v>
      </c>
      <c r="I33" s="10">
        <f t="shared" si="14"/>
        <v>42.532869835136992</v>
      </c>
      <c r="J33" s="10">
        <f t="shared" si="14"/>
        <v>-11.984465786252031</v>
      </c>
      <c r="K33" s="10">
        <f t="shared" si="14"/>
        <v>4.1413026893532958</v>
      </c>
      <c r="L33" s="10">
        <f t="shared" si="14"/>
        <v>1.8447719962769025</v>
      </c>
      <c r="M33" s="10">
        <f t="shared" si="14"/>
        <v>28.087072707596917</v>
      </c>
      <c r="N33" s="10">
        <f t="shared" si="14"/>
        <v>32.873295696408427</v>
      </c>
      <c r="O33" s="10">
        <f t="shared" si="14"/>
        <v>30.065135671401414</v>
      </c>
      <c r="P33" s="10">
        <f t="shared" si="14"/>
        <v>44.319190694126796</v>
      </c>
      <c r="Q33" s="10">
        <f t="shared" si="14"/>
        <v>41.827208106233549</v>
      </c>
    </row>
    <row r="34" spans="1:17" ht="12.75" thickTop="1">
      <c r="A34" s="7"/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</row>
    <row r="35" spans="1:17">
      <c r="A35" s="7" t="s">
        <v>180</v>
      </c>
      <c r="B35" s="8" t="str">
        <f t="shared" ref="B35:Q35" si="15">B30</f>
        <v>2013-14</v>
      </c>
      <c r="C35" s="8" t="str">
        <f t="shared" si="15"/>
        <v>2014-15</v>
      </c>
      <c r="D35" s="8" t="str">
        <f t="shared" si="15"/>
        <v>2015-16</v>
      </c>
      <c r="E35" s="8" t="str">
        <f t="shared" si="15"/>
        <v>2016-17</v>
      </c>
      <c r="F35" s="8" t="str">
        <f t="shared" si="15"/>
        <v>2017-18</v>
      </c>
      <c r="G35" s="8" t="str">
        <f t="shared" si="15"/>
        <v>2018-19</v>
      </c>
      <c r="H35" s="8" t="str">
        <f t="shared" si="15"/>
        <v>2019-20</v>
      </c>
      <c r="I35" s="8" t="str">
        <f t="shared" si="15"/>
        <v>2020-21</v>
      </c>
      <c r="J35" s="8" t="str">
        <f t="shared" si="15"/>
        <v>2021-22</v>
      </c>
      <c r="K35" s="8" t="str">
        <f t="shared" si="15"/>
        <v>2022-23</v>
      </c>
      <c r="L35" s="8" t="str">
        <f t="shared" si="15"/>
        <v>2023-24</v>
      </c>
      <c r="M35" s="8" t="str">
        <f t="shared" si="15"/>
        <v>2024-25</v>
      </c>
      <c r="N35" s="8" t="str">
        <f t="shared" si="15"/>
        <v>2025-26</v>
      </c>
      <c r="O35" s="8" t="str">
        <f t="shared" si="15"/>
        <v>2026-27</v>
      </c>
      <c r="P35" s="8" t="str">
        <f t="shared" si="15"/>
        <v>2027-28</v>
      </c>
      <c r="Q35" s="8" t="str">
        <f t="shared" si="15"/>
        <v>2028-29</v>
      </c>
    </row>
    <row r="36" spans="1:17">
      <c r="A36" t="s">
        <v>182</v>
      </c>
      <c r="B36" s="11">
        <f>SUM(PL!B22:B22)</f>
        <v>7.7491099999999993E-2</v>
      </c>
      <c r="C36" s="11">
        <f>SUM(PL!C22:C22)</f>
        <v>0.2278715</v>
      </c>
      <c r="D36" s="11">
        <f>SUM(PL!D22:D22)</f>
        <v>0.23861950000000001</v>
      </c>
      <c r="E36" s="11">
        <f>SUM(PL!E22:E22)</f>
        <v>0.25939272000000002</v>
      </c>
      <c r="F36" s="11">
        <f>SUM(PL!F22:F22)</f>
        <v>0.26590000000000003</v>
      </c>
      <c r="G36" s="11">
        <f>SUM(PL!G22:G22)</f>
        <v>0.5544</v>
      </c>
      <c r="H36" s="11">
        <f>SUM(PL!H22:H22)</f>
        <v>1.33</v>
      </c>
      <c r="I36" s="11">
        <f>SUM(PL!I22:I22)</f>
        <v>42.41</v>
      </c>
      <c r="J36" s="11">
        <f>SUM(PL!J22:J22)</f>
        <v>47.42</v>
      </c>
      <c r="K36" s="11">
        <f>SUM(PL!K22:K22)</f>
        <v>20.930152587584804</v>
      </c>
      <c r="L36" s="11">
        <f>SUM(PL!L22:L22)</f>
        <v>15.547902046218519</v>
      </c>
      <c r="M36" s="11">
        <f>SUM(PL!M22:M22)</f>
        <v>14.536445532786459</v>
      </c>
      <c r="N36" s="11">
        <f>SUM(PL!N22:N22)</f>
        <v>12.231491747369153</v>
      </c>
      <c r="O36" s="11">
        <f>SUM(PL!O22:O22)</f>
        <v>9.420809705235822</v>
      </c>
      <c r="P36" s="11">
        <f>SUM(PL!P22:P22)</f>
        <v>5.8029075610365153</v>
      </c>
      <c r="Q36" s="11">
        <f>SUM(PL!Q22:Q22)</f>
        <v>0.87854075365412954</v>
      </c>
    </row>
    <row r="37" spans="1:17">
      <c r="A37" t="s">
        <v>130</v>
      </c>
      <c r="B37" s="11">
        <f t="shared" ref="B37:Q37" si="16">B24</f>
        <v>0</v>
      </c>
      <c r="C37" s="11">
        <f t="shared" si="16"/>
        <v>0</v>
      </c>
      <c r="D37" s="11">
        <f t="shared" si="16"/>
        <v>0</v>
      </c>
      <c r="E37" s="11">
        <f t="shared" si="16"/>
        <v>0</v>
      </c>
      <c r="F37" s="11">
        <f t="shared" si="16"/>
        <v>0</v>
      </c>
      <c r="G37" s="11">
        <f t="shared" si="16"/>
        <v>0</v>
      </c>
      <c r="H37" s="11">
        <f t="shared" si="16"/>
        <v>0</v>
      </c>
      <c r="I37" s="11">
        <f t="shared" si="16"/>
        <v>0</v>
      </c>
      <c r="J37" s="11">
        <f t="shared" si="16"/>
        <v>0</v>
      </c>
      <c r="K37" s="11">
        <f t="shared" si="16"/>
        <v>0</v>
      </c>
      <c r="L37" s="11">
        <f t="shared" si="16"/>
        <v>1.4690449999999942</v>
      </c>
      <c r="M37" s="11">
        <f t="shared" si="16"/>
        <v>19.097585000000038</v>
      </c>
      <c r="N37" s="11">
        <f t="shared" si="16"/>
        <v>24.606503750000016</v>
      </c>
      <c r="O37" s="11">
        <f t="shared" si="16"/>
        <v>27.911855000000003</v>
      </c>
      <c r="P37" s="11">
        <f t="shared" si="16"/>
        <v>45.540394999999997</v>
      </c>
      <c r="Q37" s="11">
        <f t="shared" si="16"/>
        <v>28.279116249999937</v>
      </c>
    </row>
    <row r="38" spans="1:17" ht="12.75" thickBot="1">
      <c r="A38" s="7" t="s">
        <v>169</v>
      </c>
      <c r="B38" s="10">
        <f t="shared" ref="B38:Q38" si="17">SUM(B36:B37)</f>
        <v>7.7491099999999993E-2</v>
      </c>
      <c r="C38" s="10">
        <f t="shared" si="17"/>
        <v>0.2278715</v>
      </c>
      <c r="D38" s="10">
        <f t="shared" si="17"/>
        <v>0.23861950000000001</v>
      </c>
      <c r="E38" s="10">
        <f t="shared" si="17"/>
        <v>0.25939272000000002</v>
      </c>
      <c r="F38" s="10">
        <f t="shared" si="17"/>
        <v>0.26590000000000003</v>
      </c>
      <c r="G38" s="10">
        <f t="shared" si="17"/>
        <v>0.5544</v>
      </c>
      <c r="H38" s="10">
        <f t="shared" si="17"/>
        <v>1.33</v>
      </c>
      <c r="I38" s="10">
        <f t="shared" si="17"/>
        <v>42.41</v>
      </c>
      <c r="J38" s="10">
        <f t="shared" si="17"/>
        <v>47.42</v>
      </c>
      <c r="K38" s="10">
        <f t="shared" si="17"/>
        <v>20.930152587584804</v>
      </c>
      <c r="L38" s="10">
        <f t="shared" si="17"/>
        <v>17.016947046218512</v>
      </c>
      <c r="M38" s="10">
        <f t="shared" si="17"/>
        <v>33.634030532786497</v>
      </c>
      <c r="N38" s="10">
        <f t="shared" si="17"/>
        <v>36.837995497369171</v>
      </c>
      <c r="O38" s="10">
        <f t="shared" si="17"/>
        <v>37.332664705235828</v>
      </c>
      <c r="P38" s="10">
        <f t="shared" si="17"/>
        <v>51.343302561036509</v>
      </c>
      <c r="Q38" s="10">
        <f t="shared" si="17"/>
        <v>29.157657003654066</v>
      </c>
    </row>
    <row r="39" spans="1:17" ht="12.75" thickTop="1">
      <c r="A39" s="7" t="s">
        <v>173</v>
      </c>
      <c r="B39" s="11">
        <f t="shared" ref="B39:Q39" si="18">B33-B38</f>
        <v>-35.689548548083948</v>
      </c>
      <c r="C39" s="11">
        <f t="shared" si="18"/>
        <v>-2.7378367124530465</v>
      </c>
      <c r="D39" s="11">
        <f t="shared" si="18"/>
        <v>-24.28474271946304</v>
      </c>
      <c r="E39" s="11">
        <f t="shared" si="18"/>
        <v>7.6703302167689325</v>
      </c>
      <c r="F39" s="11">
        <f t="shared" si="18"/>
        <v>-8.3182647265083158</v>
      </c>
      <c r="G39" s="11">
        <f t="shared" si="18"/>
        <v>12.22054403625164</v>
      </c>
      <c r="H39" s="11">
        <f t="shared" si="18"/>
        <v>-11.517436912000031</v>
      </c>
      <c r="I39" s="11">
        <f t="shared" si="18"/>
        <v>0.12286983513699568</v>
      </c>
      <c r="J39" s="11">
        <f t="shared" si="18"/>
        <v>-59.404465786252032</v>
      </c>
      <c r="K39" s="11">
        <f t="shared" si="18"/>
        <v>-16.788849898231508</v>
      </c>
      <c r="L39" s="11">
        <f t="shared" si="18"/>
        <v>-15.172175049941609</v>
      </c>
      <c r="M39" s="11">
        <f t="shared" si="18"/>
        <v>-5.5469578251895797</v>
      </c>
      <c r="N39" s="11">
        <f t="shared" si="18"/>
        <v>-3.9646998009607444</v>
      </c>
      <c r="O39" s="11">
        <f t="shared" si="18"/>
        <v>-7.2675290338344141</v>
      </c>
      <c r="P39" s="11">
        <f t="shared" si="18"/>
        <v>-7.0241118669097133</v>
      </c>
      <c r="Q39" s="11">
        <f t="shared" si="18"/>
        <v>12.669551102579483</v>
      </c>
    </row>
    <row r="40" spans="1:17">
      <c r="A40" s="7" t="s">
        <v>181</v>
      </c>
      <c r="B40" s="53" t="e">
        <f>IRR(B39:Q39)</f>
        <v>#NUM!</v>
      </c>
      <c r="I40" s="11"/>
      <c r="J40" s="11"/>
      <c r="K40" s="11"/>
      <c r="L40" s="11"/>
      <c r="M40" s="11"/>
      <c r="N40" s="11"/>
      <c r="O40" s="11"/>
      <c r="P40" s="11"/>
      <c r="Q40" s="11"/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DB35"/>
  <sheetViews>
    <sheetView zoomScaleNormal="100" workbookViewId="0">
      <pane xSplit="1" ySplit="1" topLeftCell="AF2" activePane="bottomRight" state="frozen"/>
      <selection pane="topRight"/>
      <selection pane="bottomLeft"/>
      <selection pane="bottomRight" activeCell="BB13" sqref="BB13"/>
    </sheetView>
  </sheetViews>
  <sheetFormatPr defaultColWidth="9.33203125" defaultRowHeight="12" customHeight="1"/>
  <cols>
    <col min="1" max="1" width="38.33203125" style="246" bestFit="1" customWidth="1"/>
    <col min="2" max="2" width="8" style="247" customWidth="1"/>
    <col min="3" max="25" width="7.83203125" style="243" customWidth="1"/>
    <col min="26" max="26" width="8.6640625" style="243" bestFit="1" customWidth="1"/>
    <col min="27" max="100" width="7.83203125" style="243" customWidth="1"/>
    <col min="101" max="16384" width="9.33203125" style="243"/>
  </cols>
  <sheetData>
    <row r="1" spans="1:106" ht="12" customHeight="1">
      <c r="A1" s="240" t="s">
        <v>206</v>
      </c>
      <c r="B1" s="62">
        <v>10.85</v>
      </c>
      <c r="C1" s="62">
        <f>B1</f>
        <v>10.85</v>
      </c>
      <c r="D1" s="62">
        <f t="shared" ref="D1:V1" si="0">C1</f>
        <v>10.85</v>
      </c>
      <c r="E1" s="62">
        <f t="shared" si="0"/>
        <v>10.85</v>
      </c>
      <c r="F1" s="62">
        <f t="shared" si="0"/>
        <v>10.85</v>
      </c>
      <c r="G1" s="62">
        <f t="shared" si="0"/>
        <v>10.85</v>
      </c>
      <c r="H1" s="62">
        <f t="shared" si="0"/>
        <v>10.85</v>
      </c>
      <c r="I1" s="62">
        <f t="shared" si="0"/>
        <v>10.85</v>
      </c>
      <c r="J1" s="62">
        <f t="shared" si="0"/>
        <v>10.85</v>
      </c>
      <c r="K1" s="62">
        <f t="shared" si="0"/>
        <v>10.85</v>
      </c>
      <c r="L1" s="62">
        <f t="shared" si="0"/>
        <v>10.85</v>
      </c>
      <c r="M1" s="62">
        <f t="shared" si="0"/>
        <v>10.85</v>
      </c>
      <c r="N1" s="62">
        <f t="shared" si="0"/>
        <v>10.85</v>
      </c>
      <c r="O1" s="62">
        <f t="shared" si="0"/>
        <v>10.85</v>
      </c>
      <c r="P1" s="62">
        <f t="shared" si="0"/>
        <v>10.85</v>
      </c>
      <c r="Q1" s="62">
        <f t="shared" si="0"/>
        <v>10.85</v>
      </c>
      <c r="R1" s="62">
        <f t="shared" si="0"/>
        <v>10.85</v>
      </c>
      <c r="S1" s="62">
        <f t="shared" si="0"/>
        <v>10.85</v>
      </c>
      <c r="T1" s="62">
        <f t="shared" si="0"/>
        <v>10.85</v>
      </c>
      <c r="U1" s="62">
        <f t="shared" si="0"/>
        <v>10.85</v>
      </c>
      <c r="V1" s="62">
        <f t="shared" si="0"/>
        <v>10.85</v>
      </c>
      <c r="W1" s="241">
        <v>12.55</v>
      </c>
      <c r="X1" s="241">
        <v>12.55</v>
      </c>
      <c r="Y1" s="241">
        <v>12.55</v>
      </c>
      <c r="Z1" s="241">
        <v>12.55</v>
      </c>
      <c r="AA1" s="241">
        <v>12.55</v>
      </c>
      <c r="AB1" s="241">
        <v>12.55</v>
      </c>
      <c r="AC1" s="241">
        <v>12.55</v>
      </c>
      <c r="AD1" s="241">
        <v>12.55</v>
      </c>
      <c r="AE1" s="241">
        <v>12.55</v>
      </c>
      <c r="AF1" s="242">
        <v>9.5</v>
      </c>
      <c r="AG1" s="242">
        <v>9.5</v>
      </c>
      <c r="AH1" s="242">
        <v>9.5</v>
      </c>
      <c r="AI1" s="242">
        <v>9.5</v>
      </c>
      <c r="AJ1" s="242">
        <v>9.5</v>
      </c>
      <c r="AK1" s="242">
        <v>9.5</v>
      </c>
      <c r="AL1" s="242">
        <v>9.5</v>
      </c>
      <c r="AM1" s="242">
        <v>9.5</v>
      </c>
      <c r="AN1" s="242">
        <v>9.5</v>
      </c>
      <c r="AO1" s="242">
        <v>9.5</v>
      </c>
      <c r="AP1" s="242">
        <v>9.5</v>
      </c>
      <c r="AQ1" s="242">
        <v>9.5</v>
      </c>
      <c r="AR1" s="242">
        <v>9.5</v>
      </c>
      <c r="AS1" s="242">
        <v>9.5</v>
      </c>
      <c r="AT1" s="242">
        <v>9.5</v>
      </c>
      <c r="AU1" s="242">
        <v>9.5</v>
      </c>
      <c r="AV1" s="242">
        <v>9.5</v>
      </c>
      <c r="AW1" s="242">
        <v>9.5</v>
      </c>
      <c r="AX1" s="242">
        <v>9.5</v>
      </c>
      <c r="AY1" s="242">
        <v>9.5</v>
      </c>
      <c r="AZ1" s="242">
        <v>9.5</v>
      </c>
      <c r="BA1" s="242">
        <v>9.5</v>
      </c>
      <c r="BB1" s="242">
        <v>9.5</v>
      </c>
      <c r="BC1" s="242">
        <v>9.5</v>
      </c>
      <c r="BD1" s="242">
        <v>9.5</v>
      </c>
      <c r="BE1" s="242">
        <v>9.5</v>
      </c>
      <c r="BF1" s="242">
        <v>9.5</v>
      </c>
      <c r="BG1" s="242">
        <v>9.5</v>
      </c>
      <c r="BH1" s="242">
        <v>9.5</v>
      </c>
      <c r="BI1" s="242">
        <v>9.5</v>
      </c>
      <c r="BJ1" s="242">
        <v>9.5</v>
      </c>
      <c r="BK1" s="242">
        <v>9.5</v>
      </c>
      <c r="BL1" s="242">
        <v>9.5</v>
      </c>
      <c r="BM1" s="242">
        <v>9.5</v>
      </c>
      <c r="BN1" s="242">
        <v>9.5</v>
      </c>
      <c r="BO1" s="242">
        <v>9.5</v>
      </c>
      <c r="BP1" s="242">
        <v>9.5</v>
      </c>
      <c r="BQ1" s="242">
        <v>9.5</v>
      </c>
      <c r="BR1" s="242">
        <v>9.5</v>
      </c>
      <c r="BS1" s="242">
        <v>9.5</v>
      </c>
      <c r="BT1" s="242">
        <v>9.5</v>
      </c>
      <c r="BU1" s="242">
        <v>9.5</v>
      </c>
      <c r="BV1" s="242">
        <v>9.5</v>
      </c>
      <c r="BW1" s="242">
        <v>9.5</v>
      </c>
      <c r="BX1" s="242">
        <v>9.5</v>
      </c>
      <c r="BY1" s="242">
        <v>9.5</v>
      </c>
      <c r="BZ1" s="242">
        <v>9.5</v>
      </c>
      <c r="CA1" s="242">
        <v>9.5</v>
      </c>
      <c r="CB1" s="242">
        <v>9.5</v>
      </c>
      <c r="CC1" s="242">
        <v>9.5</v>
      </c>
      <c r="CD1" s="242">
        <v>9.5</v>
      </c>
      <c r="CE1" s="242">
        <v>9.5</v>
      </c>
      <c r="CF1" s="242">
        <v>9.5</v>
      </c>
      <c r="CG1" s="242">
        <v>9.5</v>
      </c>
      <c r="CH1" s="242">
        <v>9.5</v>
      </c>
      <c r="CI1" s="242">
        <v>9.5</v>
      </c>
      <c r="CJ1" s="242">
        <v>9.5</v>
      </c>
      <c r="CK1" s="242">
        <v>9.5</v>
      </c>
      <c r="CL1" s="242">
        <v>9.5</v>
      </c>
      <c r="CM1" s="242">
        <v>9.5</v>
      </c>
      <c r="CN1" s="242">
        <v>9.5</v>
      </c>
      <c r="CO1" s="242">
        <v>9.5</v>
      </c>
      <c r="CP1" s="242">
        <v>9.5</v>
      </c>
      <c r="CQ1" s="242">
        <v>9.5</v>
      </c>
      <c r="CR1" s="242">
        <v>9.5</v>
      </c>
      <c r="CS1" s="242">
        <v>9.5</v>
      </c>
      <c r="CT1" s="242">
        <v>9.5</v>
      </c>
      <c r="CU1" s="242">
        <v>9.5</v>
      </c>
      <c r="CV1" s="242">
        <v>9.5</v>
      </c>
    </row>
    <row r="2" spans="1:106" ht="12" customHeight="1">
      <c r="A2" s="240" t="str">
        <f>'Monthly PL'!A2</f>
        <v>Financial Year</v>
      </c>
      <c r="B2" s="240"/>
      <c r="C2" s="244" t="str">
        <f>'Monthly PL'!D2</f>
        <v>2020-21</v>
      </c>
      <c r="D2" s="244" t="str">
        <f>'Monthly PL'!E2</f>
        <v>2020-21</v>
      </c>
      <c r="E2" s="244" t="str">
        <f>'Monthly PL'!F2</f>
        <v>2020-21</v>
      </c>
      <c r="F2" s="244" t="str">
        <f>'Monthly PL'!G2</f>
        <v>2020-21</v>
      </c>
      <c r="G2" s="244" t="str">
        <f>'Monthly PL'!H2</f>
        <v>2020-21</v>
      </c>
      <c r="H2" s="244" t="str">
        <f>'Monthly PL'!I2</f>
        <v>2020-21</v>
      </c>
      <c r="I2" s="244" t="str">
        <f>'Monthly PL'!J2</f>
        <v>2020-21</v>
      </c>
      <c r="J2" s="244" t="str">
        <f>'Monthly PL'!K2</f>
        <v>2020-21</v>
      </c>
      <c r="K2" s="244" t="str">
        <f>'Monthly PL'!L2</f>
        <v>2021-22</v>
      </c>
      <c r="L2" s="244" t="str">
        <f>'Monthly PL'!M2</f>
        <v>2021-22</v>
      </c>
      <c r="M2" s="244" t="str">
        <f>'Monthly PL'!N2</f>
        <v>2021-22</v>
      </c>
      <c r="N2" s="244" t="str">
        <f>'Monthly PL'!O2</f>
        <v>2021-22</v>
      </c>
      <c r="O2" s="244" t="str">
        <f>'Monthly PL'!P2</f>
        <v>2021-22</v>
      </c>
      <c r="P2" s="244" t="str">
        <f>'Monthly PL'!Q2</f>
        <v>2021-22</v>
      </c>
      <c r="Q2" s="244" t="str">
        <f>'Monthly PL'!R2</f>
        <v>2021-22</v>
      </c>
      <c r="R2" s="244" t="str">
        <f>'Monthly PL'!S2</f>
        <v>2021-22</v>
      </c>
      <c r="S2" s="244" t="str">
        <f>'Monthly PL'!T2</f>
        <v>2021-22</v>
      </c>
      <c r="T2" s="244" t="str">
        <f>'Monthly PL'!U2</f>
        <v>2021-22</v>
      </c>
      <c r="U2" s="244" t="str">
        <f>'Monthly PL'!V2</f>
        <v>2021-22</v>
      </c>
      <c r="V2" s="244" t="str">
        <f>'Monthly PL'!W2</f>
        <v>2021-22</v>
      </c>
      <c r="W2" s="244" t="str">
        <f>'Monthly PL'!X2</f>
        <v>2022-23</v>
      </c>
      <c r="X2" s="244" t="str">
        <f>'Monthly PL'!Y2</f>
        <v>2022-23</v>
      </c>
      <c r="Y2" s="244" t="str">
        <f>'Monthly PL'!Z2</f>
        <v>2022-23</v>
      </c>
      <c r="Z2" s="244" t="str">
        <f>'Monthly PL'!AA2</f>
        <v>2022-23</v>
      </c>
      <c r="AA2" s="244" t="str">
        <f>'Monthly PL'!AB2</f>
        <v>2022-23</v>
      </c>
      <c r="AB2" s="244" t="str">
        <f>'Monthly PL'!AC2</f>
        <v>2022-23</v>
      </c>
      <c r="AC2" s="244" t="str">
        <f>'Monthly PL'!AD2</f>
        <v>2022-23</v>
      </c>
      <c r="AD2" s="244" t="str">
        <f>'Monthly PL'!AE2</f>
        <v>2022-23</v>
      </c>
      <c r="AE2" s="244" t="str">
        <f>'Monthly PL'!AF2</f>
        <v>2022-23</v>
      </c>
      <c r="AF2" s="244" t="str">
        <f>'Monthly PL'!AG2</f>
        <v>2022-23</v>
      </c>
      <c r="AG2" s="244" t="str">
        <f>'Monthly PL'!AH2</f>
        <v>2022-23</v>
      </c>
      <c r="AH2" s="244" t="str">
        <f>'Monthly PL'!AI2</f>
        <v>2022-23</v>
      </c>
      <c r="AI2" s="244" t="str">
        <f>'Monthly PL'!AJ2</f>
        <v>2023-24</v>
      </c>
      <c r="AJ2" s="244" t="str">
        <f>'Monthly PL'!AK2</f>
        <v>2023-24</v>
      </c>
      <c r="AK2" s="244" t="str">
        <f>'Monthly PL'!AL2</f>
        <v>2023-24</v>
      </c>
      <c r="AL2" s="244" t="str">
        <f>'Monthly PL'!AM2</f>
        <v>2023-24</v>
      </c>
      <c r="AM2" s="244" t="str">
        <f>'Monthly PL'!AN2</f>
        <v>2023-24</v>
      </c>
      <c r="AN2" s="244" t="str">
        <f>'Monthly PL'!AO2</f>
        <v>2023-24</v>
      </c>
      <c r="AO2" s="244" t="str">
        <f>'Monthly PL'!AP2</f>
        <v>2023-24</v>
      </c>
      <c r="AP2" s="244" t="str">
        <f>'Monthly PL'!AQ2</f>
        <v>2023-24</v>
      </c>
      <c r="AQ2" s="244" t="str">
        <f>'Monthly PL'!AR2</f>
        <v>2023-24</v>
      </c>
      <c r="AR2" s="244" t="str">
        <f>'Monthly PL'!AS2</f>
        <v>2023-24</v>
      </c>
      <c r="AS2" s="244" t="str">
        <f>'Monthly PL'!AT2</f>
        <v>2023-24</v>
      </c>
      <c r="AT2" s="244" t="str">
        <f>'Monthly PL'!AU2</f>
        <v>2023-24</v>
      </c>
      <c r="AU2" s="244" t="str">
        <f>'Monthly PL'!AV2</f>
        <v>2024-25</v>
      </c>
      <c r="AV2" s="244" t="str">
        <f>'Monthly PL'!AW2</f>
        <v>2024-25</v>
      </c>
      <c r="AW2" s="244" t="str">
        <f>'Monthly PL'!AX2</f>
        <v>2024-25</v>
      </c>
      <c r="AX2" s="244" t="str">
        <f>'Monthly PL'!AY2</f>
        <v>2024-25</v>
      </c>
      <c r="AY2" s="244" t="str">
        <f>'Monthly PL'!AZ2</f>
        <v>2024-25</v>
      </c>
      <c r="AZ2" s="244" t="str">
        <f>'Monthly PL'!BA2</f>
        <v>2024-25</v>
      </c>
      <c r="BA2" s="244" t="str">
        <f>'Monthly PL'!BB2</f>
        <v>2024-25</v>
      </c>
      <c r="BB2" s="244" t="str">
        <f>'Monthly PL'!BC2</f>
        <v>2024-25</v>
      </c>
      <c r="BC2" s="244" t="str">
        <f>'Monthly PL'!BD2</f>
        <v>2024-25</v>
      </c>
      <c r="BD2" s="244" t="str">
        <f>'Monthly PL'!BE2</f>
        <v>2024-25</v>
      </c>
      <c r="BE2" s="244" t="str">
        <f>'Monthly PL'!BF2</f>
        <v>2024-25</v>
      </c>
      <c r="BF2" s="244" t="str">
        <f>'Monthly PL'!BG2</f>
        <v>2024-25</v>
      </c>
      <c r="BG2" s="244" t="str">
        <f>'Monthly PL'!BH2</f>
        <v>2025-26</v>
      </c>
      <c r="BH2" s="244" t="str">
        <f>'Monthly PL'!BI2</f>
        <v>2025-26</v>
      </c>
      <c r="BI2" s="244" t="str">
        <f>'Monthly PL'!BJ2</f>
        <v>2025-26</v>
      </c>
      <c r="BJ2" s="244" t="str">
        <f>'Monthly PL'!BK2</f>
        <v>2025-26</v>
      </c>
      <c r="BK2" s="244" t="str">
        <f>'Monthly PL'!BL2</f>
        <v>2025-26</v>
      </c>
      <c r="BL2" s="244" t="str">
        <f>'Monthly PL'!BM2</f>
        <v>2025-26</v>
      </c>
      <c r="BM2" s="244" t="str">
        <f>'Monthly PL'!BN2</f>
        <v>2025-26</v>
      </c>
      <c r="BN2" s="244" t="str">
        <f>'Monthly PL'!BO2</f>
        <v>2025-26</v>
      </c>
      <c r="BO2" s="244" t="str">
        <f>'Monthly PL'!BP2</f>
        <v>2025-26</v>
      </c>
      <c r="BP2" s="244" t="str">
        <f>'Monthly PL'!BQ2</f>
        <v>2025-26</v>
      </c>
      <c r="BQ2" s="244" t="str">
        <f>'Monthly PL'!BR2</f>
        <v>2025-26</v>
      </c>
      <c r="BR2" s="244" t="str">
        <f>'Monthly PL'!BS2</f>
        <v>2025-26</v>
      </c>
      <c r="BS2" s="244" t="str">
        <f>'Monthly PL'!BT2</f>
        <v>2026-27</v>
      </c>
      <c r="BT2" s="244" t="str">
        <f>'Monthly PL'!BU2</f>
        <v>2026-27</v>
      </c>
      <c r="BU2" s="244" t="str">
        <f>'Monthly PL'!BV2</f>
        <v>2026-27</v>
      </c>
      <c r="BV2" s="244" t="str">
        <f>'Monthly PL'!BW2</f>
        <v>2026-27</v>
      </c>
      <c r="BW2" s="244" t="str">
        <f>'Monthly PL'!BX2</f>
        <v>2026-27</v>
      </c>
      <c r="BX2" s="244" t="str">
        <f>'Monthly PL'!BY2</f>
        <v>2026-27</v>
      </c>
      <c r="BY2" s="244" t="str">
        <f>'Monthly PL'!BZ2</f>
        <v>2026-27</v>
      </c>
      <c r="BZ2" s="244" t="str">
        <f>'Monthly PL'!CA2</f>
        <v>2026-27</v>
      </c>
      <c r="CA2" s="244" t="str">
        <f>'Monthly PL'!CB2</f>
        <v>2026-27</v>
      </c>
      <c r="CB2" s="244" t="str">
        <f>'Monthly PL'!CC2</f>
        <v>2026-27</v>
      </c>
      <c r="CC2" s="244" t="str">
        <f>'Monthly PL'!CD2</f>
        <v>2026-27</v>
      </c>
      <c r="CD2" s="244" t="str">
        <f>'Monthly PL'!CE2</f>
        <v>2026-27</v>
      </c>
      <c r="CE2" s="244" t="str">
        <f>'Monthly PL'!CF2</f>
        <v>2027-28</v>
      </c>
      <c r="CF2" s="244" t="str">
        <f>'Monthly PL'!CG2</f>
        <v>2027-28</v>
      </c>
      <c r="CG2" s="244" t="str">
        <f>'Monthly PL'!CH2</f>
        <v>2027-28</v>
      </c>
      <c r="CH2" s="244" t="str">
        <f>'Monthly PL'!CI2</f>
        <v>2027-28</v>
      </c>
      <c r="CI2" s="244" t="str">
        <f>'Monthly PL'!CJ2</f>
        <v>2027-28</v>
      </c>
      <c r="CJ2" s="244" t="str">
        <f>'Monthly PL'!CK2</f>
        <v>2027-28</v>
      </c>
      <c r="CK2" s="244" t="str">
        <f>'Monthly PL'!CL2</f>
        <v>2027-28</v>
      </c>
      <c r="CL2" s="244" t="str">
        <f>'Monthly PL'!CM2</f>
        <v>2027-28</v>
      </c>
      <c r="CM2" s="244" t="str">
        <f>'Monthly PL'!CN2</f>
        <v>2027-28</v>
      </c>
      <c r="CN2" s="244" t="str">
        <f>'Monthly PL'!CO2</f>
        <v>2027-28</v>
      </c>
      <c r="CO2" s="244" t="str">
        <f>'Monthly PL'!CP2</f>
        <v>2027-28</v>
      </c>
      <c r="CP2" s="244" t="str">
        <f>'Monthly PL'!CQ2</f>
        <v>2027-28</v>
      </c>
      <c r="CQ2" s="244" t="str">
        <f>'Monthly PL'!CR2</f>
        <v>2028-29</v>
      </c>
      <c r="CR2" s="244" t="str">
        <f>'Monthly PL'!CS2</f>
        <v>2028-29</v>
      </c>
      <c r="CS2" s="244" t="str">
        <f>'Monthly PL'!CT2</f>
        <v>2028-29</v>
      </c>
      <c r="CT2" s="244" t="str">
        <f>'Monthly PL'!CU2</f>
        <v>2028-29</v>
      </c>
      <c r="CU2" s="244" t="str">
        <f>'Monthly PL'!CV2</f>
        <v>2028-29</v>
      </c>
      <c r="CV2" s="244" t="str">
        <f>'Monthly PL'!CW2</f>
        <v>2028-29</v>
      </c>
    </row>
    <row r="3" spans="1:106" ht="12" customHeight="1">
      <c r="A3" s="240" t="s">
        <v>207</v>
      </c>
      <c r="B3" s="245">
        <f>'Monthly PL'!C3</f>
        <v>44043</v>
      </c>
      <c r="C3" s="245">
        <f>'Monthly PL'!D3</f>
        <v>44074</v>
      </c>
      <c r="D3" s="245">
        <f>'Monthly PL'!E3</f>
        <v>44104</v>
      </c>
      <c r="E3" s="245">
        <f>'Monthly PL'!F3</f>
        <v>44135</v>
      </c>
      <c r="F3" s="245">
        <f>'Monthly PL'!G3</f>
        <v>44165</v>
      </c>
      <c r="G3" s="245">
        <f>'Monthly PL'!H3</f>
        <v>44196</v>
      </c>
      <c r="H3" s="245">
        <f>'Monthly PL'!I3</f>
        <v>44227</v>
      </c>
      <c r="I3" s="245">
        <f>'Monthly PL'!J3</f>
        <v>44255</v>
      </c>
      <c r="J3" s="245">
        <f>'Monthly PL'!K3</f>
        <v>44286</v>
      </c>
      <c r="K3" s="245">
        <f>'Monthly PL'!L3</f>
        <v>44316</v>
      </c>
      <c r="L3" s="245">
        <f>'Monthly PL'!M3</f>
        <v>44347</v>
      </c>
      <c r="M3" s="245">
        <f>'Monthly PL'!N3</f>
        <v>44377</v>
      </c>
      <c r="N3" s="245">
        <f>'Monthly PL'!O3</f>
        <v>44408</v>
      </c>
      <c r="O3" s="245">
        <f>'Monthly PL'!P3</f>
        <v>44439</v>
      </c>
      <c r="P3" s="245">
        <f>'Monthly PL'!Q3</f>
        <v>44469</v>
      </c>
      <c r="Q3" s="245">
        <f>'Monthly PL'!R3</f>
        <v>44500</v>
      </c>
      <c r="R3" s="245">
        <f>'Monthly PL'!S3</f>
        <v>44530</v>
      </c>
      <c r="S3" s="245">
        <f>'Monthly PL'!T3</f>
        <v>44561</v>
      </c>
      <c r="T3" s="245">
        <f>'Monthly PL'!U3</f>
        <v>44592</v>
      </c>
      <c r="U3" s="245">
        <f>'Monthly PL'!V3</f>
        <v>44620</v>
      </c>
      <c r="V3" s="245">
        <f>'Monthly PL'!W3</f>
        <v>44651</v>
      </c>
      <c r="W3" s="245">
        <f>'Monthly PL'!X3</f>
        <v>44681</v>
      </c>
      <c r="X3" s="245">
        <f>'Monthly PL'!Y3</f>
        <v>44712</v>
      </c>
      <c r="Y3" s="245">
        <f>'Monthly PL'!Z3</f>
        <v>44742</v>
      </c>
      <c r="Z3" s="245">
        <f>'Monthly PL'!AA3</f>
        <v>44773</v>
      </c>
      <c r="AA3" s="245">
        <f>'Monthly PL'!AB3</f>
        <v>44804</v>
      </c>
      <c r="AB3" s="245">
        <f>'Monthly PL'!AC3</f>
        <v>44834</v>
      </c>
      <c r="AC3" s="245">
        <f>'Monthly PL'!AD3</f>
        <v>44865</v>
      </c>
      <c r="AD3" s="245">
        <f>'Monthly PL'!AE3</f>
        <v>44895</v>
      </c>
      <c r="AE3" s="245">
        <f>'Monthly PL'!AF3</f>
        <v>44926</v>
      </c>
      <c r="AF3" s="245">
        <f>'Monthly PL'!AG3</f>
        <v>44957</v>
      </c>
      <c r="AG3" s="245">
        <f>'Monthly PL'!AH3</f>
        <v>44985</v>
      </c>
      <c r="AH3" s="245">
        <f>'Monthly PL'!AI3</f>
        <v>45016</v>
      </c>
      <c r="AI3" s="245">
        <f>'Monthly PL'!AJ3</f>
        <v>45046</v>
      </c>
      <c r="AJ3" s="245">
        <f>'Monthly PL'!AK3</f>
        <v>45077</v>
      </c>
      <c r="AK3" s="245">
        <f>'Monthly PL'!AL3</f>
        <v>45107</v>
      </c>
      <c r="AL3" s="245">
        <f>'Monthly PL'!AM3</f>
        <v>45138</v>
      </c>
      <c r="AM3" s="245">
        <f>'Monthly PL'!AN3</f>
        <v>45169</v>
      </c>
      <c r="AN3" s="245">
        <f>'Monthly PL'!AO3</f>
        <v>45199</v>
      </c>
      <c r="AO3" s="245">
        <f>'Monthly PL'!AP3</f>
        <v>45230</v>
      </c>
      <c r="AP3" s="245">
        <f>'Monthly PL'!AQ3</f>
        <v>45260</v>
      </c>
      <c r="AQ3" s="245">
        <f>'Monthly PL'!AR3</f>
        <v>45291</v>
      </c>
      <c r="AR3" s="245">
        <f>'Monthly PL'!AS3</f>
        <v>45322</v>
      </c>
      <c r="AS3" s="245">
        <f>'Monthly PL'!AT3</f>
        <v>45351</v>
      </c>
      <c r="AT3" s="245">
        <f>'Monthly PL'!AU3</f>
        <v>45382</v>
      </c>
      <c r="AU3" s="245">
        <f>'Monthly PL'!AV3</f>
        <v>45412</v>
      </c>
      <c r="AV3" s="245">
        <f>'Monthly PL'!AW3</f>
        <v>45443</v>
      </c>
      <c r="AW3" s="245">
        <f>'Monthly PL'!AX3</f>
        <v>45473</v>
      </c>
      <c r="AX3" s="245">
        <f>'Monthly PL'!AY3</f>
        <v>45504</v>
      </c>
      <c r="AY3" s="245">
        <f>'Monthly PL'!AZ3</f>
        <v>45535</v>
      </c>
      <c r="AZ3" s="245">
        <f>'Monthly PL'!BA3</f>
        <v>45565</v>
      </c>
      <c r="BA3" s="245">
        <f>'Monthly PL'!BB3</f>
        <v>45596</v>
      </c>
      <c r="BB3" s="245">
        <f>'Monthly PL'!BC3</f>
        <v>45626</v>
      </c>
      <c r="BC3" s="245">
        <f>'Monthly PL'!BD3</f>
        <v>45657</v>
      </c>
      <c r="BD3" s="245">
        <f>'Monthly PL'!BE3</f>
        <v>45688</v>
      </c>
      <c r="BE3" s="245">
        <f>'Monthly PL'!BF3</f>
        <v>45716</v>
      </c>
      <c r="BF3" s="245">
        <f>'Monthly PL'!BG3</f>
        <v>45747</v>
      </c>
      <c r="BG3" s="245">
        <f>'Monthly PL'!BH3</f>
        <v>45777</v>
      </c>
      <c r="BH3" s="245">
        <f>'Monthly PL'!BI3</f>
        <v>45808</v>
      </c>
      <c r="BI3" s="245">
        <f>'Monthly PL'!BJ3</f>
        <v>45838</v>
      </c>
      <c r="BJ3" s="245">
        <f>'Monthly PL'!BK3</f>
        <v>45869</v>
      </c>
      <c r="BK3" s="245">
        <f>'Monthly PL'!BL3</f>
        <v>45900</v>
      </c>
      <c r="BL3" s="245">
        <f>'Monthly PL'!BM3</f>
        <v>45930</v>
      </c>
      <c r="BM3" s="245">
        <f>'Monthly PL'!BN3</f>
        <v>45961</v>
      </c>
      <c r="BN3" s="245">
        <f>'Monthly PL'!BO3</f>
        <v>45991</v>
      </c>
      <c r="BO3" s="245">
        <f>'Monthly PL'!BP3</f>
        <v>46022</v>
      </c>
      <c r="BP3" s="245">
        <f>'Monthly PL'!BQ3</f>
        <v>46053</v>
      </c>
      <c r="BQ3" s="245">
        <f>'Monthly PL'!BR3</f>
        <v>46081</v>
      </c>
      <c r="BR3" s="245">
        <f>'Monthly PL'!BS3</f>
        <v>46112</v>
      </c>
      <c r="BS3" s="245">
        <f>'Monthly PL'!BT3</f>
        <v>46142</v>
      </c>
      <c r="BT3" s="245">
        <f>'Monthly PL'!BU3</f>
        <v>46173</v>
      </c>
      <c r="BU3" s="245">
        <f>'Monthly PL'!BV3</f>
        <v>46203</v>
      </c>
      <c r="BV3" s="245">
        <f>'Monthly PL'!BW3</f>
        <v>46234</v>
      </c>
      <c r="BW3" s="245">
        <f>'Monthly PL'!BX3</f>
        <v>46265</v>
      </c>
      <c r="BX3" s="245">
        <f>'Monthly PL'!BY3</f>
        <v>46295</v>
      </c>
      <c r="BY3" s="245">
        <f>'Monthly PL'!BZ3</f>
        <v>46326</v>
      </c>
      <c r="BZ3" s="245">
        <f>'Monthly PL'!CA3</f>
        <v>46356</v>
      </c>
      <c r="CA3" s="245">
        <f>'Monthly PL'!CB3</f>
        <v>46387</v>
      </c>
      <c r="CB3" s="245">
        <f>'Monthly PL'!CC3</f>
        <v>46418</v>
      </c>
      <c r="CC3" s="245">
        <f>'Monthly PL'!CD3</f>
        <v>46446</v>
      </c>
      <c r="CD3" s="245">
        <f>'Monthly PL'!CE3</f>
        <v>46477</v>
      </c>
      <c r="CE3" s="245">
        <f>'Monthly PL'!CF3</f>
        <v>46507</v>
      </c>
      <c r="CF3" s="245">
        <f>'Monthly PL'!CG3</f>
        <v>46538</v>
      </c>
      <c r="CG3" s="245">
        <f>'Monthly PL'!CH3</f>
        <v>46568</v>
      </c>
      <c r="CH3" s="245">
        <f>'Monthly PL'!CI3</f>
        <v>46599</v>
      </c>
      <c r="CI3" s="245">
        <f>'Monthly PL'!CJ3</f>
        <v>46630</v>
      </c>
      <c r="CJ3" s="245">
        <f>'Monthly PL'!CK3</f>
        <v>46660</v>
      </c>
      <c r="CK3" s="245">
        <f>'Monthly PL'!CL3</f>
        <v>46691</v>
      </c>
      <c r="CL3" s="245">
        <f>'Monthly PL'!CM3</f>
        <v>46721</v>
      </c>
      <c r="CM3" s="245">
        <f>'Monthly PL'!CN3</f>
        <v>46752</v>
      </c>
      <c r="CN3" s="245">
        <f>'Monthly PL'!CO3</f>
        <v>46783</v>
      </c>
      <c r="CO3" s="245">
        <f>'Monthly PL'!CP3</f>
        <v>46812</v>
      </c>
      <c r="CP3" s="245">
        <f>'Monthly PL'!CQ3</f>
        <v>46843</v>
      </c>
      <c r="CQ3" s="245">
        <f>'Monthly PL'!CR3</f>
        <v>46873</v>
      </c>
      <c r="CR3" s="245">
        <f>'Monthly PL'!CS3</f>
        <v>46904</v>
      </c>
      <c r="CS3" s="245">
        <f>'Monthly PL'!CT3</f>
        <v>46934</v>
      </c>
      <c r="CT3" s="245">
        <f>'Monthly PL'!CU3</f>
        <v>46965</v>
      </c>
      <c r="CU3" s="245">
        <f>'Monthly PL'!CV3</f>
        <v>46996</v>
      </c>
      <c r="CV3" s="245">
        <f>'Monthly PL'!CW3</f>
        <v>47026</v>
      </c>
    </row>
    <row r="4" spans="1:106" ht="12" customHeight="1">
      <c r="A4" s="246" t="s">
        <v>138</v>
      </c>
      <c r="B4" s="63">
        <v>171.26</v>
      </c>
      <c r="C4" s="62">
        <f>B15</f>
        <v>171.26</v>
      </c>
      <c r="D4" s="62">
        <f t="shared" ref="D4:BO4" si="1">C15</f>
        <v>171.26</v>
      </c>
      <c r="E4" s="62">
        <f t="shared" si="1"/>
        <v>171.26</v>
      </c>
      <c r="F4" s="62">
        <f t="shared" si="1"/>
        <v>171.26</v>
      </c>
      <c r="G4" s="62">
        <f t="shared" si="1"/>
        <v>171.26</v>
      </c>
      <c r="H4" s="62">
        <f t="shared" si="1"/>
        <v>171.26</v>
      </c>
      <c r="I4" s="62">
        <f t="shared" si="1"/>
        <v>171.26</v>
      </c>
      <c r="J4" s="62">
        <f t="shared" si="1"/>
        <v>171.26</v>
      </c>
      <c r="K4" s="62">
        <f t="shared" si="1"/>
        <v>171.26</v>
      </c>
      <c r="L4" s="62">
        <f t="shared" si="1"/>
        <v>171.26</v>
      </c>
      <c r="M4" s="62">
        <f t="shared" si="1"/>
        <v>171.26</v>
      </c>
      <c r="N4" s="62">
        <f t="shared" si="1"/>
        <v>171.26</v>
      </c>
      <c r="O4" s="62">
        <f t="shared" si="1"/>
        <v>171.26</v>
      </c>
      <c r="P4" s="62">
        <f t="shared" si="1"/>
        <v>171.26</v>
      </c>
      <c r="Q4" s="62">
        <f t="shared" si="1"/>
        <v>171.26</v>
      </c>
      <c r="R4" s="62">
        <f t="shared" si="1"/>
        <v>171.26</v>
      </c>
      <c r="S4" s="62">
        <f t="shared" si="1"/>
        <v>171.26</v>
      </c>
      <c r="T4" s="62">
        <f t="shared" si="1"/>
        <v>210.76</v>
      </c>
      <c r="U4" s="62">
        <f t="shared" si="1"/>
        <v>210.76</v>
      </c>
      <c r="V4" s="62">
        <f t="shared" si="1"/>
        <v>210.76</v>
      </c>
      <c r="W4" s="62">
        <f>V15</f>
        <v>208.26</v>
      </c>
      <c r="X4" s="62">
        <f t="shared" si="1"/>
        <v>208.26</v>
      </c>
      <c r="Y4" s="62">
        <f t="shared" si="1"/>
        <v>208.26</v>
      </c>
      <c r="Z4" s="62">
        <f t="shared" si="1"/>
        <v>207.01</v>
      </c>
      <c r="AA4" s="62">
        <f t="shared" si="1"/>
        <v>93.154499999999985</v>
      </c>
      <c r="AB4" s="62">
        <f t="shared" si="1"/>
        <v>146.90449999999998</v>
      </c>
      <c r="AC4" s="62">
        <f t="shared" si="1"/>
        <v>146.90449999999998</v>
      </c>
      <c r="AD4" s="62">
        <f t="shared" si="1"/>
        <v>146.90449999999998</v>
      </c>
      <c r="AE4" s="62">
        <f t="shared" si="1"/>
        <v>146.90449999999998</v>
      </c>
      <c r="AF4" s="62">
        <f t="shared" si="1"/>
        <v>146.90449999999998</v>
      </c>
      <c r="AG4" s="62">
        <f t="shared" si="1"/>
        <v>146.90449999999998</v>
      </c>
      <c r="AH4" s="62">
        <f t="shared" si="1"/>
        <v>146.90449999999998</v>
      </c>
      <c r="AI4" s="62">
        <f t="shared" si="1"/>
        <v>146.90449999999998</v>
      </c>
      <c r="AJ4" s="62">
        <f t="shared" si="1"/>
        <v>146.90449999999998</v>
      </c>
      <c r="AK4" s="62">
        <f t="shared" si="1"/>
        <v>146.90449999999998</v>
      </c>
      <c r="AL4" s="62">
        <f t="shared" si="1"/>
        <v>146.90449999999998</v>
      </c>
      <c r="AM4" s="62">
        <f t="shared" si="1"/>
        <v>146.90449999999998</v>
      </c>
      <c r="AN4" s="62">
        <f t="shared" si="1"/>
        <v>146.90449999999998</v>
      </c>
      <c r="AO4" s="62">
        <f t="shared" si="1"/>
        <v>146.90449999999998</v>
      </c>
      <c r="AP4" s="62">
        <f t="shared" si="1"/>
        <v>146.90449999999998</v>
      </c>
      <c r="AQ4" s="62">
        <f t="shared" si="1"/>
        <v>146.90449999999998</v>
      </c>
      <c r="AR4" s="62">
        <f t="shared" si="1"/>
        <v>146.90449999999998</v>
      </c>
      <c r="AS4" s="62">
        <f t="shared" si="1"/>
        <v>146.90449999999998</v>
      </c>
      <c r="AT4" s="62">
        <f t="shared" si="1"/>
        <v>146.90449999999998</v>
      </c>
      <c r="AU4" s="62">
        <f t="shared" si="1"/>
        <v>145.43545499999999</v>
      </c>
      <c r="AV4" s="62">
        <f t="shared" si="1"/>
        <v>145.43545499999999</v>
      </c>
      <c r="AW4" s="62">
        <f t="shared" si="1"/>
        <v>145.43545499999999</v>
      </c>
      <c r="AX4" s="62">
        <f t="shared" si="1"/>
        <v>141.02831999999998</v>
      </c>
      <c r="AY4" s="62">
        <f t="shared" si="1"/>
        <v>141.02831999999998</v>
      </c>
      <c r="AZ4" s="62">
        <f t="shared" si="1"/>
        <v>141.02831999999998</v>
      </c>
      <c r="BA4" s="62">
        <f t="shared" si="1"/>
        <v>136.62118499999997</v>
      </c>
      <c r="BB4" s="62">
        <f t="shared" si="1"/>
        <v>136.62118499999997</v>
      </c>
      <c r="BC4" s="62">
        <f t="shared" si="1"/>
        <v>136.62118499999997</v>
      </c>
      <c r="BD4" s="62">
        <f t="shared" si="1"/>
        <v>132.21404999999996</v>
      </c>
      <c r="BE4" s="62">
        <f t="shared" si="1"/>
        <v>132.21404999999996</v>
      </c>
      <c r="BF4" s="62">
        <f t="shared" si="1"/>
        <v>132.21404999999996</v>
      </c>
      <c r="BG4" s="62">
        <f t="shared" si="1"/>
        <v>126.33786999999995</v>
      </c>
      <c r="BH4" s="62">
        <f t="shared" si="1"/>
        <v>126.33786999999995</v>
      </c>
      <c r="BI4" s="62">
        <f t="shared" si="1"/>
        <v>126.33786999999995</v>
      </c>
      <c r="BJ4" s="62">
        <f t="shared" si="1"/>
        <v>120.46168999999995</v>
      </c>
      <c r="BK4" s="62">
        <f t="shared" si="1"/>
        <v>120.46168999999995</v>
      </c>
      <c r="BL4" s="62">
        <f t="shared" si="1"/>
        <v>120.46168999999995</v>
      </c>
      <c r="BM4" s="62">
        <f t="shared" si="1"/>
        <v>114.58550999999994</v>
      </c>
      <c r="BN4" s="62">
        <f t="shared" si="1"/>
        <v>114.58550999999994</v>
      </c>
      <c r="BO4" s="62">
        <f t="shared" si="1"/>
        <v>114.58550999999994</v>
      </c>
      <c r="BP4" s="62">
        <f t="shared" ref="BP4:CV4" si="2">BO15</f>
        <v>108.70932999999994</v>
      </c>
      <c r="BQ4" s="62">
        <f t="shared" si="2"/>
        <v>108.70932999999994</v>
      </c>
      <c r="BR4" s="62">
        <f t="shared" si="2"/>
        <v>108.70932999999994</v>
      </c>
      <c r="BS4" s="62">
        <f t="shared" si="2"/>
        <v>101.73136624999994</v>
      </c>
      <c r="BT4" s="62">
        <f t="shared" si="2"/>
        <v>101.73136624999994</v>
      </c>
      <c r="BU4" s="62">
        <f t="shared" si="2"/>
        <v>101.73136624999994</v>
      </c>
      <c r="BV4" s="62">
        <f t="shared" si="2"/>
        <v>94.753402499999936</v>
      </c>
      <c r="BW4" s="62">
        <f t="shared" si="2"/>
        <v>94.753402499999936</v>
      </c>
      <c r="BX4" s="62">
        <f t="shared" si="2"/>
        <v>94.753402499999936</v>
      </c>
      <c r="BY4" s="62">
        <f t="shared" si="2"/>
        <v>87.775438749999935</v>
      </c>
      <c r="BZ4" s="62">
        <f t="shared" si="2"/>
        <v>87.775438749999935</v>
      </c>
      <c r="CA4" s="62">
        <f t="shared" si="2"/>
        <v>87.775438749999935</v>
      </c>
      <c r="CB4" s="62">
        <f t="shared" si="2"/>
        <v>80.797474999999935</v>
      </c>
      <c r="CC4" s="62">
        <f t="shared" si="2"/>
        <v>80.797474999999935</v>
      </c>
      <c r="CD4" s="62">
        <f t="shared" si="2"/>
        <v>80.797474999999935</v>
      </c>
      <c r="CE4" s="62">
        <f t="shared" si="2"/>
        <v>73.819511249999934</v>
      </c>
      <c r="CF4" s="62">
        <f t="shared" si="2"/>
        <v>73.819511249999934</v>
      </c>
      <c r="CG4" s="62">
        <f t="shared" si="2"/>
        <v>73.819511249999934</v>
      </c>
      <c r="CH4" s="62">
        <f t="shared" si="2"/>
        <v>64.270718749999929</v>
      </c>
      <c r="CI4" s="62">
        <f t="shared" si="2"/>
        <v>64.270718749999929</v>
      </c>
      <c r="CJ4" s="62">
        <f t="shared" si="2"/>
        <v>64.270718749999929</v>
      </c>
      <c r="CK4" s="62">
        <f t="shared" si="2"/>
        <v>54.721926249999932</v>
      </c>
      <c r="CL4" s="62">
        <f t="shared" si="2"/>
        <v>54.721926249999932</v>
      </c>
      <c r="CM4" s="62">
        <f t="shared" si="2"/>
        <v>54.721926249999932</v>
      </c>
      <c r="CN4" s="62">
        <f t="shared" si="2"/>
        <v>41.500521249999935</v>
      </c>
      <c r="CO4" s="62">
        <f t="shared" si="2"/>
        <v>41.500521249999935</v>
      </c>
      <c r="CP4" s="62">
        <f t="shared" si="2"/>
        <v>41.500521249999935</v>
      </c>
      <c r="CQ4" s="62">
        <f t="shared" si="2"/>
        <v>28.279116249999937</v>
      </c>
      <c r="CR4" s="62">
        <f t="shared" si="2"/>
        <v>28.279116249999937</v>
      </c>
      <c r="CS4" s="62">
        <f t="shared" si="2"/>
        <v>28.279116249999937</v>
      </c>
      <c r="CT4" s="62">
        <f t="shared" si="2"/>
        <v>14.32318874999994</v>
      </c>
      <c r="CU4" s="62">
        <f t="shared" si="2"/>
        <v>14.32318874999994</v>
      </c>
      <c r="CV4" s="62">
        <f t="shared" si="2"/>
        <v>14.32318874999994</v>
      </c>
    </row>
    <row r="5" spans="1:106" ht="12" customHeight="1">
      <c r="A5" s="246" t="s">
        <v>208</v>
      </c>
      <c r="B5" s="62">
        <v>0</v>
      </c>
      <c r="C5" s="62">
        <v>0</v>
      </c>
      <c r="D5" s="62">
        <v>0</v>
      </c>
      <c r="E5" s="62">
        <v>0</v>
      </c>
      <c r="F5" s="62">
        <v>0</v>
      </c>
      <c r="G5" s="62">
        <v>0</v>
      </c>
      <c r="H5" s="62">
        <v>0</v>
      </c>
      <c r="I5" s="62">
        <v>0</v>
      </c>
      <c r="J5" s="62">
        <v>0</v>
      </c>
      <c r="K5" s="62">
        <f>'CF Capex'!K39</f>
        <v>0</v>
      </c>
      <c r="L5" s="62">
        <f>'CF Capex'!L39</f>
        <v>0</v>
      </c>
      <c r="M5" s="62">
        <f>'CF Capex'!M39</f>
        <v>0</v>
      </c>
      <c r="N5" s="62">
        <f>'CF Capex'!N39</f>
        <v>0</v>
      </c>
      <c r="O5" s="62">
        <f>'CF Capex'!O39</f>
        <v>0</v>
      </c>
      <c r="P5" s="64">
        <v>0</v>
      </c>
      <c r="Q5" s="62">
        <v>0</v>
      </c>
      <c r="R5" s="62">
        <v>0</v>
      </c>
      <c r="S5" s="62">
        <v>0</v>
      </c>
      <c r="T5" s="62">
        <v>0</v>
      </c>
      <c r="U5" s="62">
        <v>0</v>
      </c>
      <c r="V5" s="62">
        <v>0</v>
      </c>
      <c r="W5" s="62">
        <v>0</v>
      </c>
      <c r="X5" s="62">
        <v>0</v>
      </c>
      <c r="Y5" s="62">
        <v>0</v>
      </c>
      <c r="Z5" s="62">
        <v>0</v>
      </c>
      <c r="AA5" s="62">
        <v>0</v>
      </c>
      <c r="AB5" s="62">
        <v>0</v>
      </c>
      <c r="AC5" s="62">
        <v>0</v>
      </c>
      <c r="AD5" s="62">
        <v>0</v>
      </c>
      <c r="AE5" s="62">
        <v>0</v>
      </c>
      <c r="AF5" s="62">
        <v>0</v>
      </c>
      <c r="AG5" s="62">
        <v>0</v>
      </c>
      <c r="AH5" s="62">
        <v>0</v>
      </c>
      <c r="AI5" s="62">
        <v>0</v>
      </c>
      <c r="AJ5" s="62">
        <v>0</v>
      </c>
      <c r="AK5" s="62">
        <v>0</v>
      </c>
      <c r="AL5" s="62">
        <v>0</v>
      </c>
      <c r="AM5" s="62">
        <v>0</v>
      </c>
      <c r="AN5" s="62">
        <v>0</v>
      </c>
      <c r="AO5" s="62">
        <v>0</v>
      </c>
      <c r="AP5" s="62">
        <v>0</v>
      </c>
      <c r="AQ5" s="62">
        <v>0</v>
      </c>
      <c r="AR5" s="62">
        <v>0</v>
      </c>
      <c r="AS5" s="62">
        <v>0</v>
      </c>
      <c r="AT5" s="62">
        <v>0</v>
      </c>
      <c r="AU5" s="62">
        <v>0</v>
      </c>
      <c r="AV5" s="62">
        <v>0</v>
      </c>
      <c r="AW5" s="62">
        <v>0</v>
      </c>
      <c r="AX5" s="62">
        <v>0</v>
      </c>
      <c r="AY5" s="62">
        <v>0</v>
      </c>
      <c r="AZ5" s="62">
        <v>0</v>
      </c>
      <c r="BA5" s="62">
        <v>0</v>
      </c>
      <c r="BB5" s="62">
        <v>0</v>
      </c>
      <c r="BC5" s="62">
        <v>0</v>
      </c>
      <c r="BD5" s="62">
        <v>0</v>
      </c>
      <c r="BE5" s="62">
        <v>0</v>
      </c>
      <c r="BF5" s="62">
        <v>0</v>
      </c>
      <c r="BG5" s="62">
        <v>0</v>
      </c>
      <c r="BH5" s="62">
        <v>0</v>
      </c>
      <c r="BI5" s="62">
        <v>0</v>
      </c>
      <c r="BJ5" s="62">
        <v>0</v>
      </c>
      <c r="BK5" s="62">
        <v>0</v>
      </c>
      <c r="BL5" s="62">
        <v>0</v>
      </c>
      <c r="BM5" s="62">
        <v>0</v>
      </c>
      <c r="BN5" s="62">
        <v>0</v>
      </c>
      <c r="BO5" s="62">
        <v>0</v>
      </c>
      <c r="BP5" s="62">
        <v>0</v>
      </c>
      <c r="BQ5" s="62">
        <v>0</v>
      </c>
      <c r="BR5" s="62">
        <v>0</v>
      </c>
      <c r="BS5" s="62">
        <v>0</v>
      </c>
      <c r="BT5" s="62">
        <v>0</v>
      </c>
      <c r="BU5" s="62">
        <v>0</v>
      </c>
      <c r="BV5" s="62">
        <v>0</v>
      </c>
      <c r="BW5" s="62">
        <v>0</v>
      </c>
      <c r="BX5" s="62">
        <v>0</v>
      </c>
      <c r="BY5" s="62">
        <v>0</v>
      </c>
      <c r="BZ5" s="62">
        <v>0</v>
      </c>
      <c r="CA5" s="62">
        <v>0</v>
      </c>
      <c r="CB5" s="62">
        <v>0</v>
      </c>
      <c r="CC5" s="62">
        <v>0</v>
      </c>
      <c r="CD5" s="62">
        <v>0</v>
      </c>
      <c r="CE5" s="62">
        <v>0</v>
      </c>
      <c r="CF5" s="62">
        <v>0</v>
      </c>
      <c r="CG5" s="62">
        <v>0</v>
      </c>
      <c r="CH5" s="62">
        <v>0</v>
      </c>
      <c r="CI5" s="62">
        <v>0</v>
      </c>
      <c r="CJ5" s="62">
        <v>0</v>
      </c>
      <c r="CK5" s="62">
        <v>0</v>
      </c>
      <c r="CL5" s="62">
        <v>0</v>
      </c>
      <c r="CM5" s="62">
        <v>0</v>
      </c>
      <c r="CN5" s="62">
        <v>0</v>
      </c>
      <c r="CO5" s="62">
        <v>0</v>
      </c>
      <c r="CP5" s="62">
        <v>0</v>
      </c>
      <c r="CQ5" s="62">
        <v>0</v>
      </c>
      <c r="CR5" s="62">
        <v>0</v>
      </c>
      <c r="CS5" s="62">
        <v>0</v>
      </c>
      <c r="CT5" s="62">
        <v>0</v>
      </c>
      <c r="CU5" s="62">
        <v>0</v>
      </c>
      <c r="CV5" s="62">
        <v>0</v>
      </c>
    </row>
    <row r="6" spans="1:106" ht="12" customHeight="1">
      <c r="A6" s="246" t="s">
        <v>100</v>
      </c>
      <c r="B6" s="62">
        <v>0</v>
      </c>
      <c r="C6" s="62">
        <v>0</v>
      </c>
      <c r="D6" s="62">
        <v>0</v>
      </c>
      <c r="E6" s="62">
        <v>0</v>
      </c>
      <c r="F6" s="62">
        <v>0</v>
      </c>
      <c r="G6" s="62">
        <v>0</v>
      </c>
      <c r="H6" s="50">
        <v>0</v>
      </c>
      <c r="I6" s="64">
        <v>0</v>
      </c>
      <c r="J6" s="64">
        <v>0</v>
      </c>
      <c r="K6" s="64">
        <v>0</v>
      </c>
      <c r="L6" s="64">
        <v>0</v>
      </c>
      <c r="M6" s="64">
        <v>0</v>
      </c>
      <c r="N6" s="64">
        <v>0</v>
      </c>
      <c r="O6" s="64">
        <v>0</v>
      </c>
      <c r="P6" s="64">
        <v>0</v>
      </c>
      <c r="Q6" s="64">
        <v>0</v>
      </c>
      <c r="R6" s="64">
        <v>0</v>
      </c>
      <c r="S6" s="62">
        <f>'Monthly BS'!R15</f>
        <v>2.9</v>
      </c>
      <c r="T6" s="64">
        <v>0</v>
      </c>
      <c r="U6" s="64">
        <v>0</v>
      </c>
      <c r="V6" s="64">
        <v>0</v>
      </c>
      <c r="W6" s="64">
        <v>0</v>
      </c>
      <c r="X6" s="64">
        <v>0</v>
      </c>
      <c r="Y6" s="64">
        <v>0</v>
      </c>
      <c r="Z6" s="64">
        <v>0</v>
      </c>
      <c r="AA6" s="64">
        <v>0</v>
      </c>
      <c r="AB6" s="64">
        <v>0</v>
      </c>
      <c r="AC6" s="64">
        <v>0</v>
      </c>
      <c r="AD6" s="64">
        <v>0</v>
      </c>
      <c r="AE6" s="64">
        <v>0</v>
      </c>
      <c r="AF6" s="64">
        <v>0</v>
      </c>
      <c r="AG6" s="64">
        <v>0</v>
      </c>
      <c r="AH6" s="64">
        <v>0</v>
      </c>
      <c r="AI6" s="64">
        <v>0</v>
      </c>
      <c r="AJ6" s="64">
        <v>0</v>
      </c>
      <c r="AK6" s="64">
        <v>0</v>
      </c>
      <c r="AL6" s="64">
        <v>0</v>
      </c>
      <c r="AM6" s="64">
        <v>0</v>
      </c>
      <c r="AN6" s="64">
        <v>0</v>
      </c>
      <c r="AO6" s="64">
        <v>0</v>
      </c>
      <c r="AP6" s="64">
        <v>0</v>
      </c>
      <c r="AQ6" s="64">
        <v>0</v>
      </c>
      <c r="AR6" s="64">
        <v>0</v>
      </c>
      <c r="AS6" s="64">
        <v>0</v>
      </c>
      <c r="AT6" s="64">
        <v>0</v>
      </c>
      <c r="AU6" s="64">
        <v>0</v>
      </c>
      <c r="AV6" s="64">
        <v>0</v>
      </c>
      <c r="AW6" s="64">
        <v>0</v>
      </c>
      <c r="AX6" s="64">
        <v>0</v>
      </c>
      <c r="AY6" s="64">
        <v>0</v>
      </c>
      <c r="AZ6" s="64">
        <v>0</v>
      </c>
      <c r="BA6" s="64">
        <v>0</v>
      </c>
      <c r="BB6" s="64">
        <v>0</v>
      </c>
      <c r="BC6" s="64">
        <v>0</v>
      </c>
      <c r="BD6" s="64">
        <v>0</v>
      </c>
      <c r="BE6" s="64">
        <v>0</v>
      </c>
      <c r="BF6" s="64">
        <v>0</v>
      </c>
      <c r="BG6" s="64">
        <v>0</v>
      </c>
      <c r="BH6" s="64">
        <v>0</v>
      </c>
      <c r="BI6" s="64">
        <v>0</v>
      </c>
      <c r="BJ6" s="64">
        <v>0</v>
      </c>
      <c r="BK6" s="64">
        <v>0</v>
      </c>
      <c r="BL6" s="64">
        <v>0</v>
      </c>
      <c r="BM6" s="64">
        <v>0</v>
      </c>
      <c r="BN6" s="64">
        <v>0</v>
      </c>
      <c r="BO6" s="64">
        <v>0</v>
      </c>
      <c r="BP6" s="64">
        <v>0</v>
      </c>
      <c r="BQ6" s="64">
        <v>0</v>
      </c>
      <c r="BR6" s="64">
        <v>0</v>
      </c>
      <c r="BS6" s="64">
        <v>0</v>
      </c>
      <c r="BT6" s="64">
        <v>0</v>
      </c>
      <c r="BU6" s="64">
        <v>0</v>
      </c>
      <c r="BV6" s="64">
        <v>0</v>
      </c>
      <c r="BW6" s="64">
        <v>0</v>
      </c>
      <c r="BX6" s="64">
        <v>0</v>
      </c>
      <c r="BY6" s="64">
        <v>0</v>
      </c>
      <c r="BZ6" s="64">
        <v>0</v>
      </c>
      <c r="CA6" s="64">
        <v>0</v>
      </c>
      <c r="CB6" s="64">
        <v>0</v>
      </c>
      <c r="CC6" s="64">
        <v>0</v>
      </c>
      <c r="CD6" s="64">
        <v>0</v>
      </c>
      <c r="CE6" s="64">
        <v>0</v>
      </c>
      <c r="CF6" s="64">
        <v>0</v>
      </c>
      <c r="CG6" s="64">
        <v>0</v>
      </c>
      <c r="CH6" s="64">
        <v>0</v>
      </c>
      <c r="CI6" s="64">
        <v>0</v>
      </c>
      <c r="CJ6" s="64">
        <v>0</v>
      </c>
      <c r="CK6" s="64">
        <v>0</v>
      </c>
      <c r="CL6" s="64">
        <v>0</v>
      </c>
      <c r="CM6" s="64">
        <v>0</v>
      </c>
      <c r="CN6" s="64">
        <v>0</v>
      </c>
      <c r="CO6" s="64">
        <v>0</v>
      </c>
      <c r="CP6" s="64">
        <v>0</v>
      </c>
      <c r="CQ6" s="64">
        <v>0</v>
      </c>
      <c r="CR6" s="64">
        <v>0</v>
      </c>
      <c r="CS6" s="64">
        <v>0</v>
      </c>
      <c r="CT6" s="64">
        <v>0</v>
      </c>
      <c r="CU6" s="64">
        <v>0</v>
      </c>
      <c r="CV6" s="64">
        <v>0</v>
      </c>
    </row>
    <row r="7" spans="1:106" ht="12" customHeight="1">
      <c r="A7" s="246" t="s">
        <v>90</v>
      </c>
      <c r="B7" s="62">
        <v>0</v>
      </c>
      <c r="C7" s="62">
        <v>0</v>
      </c>
      <c r="D7" s="62">
        <v>0</v>
      </c>
      <c r="E7" s="62">
        <v>0</v>
      </c>
      <c r="F7" s="62">
        <v>0</v>
      </c>
      <c r="G7" s="62">
        <v>0</v>
      </c>
      <c r="H7" s="50">
        <v>0</v>
      </c>
      <c r="I7" s="64">
        <v>0</v>
      </c>
      <c r="J7" s="64">
        <v>0</v>
      </c>
      <c r="K7" s="64">
        <v>0</v>
      </c>
      <c r="L7" s="64">
        <v>0</v>
      </c>
      <c r="M7" s="64">
        <v>0</v>
      </c>
      <c r="N7" s="64">
        <v>0</v>
      </c>
      <c r="O7" s="64">
        <v>0</v>
      </c>
      <c r="P7" s="64">
        <v>0</v>
      </c>
      <c r="Q7" s="64">
        <v>0</v>
      </c>
      <c r="R7" s="64">
        <v>0</v>
      </c>
      <c r="S7" s="62">
        <f>'Monthly BS'!R10</f>
        <v>30</v>
      </c>
      <c r="T7" s="64">
        <v>0</v>
      </c>
      <c r="U7" s="64">
        <v>0</v>
      </c>
      <c r="V7" s="64">
        <v>0</v>
      </c>
      <c r="W7" s="64">
        <v>0</v>
      </c>
      <c r="X7" s="64">
        <v>0</v>
      </c>
      <c r="Y7" s="64">
        <v>0</v>
      </c>
      <c r="Z7" s="64">
        <v>0</v>
      </c>
      <c r="AA7" s="64">
        <v>0</v>
      </c>
      <c r="AB7" s="64">
        <v>0</v>
      </c>
      <c r="AC7" s="64">
        <v>0</v>
      </c>
      <c r="AD7" s="64">
        <v>0</v>
      </c>
      <c r="AE7" s="64">
        <v>0</v>
      </c>
      <c r="AF7" s="64">
        <v>0</v>
      </c>
      <c r="AG7" s="64">
        <v>0</v>
      </c>
      <c r="AH7" s="64">
        <v>0</v>
      </c>
      <c r="AI7" s="64">
        <v>0</v>
      </c>
      <c r="AJ7" s="64">
        <v>0</v>
      </c>
      <c r="AK7" s="64">
        <v>0</v>
      </c>
      <c r="AL7" s="64">
        <v>0</v>
      </c>
      <c r="AM7" s="64">
        <v>0</v>
      </c>
      <c r="AN7" s="64">
        <v>0</v>
      </c>
      <c r="AO7" s="64">
        <v>0</v>
      </c>
      <c r="AP7" s="64">
        <v>0</v>
      </c>
      <c r="AQ7" s="64">
        <v>0</v>
      </c>
      <c r="AR7" s="64">
        <v>0</v>
      </c>
      <c r="AS7" s="64">
        <v>0</v>
      </c>
      <c r="AT7" s="64">
        <v>0</v>
      </c>
      <c r="AU7" s="64">
        <v>0</v>
      </c>
      <c r="AV7" s="64">
        <v>0</v>
      </c>
      <c r="AW7" s="64">
        <v>0</v>
      </c>
      <c r="AX7" s="64">
        <v>0</v>
      </c>
      <c r="AY7" s="64">
        <v>0</v>
      </c>
      <c r="AZ7" s="64">
        <v>0</v>
      </c>
      <c r="BA7" s="64">
        <v>0</v>
      </c>
      <c r="BB7" s="64">
        <v>0</v>
      </c>
      <c r="BC7" s="64">
        <v>0</v>
      </c>
      <c r="BD7" s="64">
        <v>0</v>
      </c>
      <c r="BE7" s="64">
        <v>0</v>
      </c>
      <c r="BF7" s="64">
        <v>0</v>
      </c>
      <c r="BG7" s="64">
        <v>0</v>
      </c>
      <c r="BH7" s="64">
        <v>0</v>
      </c>
      <c r="BI7" s="64">
        <v>0</v>
      </c>
      <c r="BJ7" s="64">
        <v>0</v>
      </c>
      <c r="BK7" s="64">
        <v>0</v>
      </c>
      <c r="BL7" s="64">
        <v>0</v>
      </c>
      <c r="BM7" s="64">
        <v>0</v>
      </c>
      <c r="BN7" s="64">
        <v>0</v>
      </c>
      <c r="BO7" s="64">
        <v>0</v>
      </c>
      <c r="BP7" s="64">
        <v>0</v>
      </c>
      <c r="BQ7" s="64">
        <v>0</v>
      </c>
      <c r="BR7" s="64">
        <v>0</v>
      </c>
      <c r="BS7" s="64">
        <v>0</v>
      </c>
      <c r="BT7" s="64">
        <v>0</v>
      </c>
      <c r="BU7" s="64">
        <v>0</v>
      </c>
      <c r="BV7" s="64">
        <v>0</v>
      </c>
      <c r="BW7" s="64">
        <v>0</v>
      </c>
      <c r="BX7" s="64">
        <v>0</v>
      </c>
      <c r="BY7" s="64">
        <v>0</v>
      </c>
      <c r="BZ7" s="64">
        <v>0</v>
      </c>
      <c r="CA7" s="64">
        <v>0</v>
      </c>
      <c r="CB7" s="64">
        <v>0</v>
      </c>
      <c r="CC7" s="64">
        <v>0</v>
      </c>
      <c r="CD7" s="64">
        <v>0</v>
      </c>
      <c r="CE7" s="64">
        <v>0</v>
      </c>
      <c r="CF7" s="64">
        <v>0</v>
      </c>
      <c r="CG7" s="64">
        <v>0</v>
      </c>
      <c r="CH7" s="64">
        <v>0</v>
      </c>
      <c r="CI7" s="64">
        <v>0</v>
      </c>
      <c r="CJ7" s="64">
        <v>0</v>
      </c>
      <c r="CK7" s="64">
        <v>0</v>
      </c>
      <c r="CL7" s="64">
        <v>0</v>
      </c>
      <c r="CM7" s="64">
        <v>0</v>
      </c>
      <c r="CN7" s="64">
        <v>0</v>
      </c>
      <c r="CO7" s="64">
        <v>0</v>
      </c>
      <c r="CP7" s="64">
        <v>0</v>
      </c>
      <c r="CQ7" s="64">
        <v>0</v>
      </c>
      <c r="CR7" s="64">
        <v>0</v>
      </c>
      <c r="CS7" s="64">
        <v>0</v>
      </c>
      <c r="CT7" s="64">
        <v>0</v>
      </c>
      <c r="CU7" s="64">
        <v>0</v>
      </c>
      <c r="CV7" s="64">
        <v>0</v>
      </c>
    </row>
    <row r="8" spans="1:106" ht="12" customHeight="1">
      <c r="A8" s="246" t="s">
        <v>209</v>
      </c>
      <c r="B8" s="62">
        <v>0</v>
      </c>
      <c r="C8" s="62">
        <v>0</v>
      </c>
      <c r="D8" s="62">
        <v>0</v>
      </c>
      <c r="E8" s="62">
        <v>0</v>
      </c>
      <c r="F8" s="62">
        <v>0</v>
      </c>
      <c r="G8" s="62">
        <v>0</v>
      </c>
      <c r="H8" s="50">
        <v>0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64">
        <v>0</v>
      </c>
      <c r="O8" s="64">
        <v>0</v>
      </c>
      <c r="P8" s="64">
        <v>0</v>
      </c>
      <c r="Q8" s="64">
        <v>0</v>
      </c>
      <c r="R8" s="64">
        <v>0</v>
      </c>
      <c r="S8" s="62">
        <v>2.69</v>
      </c>
      <c r="T8" s="64">
        <v>0</v>
      </c>
      <c r="U8" s="64">
        <v>0</v>
      </c>
      <c r="V8" s="64">
        <v>0</v>
      </c>
      <c r="W8" s="64">
        <v>0</v>
      </c>
      <c r="X8" s="64">
        <v>0</v>
      </c>
      <c r="Y8" s="64">
        <v>0</v>
      </c>
      <c r="Z8" s="64">
        <v>0</v>
      </c>
      <c r="AA8" s="64">
        <v>0</v>
      </c>
      <c r="AB8" s="64">
        <v>0</v>
      </c>
      <c r="AC8" s="64">
        <v>0</v>
      </c>
      <c r="AD8" s="64">
        <v>0</v>
      </c>
      <c r="AE8" s="64">
        <v>0</v>
      </c>
      <c r="AF8" s="64">
        <v>0</v>
      </c>
      <c r="AG8" s="64">
        <v>0</v>
      </c>
      <c r="AH8" s="64">
        <v>0</v>
      </c>
      <c r="AI8" s="64">
        <v>0</v>
      </c>
      <c r="AJ8" s="64">
        <v>0</v>
      </c>
      <c r="AK8" s="64">
        <v>0</v>
      </c>
      <c r="AL8" s="64">
        <v>0</v>
      </c>
      <c r="AM8" s="64">
        <v>0</v>
      </c>
      <c r="AN8" s="64">
        <v>0</v>
      </c>
      <c r="AO8" s="64">
        <v>0</v>
      </c>
      <c r="AP8" s="64">
        <v>0</v>
      </c>
      <c r="AQ8" s="64">
        <v>0</v>
      </c>
      <c r="AR8" s="64">
        <v>0</v>
      </c>
      <c r="AS8" s="64">
        <v>0</v>
      </c>
      <c r="AT8" s="64">
        <v>0</v>
      </c>
      <c r="AU8" s="64">
        <v>0</v>
      </c>
      <c r="AV8" s="64">
        <v>0</v>
      </c>
      <c r="AW8" s="64">
        <v>0</v>
      </c>
      <c r="AX8" s="64">
        <v>0</v>
      </c>
      <c r="AY8" s="64">
        <v>0</v>
      </c>
      <c r="AZ8" s="64">
        <v>0</v>
      </c>
      <c r="BA8" s="64">
        <v>0</v>
      </c>
      <c r="BB8" s="64">
        <v>0</v>
      </c>
      <c r="BC8" s="64">
        <v>0</v>
      </c>
      <c r="BD8" s="64">
        <v>0</v>
      </c>
      <c r="BE8" s="64">
        <v>0</v>
      </c>
      <c r="BF8" s="64">
        <v>0</v>
      </c>
      <c r="BG8" s="64">
        <v>0</v>
      </c>
      <c r="BH8" s="64">
        <v>0</v>
      </c>
      <c r="BI8" s="64">
        <v>0</v>
      </c>
      <c r="BJ8" s="64">
        <v>0</v>
      </c>
      <c r="BK8" s="64">
        <v>0</v>
      </c>
      <c r="BL8" s="64">
        <v>0</v>
      </c>
      <c r="BM8" s="64">
        <v>0</v>
      </c>
      <c r="BN8" s="64">
        <v>0</v>
      </c>
      <c r="BO8" s="64">
        <v>0</v>
      </c>
      <c r="BP8" s="64">
        <v>0</v>
      </c>
      <c r="BQ8" s="64">
        <v>0</v>
      </c>
      <c r="BR8" s="64">
        <v>0</v>
      </c>
      <c r="BS8" s="64">
        <v>0</v>
      </c>
      <c r="BT8" s="64">
        <v>0</v>
      </c>
      <c r="BU8" s="64">
        <v>0</v>
      </c>
      <c r="BV8" s="64">
        <v>0</v>
      </c>
      <c r="BW8" s="64">
        <v>0</v>
      </c>
      <c r="BX8" s="64">
        <v>0</v>
      </c>
      <c r="BY8" s="64">
        <v>0</v>
      </c>
      <c r="BZ8" s="64">
        <v>0</v>
      </c>
      <c r="CA8" s="64">
        <v>0</v>
      </c>
      <c r="CB8" s="64">
        <v>0</v>
      </c>
      <c r="CC8" s="64">
        <v>0</v>
      </c>
      <c r="CD8" s="64">
        <v>0</v>
      </c>
      <c r="CE8" s="64">
        <v>0</v>
      </c>
      <c r="CF8" s="64">
        <v>0</v>
      </c>
      <c r="CG8" s="64">
        <v>0</v>
      </c>
      <c r="CH8" s="64">
        <v>0</v>
      </c>
      <c r="CI8" s="64">
        <v>0</v>
      </c>
      <c r="CJ8" s="64">
        <v>0</v>
      </c>
      <c r="CK8" s="64">
        <v>0</v>
      </c>
      <c r="CL8" s="64">
        <v>0</v>
      </c>
      <c r="CM8" s="64">
        <v>0</v>
      </c>
      <c r="CN8" s="64">
        <v>0</v>
      </c>
      <c r="CO8" s="64">
        <v>0</v>
      </c>
      <c r="CP8" s="64">
        <v>0</v>
      </c>
      <c r="CQ8" s="64">
        <v>0</v>
      </c>
      <c r="CR8" s="64">
        <v>0</v>
      </c>
      <c r="CS8" s="64">
        <v>0</v>
      </c>
      <c r="CT8" s="64">
        <v>0</v>
      </c>
      <c r="CU8" s="64">
        <v>0</v>
      </c>
      <c r="CV8" s="64">
        <v>0</v>
      </c>
    </row>
    <row r="9" spans="1:106" ht="12" customHeight="1">
      <c r="A9" s="246" t="s">
        <v>210</v>
      </c>
      <c r="B9" s="62">
        <v>0</v>
      </c>
      <c r="C9" s="62">
        <v>0</v>
      </c>
      <c r="D9" s="62">
        <v>0</v>
      </c>
      <c r="E9" s="62">
        <v>0</v>
      </c>
      <c r="F9" s="62">
        <v>0</v>
      </c>
      <c r="G9" s="62">
        <v>0</v>
      </c>
      <c r="H9" s="50">
        <v>0</v>
      </c>
      <c r="I9" s="64">
        <v>0</v>
      </c>
      <c r="J9" s="64">
        <v>0</v>
      </c>
      <c r="K9" s="64">
        <v>0</v>
      </c>
      <c r="L9" s="64">
        <v>0</v>
      </c>
      <c r="M9" s="64">
        <v>0</v>
      </c>
      <c r="N9" s="64">
        <v>0</v>
      </c>
      <c r="O9" s="64">
        <v>0</v>
      </c>
      <c r="P9" s="64">
        <v>0</v>
      </c>
      <c r="Q9" s="64">
        <v>0</v>
      </c>
      <c r="R9" s="64">
        <v>0</v>
      </c>
      <c r="S9" s="62">
        <v>3.91</v>
      </c>
      <c r="T9" s="64">
        <v>0</v>
      </c>
      <c r="U9" s="64">
        <v>0</v>
      </c>
      <c r="V9" s="64">
        <v>0</v>
      </c>
      <c r="W9" s="64">
        <v>0</v>
      </c>
      <c r="X9" s="64">
        <v>0</v>
      </c>
      <c r="Y9" s="64">
        <v>0</v>
      </c>
      <c r="Z9" s="64">
        <v>0</v>
      </c>
      <c r="AA9" s="64">
        <v>0</v>
      </c>
      <c r="AB9" s="64">
        <v>0</v>
      </c>
      <c r="AC9" s="64">
        <v>0</v>
      </c>
      <c r="AD9" s="64">
        <v>0</v>
      </c>
      <c r="AE9" s="64">
        <v>0</v>
      </c>
      <c r="AF9" s="64">
        <v>0</v>
      </c>
      <c r="AG9" s="64">
        <v>0</v>
      </c>
      <c r="AH9" s="64">
        <v>0</v>
      </c>
      <c r="AI9" s="64">
        <v>0</v>
      </c>
      <c r="AJ9" s="64">
        <v>0</v>
      </c>
      <c r="AK9" s="64">
        <v>0</v>
      </c>
      <c r="AL9" s="64">
        <v>0</v>
      </c>
      <c r="AM9" s="64">
        <v>0</v>
      </c>
      <c r="AN9" s="64">
        <v>0</v>
      </c>
      <c r="AO9" s="64">
        <v>0</v>
      </c>
      <c r="AP9" s="64">
        <v>0</v>
      </c>
      <c r="AQ9" s="64">
        <v>0</v>
      </c>
      <c r="AR9" s="64">
        <v>0</v>
      </c>
      <c r="AS9" s="64">
        <v>0</v>
      </c>
      <c r="AT9" s="64">
        <v>0</v>
      </c>
      <c r="AU9" s="64">
        <v>0</v>
      </c>
      <c r="AV9" s="64">
        <v>0</v>
      </c>
      <c r="AW9" s="64">
        <v>0</v>
      </c>
      <c r="AX9" s="64">
        <v>0</v>
      </c>
      <c r="AY9" s="64">
        <v>0</v>
      </c>
      <c r="AZ9" s="64">
        <v>0</v>
      </c>
      <c r="BA9" s="64">
        <v>0</v>
      </c>
      <c r="BB9" s="64">
        <v>0</v>
      </c>
      <c r="BC9" s="64">
        <v>0</v>
      </c>
      <c r="BD9" s="64">
        <v>0</v>
      </c>
      <c r="BE9" s="64">
        <v>0</v>
      </c>
      <c r="BF9" s="64">
        <v>0</v>
      </c>
      <c r="BG9" s="64">
        <v>0</v>
      </c>
      <c r="BH9" s="64">
        <v>0</v>
      </c>
      <c r="BI9" s="64">
        <v>0</v>
      </c>
      <c r="BJ9" s="64">
        <v>0</v>
      </c>
      <c r="BK9" s="64">
        <v>0</v>
      </c>
      <c r="BL9" s="64">
        <v>0</v>
      </c>
      <c r="BM9" s="64">
        <v>0</v>
      </c>
      <c r="BN9" s="64">
        <v>0</v>
      </c>
      <c r="BO9" s="64">
        <v>0</v>
      </c>
      <c r="BP9" s="64">
        <v>0</v>
      </c>
      <c r="BQ9" s="64">
        <v>0</v>
      </c>
      <c r="BR9" s="64">
        <v>0</v>
      </c>
      <c r="BS9" s="64">
        <v>0</v>
      </c>
      <c r="BT9" s="64">
        <v>0</v>
      </c>
      <c r="BU9" s="64">
        <v>0</v>
      </c>
      <c r="BV9" s="64">
        <v>0</v>
      </c>
      <c r="BW9" s="64">
        <v>0</v>
      </c>
      <c r="BX9" s="64">
        <v>0</v>
      </c>
      <c r="BY9" s="64">
        <v>0</v>
      </c>
      <c r="BZ9" s="64">
        <v>0</v>
      </c>
      <c r="CA9" s="64">
        <v>0</v>
      </c>
      <c r="CB9" s="64">
        <v>0</v>
      </c>
      <c r="CC9" s="64">
        <v>0</v>
      </c>
      <c r="CD9" s="64">
        <v>0</v>
      </c>
      <c r="CE9" s="64">
        <v>0</v>
      </c>
      <c r="CF9" s="64">
        <v>0</v>
      </c>
      <c r="CG9" s="64">
        <v>0</v>
      </c>
      <c r="CH9" s="64">
        <v>0</v>
      </c>
      <c r="CI9" s="64">
        <v>0</v>
      </c>
      <c r="CJ9" s="64">
        <v>0</v>
      </c>
      <c r="CK9" s="64">
        <v>0</v>
      </c>
      <c r="CL9" s="64">
        <v>0</v>
      </c>
      <c r="CM9" s="64">
        <v>0</v>
      </c>
      <c r="CN9" s="64">
        <v>0</v>
      </c>
      <c r="CO9" s="64">
        <v>0</v>
      </c>
      <c r="CP9" s="64">
        <v>0</v>
      </c>
      <c r="CQ9" s="64">
        <v>0</v>
      </c>
      <c r="CR9" s="64">
        <v>0</v>
      </c>
      <c r="CS9" s="64">
        <v>0</v>
      </c>
      <c r="CT9" s="64">
        <v>0</v>
      </c>
      <c r="CU9" s="64">
        <v>0</v>
      </c>
      <c r="CV9" s="64">
        <v>0</v>
      </c>
    </row>
    <row r="10" spans="1:106" ht="12" customHeight="1">
      <c r="A10" s="246" t="s">
        <v>624</v>
      </c>
      <c r="B10" s="62">
        <v>0</v>
      </c>
      <c r="C10" s="62">
        <v>0</v>
      </c>
      <c r="D10" s="62">
        <v>0</v>
      </c>
      <c r="E10" s="62">
        <v>0</v>
      </c>
      <c r="F10" s="62">
        <v>0</v>
      </c>
      <c r="G10" s="62">
        <v>0</v>
      </c>
      <c r="H10" s="50">
        <v>0</v>
      </c>
      <c r="I10" s="64">
        <v>0</v>
      </c>
      <c r="J10" s="64">
        <v>0</v>
      </c>
      <c r="K10" s="64">
        <v>0</v>
      </c>
      <c r="L10" s="64">
        <v>0</v>
      </c>
      <c r="M10" s="64">
        <v>0</v>
      </c>
      <c r="N10" s="64">
        <v>0</v>
      </c>
      <c r="O10" s="64">
        <v>0</v>
      </c>
      <c r="P10" s="64">
        <v>0</v>
      </c>
      <c r="Q10" s="64">
        <v>0</v>
      </c>
      <c r="R10" s="64">
        <v>0</v>
      </c>
      <c r="S10" s="62">
        <v>0</v>
      </c>
      <c r="T10" s="64">
        <v>0</v>
      </c>
      <c r="U10" s="64">
        <v>0</v>
      </c>
      <c r="V10" s="64">
        <v>0</v>
      </c>
      <c r="W10" s="64">
        <v>0</v>
      </c>
      <c r="X10" s="64">
        <v>0</v>
      </c>
      <c r="Y10" s="64">
        <v>0</v>
      </c>
      <c r="Z10" s="64">
        <v>0</v>
      </c>
      <c r="AA10" s="34">
        <f>'CF Capex'!Q11</f>
        <v>50</v>
      </c>
      <c r="AB10" s="64">
        <v>0</v>
      </c>
      <c r="AC10" s="64">
        <v>0</v>
      </c>
      <c r="AD10" s="64">
        <v>0</v>
      </c>
      <c r="AE10" s="64">
        <v>0</v>
      </c>
      <c r="AF10" s="64">
        <v>0</v>
      </c>
      <c r="AG10" s="64">
        <v>0</v>
      </c>
      <c r="AH10" s="64">
        <v>0</v>
      </c>
      <c r="AI10" s="64">
        <v>0</v>
      </c>
      <c r="AJ10" s="64">
        <v>0</v>
      </c>
      <c r="AK10" s="64">
        <v>0</v>
      </c>
      <c r="AL10" s="64">
        <v>0</v>
      </c>
      <c r="AM10" s="64">
        <v>0</v>
      </c>
      <c r="AN10" s="64">
        <v>0</v>
      </c>
      <c r="AO10" s="64">
        <v>0</v>
      </c>
      <c r="AP10" s="64">
        <v>0</v>
      </c>
      <c r="AQ10" s="64">
        <v>0</v>
      </c>
      <c r="AR10" s="64">
        <v>0</v>
      </c>
      <c r="AS10" s="64">
        <v>0</v>
      </c>
      <c r="AT10" s="64">
        <v>0</v>
      </c>
      <c r="AU10" s="64">
        <v>0</v>
      </c>
      <c r="AV10" s="64">
        <v>0</v>
      </c>
      <c r="AW10" s="64">
        <v>0</v>
      </c>
      <c r="AX10" s="64">
        <v>0</v>
      </c>
      <c r="AY10" s="64">
        <v>0</v>
      </c>
      <c r="AZ10" s="64">
        <v>0</v>
      </c>
      <c r="BA10" s="64">
        <v>0</v>
      </c>
      <c r="BB10" s="64">
        <v>0</v>
      </c>
      <c r="BC10" s="64">
        <v>0</v>
      </c>
      <c r="BD10" s="64">
        <v>0</v>
      </c>
      <c r="BE10" s="64">
        <v>0</v>
      </c>
      <c r="BF10" s="64">
        <v>0</v>
      </c>
      <c r="BG10" s="64">
        <v>0</v>
      </c>
      <c r="BH10" s="64">
        <v>0</v>
      </c>
      <c r="BI10" s="64">
        <v>0</v>
      </c>
      <c r="BJ10" s="64">
        <v>0</v>
      </c>
      <c r="BK10" s="64">
        <v>0</v>
      </c>
      <c r="BL10" s="64">
        <v>0</v>
      </c>
      <c r="BM10" s="64">
        <v>0</v>
      </c>
      <c r="BN10" s="64">
        <v>0</v>
      </c>
      <c r="BO10" s="64">
        <v>0</v>
      </c>
      <c r="BP10" s="64">
        <v>0</v>
      </c>
      <c r="BQ10" s="64">
        <v>0</v>
      </c>
      <c r="BR10" s="64">
        <v>0</v>
      </c>
      <c r="BS10" s="64">
        <v>0</v>
      </c>
      <c r="BT10" s="64">
        <v>0</v>
      </c>
      <c r="BU10" s="64">
        <v>0</v>
      </c>
      <c r="BV10" s="64">
        <v>0</v>
      </c>
      <c r="BW10" s="64">
        <v>0</v>
      </c>
      <c r="BX10" s="64">
        <v>0</v>
      </c>
      <c r="BY10" s="64">
        <v>0</v>
      </c>
      <c r="BZ10" s="64">
        <v>0</v>
      </c>
      <c r="CA10" s="64">
        <v>0</v>
      </c>
      <c r="CB10" s="64">
        <v>0</v>
      </c>
      <c r="CC10" s="64">
        <v>0</v>
      </c>
      <c r="CD10" s="64">
        <v>0</v>
      </c>
      <c r="CE10" s="64">
        <v>0</v>
      </c>
      <c r="CF10" s="64">
        <v>0</v>
      </c>
      <c r="CG10" s="64">
        <v>0</v>
      </c>
      <c r="CH10" s="64">
        <v>0</v>
      </c>
      <c r="CI10" s="64">
        <v>0</v>
      </c>
      <c r="CJ10" s="64">
        <v>0</v>
      </c>
      <c r="CK10" s="64">
        <v>0</v>
      </c>
      <c r="CL10" s="64">
        <v>0</v>
      </c>
      <c r="CM10" s="64">
        <v>0</v>
      </c>
      <c r="CN10" s="64">
        <v>0</v>
      </c>
      <c r="CO10" s="64">
        <v>0</v>
      </c>
      <c r="CP10" s="64">
        <v>0</v>
      </c>
      <c r="CQ10" s="64">
        <v>0</v>
      </c>
      <c r="CR10" s="64">
        <v>0</v>
      </c>
      <c r="CS10" s="64">
        <v>0</v>
      </c>
      <c r="CT10" s="64">
        <v>0</v>
      </c>
      <c r="CU10" s="64">
        <v>0</v>
      </c>
      <c r="CV10" s="64">
        <v>0</v>
      </c>
    </row>
    <row r="11" spans="1:106" ht="12" customHeight="1">
      <c r="A11" s="25" t="s">
        <v>644</v>
      </c>
      <c r="B11" s="62">
        <v>0</v>
      </c>
      <c r="C11" s="62">
        <v>0</v>
      </c>
      <c r="D11" s="62">
        <v>0</v>
      </c>
      <c r="E11" s="62">
        <v>0</v>
      </c>
      <c r="F11" s="62">
        <v>0</v>
      </c>
      <c r="G11" s="62">
        <v>0</v>
      </c>
      <c r="H11" s="62">
        <v>0</v>
      </c>
      <c r="I11" s="62">
        <v>0</v>
      </c>
      <c r="J11" s="62">
        <v>0</v>
      </c>
      <c r="K11" s="62">
        <v>0</v>
      </c>
      <c r="L11" s="62">
        <v>0</v>
      </c>
      <c r="M11" s="62">
        <v>0</v>
      </c>
      <c r="N11" s="62">
        <v>0</v>
      </c>
      <c r="O11" s="62">
        <v>0</v>
      </c>
      <c r="P11" s="62">
        <v>0</v>
      </c>
      <c r="Q11" s="62">
        <v>0</v>
      </c>
      <c r="R11" s="62">
        <v>0</v>
      </c>
      <c r="S11" s="62">
        <v>0</v>
      </c>
      <c r="T11" s="62">
        <v>0</v>
      </c>
      <c r="U11" s="62">
        <v>0</v>
      </c>
      <c r="V11" s="62">
        <v>0</v>
      </c>
      <c r="W11" s="62">
        <v>0</v>
      </c>
      <c r="X11" s="62">
        <v>0</v>
      </c>
      <c r="Y11" s="62">
        <v>0</v>
      </c>
      <c r="Z11" s="62">
        <f>-Z4*55%</f>
        <v>-113.85550000000001</v>
      </c>
      <c r="AA11" s="34">
        <v>0</v>
      </c>
      <c r="AB11" s="34">
        <v>0</v>
      </c>
      <c r="AC11" s="34">
        <v>0</v>
      </c>
      <c r="AD11" s="34">
        <v>0</v>
      </c>
      <c r="AE11" s="34">
        <v>0</v>
      </c>
      <c r="AF11" s="34">
        <v>0</v>
      </c>
      <c r="AG11" s="34">
        <v>0</v>
      </c>
      <c r="AH11" s="34">
        <v>0</v>
      </c>
      <c r="AI11" s="34">
        <v>0</v>
      </c>
      <c r="AJ11" s="34">
        <v>0</v>
      </c>
      <c r="AK11" s="34">
        <v>0</v>
      </c>
      <c r="AL11" s="34">
        <v>0</v>
      </c>
      <c r="AM11" s="34">
        <v>0</v>
      </c>
      <c r="AN11" s="34">
        <v>0</v>
      </c>
      <c r="AO11" s="34">
        <v>0</v>
      </c>
      <c r="AP11" s="34">
        <v>0</v>
      </c>
      <c r="AQ11" s="34">
        <v>0</v>
      </c>
      <c r="AR11" s="34">
        <v>0</v>
      </c>
      <c r="AS11" s="34">
        <v>0</v>
      </c>
      <c r="AT11" s="34">
        <v>0</v>
      </c>
      <c r="AU11" s="34">
        <v>0</v>
      </c>
      <c r="AV11" s="34">
        <v>0</v>
      </c>
      <c r="AW11" s="34">
        <v>0</v>
      </c>
      <c r="AX11" s="34">
        <v>0</v>
      </c>
      <c r="AY11" s="34">
        <v>0</v>
      </c>
      <c r="AZ11" s="34">
        <v>0</v>
      </c>
      <c r="BA11" s="34">
        <v>0</v>
      </c>
      <c r="BB11" s="34">
        <v>0</v>
      </c>
      <c r="BC11" s="34">
        <v>0</v>
      </c>
      <c r="BD11" s="34">
        <v>0</v>
      </c>
      <c r="BE11" s="34">
        <v>0</v>
      </c>
      <c r="BF11" s="34">
        <v>0</v>
      </c>
      <c r="BG11" s="34">
        <v>0</v>
      </c>
      <c r="BH11" s="34">
        <v>0</v>
      </c>
      <c r="BI11" s="34">
        <v>0</v>
      </c>
      <c r="BJ11" s="34">
        <v>0</v>
      </c>
      <c r="BK11" s="34">
        <v>0</v>
      </c>
      <c r="BL11" s="34">
        <v>0</v>
      </c>
      <c r="BM11" s="34">
        <v>0</v>
      </c>
      <c r="BN11" s="34">
        <v>0</v>
      </c>
      <c r="BO11" s="34">
        <v>0</v>
      </c>
      <c r="BP11" s="34">
        <v>0</v>
      </c>
      <c r="BQ11" s="34">
        <v>0</v>
      </c>
      <c r="BR11" s="34">
        <v>0</v>
      </c>
      <c r="BS11" s="34">
        <v>0</v>
      </c>
      <c r="BT11" s="34">
        <v>0</v>
      </c>
      <c r="BU11" s="34">
        <v>0</v>
      </c>
      <c r="BV11" s="34">
        <v>0</v>
      </c>
      <c r="BW11" s="34">
        <v>0</v>
      </c>
      <c r="BX11" s="34">
        <v>0</v>
      </c>
      <c r="BY11" s="34">
        <v>0</v>
      </c>
      <c r="BZ11" s="34">
        <v>0</v>
      </c>
      <c r="CA11" s="34">
        <v>0</v>
      </c>
      <c r="CB11" s="34">
        <v>0</v>
      </c>
      <c r="CC11" s="34">
        <v>0</v>
      </c>
      <c r="CD11" s="34">
        <v>0</v>
      </c>
      <c r="CE11" s="34">
        <v>0</v>
      </c>
      <c r="CF11" s="34">
        <v>0</v>
      </c>
      <c r="CG11" s="34">
        <v>0</v>
      </c>
      <c r="CH11" s="34">
        <v>0</v>
      </c>
      <c r="CI11" s="34">
        <v>0</v>
      </c>
      <c r="CJ11" s="34">
        <v>0</v>
      </c>
      <c r="CK11" s="34">
        <v>0</v>
      </c>
      <c r="CL11" s="34">
        <v>0</v>
      </c>
      <c r="CM11" s="34">
        <v>0</v>
      </c>
      <c r="CN11" s="34">
        <v>0</v>
      </c>
      <c r="CO11" s="34">
        <v>0</v>
      </c>
      <c r="CP11" s="34">
        <v>0</v>
      </c>
      <c r="CQ11" s="34">
        <v>0</v>
      </c>
      <c r="CR11" s="34">
        <v>0</v>
      </c>
      <c r="CS11" s="34">
        <v>0</v>
      </c>
      <c r="CT11" s="34">
        <v>0</v>
      </c>
      <c r="CU11" s="34">
        <v>0</v>
      </c>
      <c r="CV11" s="34">
        <v>0</v>
      </c>
    </row>
    <row r="12" spans="1:106" ht="12" customHeight="1">
      <c r="A12" s="246" t="s">
        <v>211</v>
      </c>
      <c r="B12" s="62">
        <v>0</v>
      </c>
      <c r="C12" s="62">
        <v>0</v>
      </c>
      <c r="D12" s="62">
        <v>0</v>
      </c>
      <c r="E12" s="62">
        <v>0</v>
      </c>
      <c r="F12" s="62">
        <v>0</v>
      </c>
      <c r="G12" s="62">
        <v>0</v>
      </c>
      <c r="H12" s="50">
        <v>0</v>
      </c>
      <c r="I12" s="64">
        <v>0</v>
      </c>
      <c r="J12" s="64">
        <v>0</v>
      </c>
      <c r="K12" s="64">
        <v>0</v>
      </c>
      <c r="L12" s="64">
        <v>0</v>
      </c>
      <c r="M12" s="64">
        <v>0</v>
      </c>
      <c r="N12" s="64">
        <v>0</v>
      </c>
      <c r="O12" s="64">
        <v>0</v>
      </c>
      <c r="P12" s="64">
        <v>0</v>
      </c>
      <c r="Q12" s="64">
        <v>0</v>
      </c>
      <c r="R12" s="64">
        <v>0</v>
      </c>
      <c r="S12" s="62">
        <v>0</v>
      </c>
      <c r="T12" s="64">
        <v>0</v>
      </c>
      <c r="U12" s="64">
        <v>0</v>
      </c>
      <c r="V12" s="64">
        <v>0</v>
      </c>
      <c r="W12" s="64">
        <v>0</v>
      </c>
      <c r="X12" s="64">
        <v>0</v>
      </c>
      <c r="Y12" s="64">
        <v>0</v>
      </c>
      <c r="Z12" s="64">
        <v>0</v>
      </c>
      <c r="AA12" s="64">
        <v>0</v>
      </c>
      <c r="AB12" s="64">
        <v>0</v>
      </c>
      <c r="AC12" s="64">
        <v>0</v>
      </c>
      <c r="AD12" s="64">
        <v>0</v>
      </c>
      <c r="AE12" s="64">
        <v>0</v>
      </c>
      <c r="AF12" s="64">
        <v>0</v>
      </c>
      <c r="AG12" s="64">
        <v>0</v>
      </c>
      <c r="AH12" s="64">
        <v>0</v>
      </c>
      <c r="AI12" s="64">
        <v>0</v>
      </c>
      <c r="AJ12" s="64">
        <v>0</v>
      </c>
      <c r="AK12" s="64">
        <v>0</v>
      </c>
      <c r="AL12" s="64">
        <v>0</v>
      </c>
      <c r="AM12" s="64">
        <v>0</v>
      </c>
      <c r="AN12" s="64">
        <v>0</v>
      </c>
      <c r="AO12" s="64">
        <v>0</v>
      </c>
      <c r="AP12" s="64">
        <v>0</v>
      </c>
      <c r="AQ12" s="64">
        <v>0</v>
      </c>
      <c r="AR12" s="64">
        <v>0</v>
      </c>
      <c r="AS12" s="64">
        <v>0</v>
      </c>
      <c r="AT12" s="64">
        <v>0</v>
      </c>
      <c r="AU12" s="64">
        <v>0</v>
      </c>
      <c r="AV12" s="64">
        <v>0</v>
      </c>
      <c r="AW12" s="64">
        <v>0</v>
      </c>
      <c r="AX12" s="64">
        <v>0</v>
      </c>
      <c r="AY12" s="64">
        <v>0</v>
      </c>
      <c r="AZ12" s="64">
        <v>0</v>
      </c>
      <c r="BA12" s="64">
        <v>0</v>
      </c>
      <c r="BB12" s="64">
        <v>0</v>
      </c>
      <c r="BC12" s="64">
        <v>0</v>
      </c>
      <c r="BD12" s="64">
        <v>0</v>
      </c>
      <c r="BE12" s="64">
        <v>0</v>
      </c>
      <c r="BF12" s="64">
        <v>0</v>
      </c>
      <c r="BG12" s="64">
        <v>0</v>
      </c>
      <c r="BH12" s="64">
        <v>0</v>
      </c>
      <c r="BI12" s="64">
        <v>0</v>
      </c>
      <c r="BJ12" s="64">
        <v>0</v>
      </c>
      <c r="BK12" s="64">
        <v>0</v>
      </c>
      <c r="BL12" s="64">
        <v>0</v>
      </c>
      <c r="BM12" s="64">
        <v>0</v>
      </c>
      <c r="BN12" s="64">
        <v>0</v>
      </c>
      <c r="BO12" s="64">
        <v>0</v>
      </c>
      <c r="BP12" s="64">
        <v>0</v>
      </c>
      <c r="BQ12" s="64">
        <v>0</v>
      </c>
      <c r="BR12" s="64">
        <v>0</v>
      </c>
      <c r="BS12" s="64">
        <v>0</v>
      </c>
      <c r="BT12" s="64">
        <v>0</v>
      </c>
      <c r="BU12" s="64">
        <v>0</v>
      </c>
      <c r="BV12" s="64">
        <v>0</v>
      </c>
      <c r="BW12" s="64">
        <v>0</v>
      </c>
      <c r="BX12" s="64">
        <v>0</v>
      </c>
      <c r="BY12" s="64">
        <v>0</v>
      </c>
      <c r="BZ12" s="64">
        <v>0</v>
      </c>
      <c r="CA12" s="64">
        <v>0</v>
      </c>
      <c r="CB12" s="64">
        <v>0</v>
      </c>
      <c r="CC12" s="64">
        <v>0</v>
      </c>
      <c r="CD12" s="64">
        <v>0</v>
      </c>
      <c r="CE12" s="64">
        <v>0</v>
      </c>
      <c r="CF12" s="64">
        <v>0</v>
      </c>
      <c r="CG12" s="64">
        <v>0</v>
      </c>
      <c r="CH12" s="64">
        <v>0</v>
      </c>
      <c r="CI12" s="64">
        <v>0</v>
      </c>
      <c r="CJ12" s="64">
        <v>0</v>
      </c>
      <c r="CK12" s="64">
        <v>0</v>
      </c>
      <c r="CL12" s="64">
        <v>0</v>
      </c>
      <c r="CM12" s="64">
        <v>0</v>
      </c>
      <c r="CN12" s="64">
        <v>0</v>
      </c>
      <c r="CO12" s="64">
        <v>0</v>
      </c>
      <c r="CP12" s="64">
        <v>0</v>
      </c>
      <c r="CQ12" s="64">
        <v>0</v>
      </c>
      <c r="CR12" s="64">
        <v>0</v>
      </c>
      <c r="CS12" s="64">
        <v>0</v>
      </c>
      <c r="CT12" s="64">
        <v>0</v>
      </c>
      <c r="CU12" s="64">
        <v>0</v>
      </c>
      <c r="CV12" s="64">
        <v>0</v>
      </c>
    </row>
    <row r="13" spans="1:106" ht="12" customHeight="1">
      <c r="A13" s="246" t="s">
        <v>212</v>
      </c>
      <c r="B13" s="62">
        <v>0</v>
      </c>
      <c r="C13" s="62">
        <v>0</v>
      </c>
      <c r="D13" s="62">
        <v>0</v>
      </c>
      <c r="E13" s="62">
        <v>0</v>
      </c>
      <c r="F13" s="62">
        <v>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  <c r="L13" s="62">
        <v>0</v>
      </c>
      <c r="M13" s="62">
        <v>0</v>
      </c>
      <c r="N13" s="62">
        <v>0</v>
      </c>
      <c r="O13" s="62">
        <f>$M$4*O16%</f>
        <v>0</v>
      </c>
      <c r="P13" s="62">
        <f>$M$4*P16%</f>
        <v>0</v>
      </c>
      <c r="Q13" s="62">
        <f>$M$4*Q16%</f>
        <v>0</v>
      </c>
      <c r="R13" s="62">
        <f>$Q$4*R16%</f>
        <v>0</v>
      </c>
      <c r="S13" s="62">
        <f t="shared" ref="S13:X13" si="3">$Q$4*S16%</f>
        <v>0</v>
      </c>
      <c r="T13" s="62">
        <f t="shared" si="3"/>
        <v>0</v>
      </c>
      <c r="U13" s="62">
        <f t="shared" si="3"/>
        <v>0</v>
      </c>
      <c r="V13" s="62">
        <f t="shared" si="3"/>
        <v>0</v>
      </c>
      <c r="W13" s="62">
        <f t="shared" si="3"/>
        <v>0</v>
      </c>
      <c r="X13" s="62">
        <f t="shared" si="3"/>
        <v>0</v>
      </c>
      <c r="Y13" s="62">
        <v>1.25</v>
      </c>
      <c r="Z13" s="62">
        <f>($Y$4+SUM($Y$6:$Y$7))*Z16%</f>
        <v>0</v>
      </c>
      <c r="AA13" s="62">
        <v>-3.75</v>
      </c>
      <c r="AB13" s="62">
        <f>($Y$4+SUM($Y$6:$Y$7))*AB16%</f>
        <v>0</v>
      </c>
      <c r="AC13" s="62">
        <f>($Y$4+SUM($Y$6:$Y$7))*AC16%</f>
        <v>0</v>
      </c>
      <c r="AD13" s="62">
        <f>($Y$4+SUM($Y$6:$Y$7))*AD16%</f>
        <v>0</v>
      </c>
      <c r="AE13" s="62">
        <f>($AE$4+SUM($AE$6:$AE$12))*AE16%</f>
        <v>0</v>
      </c>
      <c r="AF13" s="62">
        <f t="shared" ref="AF13:CQ13" si="4">($AE$4+SUM($AE$6:$AE$12))*AF16%</f>
        <v>0</v>
      </c>
      <c r="AG13" s="62">
        <f t="shared" si="4"/>
        <v>0</v>
      </c>
      <c r="AH13" s="62">
        <f t="shared" si="4"/>
        <v>0</v>
      </c>
      <c r="AI13" s="62">
        <f t="shared" si="4"/>
        <v>0</v>
      </c>
      <c r="AJ13" s="62">
        <f t="shared" si="4"/>
        <v>0</v>
      </c>
      <c r="AK13" s="62">
        <f t="shared" si="4"/>
        <v>0</v>
      </c>
      <c r="AL13" s="62">
        <f t="shared" si="4"/>
        <v>0</v>
      </c>
      <c r="AM13" s="62">
        <f t="shared" si="4"/>
        <v>0</v>
      </c>
      <c r="AN13" s="62">
        <f t="shared" si="4"/>
        <v>0</v>
      </c>
      <c r="AO13" s="62">
        <f t="shared" si="4"/>
        <v>0</v>
      </c>
      <c r="AP13" s="62">
        <f t="shared" si="4"/>
        <v>0</v>
      </c>
      <c r="AQ13" s="62">
        <f t="shared" si="4"/>
        <v>0</v>
      </c>
      <c r="AR13" s="62">
        <f t="shared" si="4"/>
        <v>0</v>
      </c>
      <c r="AS13" s="62">
        <f t="shared" si="4"/>
        <v>0</v>
      </c>
      <c r="AT13" s="62">
        <f t="shared" si="4"/>
        <v>1.4690449999999999</v>
      </c>
      <c r="AU13" s="62">
        <f t="shared" si="4"/>
        <v>0</v>
      </c>
      <c r="AV13" s="62">
        <f t="shared" si="4"/>
        <v>0</v>
      </c>
      <c r="AW13" s="62">
        <f t="shared" si="4"/>
        <v>4.4071349999999994</v>
      </c>
      <c r="AX13" s="62">
        <f t="shared" si="4"/>
        <v>0</v>
      </c>
      <c r="AY13" s="62">
        <f t="shared" si="4"/>
        <v>0</v>
      </c>
      <c r="AZ13" s="62">
        <f t="shared" si="4"/>
        <v>4.4071349999999994</v>
      </c>
      <c r="BA13" s="62">
        <f t="shared" si="4"/>
        <v>0</v>
      </c>
      <c r="BB13" s="62">
        <f t="shared" si="4"/>
        <v>0</v>
      </c>
      <c r="BC13" s="62">
        <f t="shared" si="4"/>
        <v>4.4071349999999994</v>
      </c>
      <c r="BD13" s="62">
        <f t="shared" si="4"/>
        <v>0</v>
      </c>
      <c r="BE13" s="62">
        <f t="shared" si="4"/>
        <v>0</v>
      </c>
      <c r="BF13" s="62">
        <f t="shared" si="4"/>
        <v>5.8761799999999997</v>
      </c>
      <c r="BG13" s="62">
        <f t="shared" si="4"/>
        <v>0</v>
      </c>
      <c r="BH13" s="62">
        <f t="shared" si="4"/>
        <v>0</v>
      </c>
      <c r="BI13" s="62">
        <f t="shared" si="4"/>
        <v>5.8761799999999997</v>
      </c>
      <c r="BJ13" s="62">
        <f t="shared" si="4"/>
        <v>0</v>
      </c>
      <c r="BK13" s="62">
        <f t="shared" si="4"/>
        <v>0</v>
      </c>
      <c r="BL13" s="62">
        <f t="shared" si="4"/>
        <v>5.8761799999999997</v>
      </c>
      <c r="BM13" s="62">
        <f t="shared" si="4"/>
        <v>0</v>
      </c>
      <c r="BN13" s="62">
        <f t="shared" si="4"/>
        <v>0</v>
      </c>
      <c r="BO13" s="62">
        <f t="shared" si="4"/>
        <v>5.8761799999999997</v>
      </c>
      <c r="BP13" s="62">
        <f t="shared" si="4"/>
        <v>0</v>
      </c>
      <c r="BQ13" s="62">
        <f t="shared" si="4"/>
        <v>0</v>
      </c>
      <c r="BR13" s="62">
        <f t="shared" si="4"/>
        <v>6.9779637499999989</v>
      </c>
      <c r="BS13" s="62">
        <f t="shared" si="4"/>
        <v>0</v>
      </c>
      <c r="BT13" s="62">
        <f t="shared" si="4"/>
        <v>0</v>
      </c>
      <c r="BU13" s="62">
        <f t="shared" si="4"/>
        <v>6.9779637499999989</v>
      </c>
      <c r="BV13" s="62">
        <f t="shared" si="4"/>
        <v>0</v>
      </c>
      <c r="BW13" s="62">
        <f t="shared" si="4"/>
        <v>0</v>
      </c>
      <c r="BX13" s="62">
        <f t="shared" si="4"/>
        <v>6.9779637499999989</v>
      </c>
      <c r="BY13" s="62">
        <f t="shared" si="4"/>
        <v>0</v>
      </c>
      <c r="BZ13" s="62">
        <f t="shared" si="4"/>
        <v>0</v>
      </c>
      <c r="CA13" s="62">
        <f t="shared" si="4"/>
        <v>6.9779637499999989</v>
      </c>
      <c r="CB13" s="62">
        <f t="shared" si="4"/>
        <v>0</v>
      </c>
      <c r="CC13" s="62">
        <f t="shared" si="4"/>
        <v>0</v>
      </c>
      <c r="CD13" s="62">
        <f t="shared" si="4"/>
        <v>6.9779637499999989</v>
      </c>
      <c r="CE13" s="62">
        <f t="shared" si="4"/>
        <v>0</v>
      </c>
      <c r="CF13" s="62">
        <f t="shared" si="4"/>
        <v>0</v>
      </c>
      <c r="CG13" s="62">
        <f t="shared" si="4"/>
        <v>9.5487924999999994</v>
      </c>
      <c r="CH13" s="62">
        <f t="shared" si="4"/>
        <v>0</v>
      </c>
      <c r="CI13" s="62">
        <f t="shared" si="4"/>
        <v>0</v>
      </c>
      <c r="CJ13" s="62">
        <f t="shared" si="4"/>
        <v>9.5487924999999994</v>
      </c>
      <c r="CK13" s="62">
        <f t="shared" si="4"/>
        <v>0</v>
      </c>
      <c r="CL13" s="62">
        <f t="shared" si="4"/>
        <v>0</v>
      </c>
      <c r="CM13" s="62">
        <f t="shared" si="4"/>
        <v>13.221404999999999</v>
      </c>
      <c r="CN13" s="62">
        <f t="shared" si="4"/>
        <v>0</v>
      </c>
      <c r="CO13" s="62">
        <f t="shared" si="4"/>
        <v>0</v>
      </c>
      <c r="CP13" s="62">
        <f t="shared" si="4"/>
        <v>13.221404999999999</v>
      </c>
      <c r="CQ13" s="62">
        <f t="shared" si="4"/>
        <v>0</v>
      </c>
      <c r="CR13" s="62">
        <f>($AE$4+SUM($AE$6:$AE$12))*CR16%</f>
        <v>0</v>
      </c>
      <c r="CS13" s="62">
        <f>($AE$4+SUM($AE$6:$AE$12))*CS16%</f>
        <v>13.955927499999998</v>
      </c>
      <c r="CT13" s="62">
        <f>($AE$4+SUM($AE$6:$AE$12))*CT16%</f>
        <v>0</v>
      </c>
      <c r="CU13" s="62">
        <f>($AE$4+SUM($AE$6:$AE$12))*CU16%</f>
        <v>0</v>
      </c>
      <c r="CV13" s="62">
        <f>($AE$4+SUM($AE$6:$AE$12))*CV16%</f>
        <v>14.323188749999998</v>
      </c>
    </row>
    <row r="14" spans="1:106" ht="12" customHeight="1">
      <c r="A14" s="246" t="s">
        <v>213</v>
      </c>
      <c r="B14" s="62">
        <v>0</v>
      </c>
      <c r="C14" s="62">
        <f t="shared" ref="C14:S14" si="5">(C4+C5-C13)*C1%/12</f>
        <v>1.5484758333333331</v>
      </c>
      <c r="D14" s="62">
        <f t="shared" si="5"/>
        <v>1.5484758333333331</v>
      </c>
      <c r="E14" s="62">
        <f t="shared" si="5"/>
        <v>1.5484758333333331</v>
      </c>
      <c r="F14" s="62">
        <f t="shared" si="5"/>
        <v>1.5484758333333331</v>
      </c>
      <c r="G14" s="62">
        <f t="shared" si="5"/>
        <v>1.5484758333333331</v>
      </c>
      <c r="H14" s="62">
        <f t="shared" si="5"/>
        <v>1.5484758333333331</v>
      </c>
      <c r="I14" s="62">
        <f t="shared" si="5"/>
        <v>1.5484758333333331</v>
      </c>
      <c r="J14" s="62">
        <f t="shared" si="5"/>
        <v>1.5484758333333331</v>
      </c>
      <c r="K14" s="62">
        <f t="shared" si="5"/>
        <v>1.5484758333333331</v>
      </c>
      <c r="L14" s="62">
        <f t="shared" si="5"/>
        <v>1.5484758333333331</v>
      </c>
      <c r="M14" s="62">
        <f t="shared" si="5"/>
        <v>1.5484758333333331</v>
      </c>
      <c r="N14" s="62">
        <f t="shared" si="5"/>
        <v>1.5484758333333331</v>
      </c>
      <c r="O14" s="62">
        <f t="shared" si="5"/>
        <v>1.5484758333333331</v>
      </c>
      <c r="P14" s="62">
        <f t="shared" si="5"/>
        <v>1.5484758333333331</v>
      </c>
      <c r="Q14" s="62">
        <f t="shared" si="5"/>
        <v>1.5484758333333331</v>
      </c>
      <c r="R14" s="62">
        <f t="shared" si="5"/>
        <v>1.5484758333333331</v>
      </c>
      <c r="S14" s="62">
        <f t="shared" si="5"/>
        <v>1.5484758333333331</v>
      </c>
      <c r="T14" s="62">
        <f>(T4+T5-T13)*T1%/12*213.97/246.63+(T4+T5-T13)*17.75%/12*32.66/246.63</f>
        <v>2.0661036607468675</v>
      </c>
      <c r="U14" s="62">
        <f t="shared" ref="U14:CF14" si="6">(U4+U5-U13)*U1%/12*213.97/246.63+(U4+U5-U13)*17.75%/12*32.66/246.63</f>
        <v>2.0661036607468675</v>
      </c>
      <c r="V14" s="62">
        <f t="shared" si="6"/>
        <v>2.0661036607468675</v>
      </c>
      <c r="W14" s="62">
        <f t="shared" si="6"/>
        <v>2.2975608469164337</v>
      </c>
      <c r="X14" s="62">
        <f t="shared" si="6"/>
        <v>2.2975608469164337</v>
      </c>
      <c r="Y14" s="62">
        <f t="shared" si="6"/>
        <v>2.2837706276777627</v>
      </c>
      <c r="Z14" s="62">
        <f t="shared" si="6"/>
        <v>2.2837706276777627</v>
      </c>
      <c r="AA14" s="62">
        <f t="shared" si="6"/>
        <v>1.069067440171005</v>
      </c>
      <c r="AB14" s="62">
        <f t="shared" si="6"/>
        <v>1.6206762097178293</v>
      </c>
      <c r="AC14" s="62">
        <f t="shared" si="6"/>
        <v>1.6206762097178293</v>
      </c>
      <c r="AD14" s="62">
        <f t="shared" si="6"/>
        <v>1.6206762097178293</v>
      </c>
      <c r="AE14" s="62">
        <f t="shared" si="6"/>
        <v>1.6206762097178293</v>
      </c>
      <c r="AF14" s="62">
        <f t="shared" si="6"/>
        <v>1.2967391197846974</v>
      </c>
      <c r="AG14" s="62">
        <f t="shared" si="6"/>
        <v>1.2967391197846974</v>
      </c>
      <c r="AH14" s="62">
        <f t="shared" si="6"/>
        <v>1.2967391197846974</v>
      </c>
      <c r="AI14" s="62">
        <f t="shared" si="6"/>
        <v>1.2967391197846974</v>
      </c>
      <c r="AJ14" s="62">
        <f t="shared" si="6"/>
        <v>1.2967391197846974</v>
      </c>
      <c r="AK14" s="62">
        <f t="shared" si="6"/>
        <v>1.2967391197846974</v>
      </c>
      <c r="AL14" s="62">
        <f t="shared" si="6"/>
        <v>1.2967391197846974</v>
      </c>
      <c r="AM14" s="62">
        <f t="shared" si="6"/>
        <v>1.2967391197846974</v>
      </c>
      <c r="AN14" s="62">
        <f t="shared" si="6"/>
        <v>1.2967391197846974</v>
      </c>
      <c r="AO14" s="62">
        <f t="shared" si="6"/>
        <v>1.2967391197846974</v>
      </c>
      <c r="AP14" s="62">
        <f t="shared" si="6"/>
        <v>1.2967391197846974</v>
      </c>
      <c r="AQ14" s="62">
        <f t="shared" si="6"/>
        <v>1.2967391197846974</v>
      </c>
      <c r="AR14" s="62">
        <f t="shared" si="6"/>
        <v>1.2967391197846974</v>
      </c>
      <c r="AS14" s="62">
        <f t="shared" si="6"/>
        <v>1.2967391197846974</v>
      </c>
      <c r="AT14" s="62">
        <f t="shared" si="6"/>
        <v>1.2837717285868508</v>
      </c>
      <c r="AU14" s="62">
        <f t="shared" si="6"/>
        <v>1.2837717285868508</v>
      </c>
      <c r="AV14" s="62">
        <f t="shared" si="6"/>
        <v>1.2837717285868508</v>
      </c>
      <c r="AW14" s="62">
        <f t="shared" si="6"/>
        <v>1.2448695549933095</v>
      </c>
      <c r="AX14" s="62">
        <f t="shared" si="6"/>
        <v>1.2448695549933095</v>
      </c>
      <c r="AY14" s="62">
        <f t="shared" si="6"/>
        <v>1.2448695549933095</v>
      </c>
      <c r="AZ14" s="62">
        <f t="shared" si="6"/>
        <v>1.2059673813997684</v>
      </c>
      <c r="BA14" s="62">
        <f t="shared" si="6"/>
        <v>1.2059673813997684</v>
      </c>
      <c r="BB14" s="62">
        <f t="shared" si="6"/>
        <v>1.2059673813997684</v>
      </c>
      <c r="BC14" s="62">
        <f t="shared" si="6"/>
        <v>1.1670652078062276</v>
      </c>
      <c r="BD14" s="62">
        <f t="shared" si="6"/>
        <v>1.1670652078062276</v>
      </c>
      <c r="BE14" s="62">
        <f t="shared" si="6"/>
        <v>1.1670652078062276</v>
      </c>
      <c r="BF14" s="62">
        <f t="shared" si="6"/>
        <v>1.1151956430148398</v>
      </c>
      <c r="BG14" s="62">
        <f t="shared" si="6"/>
        <v>1.1151956430148398</v>
      </c>
      <c r="BH14" s="62">
        <f t="shared" si="6"/>
        <v>1.1151956430148398</v>
      </c>
      <c r="BI14" s="62">
        <f t="shared" si="6"/>
        <v>1.0633260782234517</v>
      </c>
      <c r="BJ14" s="62">
        <f t="shared" si="6"/>
        <v>1.0633260782234517</v>
      </c>
      <c r="BK14" s="62">
        <f t="shared" si="6"/>
        <v>1.0633260782234517</v>
      </c>
      <c r="BL14" s="62">
        <f t="shared" si="6"/>
        <v>1.0114565134320637</v>
      </c>
      <c r="BM14" s="62">
        <f t="shared" si="6"/>
        <v>1.0114565134320637</v>
      </c>
      <c r="BN14" s="62">
        <f t="shared" si="6"/>
        <v>1.0114565134320637</v>
      </c>
      <c r="BO14" s="62">
        <f t="shared" si="6"/>
        <v>0.95958694864067573</v>
      </c>
      <c r="BP14" s="62">
        <f t="shared" si="6"/>
        <v>0.95958694864067573</v>
      </c>
      <c r="BQ14" s="62">
        <f t="shared" si="6"/>
        <v>0.95958694864067573</v>
      </c>
      <c r="BR14" s="62">
        <f t="shared" si="6"/>
        <v>0.89799184045090263</v>
      </c>
      <c r="BS14" s="62">
        <f t="shared" si="6"/>
        <v>0.89799184045090263</v>
      </c>
      <c r="BT14" s="62">
        <f t="shared" si="6"/>
        <v>0.89799184045090263</v>
      </c>
      <c r="BU14" s="62">
        <f t="shared" si="6"/>
        <v>0.83639673226112943</v>
      </c>
      <c r="BV14" s="62">
        <f t="shared" si="6"/>
        <v>0.83639673226112943</v>
      </c>
      <c r="BW14" s="62">
        <f t="shared" si="6"/>
        <v>0.83639673226112943</v>
      </c>
      <c r="BX14" s="62">
        <f t="shared" si="6"/>
        <v>0.77480162407135622</v>
      </c>
      <c r="BY14" s="62">
        <f t="shared" si="6"/>
        <v>0.77480162407135622</v>
      </c>
      <c r="BZ14" s="62">
        <f t="shared" si="6"/>
        <v>0.77480162407135622</v>
      </c>
      <c r="CA14" s="62">
        <f t="shared" si="6"/>
        <v>0.71320651588158324</v>
      </c>
      <c r="CB14" s="62">
        <f t="shared" si="6"/>
        <v>0.71320651588158324</v>
      </c>
      <c r="CC14" s="62">
        <f t="shared" si="6"/>
        <v>0.71320651588158324</v>
      </c>
      <c r="CD14" s="62">
        <f t="shared" si="6"/>
        <v>0.65161140769181003</v>
      </c>
      <c r="CE14" s="62">
        <f t="shared" si="6"/>
        <v>0.65161140769181003</v>
      </c>
      <c r="CF14" s="62">
        <f t="shared" si="6"/>
        <v>0.65161140769181003</v>
      </c>
      <c r="CG14" s="62">
        <f t="shared" ref="CG14:CV14" si="7">(CG4+CG5-CG13)*CG1%/12*213.97/246.63+(CG4+CG5-CG13)*17.75%/12*32.66/246.63</f>
        <v>0.56732336490580471</v>
      </c>
      <c r="CH14" s="62">
        <f t="shared" si="7"/>
        <v>0.56732336490580471</v>
      </c>
      <c r="CI14" s="62">
        <f t="shared" si="7"/>
        <v>0.56732336490580471</v>
      </c>
      <c r="CJ14" s="62">
        <f t="shared" si="7"/>
        <v>0.48303532211979927</v>
      </c>
      <c r="CK14" s="62">
        <f t="shared" si="7"/>
        <v>0.48303532211979927</v>
      </c>
      <c r="CL14" s="62">
        <f t="shared" si="7"/>
        <v>0.48303532211979927</v>
      </c>
      <c r="CM14" s="62">
        <f t="shared" si="7"/>
        <v>0.36632880133917656</v>
      </c>
      <c r="CN14" s="62">
        <f t="shared" si="7"/>
        <v>0.36632880133917656</v>
      </c>
      <c r="CO14" s="62">
        <f t="shared" si="7"/>
        <v>0.36632880133917656</v>
      </c>
      <c r="CP14" s="62">
        <f t="shared" si="7"/>
        <v>0.24962228055855379</v>
      </c>
      <c r="CQ14" s="62">
        <f t="shared" si="7"/>
        <v>0.24962228055855379</v>
      </c>
      <c r="CR14" s="62">
        <f t="shared" si="7"/>
        <v>0.24962228055855379</v>
      </c>
      <c r="CS14" s="62">
        <f t="shared" si="7"/>
        <v>0.12643206417900749</v>
      </c>
      <c r="CT14" s="62">
        <f t="shared" si="7"/>
        <v>0.12643206417900749</v>
      </c>
      <c r="CU14" s="62">
        <f t="shared" si="7"/>
        <v>0.12643206417900749</v>
      </c>
      <c r="CV14" s="62">
        <f t="shared" si="7"/>
        <v>-5.1744198675646075E-16</v>
      </c>
    </row>
    <row r="15" spans="1:106" ht="12" customHeight="1" thickBot="1">
      <c r="A15" s="240" t="s">
        <v>139</v>
      </c>
      <c r="B15" s="65">
        <f t="shared" ref="B15:AG15" si="8">SUM(B4:B12)-B13</f>
        <v>171.26</v>
      </c>
      <c r="C15" s="65">
        <f t="shared" si="8"/>
        <v>171.26</v>
      </c>
      <c r="D15" s="65">
        <f t="shared" si="8"/>
        <v>171.26</v>
      </c>
      <c r="E15" s="65">
        <f t="shared" si="8"/>
        <v>171.26</v>
      </c>
      <c r="F15" s="65">
        <f t="shared" si="8"/>
        <v>171.26</v>
      </c>
      <c r="G15" s="65">
        <f t="shared" si="8"/>
        <v>171.26</v>
      </c>
      <c r="H15" s="65">
        <f t="shared" si="8"/>
        <v>171.26</v>
      </c>
      <c r="I15" s="65">
        <f t="shared" si="8"/>
        <v>171.26</v>
      </c>
      <c r="J15" s="65">
        <f t="shared" si="8"/>
        <v>171.26</v>
      </c>
      <c r="K15" s="65">
        <f t="shared" si="8"/>
        <v>171.26</v>
      </c>
      <c r="L15" s="65">
        <f t="shared" si="8"/>
        <v>171.26</v>
      </c>
      <c r="M15" s="65">
        <f t="shared" si="8"/>
        <v>171.26</v>
      </c>
      <c r="N15" s="65">
        <f t="shared" si="8"/>
        <v>171.26</v>
      </c>
      <c r="O15" s="65">
        <f t="shared" si="8"/>
        <v>171.26</v>
      </c>
      <c r="P15" s="65">
        <f t="shared" si="8"/>
        <v>171.26</v>
      </c>
      <c r="Q15" s="65">
        <f t="shared" si="8"/>
        <v>171.26</v>
      </c>
      <c r="R15" s="65">
        <f t="shared" si="8"/>
        <v>171.26</v>
      </c>
      <c r="S15" s="65">
        <f t="shared" si="8"/>
        <v>210.76</v>
      </c>
      <c r="T15" s="65">
        <f t="shared" si="8"/>
        <v>210.76</v>
      </c>
      <c r="U15" s="65">
        <f t="shared" si="8"/>
        <v>210.76</v>
      </c>
      <c r="V15" s="65">
        <f>SUM(V4:V12)-V13-2.5</f>
        <v>208.26</v>
      </c>
      <c r="W15" s="65">
        <f t="shared" si="8"/>
        <v>208.26</v>
      </c>
      <c r="X15" s="65">
        <f t="shared" si="8"/>
        <v>208.26</v>
      </c>
      <c r="Y15" s="65">
        <f t="shared" si="8"/>
        <v>207.01</v>
      </c>
      <c r="Z15" s="65">
        <f t="shared" si="8"/>
        <v>93.154499999999985</v>
      </c>
      <c r="AA15" s="65">
        <f t="shared" si="8"/>
        <v>146.90449999999998</v>
      </c>
      <c r="AB15" s="65">
        <f t="shared" si="8"/>
        <v>146.90449999999998</v>
      </c>
      <c r="AC15" s="65">
        <f t="shared" si="8"/>
        <v>146.90449999999998</v>
      </c>
      <c r="AD15" s="65">
        <f t="shared" si="8"/>
        <v>146.90449999999998</v>
      </c>
      <c r="AE15" s="65">
        <f t="shared" si="8"/>
        <v>146.90449999999998</v>
      </c>
      <c r="AF15" s="65">
        <f t="shared" si="8"/>
        <v>146.90449999999998</v>
      </c>
      <c r="AG15" s="65">
        <f t="shared" si="8"/>
        <v>146.90449999999998</v>
      </c>
      <c r="AH15" s="65">
        <f t="shared" ref="AH15:BM15" si="9">SUM(AH4:AH12)-AH13</f>
        <v>146.90449999999998</v>
      </c>
      <c r="AI15" s="65">
        <f t="shared" si="9"/>
        <v>146.90449999999998</v>
      </c>
      <c r="AJ15" s="65">
        <f t="shared" si="9"/>
        <v>146.90449999999998</v>
      </c>
      <c r="AK15" s="65">
        <f t="shared" si="9"/>
        <v>146.90449999999998</v>
      </c>
      <c r="AL15" s="65">
        <f t="shared" si="9"/>
        <v>146.90449999999998</v>
      </c>
      <c r="AM15" s="65">
        <f t="shared" si="9"/>
        <v>146.90449999999998</v>
      </c>
      <c r="AN15" s="65">
        <f t="shared" si="9"/>
        <v>146.90449999999998</v>
      </c>
      <c r="AO15" s="65">
        <f t="shared" si="9"/>
        <v>146.90449999999998</v>
      </c>
      <c r="AP15" s="65">
        <f t="shared" si="9"/>
        <v>146.90449999999998</v>
      </c>
      <c r="AQ15" s="65">
        <f t="shared" si="9"/>
        <v>146.90449999999998</v>
      </c>
      <c r="AR15" s="65">
        <f t="shared" si="9"/>
        <v>146.90449999999998</v>
      </c>
      <c r="AS15" s="65">
        <f t="shared" si="9"/>
        <v>146.90449999999998</v>
      </c>
      <c r="AT15" s="65">
        <f t="shared" si="9"/>
        <v>145.43545499999999</v>
      </c>
      <c r="AU15" s="65">
        <f t="shared" si="9"/>
        <v>145.43545499999999</v>
      </c>
      <c r="AV15" s="65">
        <f t="shared" si="9"/>
        <v>145.43545499999999</v>
      </c>
      <c r="AW15" s="65">
        <f t="shared" si="9"/>
        <v>141.02831999999998</v>
      </c>
      <c r="AX15" s="65">
        <f t="shared" si="9"/>
        <v>141.02831999999998</v>
      </c>
      <c r="AY15" s="65">
        <f t="shared" si="9"/>
        <v>141.02831999999998</v>
      </c>
      <c r="AZ15" s="65">
        <f t="shared" si="9"/>
        <v>136.62118499999997</v>
      </c>
      <c r="BA15" s="65">
        <f t="shared" si="9"/>
        <v>136.62118499999997</v>
      </c>
      <c r="BB15" s="65">
        <f t="shared" si="9"/>
        <v>136.62118499999997</v>
      </c>
      <c r="BC15" s="65">
        <f t="shared" si="9"/>
        <v>132.21404999999996</v>
      </c>
      <c r="BD15" s="65">
        <f t="shared" si="9"/>
        <v>132.21404999999996</v>
      </c>
      <c r="BE15" s="65">
        <f t="shared" si="9"/>
        <v>132.21404999999996</v>
      </c>
      <c r="BF15" s="65">
        <f t="shared" si="9"/>
        <v>126.33786999999995</v>
      </c>
      <c r="BG15" s="65">
        <f t="shared" si="9"/>
        <v>126.33786999999995</v>
      </c>
      <c r="BH15" s="65">
        <f t="shared" si="9"/>
        <v>126.33786999999995</v>
      </c>
      <c r="BI15" s="65">
        <f t="shared" si="9"/>
        <v>120.46168999999995</v>
      </c>
      <c r="BJ15" s="65">
        <f t="shared" si="9"/>
        <v>120.46168999999995</v>
      </c>
      <c r="BK15" s="65">
        <f t="shared" si="9"/>
        <v>120.46168999999995</v>
      </c>
      <c r="BL15" s="65">
        <f t="shared" si="9"/>
        <v>114.58550999999994</v>
      </c>
      <c r="BM15" s="65">
        <f t="shared" si="9"/>
        <v>114.58550999999994</v>
      </c>
      <c r="BN15" s="65">
        <f t="shared" ref="BN15:CV15" si="10">SUM(BN4:BN12)-BN13</f>
        <v>114.58550999999994</v>
      </c>
      <c r="BO15" s="65">
        <f t="shared" si="10"/>
        <v>108.70932999999994</v>
      </c>
      <c r="BP15" s="65">
        <f t="shared" si="10"/>
        <v>108.70932999999994</v>
      </c>
      <c r="BQ15" s="65">
        <f t="shared" si="10"/>
        <v>108.70932999999994</v>
      </c>
      <c r="BR15" s="65">
        <f t="shared" si="10"/>
        <v>101.73136624999994</v>
      </c>
      <c r="BS15" s="65">
        <f t="shared" si="10"/>
        <v>101.73136624999994</v>
      </c>
      <c r="BT15" s="65">
        <f t="shared" si="10"/>
        <v>101.73136624999994</v>
      </c>
      <c r="BU15" s="65">
        <f t="shared" si="10"/>
        <v>94.753402499999936</v>
      </c>
      <c r="BV15" s="65">
        <f t="shared" si="10"/>
        <v>94.753402499999936</v>
      </c>
      <c r="BW15" s="65">
        <f t="shared" si="10"/>
        <v>94.753402499999936</v>
      </c>
      <c r="BX15" s="65">
        <f t="shared" si="10"/>
        <v>87.775438749999935</v>
      </c>
      <c r="BY15" s="65">
        <f t="shared" si="10"/>
        <v>87.775438749999935</v>
      </c>
      <c r="BZ15" s="65">
        <f t="shared" si="10"/>
        <v>87.775438749999935</v>
      </c>
      <c r="CA15" s="65">
        <f t="shared" si="10"/>
        <v>80.797474999999935</v>
      </c>
      <c r="CB15" s="65">
        <f t="shared" si="10"/>
        <v>80.797474999999935</v>
      </c>
      <c r="CC15" s="65">
        <f t="shared" si="10"/>
        <v>80.797474999999935</v>
      </c>
      <c r="CD15" s="65">
        <f t="shared" si="10"/>
        <v>73.819511249999934</v>
      </c>
      <c r="CE15" s="65">
        <f t="shared" si="10"/>
        <v>73.819511249999934</v>
      </c>
      <c r="CF15" s="65">
        <f t="shared" si="10"/>
        <v>73.819511249999934</v>
      </c>
      <c r="CG15" s="65">
        <f t="shared" si="10"/>
        <v>64.270718749999929</v>
      </c>
      <c r="CH15" s="65">
        <f t="shared" si="10"/>
        <v>64.270718749999929</v>
      </c>
      <c r="CI15" s="65">
        <f t="shared" si="10"/>
        <v>64.270718749999929</v>
      </c>
      <c r="CJ15" s="65">
        <f t="shared" si="10"/>
        <v>54.721926249999932</v>
      </c>
      <c r="CK15" s="65">
        <f t="shared" si="10"/>
        <v>54.721926249999932</v>
      </c>
      <c r="CL15" s="65">
        <f t="shared" si="10"/>
        <v>54.721926249999932</v>
      </c>
      <c r="CM15" s="65">
        <f t="shared" si="10"/>
        <v>41.500521249999935</v>
      </c>
      <c r="CN15" s="65">
        <f t="shared" si="10"/>
        <v>41.500521249999935</v>
      </c>
      <c r="CO15" s="65">
        <f t="shared" si="10"/>
        <v>41.500521249999935</v>
      </c>
      <c r="CP15" s="65">
        <f t="shared" si="10"/>
        <v>28.279116249999937</v>
      </c>
      <c r="CQ15" s="65">
        <f t="shared" si="10"/>
        <v>28.279116249999937</v>
      </c>
      <c r="CR15" s="65">
        <f t="shared" si="10"/>
        <v>28.279116249999937</v>
      </c>
      <c r="CS15" s="65">
        <f t="shared" si="10"/>
        <v>14.32318874999994</v>
      </c>
      <c r="CT15" s="65">
        <f t="shared" si="10"/>
        <v>14.32318874999994</v>
      </c>
      <c r="CU15" s="65">
        <f t="shared" si="10"/>
        <v>14.32318874999994</v>
      </c>
      <c r="CV15" s="65">
        <f t="shared" si="10"/>
        <v>-5.8619775700208265E-14</v>
      </c>
    </row>
    <row r="16" spans="1:106" ht="12" customHeight="1" thickTop="1"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>
        <v>0</v>
      </c>
      <c r="S16" s="50">
        <v>0</v>
      </c>
      <c r="T16" s="50">
        <v>0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v>0</v>
      </c>
      <c r="AA16" s="50">
        <v>0</v>
      </c>
      <c r="AB16" s="50">
        <v>0</v>
      </c>
      <c r="AC16" s="50">
        <v>0</v>
      </c>
      <c r="AD16" s="50">
        <v>0</v>
      </c>
      <c r="AE16" s="50">
        <v>0</v>
      </c>
      <c r="AF16" s="50">
        <v>0</v>
      </c>
      <c r="AG16" s="50">
        <v>0</v>
      </c>
      <c r="AH16" s="50">
        <v>0</v>
      </c>
      <c r="AI16" s="50">
        <v>0</v>
      </c>
      <c r="AJ16" s="50">
        <v>0</v>
      </c>
      <c r="AK16" s="50">
        <v>0</v>
      </c>
      <c r="AL16" s="50">
        <v>0</v>
      </c>
      <c r="AM16" s="50">
        <v>0</v>
      </c>
      <c r="AN16" s="50">
        <v>0</v>
      </c>
      <c r="AO16" s="50">
        <v>0</v>
      </c>
      <c r="AP16" s="50">
        <v>0</v>
      </c>
      <c r="AQ16" s="50">
        <v>0</v>
      </c>
      <c r="AR16" s="50">
        <v>0</v>
      </c>
      <c r="AS16" s="50">
        <v>0</v>
      </c>
      <c r="AT16" s="50">
        <v>1</v>
      </c>
      <c r="AU16" s="50">
        <v>0</v>
      </c>
      <c r="AV16" s="50">
        <v>0</v>
      </c>
      <c r="AW16" s="50">
        <v>3</v>
      </c>
      <c r="AX16" s="50">
        <v>0</v>
      </c>
      <c r="AY16" s="50">
        <v>0</v>
      </c>
      <c r="AZ16" s="50">
        <v>3</v>
      </c>
      <c r="BA16" s="50">
        <v>0</v>
      </c>
      <c r="BB16" s="50">
        <v>0</v>
      </c>
      <c r="BC16" s="50">
        <v>3</v>
      </c>
      <c r="BD16" s="50">
        <v>0</v>
      </c>
      <c r="BE16" s="50">
        <v>0</v>
      </c>
      <c r="BF16" s="50">
        <v>4</v>
      </c>
      <c r="BG16" s="50">
        <v>0</v>
      </c>
      <c r="BH16" s="50">
        <v>0</v>
      </c>
      <c r="BI16" s="50">
        <v>4</v>
      </c>
      <c r="BJ16" s="50">
        <v>0</v>
      </c>
      <c r="BK16" s="50">
        <v>0</v>
      </c>
      <c r="BL16" s="50">
        <v>4</v>
      </c>
      <c r="BM16" s="50">
        <v>0</v>
      </c>
      <c r="BN16" s="50">
        <v>0</v>
      </c>
      <c r="BO16" s="50">
        <v>4</v>
      </c>
      <c r="BP16" s="50">
        <v>0</v>
      </c>
      <c r="BQ16" s="50">
        <v>0</v>
      </c>
      <c r="BR16" s="50">
        <v>4.75</v>
      </c>
      <c r="BS16" s="50">
        <v>0</v>
      </c>
      <c r="BT16" s="50">
        <v>0</v>
      </c>
      <c r="BU16" s="50">
        <v>4.75</v>
      </c>
      <c r="BV16" s="50">
        <v>0</v>
      </c>
      <c r="BW16" s="50">
        <v>0</v>
      </c>
      <c r="BX16" s="50">
        <v>4.75</v>
      </c>
      <c r="BY16" s="50">
        <v>0</v>
      </c>
      <c r="BZ16" s="50">
        <v>0</v>
      </c>
      <c r="CA16" s="50">
        <v>4.75</v>
      </c>
      <c r="CB16" s="50">
        <v>0</v>
      </c>
      <c r="CC16" s="50">
        <v>0</v>
      </c>
      <c r="CD16" s="50">
        <v>4.75</v>
      </c>
      <c r="CE16" s="50">
        <v>0</v>
      </c>
      <c r="CF16" s="50">
        <v>0</v>
      </c>
      <c r="CG16" s="50">
        <v>6.5</v>
      </c>
      <c r="CH16" s="50">
        <v>0</v>
      </c>
      <c r="CI16" s="50">
        <v>0</v>
      </c>
      <c r="CJ16" s="50">
        <v>6.5</v>
      </c>
      <c r="CK16" s="50">
        <v>0</v>
      </c>
      <c r="CL16" s="50">
        <v>0</v>
      </c>
      <c r="CM16" s="50">
        <v>9</v>
      </c>
      <c r="CN16" s="50">
        <v>0</v>
      </c>
      <c r="CO16" s="50">
        <v>0</v>
      </c>
      <c r="CP16" s="50">
        <v>9</v>
      </c>
      <c r="CQ16" s="50">
        <v>0</v>
      </c>
      <c r="CR16" s="50">
        <v>0</v>
      </c>
      <c r="CS16" s="50">
        <v>9.5</v>
      </c>
      <c r="CT16" s="50">
        <v>0</v>
      </c>
      <c r="CU16" s="50">
        <v>0</v>
      </c>
      <c r="CV16" s="50">
        <v>9.75</v>
      </c>
      <c r="CW16" s="50"/>
      <c r="CX16" s="50"/>
      <c r="CY16" s="50">
        <f>SUM(R16:CX16)</f>
        <v>100</v>
      </c>
      <c r="CZ16" s="50"/>
      <c r="DA16" s="50"/>
      <c r="DB16" s="50"/>
    </row>
    <row r="17" spans="1:100" ht="12" customHeight="1">
      <c r="B17" s="243"/>
      <c r="C17" s="248">
        <f>'Monthly CF'!B40</f>
        <v>0</v>
      </c>
      <c r="D17" s="248">
        <f>'Monthly CF'!C40</f>
        <v>0</v>
      </c>
      <c r="E17" s="248">
        <f>'Monthly CF'!D40</f>
        <v>0</v>
      </c>
      <c r="F17" s="248">
        <f>'Monthly CF'!E40</f>
        <v>0</v>
      </c>
      <c r="G17" s="248">
        <f>'Monthly CF'!F40</f>
        <v>0</v>
      </c>
      <c r="H17" s="248">
        <f>'Monthly CF'!G40</f>
        <v>0</v>
      </c>
      <c r="I17" s="248">
        <f>'Monthly CF'!H40</f>
        <v>0</v>
      </c>
      <c r="J17" s="248">
        <f>'Monthly CF'!I40</f>
        <v>0</v>
      </c>
      <c r="K17" s="248">
        <f>'Monthly CF'!J40</f>
        <v>0</v>
      </c>
      <c r="L17" s="248">
        <f>'Monthly CF'!K40</f>
        <v>0</v>
      </c>
      <c r="M17" s="248">
        <f>'Monthly CF'!L40</f>
        <v>0</v>
      </c>
      <c r="N17" s="248">
        <f>'Monthly CF'!M40</f>
        <v>0</v>
      </c>
      <c r="O17" s="248">
        <f>'Monthly CF'!N40</f>
        <v>0</v>
      </c>
      <c r="P17" s="248">
        <f>'Monthly CF'!O40</f>
        <v>0</v>
      </c>
      <c r="Q17" s="248">
        <f>'Monthly CF'!P40</f>
        <v>0</v>
      </c>
      <c r="R17" s="248">
        <f>'Monthly CF'!Q40</f>
        <v>0</v>
      </c>
      <c r="S17" s="248">
        <f>'Monthly CF'!R40</f>
        <v>0</v>
      </c>
      <c r="T17" s="248">
        <f>'Monthly CF'!S40</f>
        <v>0</v>
      </c>
      <c r="U17" s="248">
        <f>'Monthly CF'!T40</f>
        <v>0</v>
      </c>
      <c r="V17" s="248">
        <f>'Monthly CF'!U40</f>
        <v>0</v>
      </c>
      <c r="W17" s="248">
        <f>'Monthly CF'!V40</f>
        <v>0.56461202234191976</v>
      </c>
      <c r="X17" s="248">
        <f>'Monthly CF'!W40</f>
        <v>-2.8706167365816326</v>
      </c>
      <c r="Y17" s="248">
        <f>'Monthly CF'!X40</f>
        <v>-3.5601842269901272</v>
      </c>
      <c r="Z17" s="248">
        <f>'Monthly CF'!Y40</f>
        <v>-7.3873618084554771</v>
      </c>
      <c r="AA17" s="248">
        <f>'Monthly CF'!Z40</f>
        <v>45.138536905669852</v>
      </c>
      <c r="AB17" s="248">
        <f>'Monthly CF'!AA40</f>
        <v>34.953390794646062</v>
      </c>
      <c r="AC17" s="248">
        <f>'Monthly CF'!AB40</f>
        <v>29.932760841750536</v>
      </c>
      <c r="AD17" s="248">
        <f>'Monthly CF'!AC40</f>
        <v>25.179769640750592</v>
      </c>
      <c r="AE17" s="248">
        <f>'Monthly CF'!AD40</f>
        <v>22.496731937438103</v>
      </c>
      <c r="AF17" s="248">
        <f>'Monthly CF'!AE40</f>
        <v>14.527310304708472</v>
      </c>
      <c r="AG17" s="248">
        <f>'Monthly CF'!AF40</f>
        <v>11.194700861942646</v>
      </c>
      <c r="AH17" s="248">
        <f>'Monthly CF'!AG40</f>
        <v>15.550334503489232</v>
      </c>
      <c r="AI17" s="248">
        <f>'Monthly CF'!AH40</f>
        <v>12.646794493382199</v>
      </c>
      <c r="AJ17" s="248">
        <f>'Monthly CF'!AI40</f>
        <v>7.2852115849657562</v>
      </c>
      <c r="AK17" s="248">
        <f>'Monthly CF'!AJ40</f>
        <v>4.6890936802774696</v>
      </c>
      <c r="AL17" s="248">
        <f>'Monthly CF'!AK40</f>
        <v>-0.89507737454874459</v>
      </c>
      <c r="AM17" s="248">
        <f>'Monthly CF'!AL40</f>
        <v>-2.2020879749501994</v>
      </c>
      <c r="AN17" s="248">
        <f>'Monthly CF'!AM40</f>
        <v>8.7052835928624681</v>
      </c>
      <c r="AO17" s="248">
        <f>'Monthly CF'!AN40</f>
        <v>7.977829155197572</v>
      </c>
      <c r="AP17" s="248">
        <f>'Monthly CF'!AO40</f>
        <v>2.9231095206815887</v>
      </c>
      <c r="AQ17" s="248">
        <f>'Monthly CF'!AP40</f>
        <v>4.677102539032683</v>
      </c>
      <c r="AR17" s="248">
        <f>'Monthly CF'!AQ40</f>
        <v>2.6034185507332177</v>
      </c>
      <c r="AS17" s="248">
        <f>'Monthly CF'!AR40</f>
        <v>5.1899699134203532</v>
      </c>
      <c r="AT17" s="248">
        <f>'Monthly CF'!AS40</f>
        <v>1.4552291043499279</v>
      </c>
      <c r="AU17" s="248">
        <f>'Monthly CF'!AT40</f>
        <v>3.7804703698596347</v>
      </c>
      <c r="AV17" s="248">
        <f>'Monthly CF'!AU40</f>
        <v>1.7363542715482954</v>
      </c>
      <c r="AW17" s="248">
        <f>'Monthly CF'!AV40</f>
        <v>1.2705576266309802</v>
      </c>
      <c r="AX17" s="248">
        <f>'Monthly CF'!AW40</f>
        <v>-0.28288139947518331</v>
      </c>
      <c r="AY17" s="248">
        <f>'Monthly CF'!AX40</f>
        <v>3.9134862619436381</v>
      </c>
      <c r="AZ17" s="248">
        <f>'Monthly CF'!AY40</f>
        <v>-1.9673127627487439</v>
      </c>
      <c r="BA17" s="248">
        <f>'Monthly CF'!AZ40</f>
        <v>1.8677401001516687</v>
      </c>
      <c r="BB17" s="248">
        <f>'Monthly CF'!BA40</f>
        <v>0.60654896463923169</v>
      </c>
      <c r="BC17" s="248">
        <f>'Monthly CF'!BB40</f>
        <v>8.0842772687236497E-2</v>
      </c>
      <c r="BD17" s="248">
        <f>'Monthly CF'!BC40</f>
        <v>-1.1614340928244689</v>
      </c>
      <c r="BE17" s="248">
        <f>'Monthly CF'!BD40</f>
        <v>3.4192108618576071</v>
      </c>
      <c r="BF17" s="248">
        <f>'Monthly CF'!BE40</f>
        <v>-4.0917287208393613</v>
      </c>
      <c r="BG17" s="248">
        <f>'Monthly CF'!BF40</f>
        <v>0.12368761929947603</v>
      </c>
      <c r="BH17" s="248">
        <f>'Monthly CF'!BG40</f>
        <v>-1.576086108500256</v>
      </c>
      <c r="BI17" s="248">
        <f>'Monthly CF'!BH40</f>
        <v>-2.7062491351471465</v>
      </c>
      <c r="BJ17" s="248">
        <f>'Monthly CF'!BI40</f>
        <v>-3.6524891652286859</v>
      </c>
      <c r="BK17" s="248">
        <f>'Monthly CF'!BJ40</f>
        <v>1.5829319767994505</v>
      </c>
      <c r="BL17" s="248">
        <f>'Monthly CF'!BK40</f>
        <v>-5.1498000500231438</v>
      </c>
      <c r="BM17" s="248">
        <f>'Monthly CF'!BL40</f>
        <v>-0.42337680636919472</v>
      </c>
      <c r="BN17" s="248">
        <f>'Monthly CF'!BM40</f>
        <v>-1.1813585390448695</v>
      </c>
      <c r="BO17" s="248">
        <f>'Monthly CF'!BN40</f>
        <v>-2.2919605820866318</v>
      </c>
      <c r="BP17" s="248">
        <f>'Monthly CF'!BO40</f>
        <v>-3.0338743798447609</v>
      </c>
      <c r="BQ17" s="248">
        <f>'Monthly CF'!BP40</f>
        <v>0.2986605379197389</v>
      </c>
      <c r="BR17" s="248">
        <f>'Monthly CF'!BQ40</f>
        <v>-8.0564285217998393</v>
      </c>
      <c r="BS17" s="248">
        <f>'Monthly CF'!BR40</f>
        <v>-3.9593308467049448</v>
      </c>
      <c r="BT17" s="248">
        <f>'Monthly CF'!BS40</f>
        <v>-6.0898723632719589</v>
      </c>
      <c r="BU17" s="248">
        <f>'Monthly CF'!BT40</f>
        <v>-7.9878582762402397</v>
      </c>
      <c r="BV17" s="248">
        <f>'Monthly CF'!BU40</f>
        <v>-9.6176985058205027</v>
      </c>
      <c r="BW17" s="248">
        <f>'Monthly CF'!BV40</f>
        <v>-4.3102103106028133</v>
      </c>
      <c r="BX17" s="248">
        <f>'Monthly CF'!BW40</f>
        <v>-12.802228805338952</v>
      </c>
      <c r="BY17" s="248">
        <f>'Monthly CF'!BX40</f>
        <v>-7.920061991351341</v>
      </c>
      <c r="BZ17" s="248">
        <f>'Monthly CF'!BY40</f>
        <v>-9.2229062981277607</v>
      </c>
      <c r="CA17" s="248">
        <f>'Monthly CF'!BZ40</f>
        <v>-11.25225806185856</v>
      </c>
      <c r="CB17" s="248">
        <f>'Monthly CF'!CA40</f>
        <v>-12.499698001118121</v>
      </c>
      <c r="CC17" s="248">
        <f>'Monthly CF'!CB40</f>
        <v>-6.67644514120573</v>
      </c>
      <c r="CD17" s="248">
        <f>'Monthly CF'!CC40</f>
        <v>-15.323957555633964</v>
      </c>
      <c r="CE17" s="248">
        <f>'Monthly CF'!CD40</f>
        <v>-9.9392601654650186</v>
      </c>
      <c r="CF17" s="248">
        <f>'Monthly CF'!CE40</f>
        <v>-11.610872746229028</v>
      </c>
      <c r="CG17" s="248">
        <f>'Monthly CF'!CF40</f>
        <v>-14.257445542329856</v>
      </c>
      <c r="CH17" s="248">
        <f>'Monthly CF'!CG40</f>
        <v>-14.563380624944429</v>
      </c>
      <c r="CI17" s="248">
        <f>'Monthly CF'!CH40</f>
        <v>-7.4242371291599598</v>
      </c>
      <c r="CJ17" s="248">
        <f>'Monthly CF'!CI40</f>
        <v>-17.121156573977785</v>
      </c>
      <c r="CK17" s="248">
        <f>'Monthly CF'!CJ40</f>
        <v>-10.410766231190932</v>
      </c>
      <c r="CL17" s="248">
        <f>'Monthly CF'!CK40</f>
        <v>-10.345465543861515</v>
      </c>
      <c r="CM17" s="248">
        <f>'Monthly CF'!CL40</f>
        <v>-16.722645394257782</v>
      </c>
      <c r="CN17" s="248">
        <f>'Monthly CF'!CM40</f>
        <v>-16.58184171050015</v>
      </c>
      <c r="CO17" s="248">
        <f>'Monthly CF'!CN40</f>
        <v>-9.0026821788325222</v>
      </c>
      <c r="CP17" s="248">
        <f>'Monthly CF'!CO40</f>
        <v>-22.348069422543478</v>
      </c>
      <c r="CQ17" s="248">
        <f>'Monthly CF'!CP40</f>
        <v>-15.085751315167194</v>
      </c>
      <c r="CR17" s="248">
        <f>'Monthly CF'!CQ40</f>
        <v>-15.176625111446477</v>
      </c>
      <c r="CS17" s="248">
        <f>'Monthly CF'!CR40</f>
        <v>-20.818548392624173</v>
      </c>
      <c r="CT17" s="248">
        <f>'Monthly CF'!CS40</f>
        <v>-19.991579071759951</v>
      </c>
      <c r="CU17" s="248">
        <f>'Monthly CF'!CT40</f>
        <v>-11.273635793563926</v>
      </c>
      <c r="CV17" s="248">
        <f>'Monthly CF'!CU40</f>
        <v>-10.507471332963931</v>
      </c>
    </row>
    <row r="18" spans="1:100" ht="12" customHeight="1"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64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</row>
    <row r="20" spans="1:100" ht="12" customHeight="1">
      <c r="A20" s="246" t="s">
        <v>214</v>
      </c>
      <c r="B20" s="248">
        <f>B14</f>
        <v>0</v>
      </c>
      <c r="C20" s="248">
        <f>C14*C25/SUM(C24:C25)</f>
        <v>0.80289999999999984</v>
      </c>
      <c r="D20" s="248">
        <f t="shared" ref="D20:V20" si="11">D14</f>
        <v>1.5484758333333331</v>
      </c>
      <c r="E20" s="248">
        <f t="shared" si="11"/>
        <v>1.5484758333333331</v>
      </c>
      <c r="F20" s="248">
        <f t="shared" si="11"/>
        <v>1.5484758333333331</v>
      </c>
      <c r="G20" s="248">
        <f t="shared" si="11"/>
        <v>1.5484758333333331</v>
      </c>
      <c r="H20" s="248">
        <f t="shared" si="11"/>
        <v>1.5484758333333331</v>
      </c>
      <c r="I20" s="248">
        <f t="shared" si="11"/>
        <v>1.5484758333333331</v>
      </c>
      <c r="J20" s="248">
        <f t="shared" si="11"/>
        <v>1.5484758333333331</v>
      </c>
      <c r="K20" s="248">
        <f t="shared" si="11"/>
        <v>1.5484758333333331</v>
      </c>
      <c r="L20" s="248">
        <f t="shared" si="11"/>
        <v>1.5484758333333331</v>
      </c>
      <c r="M20" s="248">
        <f t="shared" si="11"/>
        <v>1.5484758333333331</v>
      </c>
      <c r="N20" s="248">
        <f t="shared" si="11"/>
        <v>1.5484758333333331</v>
      </c>
      <c r="O20" s="248">
        <f t="shared" si="11"/>
        <v>1.5484758333333331</v>
      </c>
      <c r="P20" s="248">
        <f t="shared" si="11"/>
        <v>1.5484758333333331</v>
      </c>
      <c r="Q20" s="248">
        <f t="shared" si="11"/>
        <v>1.5484758333333331</v>
      </c>
      <c r="R20" s="248">
        <f t="shared" si="11"/>
        <v>1.5484758333333331</v>
      </c>
      <c r="S20" s="248">
        <f t="shared" si="11"/>
        <v>1.5484758333333331</v>
      </c>
      <c r="T20" s="248">
        <f t="shared" si="11"/>
        <v>2.0661036607468675</v>
      </c>
      <c r="U20" s="248">
        <f t="shared" si="11"/>
        <v>2.0661036607468675</v>
      </c>
      <c r="V20" s="248">
        <f t="shared" si="11"/>
        <v>2.0661036607468675</v>
      </c>
      <c r="W20" s="248"/>
      <c r="X20" s="248"/>
      <c r="Y20" s="248"/>
      <c r="Z20" s="248"/>
      <c r="AA20" s="248"/>
      <c r="AB20" s="248"/>
      <c r="AC20" s="248"/>
      <c r="AD20" s="248"/>
      <c r="AE20" s="248"/>
      <c r="AF20" s="248"/>
      <c r="AG20" s="248"/>
      <c r="AH20" s="248"/>
      <c r="AI20" s="248"/>
      <c r="AJ20" s="248"/>
      <c r="AK20" s="248"/>
      <c r="AL20" s="248"/>
      <c r="AM20" s="248"/>
      <c r="AN20" s="248"/>
      <c r="AO20" s="248"/>
      <c r="AP20" s="248"/>
      <c r="AQ20" s="248"/>
      <c r="AR20" s="248"/>
      <c r="AS20" s="248"/>
      <c r="AT20" s="248"/>
      <c r="AU20" s="248"/>
      <c r="AV20" s="248"/>
      <c r="AW20" s="248"/>
      <c r="AX20" s="248"/>
      <c r="AY20" s="248"/>
      <c r="AZ20" s="248"/>
      <c r="BA20" s="248"/>
      <c r="BB20" s="248"/>
      <c r="BC20" s="248"/>
      <c r="BD20" s="248"/>
      <c r="BE20" s="248"/>
      <c r="BF20" s="248"/>
      <c r="BG20" s="248"/>
      <c r="BH20" s="248"/>
      <c r="BI20" s="248"/>
      <c r="BJ20" s="248"/>
      <c r="BK20" s="248"/>
      <c r="BL20" s="248"/>
      <c r="BM20" s="248"/>
      <c r="BN20" s="248"/>
      <c r="BO20" s="248"/>
      <c r="BP20" s="248"/>
      <c r="BQ20" s="248"/>
      <c r="BR20" s="248"/>
      <c r="BS20" s="248"/>
      <c r="BT20" s="248"/>
      <c r="BU20" s="248"/>
      <c r="BV20" s="248"/>
      <c r="BW20" s="248"/>
      <c r="BX20" s="248"/>
      <c r="BY20" s="248"/>
      <c r="BZ20" s="248"/>
      <c r="CA20" s="248"/>
      <c r="CB20" s="248"/>
      <c r="CC20" s="248"/>
      <c r="CD20" s="248"/>
      <c r="CE20" s="248"/>
      <c r="CF20" s="248"/>
      <c r="CG20" s="248"/>
      <c r="CH20" s="248"/>
      <c r="CI20" s="248"/>
      <c r="CJ20" s="248"/>
      <c r="CK20" s="248"/>
      <c r="CL20" s="248"/>
      <c r="CM20" s="248"/>
      <c r="CN20" s="248"/>
      <c r="CO20" s="248"/>
      <c r="CP20" s="248"/>
      <c r="CQ20" s="248"/>
      <c r="CR20" s="248"/>
      <c r="CS20" s="248"/>
      <c r="CT20" s="248"/>
      <c r="CU20" s="248"/>
      <c r="CV20" s="248"/>
    </row>
    <row r="21" spans="1:100" ht="12" customHeight="1">
      <c r="A21" s="246" t="s">
        <v>215</v>
      </c>
      <c r="B21" s="248">
        <v>0</v>
      </c>
      <c r="C21" s="248">
        <v>0</v>
      </c>
      <c r="D21" s="50">
        <f>'Monthly BS'!D10*17.75%/4</f>
        <v>1.3312499999999998</v>
      </c>
      <c r="E21" s="248">
        <v>0</v>
      </c>
      <c r="F21" s="248">
        <v>0</v>
      </c>
      <c r="G21" s="50">
        <f>G7*17.75%/4</f>
        <v>0</v>
      </c>
      <c r="H21" s="248">
        <v>0</v>
      </c>
      <c r="I21" s="248">
        <v>0</v>
      </c>
      <c r="J21" s="50">
        <f>'Monthly BS'!J10*17.75%/4</f>
        <v>1.3312499999999998</v>
      </c>
      <c r="K21" s="248">
        <v>0</v>
      </c>
      <c r="L21" s="248">
        <v>0</v>
      </c>
      <c r="M21" s="50">
        <f>'Monthly BS'!M10*17.75%/4</f>
        <v>1.3312499999999998</v>
      </c>
      <c r="N21" s="248">
        <v>0</v>
      </c>
      <c r="O21" s="248">
        <v>0</v>
      </c>
      <c r="P21" s="50">
        <f>'Monthly BS'!P10*17.75%/4</f>
        <v>1.3312499999999998</v>
      </c>
      <c r="Q21" s="248">
        <v>0</v>
      </c>
      <c r="R21" s="248">
        <v>0</v>
      </c>
      <c r="S21" s="50">
        <f>'Monthly BS'!S10*17.75%/4</f>
        <v>0</v>
      </c>
      <c r="T21" s="248">
        <v>0</v>
      </c>
      <c r="U21" s="248">
        <v>0</v>
      </c>
      <c r="V21" s="50">
        <f>'Monthly BS'!V10*17.75%/4</f>
        <v>0</v>
      </c>
      <c r="W21" s="248"/>
      <c r="X21" s="248"/>
      <c r="Y21" s="50"/>
      <c r="Z21" s="248"/>
      <c r="AA21" s="248"/>
      <c r="AB21" s="50"/>
      <c r="AC21" s="248"/>
      <c r="AD21" s="248"/>
      <c r="AE21" s="50"/>
      <c r="AF21" s="248"/>
      <c r="AG21" s="248"/>
      <c r="AH21" s="50"/>
      <c r="AI21" s="248"/>
      <c r="AJ21" s="248"/>
      <c r="AK21" s="50"/>
      <c r="AL21" s="248"/>
      <c r="AM21" s="248"/>
      <c r="AN21" s="50"/>
      <c r="AO21" s="248"/>
      <c r="AP21" s="248"/>
      <c r="AQ21" s="50"/>
      <c r="AR21" s="248"/>
      <c r="AS21" s="248"/>
      <c r="AT21" s="50"/>
      <c r="AU21" s="248"/>
      <c r="AV21" s="248"/>
      <c r="AW21" s="50"/>
      <c r="AX21" s="248"/>
      <c r="AY21" s="248"/>
      <c r="AZ21" s="50"/>
      <c r="BA21" s="248"/>
      <c r="BB21" s="248"/>
      <c r="BC21" s="50"/>
      <c r="BD21" s="248"/>
      <c r="BE21" s="248"/>
      <c r="BF21" s="50"/>
      <c r="BG21" s="248"/>
      <c r="BH21" s="248"/>
      <c r="BI21" s="50"/>
      <c r="BJ21" s="248"/>
      <c r="BK21" s="248"/>
      <c r="BL21" s="50"/>
      <c r="BM21" s="248"/>
      <c r="BN21" s="248"/>
      <c r="BO21" s="50"/>
      <c r="BP21" s="248"/>
      <c r="BQ21" s="248"/>
      <c r="BR21" s="50"/>
      <c r="BS21" s="248"/>
      <c r="BT21" s="248"/>
      <c r="BU21" s="50"/>
      <c r="BV21" s="248"/>
      <c r="BW21" s="248"/>
      <c r="BX21" s="50"/>
      <c r="BY21" s="248"/>
      <c r="BZ21" s="248"/>
      <c r="CA21" s="50"/>
      <c r="CB21" s="248"/>
      <c r="CC21" s="248"/>
      <c r="CD21" s="50"/>
      <c r="CE21" s="248"/>
      <c r="CF21" s="248"/>
      <c r="CG21" s="50"/>
      <c r="CH21" s="248"/>
      <c r="CI21" s="248"/>
      <c r="CJ21" s="50"/>
      <c r="CK21" s="248"/>
      <c r="CL21" s="248"/>
      <c r="CM21" s="50"/>
      <c r="CN21" s="248"/>
      <c r="CO21" s="248"/>
      <c r="CP21" s="50"/>
      <c r="CQ21" s="248"/>
      <c r="CR21" s="248"/>
      <c r="CS21" s="50"/>
      <c r="CT21" s="248"/>
      <c r="CU21" s="248"/>
      <c r="CV21" s="50"/>
    </row>
    <row r="22" spans="1:100" ht="12" customHeight="1" thickBot="1">
      <c r="A22" s="240" t="s">
        <v>54</v>
      </c>
      <c r="B22" s="249">
        <f t="shared" ref="B22:V22" si="12">SUM(B20:B21)</f>
        <v>0</v>
      </c>
      <c r="C22" s="249">
        <f t="shared" si="12"/>
        <v>0.80289999999999984</v>
      </c>
      <c r="D22" s="249">
        <f t="shared" si="12"/>
        <v>2.8797258333333327</v>
      </c>
      <c r="E22" s="249">
        <f t="shared" si="12"/>
        <v>1.5484758333333331</v>
      </c>
      <c r="F22" s="249">
        <f t="shared" si="12"/>
        <v>1.5484758333333331</v>
      </c>
      <c r="G22" s="249">
        <f t="shared" si="12"/>
        <v>1.5484758333333331</v>
      </c>
      <c r="H22" s="249">
        <f t="shared" si="12"/>
        <v>1.5484758333333331</v>
      </c>
      <c r="I22" s="249">
        <f t="shared" si="12"/>
        <v>1.5484758333333331</v>
      </c>
      <c r="J22" s="249">
        <f t="shared" si="12"/>
        <v>2.8797258333333327</v>
      </c>
      <c r="K22" s="249">
        <f t="shared" si="12"/>
        <v>1.5484758333333331</v>
      </c>
      <c r="L22" s="249">
        <f t="shared" si="12"/>
        <v>1.5484758333333331</v>
      </c>
      <c r="M22" s="249">
        <f t="shared" si="12"/>
        <v>2.8797258333333327</v>
      </c>
      <c r="N22" s="249">
        <f t="shared" si="12"/>
        <v>1.5484758333333331</v>
      </c>
      <c r="O22" s="249">
        <f t="shared" si="12"/>
        <v>1.5484758333333331</v>
      </c>
      <c r="P22" s="249">
        <f t="shared" si="12"/>
        <v>2.8797258333333327</v>
      </c>
      <c r="Q22" s="249">
        <f t="shared" si="12"/>
        <v>1.5484758333333331</v>
      </c>
      <c r="R22" s="249">
        <f t="shared" si="12"/>
        <v>1.5484758333333331</v>
      </c>
      <c r="S22" s="249">
        <f t="shared" si="12"/>
        <v>1.5484758333333331</v>
      </c>
      <c r="T22" s="249">
        <f t="shared" si="12"/>
        <v>2.0661036607468675</v>
      </c>
      <c r="U22" s="249">
        <f t="shared" si="12"/>
        <v>2.0661036607468675</v>
      </c>
      <c r="V22" s="249">
        <f t="shared" si="12"/>
        <v>2.0661036607468675</v>
      </c>
      <c r="W22" s="250"/>
      <c r="X22" s="250"/>
      <c r="Y22" s="250"/>
      <c r="Z22" s="250"/>
      <c r="AA22" s="250"/>
      <c r="AB22" s="250"/>
      <c r="AC22" s="250"/>
      <c r="AD22" s="250"/>
      <c r="AE22" s="250"/>
      <c r="AF22" s="250"/>
      <c r="AG22" s="250"/>
      <c r="AH22" s="250"/>
      <c r="AI22" s="250"/>
      <c r="AJ22" s="250"/>
      <c r="AK22" s="250"/>
      <c r="AL22" s="250"/>
      <c r="AM22" s="250"/>
      <c r="AN22" s="250"/>
      <c r="AO22" s="250"/>
      <c r="AP22" s="250"/>
      <c r="AQ22" s="250"/>
      <c r="AR22" s="250"/>
      <c r="AS22" s="250"/>
      <c r="AT22" s="250"/>
      <c r="AU22" s="250"/>
      <c r="AV22" s="250"/>
      <c r="AW22" s="250"/>
      <c r="AX22" s="250"/>
      <c r="AY22" s="250"/>
      <c r="AZ22" s="250"/>
      <c r="BA22" s="250"/>
      <c r="BB22" s="250"/>
      <c r="BC22" s="250"/>
      <c r="BD22" s="250"/>
      <c r="BE22" s="250"/>
      <c r="BF22" s="250"/>
      <c r="BG22" s="250"/>
      <c r="BH22" s="250"/>
      <c r="BI22" s="250"/>
      <c r="BJ22" s="250"/>
      <c r="BK22" s="250"/>
      <c r="BL22" s="250"/>
      <c r="BM22" s="250"/>
      <c r="BN22" s="250"/>
      <c r="BO22" s="250"/>
      <c r="BP22" s="250"/>
      <c r="BQ22" s="250"/>
      <c r="BR22" s="250"/>
      <c r="BS22" s="250"/>
      <c r="BT22" s="250"/>
      <c r="BU22" s="250"/>
      <c r="BV22" s="250"/>
      <c r="BW22" s="250"/>
      <c r="BX22" s="250"/>
      <c r="BY22" s="250"/>
      <c r="BZ22" s="250"/>
      <c r="CA22" s="250"/>
      <c r="CB22" s="250"/>
      <c r="CC22" s="250"/>
      <c r="CD22" s="250"/>
      <c r="CE22" s="250"/>
      <c r="CF22" s="250"/>
      <c r="CG22" s="250"/>
      <c r="CH22" s="250"/>
      <c r="CI22" s="250"/>
      <c r="CJ22" s="250"/>
      <c r="CK22" s="250"/>
      <c r="CL22" s="250"/>
      <c r="CM22" s="250"/>
      <c r="CN22" s="250"/>
      <c r="CO22" s="250"/>
      <c r="CP22" s="250"/>
      <c r="CQ22" s="250"/>
      <c r="CR22" s="250"/>
      <c r="CS22" s="250"/>
      <c r="CT22" s="250"/>
      <c r="CU22" s="250"/>
      <c r="CV22" s="250"/>
    </row>
    <row r="23" spans="1:100" ht="12" customHeight="1" thickTop="1"/>
    <row r="24" spans="1:100" ht="12" customHeight="1">
      <c r="A24" s="246" t="s">
        <v>216</v>
      </c>
      <c r="B24" s="64"/>
      <c r="C24" s="64">
        <v>82.46</v>
      </c>
      <c r="D24" s="64">
        <f t="shared" ref="D24:BO24" si="13">D15*100/184.4</f>
        <v>92.874186550976134</v>
      </c>
      <c r="E24" s="64">
        <f t="shared" si="13"/>
        <v>92.874186550976134</v>
      </c>
      <c r="F24" s="64">
        <f t="shared" si="13"/>
        <v>92.874186550976134</v>
      </c>
      <c r="G24" s="64">
        <f t="shared" si="13"/>
        <v>92.874186550976134</v>
      </c>
      <c r="H24" s="64">
        <f t="shared" si="13"/>
        <v>92.874186550976134</v>
      </c>
      <c r="I24" s="64">
        <f t="shared" si="13"/>
        <v>92.874186550976134</v>
      </c>
      <c r="J24" s="64">
        <f t="shared" si="13"/>
        <v>92.874186550976134</v>
      </c>
      <c r="K24" s="64">
        <f t="shared" si="13"/>
        <v>92.874186550976134</v>
      </c>
      <c r="L24" s="64">
        <f t="shared" si="13"/>
        <v>92.874186550976134</v>
      </c>
      <c r="M24" s="64">
        <f t="shared" si="13"/>
        <v>92.874186550976134</v>
      </c>
      <c r="N24" s="64">
        <f t="shared" si="13"/>
        <v>92.874186550976134</v>
      </c>
      <c r="O24" s="64">
        <f t="shared" si="13"/>
        <v>92.874186550976134</v>
      </c>
      <c r="P24" s="64">
        <f t="shared" si="13"/>
        <v>92.874186550976134</v>
      </c>
      <c r="Q24" s="64">
        <f t="shared" si="13"/>
        <v>92.874186550976134</v>
      </c>
      <c r="R24" s="64">
        <f t="shared" si="13"/>
        <v>92.874186550976134</v>
      </c>
      <c r="S24" s="64">
        <f t="shared" si="13"/>
        <v>114.29501084598698</v>
      </c>
      <c r="T24" s="64">
        <f t="shared" si="13"/>
        <v>114.29501084598698</v>
      </c>
      <c r="U24" s="64">
        <f t="shared" si="13"/>
        <v>114.29501084598698</v>
      </c>
      <c r="V24" s="64">
        <f t="shared" si="13"/>
        <v>112.93926247288503</v>
      </c>
      <c r="W24" s="64">
        <f t="shared" si="13"/>
        <v>112.93926247288503</v>
      </c>
      <c r="X24" s="64">
        <f t="shared" si="13"/>
        <v>112.93926247288503</v>
      </c>
      <c r="Y24" s="64">
        <f t="shared" si="13"/>
        <v>112.26138828633405</v>
      </c>
      <c r="Z24" s="64">
        <f t="shared" si="13"/>
        <v>50.517624728850315</v>
      </c>
      <c r="AA24" s="64">
        <f t="shared" si="13"/>
        <v>79.666214750542295</v>
      </c>
      <c r="AB24" s="64">
        <f t="shared" si="13"/>
        <v>79.666214750542295</v>
      </c>
      <c r="AC24" s="64">
        <f t="shared" si="13"/>
        <v>79.666214750542295</v>
      </c>
      <c r="AD24" s="64">
        <f t="shared" si="13"/>
        <v>79.666214750542295</v>
      </c>
      <c r="AE24" s="64">
        <f t="shared" si="13"/>
        <v>79.666214750542295</v>
      </c>
      <c r="AF24" s="64">
        <f t="shared" si="13"/>
        <v>79.666214750542295</v>
      </c>
      <c r="AG24" s="64">
        <f t="shared" si="13"/>
        <v>79.666214750542295</v>
      </c>
      <c r="AH24" s="64">
        <f t="shared" si="13"/>
        <v>79.666214750542295</v>
      </c>
      <c r="AI24" s="64">
        <f t="shared" si="13"/>
        <v>79.666214750542295</v>
      </c>
      <c r="AJ24" s="64">
        <f t="shared" si="13"/>
        <v>79.666214750542295</v>
      </c>
      <c r="AK24" s="64">
        <f t="shared" si="13"/>
        <v>79.666214750542295</v>
      </c>
      <c r="AL24" s="64">
        <f t="shared" si="13"/>
        <v>79.666214750542295</v>
      </c>
      <c r="AM24" s="64">
        <f t="shared" si="13"/>
        <v>79.666214750542295</v>
      </c>
      <c r="AN24" s="64">
        <f t="shared" si="13"/>
        <v>79.666214750542295</v>
      </c>
      <c r="AO24" s="64">
        <f t="shared" si="13"/>
        <v>79.666214750542295</v>
      </c>
      <c r="AP24" s="64">
        <f t="shared" si="13"/>
        <v>79.666214750542295</v>
      </c>
      <c r="AQ24" s="64">
        <f t="shared" si="13"/>
        <v>79.666214750542295</v>
      </c>
      <c r="AR24" s="64">
        <f t="shared" si="13"/>
        <v>79.666214750542295</v>
      </c>
      <c r="AS24" s="64">
        <f t="shared" si="13"/>
        <v>79.666214750542295</v>
      </c>
      <c r="AT24" s="64">
        <f t="shared" si="13"/>
        <v>78.869552603036865</v>
      </c>
      <c r="AU24" s="64">
        <f t="shared" si="13"/>
        <v>78.869552603036865</v>
      </c>
      <c r="AV24" s="64">
        <f t="shared" si="13"/>
        <v>78.869552603036865</v>
      </c>
      <c r="AW24" s="64">
        <f t="shared" si="13"/>
        <v>76.479566160520591</v>
      </c>
      <c r="AX24" s="64">
        <f t="shared" si="13"/>
        <v>76.479566160520591</v>
      </c>
      <c r="AY24" s="64">
        <f t="shared" si="13"/>
        <v>76.479566160520591</v>
      </c>
      <c r="AZ24" s="64">
        <f t="shared" si="13"/>
        <v>74.089579718004316</v>
      </c>
      <c r="BA24" s="64">
        <f t="shared" si="13"/>
        <v>74.089579718004316</v>
      </c>
      <c r="BB24" s="64">
        <f t="shared" si="13"/>
        <v>74.089579718004316</v>
      </c>
      <c r="BC24" s="64">
        <f t="shared" si="13"/>
        <v>71.699593275488041</v>
      </c>
      <c r="BD24" s="64">
        <f t="shared" si="13"/>
        <v>71.699593275488041</v>
      </c>
      <c r="BE24" s="64">
        <f t="shared" si="13"/>
        <v>71.699593275488041</v>
      </c>
      <c r="BF24" s="64">
        <f t="shared" si="13"/>
        <v>68.512944685466351</v>
      </c>
      <c r="BG24" s="64">
        <f t="shared" si="13"/>
        <v>68.512944685466351</v>
      </c>
      <c r="BH24" s="64">
        <f t="shared" si="13"/>
        <v>68.512944685466351</v>
      </c>
      <c r="BI24" s="64">
        <f t="shared" si="13"/>
        <v>65.326296095444647</v>
      </c>
      <c r="BJ24" s="64">
        <f t="shared" si="13"/>
        <v>65.326296095444647</v>
      </c>
      <c r="BK24" s="64">
        <f t="shared" si="13"/>
        <v>65.326296095444647</v>
      </c>
      <c r="BL24" s="64">
        <f t="shared" si="13"/>
        <v>62.139647505422957</v>
      </c>
      <c r="BM24" s="64">
        <f t="shared" si="13"/>
        <v>62.139647505422957</v>
      </c>
      <c r="BN24" s="64">
        <f t="shared" si="13"/>
        <v>62.139647505422957</v>
      </c>
      <c r="BO24" s="64">
        <f t="shared" si="13"/>
        <v>58.952998915401267</v>
      </c>
      <c r="BP24" s="64">
        <f t="shared" ref="BP24:CV24" si="14">BP15*100/184.4</f>
        <v>58.952998915401267</v>
      </c>
      <c r="BQ24" s="64">
        <f t="shared" si="14"/>
        <v>58.952998915401267</v>
      </c>
      <c r="BR24" s="64">
        <f t="shared" si="14"/>
        <v>55.168853714750504</v>
      </c>
      <c r="BS24" s="64">
        <f t="shared" si="14"/>
        <v>55.168853714750504</v>
      </c>
      <c r="BT24" s="64">
        <f t="shared" si="14"/>
        <v>55.168853714750504</v>
      </c>
      <c r="BU24" s="64">
        <f t="shared" si="14"/>
        <v>51.384708514099749</v>
      </c>
      <c r="BV24" s="64">
        <f t="shared" si="14"/>
        <v>51.384708514099749</v>
      </c>
      <c r="BW24" s="64">
        <f t="shared" si="14"/>
        <v>51.384708514099749</v>
      </c>
      <c r="BX24" s="64">
        <f t="shared" si="14"/>
        <v>47.600563313448987</v>
      </c>
      <c r="BY24" s="64">
        <f t="shared" si="14"/>
        <v>47.600563313448987</v>
      </c>
      <c r="BZ24" s="64">
        <f t="shared" si="14"/>
        <v>47.600563313448987</v>
      </c>
      <c r="CA24" s="64">
        <f t="shared" si="14"/>
        <v>43.816418112798225</v>
      </c>
      <c r="CB24" s="64">
        <f t="shared" si="14"/>
        <v>43.816418112798225</v>
      </c>
      <c r="CC24" s="64">
        <f t="shared" si="14"/>
        <v>43.816418112798225</v>
      </c>
      <c r="CD24" s="64">
        <f t="shared" si="14"/>
        <v>40.032272912147469</v>
      </c>
      <c r="CE24" s="64">
        <f t="shared" si="14"/>
        <v>40.032272912147469</v>
      </c>
      <c r="CF24" s="64">
        <f t="shared" si="14"/>
        <v>40.032272912147469</v>
      </c>
      <c r="CG24" s="64">
        <f t="shared" si="14"/>
        <v>34.853968953362219</v>
      </c>
      <c r="CH24" s="64">
        <f t="shared" si="14"/>
        <v>34.853968953362219</v>
      </c>
      <c r="CI24" s="64">
        <f t="shared" si="14"/>
        <v>34.853968953362219</v>
      </c>
      <c r="CJ24" s="64">
        <f t="shared" si="14"/>
        <v>29.675664994576969</v>
      </c>
      <c r="CK24" s="64">
        <f t="shared" si="14"/>
        <v>29.675664994576969</v>
      </c>
      <c r="CL24" s="64">
        <f t="shared" si="14"/>
        <v>29.675664994576969</v>
      </c>
      <c r="CM24" s="64">
        <f t="shared" si="14"/>
        <v>22.505705667028167</v>
      </c>
      <c r="CN24" s="64">
        <f t="shared" si="14"/>
        <v>22.505705667028167</v>
      </c>
      <c r="CO24" s="64">
        <f t="shared" si="14"/>
        <v>22.505705667028167</v>
      </c>
      <c r="CP24" s="64">
        <f t="shared" si="14"/>
        <v>15.335746339479359</v>
      </c>
      <c r="CQ24" s="64">
        <f t="shared" si="14"/>
        <v>15.335746339479359</v>
      </c>
      <c r="CR24" s="64">
        <f t="shared" si="14"/>
        <v>15.335746339479359</v>
      </c>
      <c r="CS24" s="64">
        <f t="shared" si="14"/>
        <v>7.7674559381778412</v>
      </c>
      <c r="CT24" s="64">
        <f t="shared" si="14"/>
        <v>7.7674559381778412</v>
      </c>
      <c r="CU24" s="64">
        <f t="shared" si="14"/>
        <v>7.7674559381778412</v>
      </c>
      <c r="CV24" s="64">
        <f t="shared" si="14"/>
        <v>-3.1789466214863481E-14</v>
      </c>
    </row>
    <row r="25" spans="1:100" ht="12" customHeight="1">
      <c r="A25" s="246" t="s">
        <v>217</v>
      </c>
      <c r="B25" s="64"/>
      <c r="C25" s="64">
        <f t="shared" ref="C25:BN25" si="15">C15-C24</f>
        <v>88.8</v>
      </c>
      <c r="D25" s="64">
        <f t="shared" si="15"/>
        <v>78.385813449023857</v>
      </c>
      <c r="E25" s="64">
        <f t="shared" si="15"/>
        <v>78.385813449023857</v>
      </c>
      <c r="F25" s="64">
        <f t="shared" si="15"/>
        <v>78.385813449023857</v>
      </c>
      <c r="G25" s="64">
        <f t="shared" si="15"/>
        <v>78.385813449023857</v>
      </c>
      <c r="H25" s="64">
        <f t="shared" si="15"/>
        <v>78.385813449023857</v>
      </c>
      <c r="I25" s="64">
        <f t="shared" si="15"/>
        <v>78.385813449023857</v>
      </c>
      <c r="J25" s="64">
        <f t="shared" si="15"/>
        <v>78.385813449023857</v>
      </c>
      <c r="K25" s="64">
        <f t="shared" si="15"/>
        <v>78.385813449023857</v>
      </c>
      <c r="L25" s="64">
        <f t="shared" si="15"/>
        <v>78.385813449023857</v>
      </c>
      <c r="M25" s="64">
        <f t="shared" si="15"/>
        <v>78.385813449023857</v>
      </c>
      <c r="N25" s="64">
        <f t="shared" si="15"/>
        <v>78.385813449023857</v>
      </c>
      <c r="O25" s="64">
        <f t="shared" si="15"/>
        <v>78.385813449023857</v>
      </c>
      <c r="P25" s="64">
        <f t="shared" si="15"/>
        <v>78.385813449023857</v>
      </c>
      <c r="Q25" s="64">
        <f t="shared" si="15"/>
        <v>78.385813449023857</v>
      </c>
      <c r="R25" s="64">
        <f t="shared" si="15"/>
        <v>78.385813449023857</v>
      </c>
      <c r="S25" s="64">
        <f t="shared" si="15"/>
        <v>96.464989154013011</v>
      </c>
      <c r="T25" s="64">
        <f t="shared" si="15"/>
        <v>96.464989154013011</v>
      </c>
      <c r="U25" s="64">
        <f t="shared" si="15"/>
        <v>96.464989154013011</v>
      </c>
      <c r="V25" s="64">
        <f t="shared" si="15"/>
        <v>95.320737527114957</v>
      </c>
      <c r="W25" s="64">
        <f t="shared" si="15"/>
        <v>95.320737527114957</v>
      </c>
      <c r="X25" s="64">
        <f t="shared" si="15"/>
        <v>95.320737527114957</v>
      </c>
      <c r="Y25" s="64">
        <f t="shared" si="15"/>
        <v>94.748611713665937</v>
      </c>
      <c r="Z25" s="64">
        <f t="shared" si="15"/>
        <v>42.63687527114967</v>
      </c>
      <c r="AA25" s="64">
        <f t="shared" si="15"/>
        <v>67.238285249457689</v>
      </c>
      <c r="AB25" s="64">
        <f t="shared" si="15"/>
        <v>67.238285249457689</v>
      </c>
      <c r="AC25" s="64">
        <f t="shared" si="15"/>
        <v>67.238285249457689</v>
      </c>
      <c r="AD25" s="64">
        <f t="shared" si="15"/>
        <v>67.238285249457689</v>
      </c>
      <c r="AE25" s="64">
        <f t="shared" si="15"/>
        <v>67.238285249457689</v>
      </c>
      <c r="AF25" s="64">
        <f t="shared" si="15"/>
        <v>67.238285249457689</v>
      </c>
      <c r="AG25" s="64">
        <f t="shared" si="15"/>
        <v>67.238285249457689</v>
      </c>
      <c r="AH25" s="64">
        <f t="shared" si="15"/>
        <v>67.238285249457689</v>
      </c>
      <c r="AI25" s="64">
        <f t="shared" si="15"/>
        <v>67.238285249457689</v>
      </c>
      <c r="AJ25" s="64">
        <f t="shared" si="15"/>
        <v>67.238285249457689</v>
      </c>
      <c r="AK25" s="64">
        <f t="shared" si="15"/>
        <v>67.238285249457689</v>
      </c>
      <c r="AL25" s="64">
        <f t="shared" si="15"/>
        <v>67.238285249457689</v>
      </c>
      <c r="AM25" s="64">
        <f t="shared" si="15"/>
        <v>67.238285249457689</v>
      </c>
      <c r="AN25" s="64">
        <f t="shared" si="15"/>
        <v>67.238285249457689</v>
      </c>
      <c r="AO25" s="64">
        <f t="shared" si="15"/>
        <v>67.238285249457689</v>
      </c>
      <c r="AP25" s="64">
        <f t="shared" si="15"/>
        <v>67.238285249457689</v>
      </c>
      <c r="AQ25" s="64">
        <f t="shared" si="15"/>
        <v>67.238285249457689</v>
      </c>
      <c r="AR25" s="64">
        <f t="shared" si="15"/>
        <v>67.238285249457689</v>
      </c>
      <c r="AS25" s="64">
        <f t="shared" si="15"/>
        <v>67.238285249457689</v>
      </c>
      <c r="AT25" s="64">
        <f t="shared" si="15"/>
        <v>66.565902396963125</v>
      </c>
      <c r="AU25" s="64">
        <f t="shared" si="15"/>
        <v>66.565902396963125</v>
      </c>
      <c r="AV25" s="64">
        <f t="shared" si="15"/>
        <v>66.565902396963125</v>
      </c>
      <c r="AW25" s="64">
        <f t="shared" si="15"/>
        <v>64.548753839479389</v>
      </c>
      <c r="AX25" s="64">
        <f t="shared" si="15"/>
        <v>64.548753839479389</v>
      </c>
      <c r="AY25" s="64">
        <f t="shared" si="15"/>
        <v>64.548753839479389</v>
      </c>
      <c r="AZ25" s="64">
        <f t="shared" si="15"/>
        <v>62.531605281995652</v>
      </c>
      <c r="BA25" s="64">
        <f t="shared" si="15"/>
        <v>62.531605281995652</v>
      </c>
      <c r="BB25" s="64">
        <f t="shared" si="15"/>
        <v>62.531605281995652</v>
      </c>
      <c r="BC25" s="64">
        <f t="shared" si="15"/>
        <v>60.514456724511916</v>
      </c>
      <c r="BD25" s="64">
        <f t="shared" si="15"/>
        <v>60.514456724511916</v>
      </c>
      <c r="BE25" s="64">
        <f t="shared" si="15"/>
        <v>60.514456724511916</v>
      </c>
      <c r="BF25" s="64">
        <f t="shared" si="15"/>
        <v>57.824925314533601</v>
      </c>
      <c r="BG25" s="64">
        <f t="shared" si="15"/>
        <v>57.824925314533601</v>
      </c>
      <c r="BH25" s="64">
        <f t="shared" si="15"/>
        <v>57.824925314533601</v>
      </c>
      <c r="BI25" s="64">
        <f t="shared" si="15"/>
        <v>55.135393904555301</v>
      </c>
      <c r="BJ25" s="64">
        <f t="shared" si="15"/>
        <v>55.135393904555301</v>
      </c>
      <c r="BK25" s="64">
        <f t="shared" si="15"/>
        <v>55.135393904555301</v>
      </c>
      <c r="BL25" s="64">
        <f t="shared" si="15"/>
        <v>52.445862494576986</v>
      </c>
      <c r="BM25" s="64">
        <f t="shared" si="15"/>
        <v>52.445862494576986</v>
      </c>
      <c r="BN25" s="64">
        <f t="shared" si="15"/>
        <v>52.445862494576986</v>
      </c>
      <c r="BO25" s="64">
        <f t="shared" ref="BO25:CV25" si="16">BO15-BO24</f>
        <v>49.756331084598671</v>
      </c>
      <c r="BP25" s="64">
        <f t="shared" si="16"/>
        <v>49.756331084598671</v>
      </c>
      <c r="BQ25" s="64">
        <f t="shared" si="16"/>
        <v>49.756331084598671</v>
      </c>
      <c r="BR25" s="64">
        <f t="shared" si="16"/>
        <v>46.562512535249432</v>
      </c>
      <c r="BS25" s="64">
        <f t="shared" si="16"/>
        <v>46.562512535249432</v>
      </c>
      <c r="BT25" s="64">
        <f t="shared" si="16"/>
        <v>46.562512535249432</v>
      </c>
      <c r="BU25" s="64">
        <f t="shared" si="16"/>
        <v>43.368693985900187</v>
      </c>
      <c r="BV25" s="64">
        <f t="shared" si="16"/>
        <v>43.368693985900187</v>
      </c>
      <c r="BW25" s="64">
        <f t="shared" si="16"/>
        <v>43.368693985900187</v>
      </c>
      <c r="BX25" s="64">
        <f t="shared" si="16"/>
        <v>40.174875436550948</v>
      </c>
      <c r="BY25" s="64">
        <f t="shared" si="16"/>
        <v>40.174875436550948</v>
      </c>
      <c r="BZ25" s="64">
        <f t="shared" si="16"/>
        <v>40.174875436550948</v>
      </c>
      <c r="CA25" s="64">
        <f t="shared" si="16"/>
        <v>36.98105688720171</v>
      </c>
      <c r="CB25" s="64">
        <f t="shared" si="16"/>
        <v>36.98105688720171</v>
      </c>
      <c r="CC25" s="64">
        <f t="shared" si="16"/>
        <v>36.98105688720171</v>
      </c>
      <c r="CD25" s="64">
        <f t="shared" si="16"/>
        <v>33.787238337852465</v>
      </c>
      <c r="CE25" s="64">
        <f t="shared" si="16"/>
        <v>33.787238337852465</v>
      </c>
      <c r="CF25" s="64">
        <f t="shared" si="16"/>
        <v>33.787238337852465</v>
      </c>
      <c r="CG25" s="64">
        <f t="shared" si="16"/>
        <v>29.41674979663771</v>
      </c>
      <c r="CH25" s="64">
        <f t="shared" si="16"/>
        <v>29.41674979663771</v>
      </c>
      <c r="CI25" s="64">
        <f t="shared" si="16"/>
        <v>29.41674979663771</v>
      </c>
      <c r="CJ25" s="64">
        <f t="shared" si="16"/>
        <v>25.046261255422962</v>
      </c>
      <c r="CK25" s="64">
        <f t="shared" si="16"/>
        <v>25.046261255422962</v>
      </c>
      <c r="CL25" s="64">
        <f t="shared" si="16"/>
        <v>25.046261255422962</v>
      </c>
      <c r="CM25" s="64">
        <f t="shared" si="16"/>
        <v>18.994815582971768</v>
      </c>
      <c r="CN25" s="64">
        <f t="shared" si="16"/>
        <v>18.994815582971768</v>
      </c>
      <c r="CO25" s="64">
        <f t="shared" si="16"/>
        <v>18.994815582971768</v>
      </c>
      <c r="CP25" s="64">
        <f t="shared" si="16"/>
        <v>12.943369910520579</v>
      </c>
      <c r="CQ25" s="64">
        <f t="shared" si="16"/>
        <v>12.943369910520579</v>
      </c>
      <c r="CR25" s="64">
        <f t="shared" si="16"/>
        <v>12.943369910520579</v>
      </c>
      <c r="CS25" s="64">
        <f t="shared" si="16"/>
        <v>6.5557328118220983</v>
      </c>
      <c r="CT25" s="64">
        <f t="shared" si="16"/>
        <v>6.5557328118220983</v>
      </c>
      <c r="CU25" s="64">
        <f t="shared" si="16"/>
        <v>6.5557328118220983</v>
      </c>
      <c r="CV25" s="64">
        <f t="shared" si="16"/>
        <v>-2.6830309485344784E-14</v>
      </c>
    </row>
    <row r="26" spans="1:100" ht="12" customHeight="1">
      <c r="B26" s="64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</row>
    <row r="27" spans="1:100" ht="12" customHeight="1">
      <c r="B27" s="64"/>
      <c r="C27" s="64">
        <f t="shared" ref="C27:BN27" si="17">C25*2%/12</f>
        <v>0.14799999999999999</v>
      </c>
      <c r="D27" s="64">
        <f t="shared" si="17"/>
        <v>0.13064302241503975</v>
      </c>
      <c r="E27" s="64">
        <f t="shared" si="17"/>
        <v>0.13064302241503975</v>
      </c>
      <c r="F27" s="64">
        <f t="shared" si="17"/>
        <v>0.13064302241503975</v>
      </c>
      <c r="G27" s="64">
        <f t="shared" si="17"/>
        <v>0.13064302241503975</v>
      </c>
      <c r="H27" s="64">
        <f t="shared" si="17"/>
        <v>0.13064302241503975</v>
      </c>
      <c r="I27" s="64">
        <f t="shared" si="17"/>
        <v>0.13064302241503975</v>
      </c>
      <c r="J27" s="64">
        <f t="shared" si="17"/>
        <v>0.13064302241503975</v>
      </c>
      <c r="K27" s="64">
        <f t="shared" si="17"/>
        <v>0.13064302241503975</v>
      </c>
      <c r="L27" s="64">
        <f t="shared" si="17"/>
        <v>0.13064302241503975</v>
      </c>
      <c r="M27" s="64">
        <f t="shared" si="17"/>
        <v>0.13064302241503975</v>
      </c>
      <c r="N27" s="64">
        <f t="shared" si="17"/>
        <v>0.13064302241503975</v>
      </c>
      <c r="O27" s="64">
        <f t="shared" si="17"/>
        <v>0.13064302241503975</v>
      </c>
      <c r="P27" s="64">
        <f t="shared" si="17"/>
        <v>0.13064302241503975</v>
      </c>
      <c r="Q27" s="64">
        <f t="shared" si="17"/>
        <v>0.13064302241503975</v>
      </c>
      <c r="R27" s="64">
        <f t="shared" si="17"/>
        <v>0.13064302241503975</v>
      </c>
      <c r="S27" s="64">
        <f t="shared" si="17"/>
        <v>0.16077498192335501</v>
      </c>
      <c r="T27" s="64">
        <f t="shared" si="17"/>
        <v>0.16077498192335501</v>
      </c>
      <c r="U27" s="64">
        <f t="shared" si="17"/>
        <v>0.16077498192335501</v>
      </c>
      <c r="V27" s="64">
        <f t="shared" si="17"/>
        <v>0.15886789587852493</v>
      </c>
      <c r="W27" s="64">
        <f t="shared" si="17"/>
        <v>0.15886789587852493</v>
      </c>
      <c r="X27" s="64">
        <f t="shared" si="17"/>
        <v>0.15886789587852493</v>
      </c>
      <c r="Y27" s="64">
        <f t="shared" si="17"/>
        <v>0.15791435285610991</v>
      </c>
      <c r="Z27" s="64">
        <f t="shared" si="17"/>
        <v>7.1061458785249457E-2</v>
      </c>
      <c r="AA27" s="64">
        <f t="shared" si="17"/>
        <v>0.11206380874909615</v>
      </c>
      <c r="AB27" s="64">
        <f t="shared" si="17"/>
        <v>0.11206380874909615</v>
      </c>
      <c r="AC27" s="64">
        <f t="shared" si="17"/>
        <v>0.11206380874909615</v>
      </c>
      <c r="AD27" s="64">
        <f t="shared" si="17"/>
        <v>0.11206380874909615</v>
      </c>
      <c r="AE27" s="64">
        <f t="shared" si="17"/>
        <v>0.11206380874909615</v>
      </c>
      <c r="AF27" s="64">
        <f t="shared" si="17"/>
        <v>0.11206380874909615</v>
      </c>
      <c r="AG27" s="64">
        <f t="shared" si="17"/>
        <v>0.11206380874909615</v>
      </c>
      <c r="AH27" s="64">
        <f t="shared" si="17"/>
        <v>0.11206380874909615</v>
      </c>
      <c r="AI27" s="64">
        <f t="shared" si="17"/>
        <v>0.11206380874909615</v>
      </c>
      <c r="AJ27" s="64">
        <f t="shared" si="17"/>
        <v>0.11206380874909615</v>
      </c>
      <c r="AK27" s="64">
        <f t="shared" si="17"/>
        <v>0.11206380874909615</v>
      </c>
      <c r="AL27" s="64">
        <f t="shared" si="17"/>
        <v>0.11206380874909615</v>
      </c>
      <c r="AM27" s="64">
        <f t="shared" si="17"/>
        <v>0.11206380874909615</v>
      </c>
      <c r="AN27" s="64">
        <f t="shared" si="17"/>
        <v>0.11206380874909615</v>
      </c>
      <c r="AO27" s="64">
        <f t="shared" si="17"/>
        <v>0.11206380874909615</v>
      </c>
      <c r="AP27" s="64">
        <f t="shared" si="17"/>
        <v>0.11206380874909615</v>
      </c>
      <c r="AQ27" s="64">
        <f t="shared" si="17"/>
        <v>0.11206380874909615</v>
      </c>
      <c r="AR27" s="64">
        <f t="shared" si="17"/>
        <v>0.11206380874909615</v>
      </c>
      <c r="AS27" s="64">
        <f t="shared" si="17"/>
        <v>0.11206380874909615</v>
      </c>
      <c r="AT27" s="64">
        <f t="shared" si="17"/>
        <v>0.11094317066160521</v>
      </c>
      <c r="AU27" s="64">
        <f t="shared" si="17"/>
        <v>0.11094317066160521</v>
      </c>
      <c r="AV27" s="64">
        <f t="shared" si="17"/>
        <v>0.11094317066160521</v>
      </c>
      <c r="AW27" s="64">
        <f t="shared" si="17"/>
        <v>0.10758125639913231</v>
      </c>
      <c r="AX27" s="64">
        <f t="shared" si="17"/>
        <v>0.10758125639913231</v>
      </c>
      <c r="AY27" s="64">
        <f t="shared" si="17"/>
        <v>0.10758125639913231</v>
      </c>
      <c r="AZ27" s="64">
        <f t="shared" si="17"/>
        <v>0.10421934213665941</v>
      </c>
      <c r="BA27" s="64">
        <f t="shared" si="17"/>
        <v>0.10421934213665941</v>
      </c>
      <c r="BB27" s="64">
        <f t="shared" si="17"/>
        <v>0.10421934213665941</v>
      </c>
      <c r="BC27" s="64">
        <f t="shared" si="17"/>
        <v>0.10085742787418654</v>
      </c>
      <c r="BD27" s="64">
        <f t="shared" si="17"/>
        <v>0.10085742787418654</v>
      </c>
      <c r="BE27" s="64">
        <f t="shared" si="17"/>
        <v>0.10085742787418654</v>
      </c>
      <c r="BF27" s="64">
        <f t="shared" si="17"/>
        <v>9.6374875524222678E-2</v>
      </c>
      <c r="BG27" s="64">
        <f t="shared" si="17"/>
        <v>9.6374875524222678E-2</v>
      </c>
      <c r="BH27" s="64">
        <f t="shared" si="17"/>
        <v>9.6374875524222678E-2</v>
      </c>
      <c r="BI27" s="64">
        <f t="shared" si="17"/>
        <v>9.1892323174258828E-2</v>
      </c>
      <c r="BJ27" s="64">
        <f t="shared" si="17"/>
        <v>9.1892323174258828E-2</v>
      </c>
      <c r="BK27" s="64">
        <f t="shared" si="17"/>
        <v>9.1892323174258828E-2</v>
      </c>
      <c r="BL27" s="64">
        <f t="shared" si="17"/>
        <v>8.7409770824294977E-2</v>
      </c>
      <c r="BM27" s="64">
        <f t="shared" si="17"/>
        <v>8.7409770824294977E-2</v>
      </c>
      <c r="BN27" s="64">
        <f t="shared" si="17"/>
        <v>8.7409770824294977E-2</v>
      </c>
      <c r="BO27" s="64">
        <f t="shared" ref="BO27:CV27" si="18">BO25*2%/12</f>
        <v>8.2927218474331113E-2</v>
      </c>
      <c r="BP27" s="64">
        <f t="shared" si="18"/>
        <v>8.2927218474331113E-2</v>
      </c>
      <c r="BQ27" s="64">
        <f t="shared" si="18"/>
        <v>8.2927218474331113E-2</v>
      </c>
      <c r="BR27" s="64">
        <f t="shared" si="18"/>
        <v>7.7604187558749052E-2</v>
      </c>
      <c r="BS27" s="64">
        <f t="shared" si="18"/>
        <v>7.7604187558749052E-2</v>
      </c>
      <c r="BT27" s="64">
        <f t="shared" si="18"/>
        <v>7.7604187558749052E-2</v>
      </c>
      <c r="BU27" s="64">
        <f t="shared" si="18"/>
        <v>7.2281156643166977E-2</v>
      </c>
      <c r="BV27" s="64">
        <f t="shared" si="18"/>
        <v>7.2281156643166977E-2</v>
      </c>
      <c r="BW27" s="64">
        <f t="shared" si="18"/>
        <v>7.2281156643166977E-2</v>
      </c>
      <c r="BX27" s="64">
        <f t="shared" si="18"/>
        <v>6.6958125727584916E-2</v>
      </c>
      <c r="BY27" s="64">
        <f t="shared" si="18"/>
        <v>6.6958125727584916E-2</v>
      </c>
      <c r="BZ27" s="64">
        <f t="shared" si="18"/>
        <v>6.6958125727584916E-2</v>
      </c>
      <c r="CA27" s="64">
        <f t="shared" si="18"/>
        <v>6.1635094812002855E-2</v>
      </c>
      <c r="CB27" s="64">
        <f t="shared" si="18"/>
        <v>6.1635094812002855E-2</v>
      </c>
      <c r="CC27" s="64">
        <f t="shared" si="18"/>
        <v>6.1635094812002855E-2</v>
      </c>
      <c r="CD27" s="64">
        <f t="shared" si="18"/>
        <v>5.6312063896420773E-2</v>
      </c>
      <c r="CE27" s="64">
        <f t="shared" si="18"/>
        <v>5.6312063896420773E-2</v>
      </c>
      <c r="CF27" s="64">
        <f t="shared" si="18"/>
        <v>5.6312063896420773E-2</v>
      </c>
      <c r="CG27" s="64">
        <f t="shared" si="18"/>
        <v>4.9027916327729515E-2</v>
      </c>
      <c r="CH27" s="64">
        <f t="shared" si="18"/>
        <v>4.9027916327729515E-2</v>
      </c>
      <c r="CI27" s="64">
        <f t="shared" si="18"/>
        <v>4.9027916327729515E-2</v>
      </c>
      <c r="CJ27" s="64">
        <f t="shared" si="18"/>
        <v>4.174376875903827E-2</v>
      </c>
      <c r="CK27" s="64">
        <f t="shared" si="18"/>
        <v>4.174376875903827E-2</v>
      </c>
      <c r="CL27" s="64">
        <f t="shared" si="18"/>
        <v>4.174376875903827E-2</v>
      </c>
      <c r="CM27" s="64">
        <f t="shared" si="18"/>
        <v>3.1658025971619617E-2</v>
      </c>
      <c r="CN27" s="64">
        <f t="shared" si="18"/>
        <v>3.1658025971619617E-2</v>
      </c>
      <c r="CO27" s="64">
        <f t="shared" si="18"/>
        <v>3.1658025971619617E-2</v>
      </c>
      <c r="CP27" s="64">
        <f t="shared" si="18"/>
        <v>2.1572283184200968E-2</v>
      </c>
      <c r="CQ27" s="64">
        <f t="shared" si="18"/>
        <v>2.1572283184200968E-2</v>
      </c>
      <c r="CR27" s="64">
        <f t="shared" si="18"/>
        <v>2.1572283184200968E-2</v>
      </c>
      <c r="CS27" s="64">
        <f t="shared" si="18"/>
        <v>1.0926221353036831E-2</v>
      </c>
      <c r="CT27" s="64">
        <f t="shared" si="18"/>
        <v>1.0926221353036831E-2</v>
      </c>
      <c r="CU27" s="64">
        <f t="shared" si="18"/>
        <v>1.0926221353036831E-2</v>
      </c>
      <c r="CV27" s="64">
        <f t="shared" si="18"/>
        <v>-4.4717182475574646E-17</v>
      </c>
    </row>
    <row r="31" spans="1:100" ht="12" customHeight="1">
      <c r="S31" s="251"/>
    </row>
    <row r="35" spans="23:23" ht="12" customHeight="1">
      <c r="W35" s="23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DF32"/>
  <sheetViews>
    <sheetView zoomScaleNormal="100" workbookViewId="0">
      <pane xSplit="2" ySplit="1" topLeftCell="CT2" activePane="bottomRight" state="frozen"/>
      <selection activeCell="P4" sqref="P4"/>
      <selection pane="topRight" activeCell="P4" sqref="P4"/>
      <selection pane="bottomLeft" activeCell="P4" sqref="P4"/>
      <selection pane="bottomRight" activeCell="AY16" sqref="AY16:DF16"/>
    </sheetView>
  </sheetViews>
  <sheetFormatPr defaultColWidth="9.33203125" defaultRowHeight="12" customHeight="1"/>
  <cols>
    <col min="1" max="1" width="38.6640625" style="68" customWidth="1"/>
    <col min="2" max="2" width="7.1640625" style="68" customWidth="1"/>
    <col min="3" max="26" width="13" style="68" customWidth="1"/>
    <col min="27" max="110" width="13" style="68" bestFit="1" customWidth="1"/>
    <col min="111" max="16384" width="9.33203125" style="68"/>
  </cols>
  <sheetData>
    <row r="1" spans="1:110">
      <c r="A1" s="66" t="s">
        <v>37</v>
      </c>
      <c r="B1" s="67" t="s">
        <v>218</v>
      </c>
      <c r="C1" s="8">
        <v>43951</v>
      </c>
      <c r="D1" s="8">
        <v>43982</v>
      </c>
      <c r="E1" s="8">
        <v>44012</v>
      </c>
      <c r="F1" s="8">
        <v>44043</v>
      </c>
      <c r="G1" s="8">
        <v>44074</v>
      </c>
      <c r="H1" s="8">
        <v>44104</v>
      </c>
      <c r="I1" s="8">
        <v>44135</v>
      </c>
      <c r="J1" s="8">
        <v>44165</v>
      </c>
      <c r="K1" s="8">
        <v>44196</v>
      </c>
      <c r="L1" s="8">
        <v>44227</v>
      </c>
      <c r="M1" s="8">
        <v>44255</v>
      </c>
      <c r="N1" s="8">
        <v>44286</v>
      </c>
      <c r="O1" s="8">
        <v>44316</v>
      </c>
      <c r="P1" s="8">
        <v>44347</v>
      </c>
      <c r="Q1" s="8">
        <v>44377</v>
      </c>
      <c r="R1" s="8">
        <v>44408</v>
      </c>
      <c r="S1" s="8">
        <v>44439</v>
      </c>
      <c r="T1" s="8">
        <v>44469</v>
      </c>
      <c r="U1" s="8">
        <v>44500</v>
      </c>
      <c r="V1" s="8">
        <v>44530</v>
      </c>
      <c r="W1" s="8">
        <v>44561</v>
      </c>
      <c r="X1" s="8">
        <v>44592</v>
      </c>
      <c r="Y1" s="8">
        <v>44620</v>
      </c>
      <c r="Z1" s="8">
        <v>44651</v>
      </c>
      <c r="AA1" s="8">
        <v>44681</v>
      </c>
      <c r="AB1" s="8">
        <v>44712</v>
      </c>
      <c r="AC1" s="8">
        <v>44742</v>
      </c>
      <c r="AD1" s="8">
        <v>44773</v>
      </c>
      <c r="AE1" s="8">
        <v>44804</v>
      </c>
      <c r="AF1" s="8">
        <v>44834</v>
      </c>
      <c r="AG1" s="8">
        <v>44865</v>
      </c>
      <c r="AH1" s="8">
        <v>44895</v>
      </c>
      <c r="AI1" s="8">
        <v>44926</v>
      </c>
      <c r="AJ1" s="8">
        <v>44957</v>
      </c>
      <c r="AK1" s="8">
        <v>44985</v>
      </c>
      <c r="AL1" s="8">
        <v>45016</v>
      </c>
      <c r="AM1" s="8">
        <v>45046</v>
      </c>
      <c r="AN1" s="8">
        <v>45077</v>
      </c>
      <c r="AO1" s="8">
        <v>45107</v>
      </c>
      <c r="AP1" s="8">
        <v>45138</v>
      </c>
      <c r="AQ1" s="8">
        <v>45169</v>
      </c>
      <c r="AR1" s="8">
        <v>45199</v>
      </c>
      <c r="AS1" s="8">
        <v>45230</v>
      </c>
      <c r="AT1" s="8">
        <v>45260</v>
      </c>
      <c r="AU1" s="8">
        <v>45291</v>
      </c>
      <c r="AV1" s="8">
        <v>45322</v>
      </c>
      <c r="AW1" s="8">
        <v>45351</v>
      </c>
      <c r="AX1" s="8">
        <v>45382</v>
      </c>
      <c r="AY1" s="8">
        <v>45412</v>
      </c>
      <c r="AZ1" s="8">
        <v>45443</v>
      </c>
      <c r="BA1" s="8">
        <v>45473</v>
      </c>
      <c r="BB1" s="8">
        <v>45504</v>
      </c>
      <c r="BC1" s="8">
        <v>45535</v>
      </c>
      <c r="BD1" s="8">
        <v>45565</v>
      </c>
      <c r="BE1" s="8">
        <v>45596</v>
      </c>
      <c r="BF1" s="8">
        <v>45626</v>
      </c>
      <c r="BG1" s="8">
        <v>45657</v>
      </c>
      <c r="BH1" s="8">
        <v>45688</v>
      </c>
      <c r="BI1" s="8">
        <v>45716</v>
      </c>
      <c r="BJ1" s="8">
        <v>45747</v>
      </c>
      <c r="BK1" s="8">
        <v>45777</v>
      </c>
      <c r="BL1" s="8">
        <v>45808</v>
      </c>
      <c r="BM1" s="8">
        <v>45838</v>
      </c>
      <c r="BN1" s="8">
        <v>45869</v>
      </c>
      <c r="BO1" s="8">
        <v>45900</v>
      </c>
      <c r="BP1" s="8">
        <v>45930</v>
      </c>
      <c r="BQ1" s="8">
        <v>45961</v>
      </c>
      <c r="BR1" s="8">
        <v>45991</v>
      </c>
      <c r="BS1" s="8">
        <v>46022</v>
      </c>
      <c r="BT1" s="8">
        <v>46053</v>
      </c>
      <c r="BU1" s="8">
        <v>46081</v>
      </c>
      <c r="BV1" s="8">
        <v>46112</v>
      </c>
      <c r="BW1" s="8">
        <v>46142</v>
      </c>
      <c r="BX1" s="8">
        <v>46173</v>
      </c>
      <c r="BY1" s="8">
        <v>46203</v>
      </c>
      <c r="BZ1" s="8">
        <v>46234</v>
      </c>
      <c r="CA1" s="8">
        <v>46265</v>
      </c>
      <c r="CB1" s="8">
        <v>46295</v>
      </c>
      <c r="CC1" s="8">
        <v>46326</v>
      </c>
      <c r="CD1" s="8">
        <v>46356</v>
      </c>
      <c r="CE1" s="8">
        <v>46387</v>
      </c>
      <c r="CF1" s="8">
        <v>46418</v>
      </c>
      <c r="CG1" s="8">
        <v>46446</v>
      </c>
      <c r="CH1" s="8">
        <v>46477</v>
      </c>
      <c r="CI1" s="8">
        <v>46507</v>
      </c>
      <c r="CJ1" s="8">
        <v>46538</v>
      </c>
      <c r="CK1" s="8">
        <v>46568</v>
      </c>
      <c r="CL1" s="8">
        <v>46599</v>
      </c>
      <c r="CM1" s="8">
        <v>46630</v>
      </c>
      <c r="CN1" s="8">
        <v>46660</v>
      </c>
      <c r="CO1" s="8">
        <v>46691</v>
      </c>
      <c r="CP1" s="8">
        <v>46721</v>
      </c>
      <c r="CQ1" s="8">
        <v>46752</v>
      </c>
      <c r="CR1" s="8">
        <v>46783</v>
      </c>
      <c r="CS1" s="8">
        <v>46812</v>
      </c>
      <c r="CT1" s="8">
        <v>46843</v>
      </c>
      <c r="CU1" s="8">
        <v>46873</v>
      </c>
      <c r="CV1" s="8">
        <v>46904</v>
      </c>
      <c r="CW1" s="8">
        <v>46934</v>
      </c>
      <c r="CX1" s="8">
        <v>46965</v>
      </c>
      <c r="CY1" s="8">
        <v>46996</v>
      </c>
      <c r="CZ1" s="8">
        <v>47026</v>
      </c>
      <c r="DA1" s="8">
        <v>47057</v>
      </c>
      <c r="DB1" s="8">
        <v>47087</v>
      </c>
      <c r="DC1" s="8">
        <v>47118</v>
      </c>
      <c r="DD1" s="8">
        <v>47149</v>
      </c>
      <c r="DE1" s="8">
        <v>47177</v>
      </c>
      <c r="DF1" s="8">
        <v>47208</v>
      </c>
    </row>
    <row r="2" spans="1:110">
      <c r="A2" s="66" t="s">
        <v>219</v>
      </c>
      <c r="B2" s="67" t="s">
        <v>82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70"/>
      <c r="S2" s="70"/>
      <c r="T2" s="70"/>
      <c r="U2" s="70"/>
      <c r="V2" s="70"/>
      <c r="W2" s="70"/>
      <c r="X2" s="70">
        <v>1340980</v>
      </c>
      <c r="Y2" s="70">
        <f>ROUND((X2*(1+Y3)),)</f>
        <v>1344332</v>
      </c>
      <c r="Z2" s="70">
        <f>ROUND((Y2*(1+Z3)),)</f>
        <v>1347693</v>
      </c>
      <c r="AA2" s="70">
        <v>1351062</v>
      </c>
      <c r="AB2" s="70">
        <f t="shared" ref="AB2:CM2" si="0">ROUND((AA2*(1+AB3)),)</f>
        <v>1354440</v>
      </c>
      <c r="AC2" s="70">
        <f t="shared" si="0"/>
        <v>1357826</v>
      </c>
      <c r="AD2" s="70">
        <f t="shared" si="0"/>
        <v>1361221</v>
      </c>
      <c r="AE2" s="70">
        <f t="shared" si="0"/>
        <v>1364624</v>
      </c>
      <c r="AF2" s="70">
        <f t="shared" si="0"/>
        <v>1368036</v>
      </c>
      <c r="AG2" s="70">
        <f t="shared" si="0"/>
        <v>1371456</v>
      </c>
      <c r="AH2" s="70">
        <f t="shared" si="0"/>
        <v>1374885</v>
      </c>
      <c r="AI2" s="70">
        <f t="shared" si="0"/>
        <v>1378322</v>
      </c>
      <c r="AJ2" s="70">
        <f t="shared" si="0"/>
        <v>1381768</v>
      </c>
      <c r="AK2" s="70">
        <f t="shared" si="0"/>
        <v>1385222</v>
      </c>
      <c r="AL2" s="70">
        <f t="shared" si="0"/>
        <v>1388685</v>
      </c>
      <c r="AM2" s="70">
        <f t="shared" si="0"/>
        <v>1392157</v>
      </c>
      <c r="AN2" s="70">
        <f t="shared" si="0"/>
        <v>1395637</v>
      </c>
      <c r="AO2" s="70">
        <f t="shared" si="0"/>
        <v>1399126</v>
      </c>
      <c r="AP2" s="70">
        <f t="shared" si="0"/>
        <v>1402624</v>
      </c>
      <c r="AQ2" s="70">
        <f t="shared" si="0"/>
        <v>1406131</v>
      </c>
      <c r="AR2" s="70">
        <f t="shared" si="0"/>
        <v>1409646</v>
      </c>
      <c r="AS2" s="70">
        <f t="shared" si="0"/>
        <v>1413170</v>
      </c>
      <c r="AT2" s="70">
        <f t="shared" si="0"/>
        <v>1416703</v>
      </c>
      <c r="AU2" s="70">
        <f t="shared" si="0"/>
        <v>1420245</v>
      </c>
      <c r="AV2" s="70">
        <f t="shared" si="0"/>
        <v>1423796</v>
      </c>
      <c r="AW2" s="70">
        <f t="shared" si="0"/>
        <v>1427355</v>
      </c>
      <c r="AX2" s="70">
        <f t="shared" si="0"/>
        <v>1430923</v>
      </c>
      <c r="AY2" s="70">
        <f t="shared" si="0"/>
        <v>1434500</v>
      </c>
      <c r="AZ2" s="70">
        <f t="shared" si="0"/>
        <v>1438086</v>
      </c>
      <c r="BA2" s="70">
        <f t="shared" si="0"/>
        <v>1441681</v>
      </c>
      <c r="BB2" s="70">
        <f t="shared" si="0"/>
        <v>1445285</v>
      </c>
      <c r="BC2" s="70">
        <f t="shared" si="0"/>
        <v>1448898</v>
      </c>
      <c r="BD2" s="70">
        <f t="shared" si="0"/>
        <v>1452520</v>
      </c>
      <c r="BE2" s="70">
        <f t="shared" si="0"/>
        <v>1456151</v>
      </c>
      <c r="BF2" s="70">
        <f t="shared" si="0"/>
        <v>1459791</v>
      </c>
      <c r="BG2" s="70">
        <f t="shared" si="0"/>
        <v>1463440</v>
      </c>
      <c r="BH2" s="70">
        <f t="shared" si="0"/>
        <v>1467099</v>
      </c>
      <c r="BI2" s="70">
        <f t="shared" si="0"/>
        <v>1470767</v>
      </c>
      <c r="BJ2" s="70">
        <f t="shared" si="0"/>
        <v>1474444</v>
      </c>
      <c r="BK2" s="70">
        <f t="shared" si="0"/>
        <v>1478130</v>
      </c>
      <c r="BL2" s="70">
        <f t="shared" si="0"/>
        <v>1481825</v>
      </c>
      <c r="BM2" s="70">
        <f t="shared" si="0"/>
        <v>1485530</v>
      </c>
      <c r="BN2" s="70">
        <f t="shared" si="0"/>
        <v>1489244</v>
      </c>
      <c r="BO2" s="70">
        <f t="shared" si="0"/>
        <v>1492967</v>
      </c>
      <c r="BP2" s="70">
        <f t="shared" si="0"/>
        <v>1496699</v>
      </c>
      <c r="BQ2" s="70">
        <f t="shared" si="0"/>
        <v>1500441</v>
      </c>
      <c r="BR2" s="70">
        <f t="shared" si="0"/>
        <v>1504192</v>
      </c>
      <c r="BS2" s="70">
        <f t="shared" si="0"/>
        <v>1507952</v>
      </c>
      <c r="BT2" s="70">
        <f t="shared" si="0"/>
        <v>1511722</v>
      </c>
      <c r="BU2" s="70">
        <f t="shared" si="0"/>
        <v>1515501</v>
      </c>
      <c r="BV2" s="70">
        <f t="shared" si="0"/>
        <v>1519290</v>
      </c>
      <c r="BW2" s="70">
        <f t="shared" si="0"/>
        <v>1523088</v>
      </c>
      <c r="BX2" s="70">
        <f t="shared" si="0"/>
        <v>1526896</v>
      </c>
      <c r="BY2" s="70">
        <f t="shared" si="0"/>
        <v>1530713</v>
      </c>
      <c r="BZ2" s="70">
        <f t="shared" si="0"/>
        <v>1534540</v>
      </c>
      <c r="CA2" s="70">
        <f t="shared" si="0"/>
        <v>1538376</v>
      </c>
      <c r="CB2" s="70">
        <f t="shared" si="0"/>
        <v>1542222</v>
      </c>
      <c r="CC2" s="70">
        <f t="shared" si="0"/>
        <v>1546078</v>
      </c>
      <c r="CD2" s="70">
        <f t="shared" si="0"/>
        <v>1549943</v>
      </c>
      <c r="CE2" s="70">
        <f t="shared" si="0"/>
        <v>1553818</v>
      </c>
      <c r="CF2" s="70">
        <f t="shared" si="0"/>
        <v>1557703</v>
      </c>
      <c r="CG2" s="70">
        <f t="shared" si="0"/>
        <v>1561597</v>
      </c>
      <c r="CH2" s="70">
        <f t="shared" si="0"/>
        <v>1565501</v>
      </c>
      <c r="CI2" s="70">
        <f t="shared" si="0"/>
        <v>1569415</v>
      </c>
      <c r="CJ2" s="70">
        <f t="shared" si="0"/>
        <v>1573339</v>
      </c>
      <c r="CK2" s="70">
        <f t="shared" si="0"/>
        <v>1577272</v>
      </c>
      <c r="CL2" s="70">
        <f t="shared" si="0"/>
        <v>1581215</v>
      </c>
      <c r="CM2" s="70">
        <f t="shared" si="0"/>
        <v>1585168</v>
      </c>
      <c r="CN2" s="70">
        <f t="shared" ref="CN2:DF2" si="1">ROUND((CM2*(1+CN3)),)</f>
        <v>1589131</v>
      </c>
      <c r="CO2" s="70">
        <f t="shared" si="1"/>
        <v>1593104</v>
      </c>
      <c r="CP2" s="70">
        <f t="shared" si="1"/>
        <v>1597087</v>
      </c>
      <c r="CQ2" s="70">
        <f t="shared" si="1"/>
        <v>1601080</v>
      </c>
      <c r="CR2" s="70">
        <f t="shared" si="1"/>
        <v>1605083</v>
      </c>
      <c r="CS2" s="70">
        <f t="shared" si="1"/>
        <v>1609096</v>
      </c>
      <c r="CT2" s="70">
        <f t="shared" si="1"/>
        <v>1613119</v>
      </c>
      <c r="CU2" s="70">
        <f t="shared" si="1"/>
        <v>1617152</v>
      </c>
      <c r="CV2" s="70">
        <f t="shared" si="1"/>
        <v>1621195</v>
      </c>
      <c r="CW2" s="70">
        <f t="shared" si="1"/>
        <v>1625248</v>
      </c>
      <c r="CX2" s="70">
        <f t="shared" si="1"/>
        <v>1629311</v>
      </c>
      <c r="CY2" s="70">
        <f t="shared" si="1"/>
        <v>1633384</v>
      </c>
      <c r="CZ2" s="70">
        <f t="shared" si="1"/>
        <v>1637467</v>
      </c>
      <c r="DA2" s="70">
        <f t="shared" si="1"/>
        <v>1641561</v>
      </c>
      <c r="DB2" s="70">
        <f t="shared" si="1"/>
        <v>1645665</v>
      </c>
      <c r="DC2" s="70">
        <f t="shared" si="1"/>
        <v>1649779</v>
      </c>
      <c r="DD2" s="70">
        <f t="shared" si="1"/>
        <v>1653903</v>
      </c>
      <c r="DE2" s="70">
        <f t="shared" si="1"/>
        <v>1658038</v>
      </c>
      <c r="DF2" s="70">
        <f t="shared" si="1"/>
        <v>1662183</v>
      </c>
    </row>
    <row r="3" spans="1:110">
      <c r="A3" s="66" t="s">
        <v>220</v>
      </c>
      <c r="B3" s="67" t="s">
        <v>221</v>
      </c>
      <c r="C3" s="69"/>
      <c r="D3" s="69"/>
      <c r="E3" s="69"/>
      <c r="F3" s="69"/>
      <c r="G3" s="69"/>
      <c r="H3" s="69"/>
      <c r="I3" s="69"/>
      <c r="J3" s="69"/>
      <c r="K3" s="69"/>
      <c r="L3" s="71"/>
      <c r="M3" s="71"/>
      <c r="N3" s="71"/>
      <c r="O3" s="71"/>
      <c r="P3" s="71"/>
      <c r="Q3" s="69"/>
      <c r="R3" s="71"/>
      <c r="S3" s="71"/>
      <c r="T3" s="71"/>
      <c r="U3" s="71"/>
      <c r="V3" s="71"/>
      <c r="W3" s="71"/>
      <c r="X3" s="71">
        <v>2.5000000000000001E-3</v>
      </c>
      <c r="Y3" s="71">
        <f>X3</f>
        <v>2.5000000000000001E-3</v>
      </c>
      <c r="Z3" s="71">
        <f>Y3</f>
        <v>2.5000000000000001E-3</v>
      </c>
      <c r="AA3" s="71">
        <v>2.5000000000000001E-3</v>
      </c>
      <c r="AB3" s="71">
        <f t="shared" ref="AB3:CM3" si="2">AA3</f>
        <v>2.5000000000000001E-3</v>
      </c>
      <c r="AC3" s="71">
        <f t="shared" si="2"/>
        <v>2.5000000000000001E-3</v>
      </c>
      <c r="AD3" s="71">
        <f t="shared" si="2"/>
        <v>2.5000000000000001E-3</v>
      </c>
      <c r="AE3" s="71">
        <f t="shared" si="2"/>
        <v>2.5000000000000001E-3</v>
      </c>
      <c r="AF3" s="71">
        <f t="shared" si="2"/>
        <v>2.5000000000000001E-3</v>
      </c>
      <c r="AG3" s="71">
        <f t="shared" si="2"/>
        <v>2.5000000000000001E-3</v>
      </c>
      <c r="AH3" s="71">
        <f t="shared" si="2"/>
        <v>2.5000000000000001E-3</v>
      </c>
      <c r="AI3" s="71">
        <f t="shared" si="2"/>
        <v>2.5000000000000001E-3</v>
      </c>
      <c r="AJ3" s="71">
        <f t="shared" si="2"/>
        <v>2.5000000000000001E-3</v>
      </c>
      <c r="AK3" s="71">
        <f t="shared" si="2"/>
        <v>2.5000000000000001E-3</v>
      </c>
      <c r="AL3" s="71">
        <f t="shared" si="2"/>
        <v>2.5000000000000001E-3</v>
      </c>
      <c r="AM3" s="71">
        <f t="shared" si="2"/>
        <v>2.5000000000000001E-3</v>
      </c>
      <c r="AN3" s="71">
        <f t="shared" si="2"/>
        <v>2.5000000000000001E-3</v>
      </c>
      <c r="AO3" s="71">
        <f t="shared" si="2"/>
        <v>2.5000000000000001E-3</v>
      </c>
      <c r="AP3" s="71">
        <f t="shared" si="2"/>
        <v>2.5000000000000001E-3</v>
      </c>
      <c r="AQ3" s="71">
        <f t="shared" si="2"/>
        <v>2.5000000000000001E-3</v>
      </c>
      <c r="AR3" s="71">
        <f t="shared" si="2"/>
        <v>2.5000000000000001E-3</v>
      </c>
      <c r="AS3" s="71">
        <f t="shared" si="2"/>
        <v>2.5000000000000001E-3</v>
      </c>
      <c r="AT3" s="71">
        <f t="shared" si="2"/>
        <v>2.5000000000000001E-3</v>
      </c>
      <c r="AU3" s="71">
        <f t="shared" si="2"/>
        <v>2.5000000000000001E-3</v>
      </c>
      <c r="AV3" s="71">
        <f t="shared" si="2"/>
        <v>2.5000000000000001E-3</v>
      </c>
      <c r="AW3" s="71">
        <f t="shared" si="2"/>
        <v>2.5000000000000001E-3</v>
      </c>
      <c r="AX3" s="71">
        <f t="shared" si="2"/>
        <v>2.5000000000000001E-3</v>
      </c>
      <c r="AY3" s="71">
        <f t="shared" si="2"/>
        <v>2.5000000000000001E-3</v>
      </c>
      <c r="AZ3" s="71">
        <f t="shared" si="2"/>
        <v>2.5000000000000001E-3</v>
      </c>
      <c r="BA3" s="71">
        <f t="shared" si="2"/>
        <v>2.5000000000000001E-3</v>
      </c>
      <c r="BB3" s="71">
        <f t="shared" si="2"/>
        <v>2.5000000000000001E-3</v>
      </c>
      <c r="BC3" s="71">
        <f t="shared" si="2"/>
        <v>2.5000000000000001E-3</v>
      </c>
      <c r="BD3" s="71">
        <f t="shared" si="2"/>
        <v>2.5000000000000001E-3</v>
      </c>
      <c r="BE3" s="71">
        <f t="shared" si="2"/>
        <v>2.5000000000000001E-3</v>
      </c>
      <c r="BF3" s="71">
        <f t="shared" si="2"/>
        <v>2.5000000000000001E-3</v>
      </c>
      <c r="BG3" s="71">
        <f t="shared" si="2"/>
        <v>2.5000000000000001E-3</v>
      </c>
      <c r="BH3" s="71">
        <f t="shared" si="2"/>
        <v>2.5000000000000001E-3</v>
      </c>
      <c r="BI3" s="71">
        <f t="shared" si="2"/>
        <v>2.5000000000000001E-3</v>
      </c>
      <c r="BJ3" s="71">
        <f t="shared" si="2"/>
        <v>2.5000000000000001E-3</v>
      </c>
      <c r="BK3" s="71">
        <f t="shared" si="2"/>
        <v>2.5000000000000001E-3</v>
      </c>
      <c r="BL3" s="71">
        <f t="shared" si="2"/>
        <v>2.5000000000000001E-3</v>
      </c>
      <c r="BM3" s="71">
        <f t="shared" si="2"/>
        <v>2.5000000000000001E-3</v>
      </c>
      <c r="BN3" s="71">
        <f t="shared" si="2"/>
        <v>2.5000000000000001E-3</v>
      </c>
      <c r="BO3" s="71">
        <f t="shared" si="2"/>
        <v>2.5000000000000001E-3</v>
      </c>
      <c r="BP3" s="71">
        <f t="shared" si="2"/>
        <v>2.5000000000000001E-3</v>
      </c>
      <c r="BQ3" s="71">
        <f t="shared" si="2"/>
        <v>2.5000000000000001E-3</v>
      </c>
      <c r="BR3" s="71">
        <f t="shared" si="2"/>
        <v>2.5000000000000001E-3</v>
      </c>
      <c r="BS3" s="71">
        <f t="shared" si="2"/>
        <v>2.5000000000000001E-3</v>
      </c>
      <c r="BT3" s="71">
        <f t="shared" si="2"/>
        <v>2.5000000000000001E-3</v>
      </c>
      <c r="BU3" s="71">
        <f t="shared" si="2"/>
        <v>2.5000000000000001E-3</v>
      </c>
      <c r="BV3" s="71">
        <f t="shared" si="2"/>
        <v>2.5000000000000001E-3</v>
      </c>
      <c r="BW3" s="71">
        <f t="shared" si="2"/>
        <v>2.5000000000000001E-3</v>
      </c>
      <c r="BX3" s="71">
        <f t="shared" si="2"/>
        <v>2.5000000000000001E-3</v>
      </c>
      <c r="BY3" s="71">
        <f t="shared" si="2"/>
        <v>2.5000000000000001E-3</v>
      </c>
      <c r="BZ3" s="71">
        <f t="shared" si="2"/>
        <v>2.5000000000000001E-3</v>
      </c>
      <c r="CA3" s="71">
        <f t="shared" si="2"/>
        <v>2.5000000000000001E-3</v>
      </c>
      <c r="CB3" s="71">
        <f t="shared" si="2"/>
        <v>2.5000000000000001E-3</v>
      </c>
      <c r="CC3" s="71">
        <f t="shared" si="2"/>
        <v>2.5000000000000001E-3</v>
      </c>
      <c r="CD3" s="71">
        <f t="shared" si="2"/>
        <v>2.5000000000000001E-3</v>
      </c>
      <c r="CE3" s="71">
        <f t="shared" si="2"/>
        <v>2.5000000000000001E-3</v>
      </c>
      <c r="CF3" s="71">
        <f t="shared" si="2"/>
        <v>2.5000000000000001E-3</v>
      </c>
      <c r="CG3" s="71">
        <f t="shared" si="2"/>
        <v>2.5000000000000001E-3</v>
      </c>
      <c r="CH3" s="71">
        <f t="shared" si="2"/>
        <v>2.5000000000000001E-3</v>
      </c>
      <c r="CI3" s="71">
        <f t="shared" si="2"/>
        <v>2.5000000000000001E-3</v>
      </c>
      <c r="CJ3" s="71">
        <f t="shared" si="2"/>
        <v>2.5000000000000001E-3</v>
      </c>
      <c r="CK3" s="71">
        <f t="shared" si="2"/>
        <v>2.5000000000000001E-3</v>
      </c>
      <c r="CL3" s="71">
        <f t="shared" si="2"/>
        <v>2.5000000000000001E-3</v>
      </c>
      <c r="CM3" s="71">
        <f t="shared" si="2"/>
        <v>2.5000000000000001E-3</v>
      </c>
      <c r="CN3" s="71">
        <f t="shared" ref="CN3:DF3" si="3">CM3</f>
        <v>2.5000000000000001E-3</v>
      </c>
      <c r="CO3" s="71">
        <f t="shared" si="3"/>
        <v>2.5000000000000001E-3</v>
      </c>
      <c r="CP3" s="71">
        <f t="shared" si="3"/>
        <v>2.5000000000000001E-3</v>
      </c>
      <c r="CQ3" s="71">
        <f t="shared" si="3"/>
        <v>2.5000000000000001E-3</v>
      </c>
      <c r="CR3" s="71">
        <f t="shared" si="3"/>
        <v>2.5000000000000001E-3</v>
      </c>
      <c r="CS3" s="71">
        <f t="shared" si="3"/>
        <v>2.5000000000000001E-3</v>
      </c>
      <c r="CT3" s="71">
        <f t="shared" si="3"/>
        <v>2.5000000000000001E-3</v>
      </c>
      <c r="CU3" s="71">
        <f t="shared" si="3"/>
        <v>2.5000000000000001E-3</v>
      </c>
      <c r="CV3" s="71">
        <f t="shared" si="3"/>
        <v>2.5000000000000001E-3</v>
      </c>
      <c r="CW3" s="71">
        <f t="shared" si="3"/>
        <v>2.5000000000000001E-3</v>
      </c>
      <c r="CX3" s="71">
        <f t="shared" si="3"/>
        <v>2.5000000000000001E-3</v>
      </c>
      <c r="CY3" s="71">
        <f t="shared" si="3"/>
        <v>2.5000000000000001E-3</v>
      </c>
      <c r="CZ3" s="71">
        <f t="shared" si="3"/>
        <v>2.5000000000000001E-3</v>
      </c>
      <c r="DA3" s="71">
        <f t="shared" si="3"/>
        <v>2.5000000000000001E-3</v>
      </c>
      <c r="DB3" s="71">
        <f t="shared" si="3"/>
        <v>2.5000000000000001E-3</v>
      </c>
      <c r="DC3" s="71">
        <f t="shared" si="3"/>
        <v>2.5000000000000001E-3</v>
      </c>
      <c r="DD3" s="71">
        <f t="shared" si="3"/>
        <v>2.5000000000000001E-3</v>
      </c>
      <c r="DE3" s="71">
        <f t="shared" si="3"/>
        <v>2.5000000000000001E-3</v>
      </c>
      <c r="DF3" s="71">
        <f t="shared" si="3"/>
        <v>2.5000000000000001E-3</v>
      </c>
    </row>
    <row r="4" spans="1:110">
      <c r="A4" s="66" t="s">
        <v>222</v>
      </c>
      <c r="B4" s="67">
        <v>4.5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>
        <f t="shared" ref="X4:CI4" si="4">$B$4</f>
        <v>4.5</v>
      </c>
      <c r="Y4" s="69">
        <f t="shared" si="4"/>
        <v>4.5</v>
      </c>
      <c r="Z4" s="69">
        <f t="shared" si="4"/>
        <v>4.5</v>
      </c>
      <c r="AA4" s="69">
        <f t="shared" si="4"/>
        <v>4.5</v>
      </c>
      <c r="AB4" s="69">
        <f t="shared" si="4"/>
        <v>4.5</v>
      </c>
      <c r="AC4" s="69">
        <f t="shared" si="4"/>
        <v>4.5</v>
      </c>
      <c r="AD4" s="69">
        <f t="shared" si="4"/>
        <v>4.5</v>
      </c>
      <c r="AE4" s="69">
        <f t="shared" si="4"/>
        <v>4.5</v>
      </c>
      <c r="AF4" s="69">
        <f t="shared" si="4"/>
        <v>4.5</v>
      </c>
      <c r="AG4" s="69">
        <f t="shared" si="4"/>
        <v>4.5</v>
      </c>
      <c r="AH4" s="69">
        <f t="shared" si="4"/>
        <v>4.5</v>
      </c>
      <c r="AI4" s="69">
        <f t="shared" si="4"/>
        <v>4.5</v>
      </c>
      <c r="AJ4" s="69">
        <f t="shared" si="4"/>
        <v>4.5</v>
      </c>
      <c r="AK4" s="69">
        <f t="shared" si="4"/>
        <v>4.5</v>
      </c>
      <c r="AL4" s="69">
        <f t="shared" si="4"/>
        <v>4.5</v>
      </c>
      <c r="AM4" s="69">
        <f t="shared" si="4"/>
        <v>4.5</v>
      </c>
      <c r="AN4" s="69">
        <f t="shared" si="4"/>
        <v>4.5</v>
      </c>
      <c r="AO4" s="69">
        <f t="shared" si="4"/>
        <v>4.5</v>
      </c>
      <c r="AP4" s="69">
        <f t="shared" si="4"/>
        <v>4.5</v>
      </c>
      <c r="AQ4" s="69">
        <f t="shared" si="4"/>
        <v>4.5</v>
      </c>
      <c r="AR4" s="69">
        <f t="shared" si="4"/>
        <v>4.5</v>
      </c>
      <c r="AS4" s="69">
        <f t="shared" si="4"/>
        <v>4.5</v>
      </c>
      <c r="AT4" s="69">
        <f t="shared" si="4"/>
        <v>4.5</v>
      </c>
      <c r="AU4" s="69">
        <f t="shared" si="4"/>
        <v>4.5</v>
      </c>
      <c r="AV4" s="69">
        <f t="shared" si="4"/>
        <v>4.5</v>
      </c>
      <c r="AW4" s="69">
        <f t="shared" si="4"/>
        <v>4.5</v>
      </c>
      <c r="AX4" s="69">
        <f t="shared" si="4"/>
        <v>4.5</v>
      </c>
      <c r="AY4" s="69">
        <f t="shared" si="4"/>
        <v>4.5</v>
      </c>
      <c r="AZ4" s="69">
        <f t="shared" si="4"/>
        <v>4.5</v>
      </c>
      <c r="BA4" s="69">
        <f t="shared" si="4"/>
        <v>4.5</v>
      </c>
      <c r="BB4" s="69">
        <f t="shared" si="4"/>
        <v>4.5</v>
      </c>
      <c r="BC4" s="69">
        <f t="shared" si="4"/>
        <v>4.5</v>
      </c>
      <c r="BD4" s="69">
        <f t="shared" si="4"/>
        <v>4.5</v>
      </c>
      <c r="BE4" s="69">
        <f t="shared" si="4"/>
        <v>4.5</v>
      </c>
      <c r="BF4" s="69">
        <f t="shared" si="4"/>
        <v>4.5</v>
      </c>
      <c r="BG4" s="69">
        <f t="shared" si="4"/>
        <v>4.5</v>
      </c>
      <c r="BH4" s="69">
        <f t="shared" si="4"/>
        <v>4.5</v>
      </c>
      <c r="BI4" s="69">
        <f t="shared" si="4"/>
        <v>4.5</v>
      </c>
      <c r="BJ4" s="69">
        <f t="shared" si="4"/>
        <v>4.5</v>
      </c>
      <c r="BK4" s="69">
        <f t="shared" si="4"/>
        <v>4.5</v>
      </c>
      <c r="BL4" s="69">
        <f t="shared" si="4"/>
        <v>4.5</v>
      </c>
      <c r="BM4" s="69">
        <f t="shared" si="4"/>
        <v>4.5</v>
      </c>
      <c r="BN4" s="69">
        <f t="shared" si="4"/>
        <v>4.5</v>
      </c>
      <c r="BO4" s="69">
        <f t="shared" si="4"/>
        <v>4.5</v>
      </c>
      <c r="BP4" s="69">
        <f t="shared" si="4"/>
        <v>4.5</v>
      </c>
      <c r="BQ4" s="69">
        <f t="shared" si="4"/>
        <v>4.5</v>
      </c>
      <c r="BR4" s="69">
        <f t="shared" si="4"/>
        <v>4.5</v>
      </c>
      <c r="BS4" s="69">
        <f t="shared" si="4"/>
        <v>4.5</v>
      </c>
      <c r="BT4" s="69">
        <f t="shared" si="4"/>
        <v>4.5</v>
      </c>
      <c r="BU4" s="69">
        <f t="shared" si="4"/>
        <v>4.5</v>
      </c>
      <c r="BV4" s="69">
        <f t="shared" si="4"/>
        <v>4.5</v>
      </c>
      <c r="BW4" s="69">
        <f t="shared" si="4"/>
        <v>4.5</v>
      </c>
      <c r="BX4" s="69">
        <f t="shared" si="4"/>
        <v>4.5</v>
      </c>
      <c r="BY4" s="69">
        <f t="shared" si="4"/>
        <v>4.5</v>
      </c>
      <c r="BZ4" s="69">
        <f t="shared" si="4"/>
        <v>4.5</v>
      </c>
      <c r="CA4" s="69">
        <f t="shared" si="4"/>
        <v>4.5</v>
      </c>
      <c r="CB4" s="69">
        <f t="shared" si="4"/>
        <v>4.5</v>
      </c>
      <c r="CC4" s="69">
        <f t="shared" si="4"/>
        <v>4.5</v>
      </c>
      <c r="CD4" s="69">
        <f t="shared" si="4"/>
        <v>4.5</v>
      </c>
      <c r="CE4" s="69">
        <f t="shared" si="4"/>
        <v>4.5</v>
      </c>
      <c r="CF4" s="69">
        <f t="shared" si="4"/>
        <v>4.5</v>
      </c>
      <c r="CG4" s="69">
        <f t="shared" si="4"/>
        <v>4.5</v>
      </c>
      <c r="CH4" s="69">
        <f t="shared" si="4"/>
        <v>4.5</v>
      </c>
      <c r="CI4" s="69">
        <f t="shared" si="4"/>
        <v>4.5</v>
      </c>
      <c r="CJ4" s="69">
        <f t="shared" ref="CJ4:DF4" si="5">$B$4</f>
        <v>4.5</v>
      </c>
      <c r="CK4" s="69">
        <f t="shared" si="5"/>
        <v>4.5</v>
      </c>
      <c r="CL4" s="69">
        <f t="shared" si="5"/>
        <v>4.5</v>
      </c>
      <c r="CM4" s="69">
        <f t="shared" si="5"/>
        <v>4.5</v>
      </c>
      <c r="CN4" s="69">
        <f t="shared" si="5"/>
        <v>4.5</v>
      </c>
      <c r="CO4" s="69">
        <f t="shared" si="5"/>
        <v>4.5</v>
      </c>
      <c r="CP4" s="69">
        <f t="shared" si="5"/>
        <v>4.5</v>
      </c>
      <c r="CQ4" s="69">
        <f t="shared" si="5"/>
        <v>4.5</v>
      </c>
      <c r="CR4" s="69">
        <f t="shared" si="5"/>
        <v>4.5</v>
      </c>
      <c r="CS4" s="69">
        <f t="shared" si="5"/>
        <v>4.5</v>
      </c>
      <c r="CT4" s="69">
        <f t="shared" si="5"/>
        <v>4.5</v>
      </c>
      <c r="CU4" s="69">
        <f t="shared" si="5"/>
        <v>4.5</v>
      </c>
      <c r="CV4" s="69">
        <f t="shared" si="5"/>
        <v>4.5</v>
      </c>
      <c r="CW4" s="69">
        <f t="shared" si="5"/>
        <v>4.5</v>
      </c>
      <c r="CX4" s="69">
        <f t="shared" si="5"/>
        <v>4.5</v>
      </c>
      <c r="CY4" s="69">
        <f t="shared" si="5"/>
        <v>4.5</v>
      </c>
      <c r="CZ4" s="69">
        <f t="shared" si="5"/>
        <v>4.5</v>
      </c>
      <c r="DA4" s="69">
        <f t="shared" si="5"/>
        <v>4.5</v>
      </c>
      <c r="DB4" s="69">
        <f t="shared" si="5"/>
        <v>4.5</v>
      </c>
      <c r="DC4" s="69">
        <f t="shared" si="5"/>
        <v>4.5</v>
      </c>
      <c r="DD4" s="69">
        <f t="shared" si="5"/>
        <v>4.5</v>
      </c>
      <c r="DE4" s="69">
        <f t="shared" si="5"/>
        <v>4.5</v>
      </c>
      <c r="DF4" s="69">
        <f t="shared" si="5"/>
        <v>4.5</v>
      </c>
    </row>
    <row r="5" spans="1:110">
      <c r="A5" s="66" t="s">
        <v>223</v>
      </c>
      <c r="B5" s="72" t="s">
        <v>221</v>
      </c>
      <c r="C5" s="69"/>
      <c r="D5" s="69"/>
      <c r="E5" s="69"/>
      <c r="F5" s="69"/>
      <c r="G5" s="69"/>
      <c r="H5" s="69"/>
      <c r="I5" s="69"/>
      <c r="J5" s="69"/>
      <c r="K5" s="69"/>
      <c r="L5" s="73"/>
      <c r="M5" s="73"/>
      <c r="N5" s="73"/>
      <c r="O5" s="73"/>
      <c r="P5" s="73"/>
      <c r="Q5" s="69"/>
      <c r="R5" s="73"/>
      <c r="S5" s="73"/>
      <c r="T5" s="73"/>
      <c r="U5" s="73"/>
      <c r="V5" s="73"/>
      <c r="W5" s="73"/>
      <c r="X5" s="73">
        <v>0.93359999999999999</v>
      </c>
      <c r="Y5" s="73">
        <f>X5+0.0056</f>
        <v>0.93920000000000003</v>
      </c>
      <c r="Z5" s="73">
        <f>Y5+0.0056</f>
        <v>0.94480000000000008</v>
      </c>
      <c r="AA5" s="73">
        <v>0.95040000000000013</v>
      </c>
      <c r="AB5" s="73">
        <f t="shared" ref="AB5:AG5" si="6">AA5+0.0083</f>
        <v>0.95870000000000011</v>
      </c>
      <c r="AC5" s="73">
        <f t="shared" si="6"/>
        <v>0.96700000000000008</v>
      </c>
      <c r="AD5" s="73">
        <f t="shared" si="6"/>
        <v>0.97530000000000006</v>
      </c>
      <c r="AE5" s="73">
        <f t="shared" si="6"/>
        <v>0.98360000000000003</v>
      </c>
      <c r="AF5" s="73">
        <f t="shared" si="6"/>
        <v>0.9919</v>
      </c>
      <c r="AG5" s="73">
        <f t="shared" si="6"/>
        <v>1.0002</v>
      </c>
      <c r="AH5" s="73">
        <f>AG5</f>
        <v>1.0002</v>
      </c>
      <c r="AI5" s="73">
        <f t="shared" ref="AI5:CT5" si="7">AH5</f>
        <v>1.0002</v>
      </c>
      <c r="AJ5" s="73">
        <f t="shared" si="7"/>
        <v>1.0002</v>
      </c>
      <c r="AK5" s="73">
        <f t="shared" si="7"/>
        <v>1.0002</v>
      </c>
      <c r="AL5" s="73">
        <f t="shared" si="7"/>
        <v>1.0002</v>
      </c>
      <c r="AM5" s="73">
        <f t="shared" si="7"/>
        <v>1.0002</v>
      </c>
      <c r="AN5" s="73">
        <f t="shared" si="7"/>
        <v>1.0002</v>
      </c>
      <c r="AO5" s="73">
        <f t="shared" si="7"/>
        <v>1.0002</v>
      </c>
      <c r="AP5" s="73">
        <f t="shared" si="7"/>
        <v>1.0002</v>
      </c>
      <c r="AQ5" s="73">
        <f t="shared" si="7"/>
        <v>1.0002</v>
      </c>
      <c r="AR5" s="73">
        <f t="shared" si="7"/>
        <v>1.0002</v>
      </c>
      <c r="AS5" s="73">
        <f t="shared" si="7"/>
        <v>1.0002</v>
      </c>
      <c r="AT5" s="73">
        <f t="shared" si="7"/>
        <v>1.0002</v>
      </c>
      <c r="AU5" s="73">
        <f t="shared" si="7"/>
        <v>1.0002</v>
      </c>
      <c r="AV5" s="73">
        <f t="shared" si="7"/>
        <v>1.0002</v>
      </c>
      <c r="AW5" s="73">
        <f t="shared" si="7"/>
        <v>1.0002</v>
      </c>
      <c r="AX5" s="73">
        <f t="shared" si="7"/>
        <v>1.0002</v>
      </c>
      <c r="AY5" s="73">
        <f t="shared" si="7"/>
        <v>1.0002</v>
      </c>
      <c r="AZ5" s="73">
        <f t="shared" si="7"/>
        <v>1.0002</v>
      </c>
      <c r="BA5" s="73">
        <f t="shared" si="7"/>
        <v>1.0002</v>
      </c>
      <c r="BB5" s="73">
        <f t="shared" si="7"/>
        <v>1.0002</v>
      </c>
      <c r="BC5" s="73">
        <f t="shared" si="7"/>
        <v>1.0002</v>
      </c>
      <c r="BD5" s="73">
        <f t="shared" si="7"/>
        <v>1.0002</v>
      </c>
      <c r="BE5" s="73">
        <f t="shared" si="7"/>
        <v>1.0002</v>
      </c>
      <c r="BF5" s="73">
        <f t="shared" si="7"/>
        <v>1.0002</v>
      </c>
      <c r="BG5" s="73">
        <f t="shared" si="7"/>
        <v>1.0002</v>
      </c>
      <c r="BH5" s="73">
        <f t="shared" si="7"/>
        <v>1.0002</v>
      </c>
      <c r="BI5" s="73">
        <f t="shared" si="7"/>
        <v>1.0002</v>
      </c>
      <c r="BJ5" s="73">
        <f t="shared" si="7"/>
        <v>1.0002</v>
      </c>
      <c r="BK5" s="73">
        <f t="shared" si="7"/>
        <v>1.0002</v>
      </c>
      <c r="BL5" s="73">
        <f t="shared" si="7"/>
        <v>1.0002</v>
      </c>
      <c r="BM5" s="73">
        <f t="shared" si="7"/>
        <v>1.0002</v>
      </c>
      <c r="BN5" s="73">
        <f t="shared" si="7"/>
        <v>1.0002</v>
      </c>
      <c r="BO5" s="73">
        <f t="shared" si="7"/>
        <v>1.0002</v>
      </c>
      <c r="BP5" s="73">
        <f t="shared" si="7"/>
        <v>1.0002</v>
      </c>
      <c r="BQ5" s="73">
        <f t="shared" si="7"/>
        <v>1.0002</v>
      </c>
      <c r="BR5" s="73">
        <f t="shared" si="7"/>
        <v>1.0002</v>
      </c>
      <c r="BS5" s="73">
        <f t="shared" si="7"/>
        <v>1.0002</v>
      </c>
      <c r="BT5" s="73">
        <f t="shared" si="7"/>
        <v>1.0002</v>
      </c>
      <c r="BU5" s="73">
        <f t="shared" si="7"/>
        <v>1.0002</v>
      </c>
      <c r="BV5" s="73">
        <f t="shared" si="7"/>
        <v>1.0002</v>
      </c>
      <c r="BW5" s="73">
        <f t="shared" si="7"/>
        <v>1.0002</v>
      </c>
      <c r="BX5" s="73">
        <f t="shared" si="7"/>
        <v>1.0002</v>
      </c>
      <c r="BY5" s="73">
        <f t="shared" si="7"/>
        <v>1.0002</v>
      </c>
      <c r="BZ5" s="73">
        <f t="shared" si="7"/>
        <v>1.0002</v>
      </c>
      <c r="CA5" s="73">
        <f t="shared" si="7"/>
        <v>1.0002</v>
      </c>
      <c r="CB5" s="73">
        <f t="shared" si="7"/>
        <v>1.0002</v>
      </c>
      <c r="CC5" s="73">
        <f t="shared" si="7"/>
        <v>1.0002</v>
      </c>
      <c r="CD5" s="73">
        <f t="shared" si="7"/>
        <v>1.0002</v>
      </c>
      <c r="CE5" s="73">
        <f t="shared" si="7"/>
        <v>1.0002</v>
      </c>
      <c r="CF5" s="73">
        <f t="shared" si="7"/>
        <v>1.0002</v>
      </c>
      <c r="CG5" s="73">
        <f t="shared" si="7"/>
        <v>1.0002</v>
      </c>
      <c r="CH5" s="73">
        <f t="shared" si="7"/>
        <v>1.0002</v>
      </c>
      <c r="CI5" s="73">
        <f t="shared" si="7"/>
        <v>1.0002</v>
      </c>
      <c r="CJ5" s="73">
        <f t="shared" si="7"/>
        <v>1.0002</v>
      </c>
      <c r="CK5" s="73">
        <f t="shared" si="7"/>
        <v>1.0002</v>
      </c>
      <c r="CL5" s="73">
        <f t="shared" si="7"/>
        <v>1.0002</v>
      </c>
      <c r="CM5" s="73">
        <f t="shared" si="7"/>
        <v>1.0002</v>
      </c>
      <c r="CN5" s="73">
        <f t="shared" si="7"/>
        <v>1.0002</v>
      </c>
      <c r="CO5" s="73">
        <f t="shared" si="7"/>
        <v>1.0002</v>
      </c>
      <c r="CP5" s="73">
        <f t="shared" si="7"/>
        <v>1.0002</v>
      </c>
      <c r="CQ5" s="73">
        <f t="shared" si="7"/>
        <v>1.0002</v>
      </c>
      <c r="CR5" s="73">
        <f t="shared" si="7"/>
        <v>1.0002</v>
      </c>
      <c r="CS5" s="73">
        <f t="shared" si="7"/>
        <v>1.0002</v>
      </c>
      <c r="CT5" s="73">
        <f t="shared" si="7"/>
        <v>1.0002</v>
      </c>
      <c r="CU5" s="73">
        <f t="shared" ref="CU5:DF5" si="8">CT5</f>
        <v>1.0002</v>
      </c>
      <c r="CV5" s="73">
        <f t="shared" si="8"/>
        <v>1.0002</v>
      </c>
      <c r="CW5" s="73">
        <f t="shared" si="8"/>
        <v>1.0002</v>
      </c>
      <c r="CX5" s="73">
        <f t="shared" si="8"/>
        <v>1.0002</v>
      </c>
      <c r="CY5" s="73">
        <f t="shared" si="8"/>
        <v>1.0002</v>
      </c>
      <c r="CZ5" s="73">
        <f t="shared" si="8"/>
        <v>1.0002</v>
      </c>
      <c r="DA5" s="73">
        <f t="shared" si="8"/>
        <v>1.0002</v>
      </c>
      <c r="DB5" s="73">
        <f t="shared" si="8"/>
        <v>1.0002</v>
      </c>
      <c r="DC5" s="73">
        <f t="shared" si="8"/>
        <v>1.0002</v>
      </c>
      <c r="DD5" s="73">
        <f t="shared" si="8"/>
        <v>1.0002</v>
      </c>
      <c r="DE5" s="73">
        <f t="shared" si="8"/>
        <v>1.0002</v>
      </c>
      <c r="DF5" s="73">
        <f t="shared" si="8"/>
        <v>1.0002</v>
      </c>
    </row>
    <row r="6" spans="1:110">
      <c r="A6" s="66" t="s">
        <v>468</v>
      </c>
      <c r="B6" s="72" t="s">
        <v>82</v>
      </c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70"/>
      <c r="S6" s="70"/>
      <c r="T6" s="70"/>
      <c r="U6" s="70"/>
      <c r="V6" s="70"/>
      <c r="W6" s="70"/>
      <c r="X6" s="70">
        <f>ROUND((X2*X5/X4),)</f>
        <v>278209</v>
      </c>
      <c r="Y6" s="70">
        <f>ROUND((Y2*Y5/Y4),)</f>
        <v>280577</v>
      </c>
      <c r="Z6" s="70">
        <f>ROUND((Z2*Z5/Z4),)</f>
        <v>282956</v>
      </c>
      <c r="AA6" s="70">
        <v>285344</v>
      </c>
      <c r="AB6" s="70">
        <f t="shared" ref="AB6:CM6" si="9">ROUND((AB2*AB5/AB4),)</f>
        <v>288556</v>
      </c>
      <c r="AC6" s="70">
        <f t="shared" si="9"/>
        <v>291782</v>
      </c>
      <c r="AD6" s="70">
        <f t="shared" si="9"/>
        <v>295022</v>
      </c>
      <c r="AE6" s="70">
        <f t="shared" si="9"/>
        <v>298276</v>
      </c>
      <c r="AF6" s="70">
        <f t="shared" si="9"/>
        <v>301546</v>
      </c>
      <c r="AG6" s="70">
        <f t="shared" si="9"/>
        <v>304829</v>
      </c>
      <c r="AH6" s="70">
        <f t="shared" si="9"/>
        <v>305591</v>
      </c>
      <c r="AI6" s="70">
        <f t="shared" si="9"/>
        <v>306355</v>
      </c>
      <c r="AJ6" s="70">
        <f t="shared" si="9"/>
        <v>307121</v>
      </c>
      <c r="AK6" s="70">
        <f t="shared" si="9"/>
        <v>307889</v>
      </c>
      <c r="AL6" s="70">
        <f t="shared" si="9"/>
        <v>308658</v>
      </c>
      <c r="AM6" s="70">
        <f t="shared" si="9"/>
        <v>309430</v>
      </c>
      <c r="AN6" s="70">
        <f t="shared" si="9"/>
        <v>310204</v>
      </c>
      <c r="AO6" s="70">
        <f t="shared" si="9"/>
        <v>310979</v>
      </c>
      <c r="AP6" s="70">
        <f t="shared" si="9"/>
        <v>311757</v>
      </c>
      <c r="AQ6" s="70">
        <f t="shared" si="9"/>
        <v>312536</v>
      </c>
      <c r="AR6" s="70">
        <f t="shared" si="9"/>
        <v>313317</v>
      </c>
      <c r="AS6" s="70">
        <f t="shared" si="9"/>
        <v>314101</v>
      </c>
      <c r="AT6" s="70">
        <f t="shared" si="9"/>
        <v>314886</v>
      </c>
      <c r="AU6" s="70">
        <f t="shared" si="9"/>
        <v>315673</v>
      </c>
      <c r="AV6" s="70">
        <f t="shared" si="9"/>
        <v>316462</v>
      </c>
      <c r="AW6" s="70">
        <f t="shared" si="9"/>
        <v>317253</v>
      </c>
      <c r="AX6" s="70">
        <f t="shared" si="9"/>
        <v>318046</v>
      </c>
      <c r="AY6" s="70">
        <f t="shared" si="9"/>
        <v>318842</v>
      </c>
      <c r="AZ6" s="70">
        <f t="shared" si="9"/>
        <v>319639</v>
      </c>
      <c r="BA6" s="70">
        <f t="shared" si="9"/>
        <v>320438</v>
      </c>
      <c r="BB6" s="70">
        <f t="shared" si="9"/>
        <v>321239</v>
      </c>
      <c r="BC6" s="70">
        <f t="shared" si="9"/>
        <v>322042</v>
      </c>
      <c r="BD6" s="70">
        <f t="shared" si="9"/>
        <v>322847</v>
      </c>
      <c r="BE6" s="70">
        <f t="shared" si="9"/>
        <v>323654</v>
      </c>
      <c r="BF6" s="70">
        <f t="shared" si="9"/>
        <v>324463</v>
      </c>
      <c r="BG6" s="70">
        <f t="shared" si="9"/>
        <v>325274</v>
      </c>
      <c r="BH6" s="70">
        <f t="shared" si="9"/>
        <v>326087</v>
      </c>
      <c r="BI6" s="70">
        <f t="shared" si="9"/>
        <v>326902</v>
      </c>
      <c r="BJ6" s="70">
        <f t="shared" si="9"/>
        <v>327720</v>
      </c>
      <c r="BK6" s="70">
        <f t="shared" si="9"/>
        <v>328539</v>
      </c>
      <c r="BL6" s="70">
        <f t="shared" si="9"/>
        <v>329360</v>
      </c>
      <c r="BM6" s="70">
        <f t="shared" si="9"/>
        <v>330184</v>
      </c>
      <c r="BN6" s="70">
        <f t="shared" si="9"/>
        <v>331009</v>
      </c>
      <c r="BO6" s="70">
        <f t="shared" si="9"/>
        <v>331837</v>
      </c>
      <c r="BP6" s="70">
        <f t="shared" si="9"/>
        <v>332666</v>
      </c>
      <c r="BQ6" s="70">
        <f t="shared" si="9"/>
        <v>333498</v>
      </c>
      <c r="BR6" s="70">
        <f t="shared" si="9"/>
        <v>334332</v>
      </c>
      <c r="BS6" s="70">
        <f t="shared" si="9"/>
        <v>335167</v>
      </c>
      <c r="BT6" s="70">
        <f t="shared" si="9"/>
        <v>336005</v>
      </c>
      <c r="BU6" s="70">
        <f t="shared" si="9"/>
        <v>336845</v>
      </c>
      <c r="BV6" s="70">
        <f t="shared" si="9"/>
        <v>337688</v>
      </c>
      <c r="BW6" s="70">
        <f t="shared" si="9"/>
        <v>338532</v>
      </c>
      <c r="BX6" s="70">
        <f t="shared" si="9"/>
        <v>339378</v>
      </c>
      <c r="BY6" s="70">
        <f t="shared" si="9"/>
        <v>340226</v>
      </c>
      <c r="BZ6" s="70">
        <f t="shared" si="9"/>
        <v>341077</v>
      </c>
      <c r="CA6" s="70">
        <f t="shared" si="9"/>
        <v>341930</v>
      </c>
      <c r="CB6" s="70">
        <f t="shared" si="9"/>
        <v>342785</v>
      </c>
      <c r="CC6" s="70">
        <f t="shared" si="9"/>
        <v>343642</v>
      </c>
      <c r="CD6" s="70">
        <f t="shared" si="9"/>
        <v>344501</v>
      </c>
      <c r="CE6" s="70">
        <f t="shared" si="9"/>
        <v>345362</v>
      </c>
      <c r="CF6" s="70">
        <f t="shared" si="9"/>
        <v>346225</v>
      </c>
      <c r="CG6" s="70">
        <f t="shared" si="9"/>
        <v>347091</v>
      </c>
      <c r="CH6" s="70">
        <f t="shared" si="9"/>
        <v>347959</v>
      </c>
      <c r="CI6" s="70">
        <f t="shared" si="9"/>
        <v>348829</v>
      </c>
      <c r="CJ6" s="70">
        <f t="shared" si="9"/>
        <v>349701</v>
      </c>
      <c r="CK6" s="70">
        <f t="shared" si="9"/>
        <v>350575</v>
      </c>
      <c r="CL6" s="70">
        <f t="shared" si="9"/>
        <v>351451</v>
      </c>
      <c r="CM6" s="70">
        <f t="shared" si="9"/>
        <v>352330</v>
      </c>
      <c r="CN6" s="70">
        <f t="shared" ref="CN6:DF6" si="10">ROUND((CN2*CN5/CN4),)</f>
        <v>353211</v>
      </c>
      <c r="CO6" s="70">
        <f t="shared" si="10"/>
        <v>354094</v>
      </c>
      <c r="CP6" s="70">
        <f t="shared" si="10"/>
        <v>354979</v>
      </c>
      <c r="CQ6" s="70">
        <f t="shared" si="10"/>
        <v>355867</v>
      </c>
      <c r="CR6" s="70">
        <f t="shared" si="10"/>
        <v>356756</v>
      </c>
      <c r="CS6" s="70">
        <f t="shared" si="10"/>
        <v>357648</v>
      </c>
      <c r="CT6" s="70">
        <f t="shared" si="10"/>
        <v>358543</v>
      </c>
      <c r="CU6" s="70">
        <f t="shared" si="10"/>
        <v>359439</v>
      </c>
      <c r="CV6" s="70">
        <f t="shared" si="10"/>
        <v>360338</v>
      </c>
      <c r="CW6" s="70">
        <f t="shared" si="10"/>
        <v>361238</v>
      </c>
      <c r="CX6" s="70">
        <f t="shared" si="10"/>
        <v>362142</v>
      </c>
      <c r="CY6" s="70">
        <f t="shared" si="10"/>
        <v>363047</v>
      </c>
      <c r="CZ6" s="70">
        <f t="shared" si="10"/>
        <v>363954</v>
      </c>
      <c r="DA6" s="70">
        <f t="shared" si="10"/>
        <v>364864</v>
      </c>
      <c r="DB6" s="70">
        <f t="shared" si="10"/>
        <v>365776</v>
      </c>
      <c r="DC6" s="70">
        <f t="shared" si="10"/>
        <v>366691</v>
      </c>
      <c r="DD6" s="70">
        <f t="shared" si="10"/>
        <v>367608</v>
      </c>
      <c r="DE6" s="70">
        <f t="shared" si="10"/>
        <v>368527</v>
      </c>
      <c r="DF6" s="70">
        <f t="shared" si="10"/>
        <v>369448</v>
      </c>
    </row>
    <row r="7" spans="1:110">
      <c r="A7" s="66"/>
      <c r="B7" s="72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0"/>
      <c r="AK7" s="70"/>
      <c r="AL7" s="70"/>
      <c r="AM7" s="70"/>
      <c r="AN7" s="70"/>
      <c r="AO7" s="70"/>
      <c r="AP7" s="70"/>
      <c r="AQ7" s="70"/>
      <c r="AR7" s="70"/>
      <c r="AS7" s="70"/>
      <c r="AT7" s="70"/>
      <c r="AU7" s="70"/>
      <c r="AV7" s="70"/>
      <c r="AW7" s="70"/>
      <c r="AX7" s="70"/>
      <c r="AY7" s="70"/>
      <c r="AZ7" s="70"/>
      <c r="BA7" s="70"/>
      <c r="BB7" s="70"/>
      <c r="BC7" s="70"/>
      <c r="BD7" s="70"/>
      <c r="BE7" s="70"/>
      <c r="BF7" s="70"/>
      <c r="BG7" s="70"/>
      <c r="BH7" s="70"/>
      <c r="BI7" s="70"/>
      <c r="BJ7" s="70"/>
      <c r="BK7" s="70"/>
      <c r="BL7" s="70"/>
      <c r="BM7" s="70"/>
      <c r="BN7" s="70"/>
      <c r="BO7" s="70"/>
      <c r="BP7" s="70"/>
      <c r="BQ7" s="70"/>
      <c r="BR7" s="70"/>
      <c r="BS7" s="70"/>
      <c r="BT7" s="70"/>
      <c r="BU7" s="70"/>
      <c r="BV7" s="70"/>
      <c r="BW7" s="70"/>
      <c r="BX7" s="70"/>
      <c r="BY7" s="70"/>
      <c r="BZ7" s="70"/>
      <c r="CA7" s="70"/>
      <c r="CB7" s="70"/>
      <c r="CC7" s="70"/>
      <c r="CD7" s="70"/>
      <c r="CE7" s="70"/>
      <c r="CF7" s="70"/>
      <c r="CG7" s="70"/>
      <c r="CH7" s="70"/>
      <c r="CI7" s="70"/>
      <c r="CJ7" s="70"/>
      <c r="CK7" s="70"/>
      <c r="CL7" s="70"/>
      <c r="CM7" s="70"/>
      <c r="CN7" s="70"/>
      <c r="CO7" s="70"/>
      <c r="CP7" s="70"/>
      <c r="CQ7" s="70"/>
      <c r="CR7" s="70"/>
      <c r="CS7" s="70"/>
      <c r="CT7" s="70"/>
      <c r="CU7" s="70"/>
      <c r="CV7" s="70"/>
      <c r="CW7" s="70"/>
      <c r="CX7" s="70"/>
      <c r="CY7" s="70"/>
      <c r="CZ7" s="70"/>
      <c r="DA7" s="70"/>
      <c r="DB7" s="70"/>
      <c r="DC7" s="70"/>
      <c r="DD7" s="70"/>
      <c r="DE7" s="70"/>
      <c r="DF7" s="70"/>
    </row>
    <row r="8" spans="1:110">
      <c r="A8" s="66"/>
      <c r="B8" s="72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4"/>
      <c r="AL8" s="74"/>
      <c r="AM8" s="74"/>
      <c r="AN8" s="74"/>
      <c r="AO8" s="74"/>
      <c r="AP8" s="74"/>
      <c r="AQ8" s="74"/>
      <c r="AR8" s="74"/>
      <c r="AS8" s="74"/>
      <c r="AT8" s="74"/>
      <c r="AU8" s="74"/>
      <c r="AV8" s="74"/>
      <c r="AW8" s="74"/>
      <c r="AX8" s="74"/>
      <c r="AY8" s="74"/>
      <c r="AZ8" s="74"/>
      <c r="BA8" s="74"/>
      <c r="BB8" s="74"/>
      <c r="BC8" s="74"/>
      <c r="BD8" s="74"/>
      <c r="BE8" s="74"/>
      <c r="BF8" s="74"/>
      <c r="BG8" s="74"/>
      <c r="BH8" s="74"/>
      <c r="BI8" s="74"/>
      <c r="BJ8" s="74"/>
      <c r="BK8" s="74"/>
      <c r="BL8" s="74"/>
      <c r="BM8" s="74"/>
      <c r="BN8" s="74"/>
      <c r="BO8" s="74"/>
      <c r="BP8" s="74"/>
      <c r="BQ8" s="74"/>
      <c r="BR8" s="74"/>
      <c r="BS8" s="74"/>
      <c r="BT8" s="74"/>
      <c r="BU8" s="74"/>
      <c r="BV8" s="74"/>
      <c r="BW8" s="74"/>
      <c r="BX8" s="74"/>
      <c r="BY8" s="74"/>
      <c r="BZ8" s="74"/>
      <c r="CA8" s="74"/>
      <c r="CB8" s="74"/>
      <c r="CC8" s="74"/>
      <c r="CD8" s="74"/>
      <c r="CE8" s="74"/>
      <c r="CF8" s="74"/>
      <c r="CG8" s="74"/>
      <c r="CH8" s="74"/>
      <c r="CI8" s="74"/>
      <c r="CJ8" s="74"/>
      <c r="CK8" s="74"/>
      <c r="CL8" s="74"/>
      <c r="CM8" s="74"/>
      <c r="CN8" s="74"/>
      <c r="CO8" s="74"/>
      <c r="CP8" s="74"/>
      <c r="CQ8" s="74"/>
      <c r="CR8" s="74"/>
      <c r="CS8" s="74"/>
      <c r="CT8" s="74"/>
      <c r="CU8" s="74"/>
      <c r="CV8" s="74"/>
      <c r="CW8" s="74"/>
      <c r="CX8" s="74"/>
      <c r="CY8" s="74"/>
      <c r="CZ8" s="74"/>
      <c r="DA8" s="74"/>
      <c r="DB8" s="74"/>
      <c r="DC8" s="74"/>
      <c r="DD8" s="74"/>
      <c r="DE8" s="74"/>
      <c r="DF8" s="74"/>
    </row>
    <row r="9" spans="1:110">
      <c r="A9" s="75" t="s">
        <v>224</v>
      </c>
      <c r="B9" s="72" t="s">
        <v>82</v>
      </c>
      <c r="C9" s="70">
        <v>180000</v>
      </c>
      <c r="D9" s="70">
        <f t="shared" ref="D9:N9" si="11">C11</f>
        <v>186000</v>
      </c>
      <c r="E9" s="70">
        <f t="shared" si="11"/>
        <v>192000</v>
      </c>
      <c r="F9" s="70">
        <f t="shared" si="11"/>
        <v>198000</v>
      </c>
      <c r="G9" s="70">
        <f t="shared" si="11"/>
        <v>201000</v>
      </c>
      <c r="H9" s="70">
        <f t="shared" si="11"/>
        <v>206000</v>
      </c>
      <c r="I9" s="70">
        <f t="shared" si="11"/>
        <v>211000</v>
      </c>
      <c r="J9" s="70">
        <f t="shared" si="11"/>
        <v>216000</v>
      </c>
      <c r="K9" s="70">
        <f t="shared" si="11"/>
        <v>221000</v>
      </c>
      <c r="L9" s="70">
        <f t="shared" si="11"/>
        <v>226000</v>
      </c>
      <c r="M9" s="70">
        <f t="shared" si="11"/>
        <v>231000</v>
      </c>
      <c r="N9" s="70">
        <f t="shared" si="11"/>
        <v>236000</v>
      </c>
      <c r="O9" s="70">
        <v>218000</v>
      </c>
      <c r="P9" s="70">
        <f t="shared" ref="P9:Z9" si="12">O11</f>
        <v>220000</v>
      </c>
      <c r="Q9" s="70">
        <f t="shared" si="12"/>
        <v>222000</v>
      </c>
      <c r="R9" s="70">
        <f t="shared" si="12"/>
        <v>224000</v>
      </c>
      <c r="S9" s="70">
        <f t="shared" si="12"/>
        <v>226000</v>
      </c>
      <c r="T9" s="70">
        <f t="shared" si="12"/>
        <v>229000</v>
      </c>
      <c r="U9" s="70">
        <f t="shared" si="12"/>
        <v>232000</v>
      </c>
      <c r="V9" s="70">
        <f t="shared" si="12"/>
        <v>235000</v>
      </c>
      <c r="W9" s="70">
        <f t="shared" si="12"/>
        <v>238000</v>
      </c>
      <c r="X9" s="70">
        <f t="shared" si="12"/>
        <v>241000</v>
      </c>
      <c r="Y9" s="70">
        <f t="shared" si="12"/>
        <v>244000</v>
      </c>
      <c r="Z9" s="70">
        <f t="shared" si="12"/>
        <v>249000</v>
      </c>
      <c r="AA9" s="70">
        <v>246000</v>
      </c>
      <c r="AB9" s="70">
        <f t="shared" ref="AB9:CM9" si="13">AA11</f>
        <v>247000</v>
      </c>
      <c r="AC9" s="70">
        <f t="shared" si="13"/>
        <v>249000</v>
      </c>
      <c r="AD9" s="70">
        <f t="shared" si="13"/>
        <v>252000</v>
      </c>
      <c r="AE9" s="70">
        <f t="shared" si="13"/>
        <v>254000</v>
      </c>
      <c r="AF9" s="70">
        <f t="shared" si="13"/>
        <v>256000</v>
      </c>
      <c r="AG9" s="70">
        <f t="shared" si="13"/>
        <v>257000</v>
      </c>
      <c r="AH9" s="70">
        <f t="shared" si="13"/>
        <v>258000</v>
      </c>
      <c r="AI9" s="70">
        <f t="shared" si="13"/>
        <v>259000</v>
      </c>
      <c r="AJ9" s="70">
        <f t="shared" si="13"/>
        <v>260000</v>
      </c>
      <c r="AK9" s="70">
        <f t="shared" si="13"/>
        <v>261000</v>
      </c>
      <c r="AL9" s="70">
        <f t="shared" si="13"/>
        <v>262000</v>
      </c>
      <c r="AM9" s="70">
        <f t="shared" si="13"/>
        <v>263000</v>
      </c>
      <c r="AN9" s="70">
        <f t="shared" si="13"/>
        <v>265000</v>
      </c>
      <c r="AO9" s="70">
        <f t="shared" si="13"/>
        <v>267000</v>
      </c>
      <c r="AP9" s="70">
        <f t="shared" si="13"/>
        <v>269000</v>
      </c>
      <c r="AQ9" s="70">
        <f t="shared" si="13"/>
        <v>271000</v>
      </c>
      <c r="AR9" s="70">
        <f t="shared" si="13"/>
        <v>273000</v>
      </c>
      <c r="AS9" s="70">
        <f t="shared" si="13"/>
        <v>275000</v>
      </c>
      <c r="AT9" s="70">
        <f t="shared" si="13"/>
        <v>277000</v>
      </c>
      <c r="AU9" s="70">
        <f t="shared" si="13"/>
        <v>279000</v>
      </c>
      <c r="AV9" s="70">
        <f t="shared" si="13"/>
        <v>281000</v>
      </c>
      <c r="AW9" s="70">
        <f t="shared" si="13"/>
        <v>283000</v>
      </c>
      <c r="AX9" s="70">
        <f t="shared" si="13"/>
        <v>285000</v>
      </c>
      <c r="AY9" s="70">
        <f t="shared" si="13"/>
        <v>287000</v>
      </c>
      <c r="AZ9" s="70">
        <f t="shared" si="13"/>
        <v>288000</v>
      </c>
      <c r="BA9" s="70">
        <f t="shared" si="13"/>
        <v>289000</v>
      </c>
      <c r="BB9" s="70">
        <f t="shared" si="13"/>
        <v>290000</v>
      </c>
      <c r="BC9" s="70">
        <f t="shared" si="13"/>
        <v>291000</v>
      </c>
      <c r="BD9" s="70">
        <f t="shared" si="13"/>
        <v>292000</v>
      </c>
      <c r="BE9" s="70">
        <f t="shared" si="13"/>
        <v>293000</v>
      </c>
      <c r="BF9" s="70">
        <f t="shared" si="13"/>
        <v>294000</v>
      </c>
      <c r="BG9" s="70">
        <f t="shared" si="13"/>
        <v>295000</v>
      </c>
      <c r="BH9" s="70">
        <f t="shared" si="13"/>
        <v>296000</v>
      </c>
      <c r="BI9" s="70">
        <f t="shared" si="13"/>
        <v>297000</v>
      </c>
      <c r="BJ9" s="70">
        <f t="shared" si="13"/>
        <v>298000</v>
      </c>
      <c r="BK9" s="70">
        <f t="shared" si="13"/>
        <v>299000</v>
      </c>
      <c r="BL9" s="70">
        <f t="shared" si="13"/>
        <v>299500</v>
      </c>
      <c r="BM9" s="70">
        <f t="shared" si="13"/>
        <v>300000</v>
      </c>
      <c r="BN9" s="70">
        <f t="shared" si="13"/>
        <v>300500</v>
      </c>
      <c r="BO9" s="70">
        <f t="shared" si="13"/>
        <v>301000</v>
      </c>
      <c r="BP9" s="70">
        <f t="shared" si="13"/>
        <v>301500</v>
      </c>
      <c r="BQ9" s="70">
        <f t="shared" si="13"/>
        <v>302000</v>
      </c>
      <c r="BR9" s="70">
        <f t="shared" si="13"/>
        <v>302500</v>
      </c>
      <c r="BS9" s="70">
        <f t="shared" si="13"/>
        <v>303000</v>
      </c>
      <c r="BT9" s="70">
        <f t="shared" si="13"/>
        <v>303500</v>
      </c>
      <c r="BU9" s="70">
        <f t="shared" si="13"/>
        <v>304000</v>
      </c>
      <c r="BV9" s="70">
        <f t="shared" si="13"/>
        <v>304500</v>
      </c>
      <c r="BW9" s="70">
        <f t="shared" si="13"/>
        <v>305000</v>
      </c>
      <c r="BX9" s="70">
        <f t="shared" si="13"/>
        <v>305500</v>
      </c>
      <c r="BY9" s="70">
        <f t="shared" si="13"/>
        <v>306000</v>
      </c>
      <c r="BZ9" s="70">
        <f t="shared" si="13"/>
        <v>306500</v>
      </c>
      <c r="CA9" s="70">
        <f t="shared" si="13"/>
        <v>307000</v>
      </c>
      <c r="CB9" s="70">
        <f t="shared" si="13"/>
        <v>307500</v>
      </c>
      <c r="CC9" s="70">
        <f t="shared" si="13"/>
        <v>308000</v>
      </c>
      <c r="CD9" s="70">
        <f t="shared" si="13"/>
        <v>308500</v>
      </c>
      <c r="CE9" s="70">
        <f t="shared" si="13"/>
        <v>309000</v>
      </c>
      <c r="CF9" s="70">
        <f t="shared" si="13"/>
        <v>309500</v>
      </c>
      <c r="CG9" s="70">
        <f t="shared" si="13"/>
        <v>310000</v>
      </c>
      <c r="CH9" s="70">
        <f t="shared" si="13"/>
        <v>310500</v>
      </c>
      <c r="CI9" s="70">
        <f t="shared" si="13"/>
        <v>311000</v>
      </c>
      <c r="CJ9" s="70">
        <f t="shared" si="13"/>
        <v>311500</v>
      </c>
      <c r="CK9" s="70">
        <f t="shared" si="13"/>
        <v>312000</v>
      </c>
      <c r="CL9" s="70">
        <f t="shared" si="13"/>
        <v>312500</v>
      </c>
      <c r="CM9" s="70">
        <f t="shared" si="13"/>
        <v>313000</v>
      </c>
      <c r="CN9" s="70">
        <f t="shared" ref="CN9:DF9" si="14">CM11</f>
        <v>313500</v>
      </c>
      <c r="CO9" s="70">
        <f t="shared" si="14"/>
        <v>314000</v>
      </c>
      <c r="CP9" s="70">
        <f t="shared" si="14"/>
        <v>314500</v>
      </c>
      <c r="CQ9" s="70">
        <f t="shared" si="14"/>
        <v>315000</v>
      </c>
      <c r="CR9" s="70">
        <f t="shared" si="14"/>
        <v>315500</v>
      </c>
      <c r="CS9" s="70">
        <f t="shared" si="14"/>
        <v>316000</v>
      </c>
      <c r="CT9" s="70">
        <f t="shared" si="14"/>
        <v>316500</v>
      </c>
      <c r="CU9" s="70">
        <f t="shared" si="14"/>
        <v>317000</v>
      </c>
      <c r="CV9" s="70">
        <f t="shared" si="14"/>
        <v>317500</v>
      </c>
      <c r="CW9" s="70">
        <f t="shared" si="14"/>
        <v>318000</v>
      </c>
      <c r="CX9" s="70">
        <f t="shared" si="14"/>
        <v>318500</v>
      </c>
      <c r="CY9" s="70">
        <f t="shared" si="14"/>
        <v>319000</v>
      </c>
      <c r="CZ9" s="70">
        <f t="shared" si="14"/>
        <v>319500</v>
      </c>
      <c r="DA9" s="70">
        <f t="shared" si="14"/>
        <v>320000</v>
      </c>
      <c r="DB9" s="70">
        <f t="shared" si="14"/>
        <v>320500</v>
      </c>
      <c r="DC9" s="70">
        <f t="shared" si="14"/>
        <v>321000</v>
      </c>
      <c r="DD9" s="70">
        <f t="shared" si="14"/>
        <v>321500</v>
      </c>
      <c r="DE9" s="70">
        <f t="shared" si="14"/>
        <v>322000</v>
      </c>
      <c r="DF9" s="70">
        <f t="shared" si="14"/>
        <v>322500</v>
      </c>
    </row>
    <row r="10" spans="1:110">
      <c r="A10" s="75" t="s">
        <v>225</v>
      </c>
      <c r="B10" s="72" t="s">
        <v>82</v>
      </c>
      <c r="C10" s="74">
        <v>6000</v>
      </c>
      <c r="D10" s="74">
        <v>6000</v>
      </c>
      <c r="E10" s="74">
        <v>6000</v>
      </c>
      <c r="F10" s="74">
        <v>3000</v>
      </c>
      <c r="G10" s="74">
        <v>5000</v>
      </c>
      <c r="H10" s="74">
        <v>5000</v>
      </c>
      <c r="I10" s="74">
        <v>5000</v>
      </c>
      <c r="J10" s="74">
        <v>5000</v>
      </c>
      <c r="K10" s="74">
        <v>5000</v>
      </c>
      <c r="L10" s="74">
        <v>5000</v>
      </c>
      <c r="M10" s="74">
        <v>5000</v>
      </c>
      <c r="N10" s="74">
        <v>5000</v>
      </c>
      <c r="O10" s="74">
        <v>2000</v>
      </c>
      <c r="P10" s="74">
        <v>2000</v>
      </c>
      <c r="Q10" s="74">
        <v>2000</v>
      </c>
      <c r="R10" s="74">
        <v>2000</v>
      </c>
      <c r="S10" s="74">
        <v>3000</v>
      </c>
      <c r="T10" s="74">
        <v>3000</v>
      </c>
      <c r="U10" s="74">
        <v>3000</v>
      </c>
      <c r="V10" s="74">
        <v>3000</v>
      </c>
      <c r="W10" s="74">
        <v>3000</v>
      </c>
      <c r="X10" s="74">
        <v>3000</v>
      </c>
      <c r="Y10" s="74">
        <v>5000</v>
      </c>
      <c r="Z10" s="74">
        <v>5000</v>
      </c>
      <c r="AA10" s="74">
        <v>1000</v>
      </c>
      <c r="AB10" s="74">
        <v>2000</v>
      </c>
      <c r="AC10" s="74">
        <v>3000</v>
      </c>
      <c r="AD10" s="74">
        <v>2000</v>
      </c>
      <c r="AE10" s="74">
        <v>2000</v>
      </c>
      <c r="AF10" s="74">
        <v>1000</v>
      </c>
      <c r="AG10" s="74">
        <v>1000</v>
      </c>
      <c r="AH10" s="74">
        <v>1000</v>
      </c>
      <c r="AI10" s="74">
        <v>1000</v>
      </c>
      <c r="AJ10" s="74">
        <v>1000</v>
      </c>
      <c r="AK10" s="74">
        <v>1000</v>
      </c>
      <c r="AL10" s="74">
        <v>1000</v>
      </c>
      <c r="AM10" s="74">
        <v>2000</v>
      </c>
      <c r="AN10" s="74">
        <v>2000</v>
      </c>
      <c r="AO10" s="74">
        <v>2000</v>
      </c>
      <c r="AP10" s="74">
        <v>2000</v>
      </c>
      <c r="AQ10" s="74">
        <v>2000</v>
      </c>
      <c r="AR10" s="74">
        <v>2000</v>
      </c>
      <c r="AS10" s="74">
        <v>2000</v>
      </c>
      <c r="AT10" s="74">
        <v>2000</v>
      </c>
      <c r="AU10" s="74">
        <v>2000</v>
      </c>
      <c r="AV10" s="74">
        <v>2000</v>
      </c>
      <c r="AW10" s="74">
        <v>2000</v>
      </c>
      <c r="AX10" s="74">
        <v>2000</v>
      </c>
      <c r="AY10" s="74">
        <v>1000</v>
      </c>
      <c r="AZ10" s="74">
        <v>1000</v>
      </c>
      <c r="BA10" s="74">
        <v>1000</v>
      </c>
      <c r="BB10" s="74">
        <v>1000</v>
      </c>
      <c r="BC10" s="74">
        <v>1000</v>
      </c>
      <c r="BD10" s="74">
        <v>1000</v>
      </c>
      <c r="BE10" s="74">
        <v>1000</v>
      </c>
      <c r="BF10" s="74">
        <v>1000</v>
      </c>
      <c r="BG10" s="74">
        <v>1000</v>
      </c>
      <c r="BH10" s="74">
        <v>1000</v>
      </c>
      <c r="BI10" s="74">
        <v>1000</v>
      </c>
      <c r="BJ10" s="74">
        <v>1000</v>
      </c>
      <c r="BK10" s="74">
        <v>500</v>
      </c>
      <c r="BL10" s="74">
        <v>500</v>
      </c>
      <c r="BM10" s="74">
        <v>500</v>
      </c>
      <c r="BN10" s="74">
        <v>500</v>
      </c>
      <c r="BO10" s="74">
        <v>500</v>
      </c>
      <c r="BP10" s="74">
        <v>500</v>
      </c>
      <c r="BQ10" s="74">
        <v>500</v>
      </c>
      <c r="BR10" s="74">
        <v>500</v>
      </c>
      <c r="BS10" s="74">
        <v>500</v>
      </c>
      <c r="BT10" s="74">
        <v>500</v>
      </c>
      <c r="BU10" s="74">
        <v>500</v>
      </c>
      <c r="BV10" s="74">
        <v>500</v>
      </c>
      <c r="BW10" s="74">
        <v>500</v>
      </c>
      <c r="BX10" s="74">
        <v>500</v>
      </c>
      <c r="BY10" s="74">
        <v>500</v>
      </c>
      <c r="BZ10" s="74">
        <v>500</v>
      </c>
      <c r="CA10" s="74">
        <v>500</v>
      </c>
      <c r="CB10" s="74">
        <v>500</v>
      </c>
      <c r="CC10" s="74">
        <v>500</v>
      </c>
      <c r="CD10" s="74">
        <v>500</v>
      </c>
      <c r="CE10" s="74">
        <v>500</v>
      </c>
      <c r="CF10" s="74">
        <v>500</v>
      </c>
      <c r="CG10" s="74">
        <v>500</v>
      </c>
      <c r="CH10" s="74">
        <v>500</v>
      </c>
      <c r="CI10" s="74">
        <v>500</v>
      </c>
      <c r="CJ10" s="74">
        <v>500</v>
      </c>
      <c r="CK10" s="74">
        <v>500</v>
      </c>
      <c r="CL10" s="74">
        <v>500</v>
      </c>
      <c r="CM10" s="74">
        <v>500</v>
      </c>
      <c r="CN10" s="74">
        <v>500</v>
      </c>
      <c r="CO10" s="74">
        <v>500</v>
      </c>
      <c r="CP10" s="74">
        <v>500</v>
      </c>
      <c r="CQ10" s="74">
        <v>500</v>
      </c>
      <c r="CR10" s="74">
        <v>500</v>
      </c>
      <c r="CS10" s="74">
        <v>500</v>
      </c>
      <c r="CT10" s="74">
        <v>500</v>
      </c>
      <c r="CU10" s="74">
        <v>500</v>
      </c>
      <c r="CV10" s="74">
        <v>500</v>
      </c>
      <c r="CW10" s="74">
        <v>500</v>
      </c>
      <c r="CX10" s="74">
        <v>500</v>
      </c>
      <c r="CY10" s="74">
        <v>500</v>
      </c>
      <c r="CZ10" s="74">
        <v>500</v>
      </c>
      <c r="DA10" s="74">
        <v>500</v>
      </c>
      <c r="DB10" s="74">
        <v>500</v>
      </c>
      <c r="DC10" s="74">
        <v>500</v>
      </c>
      <c r="DD10" s="74">
        <v>500</v>
      </c>
      <c r="DE10" s="74">
        <v>500</v>
      </c>
      <c r="DF10" s="74">
        <v>500</v>
      </c>
    </row>
    <row r="11" spans="1:110" ht="12.75" thickBot="1">
      <c r="A11" s="66" t="s">
        <v>226</v>
      </c>
      <c r="B11" s="72" t="s">
        <v>82</v>
      </c>
      <c r="C11" s="76">
        <f t="shared" ref="C11:AH11" si="15">SUM(C9:C10)</f>
        <v>186000</v>
      </c>
      <c r="D11" s="76">
        <f t="shared" si="15"/>
        <v>192000</v>
      </c>
      <c r="E11" s="76">
        <f t="shared" si="15"/>
        <v>198000</v>
      </c>
      <c r="F11" s="76">
        <f t="shared" si="15"/>
        <v>201000</v>
      </c>
      <c r="G11" s="76">
        <f t="shared" si="15"/>
        <v>206000</v>
      </c>
      <c r="H11" s="76">
        <f t="shared" si="15"/>
        <v>211000</v>
      </c>
      <c r="I11" s="76">
        <f t="shared" si="15"/>
        <v>216000</v>
      </c>
      <c r="J11" s="76">
        <f t="shared" si="15"/>
        <v>221000</v>
      </c>
      <c r="K11" s="76">
        <f t="shared" si="15"/>
        <v>226000</v>
      </c>
      <c r="L11" s="76">
        <f t="shared" si="15"/>
        <v>231000</v>
      </c>
      <c r="M11" s="76">
        <f t="shared" si="15"/>
        <v>236000</v>
      </c>
      <c r="N11" s="76">
        <f t="shared" si="15"/>
        <v>241000</v>
      </c>
      <c r="O11" s="76">
        <f t="shared" si="15"/>
        <v>220000</v>
      </c>
      <c r="P11" s="76">
        <f t="shared" si="15"/>
        <v>222000</v>
      </c>
      <c r="Q11" s="76">
        <f t="shared" si="15"/>
        <v>224000</v>
      </c>
      <c r="R11" s="76">
        <f t="shared" si="15"/>
        <v>226000</v>
      </c>
      <c r="S11" s="76">
        <f t="shared" si="15"/>
        <v>229000</v>
      </c>
      <c r="T11" s="76">
        <f t="shared" si="15"/>
        <v>232000</v>
      </c>
      <c r="U11" s="76">
        <f t="shared" si="15"/>
        <v>235000</v>
      </c>
      <c r="V11" s="76">
        <f t="shared" si="15"/>
        <v>238000</v>
      </c>
      <c r="W11" s="76">
        <f t="shared" si="15"/>
        <v>241000</v>
      </c>
      <c r="X11" s="76">
        <f t="shared" si="15"/>
        <v>244000</v>
      </c>
      <c r="Y11" s="76">
        <f t="shared" si="15"/>
        <v>249000</v>
      </c>
      <c r="Z11" s="76">
        <f t="shared" si="15"/>
        <v>254000</v>
      </c>
      <c r="AA11" s="76">
        <f t="shared" si="15"/>
        <v>247000</v>
      </c>
      <c r="AB11" s="76">
        <f t="shared" si="15"/>
        <v>249000</v>
      </c>
      <c r="AC11" s="76">
        <f t="shared" si="15"/>
        <v>252000</v>
      </c>
      <c r="AD11" s="76">
        <f t="shared" si="15"/>
        <v>254000</v>
      </c>
      <c r="AE11" s="76">
        <f t="shared" si="15"/>
        <v>256000</v>
      </c>
      <c r="AF11" s="76">
        <f t="shared" si="15"/>
        <v>257000</v>
      </c>
      <c r="AG11" s="76">
        <f t="shared" si="15"/>
        <v>258000</v>
      </c>
      <c r="AH11" s="76">
        <f t="shared" si="15"/>
        <v>259000</v>
      </c>
      <c r="AI11" s="76">
        <f t="shared" ref="AI11:CT11" si="16">SUM(AI9:AI10)</f>
        <v>260000</v>
      </c>
      <c r="AJ11" s="76">
        <f t="shared" si="16"/>
        <v>261000</v>
      </c>
      <c r="AK11" s="76">
        <f t="shared" si="16"/>
        <v>262000</v>
      </c>
      <c r="AL11" s="76">
        <f t="shared" si="16"/>
        <v>263000</v>
      </c>
      <c r="AM11" s="76">
        <f t="shared" si="16"/>
        <v>265000</v>
      </c>
      <c r="AN11" s="76">
        <f t="shared" si="16"/>
        <v>267000</v>
      </c>
      <c r="AO11" s="76">
        <f t="shared" si="16"/>
        <v>269000</v>
      </c>
      <c r="AP11" s="76">
        <f t="shared" si="16"/>
        <v>271000</v>
      </c>
      <c r="AQ11" s="76">
        <f t="shared" si="16"/>
        <v>273000</v>
      </c>
      <c r="AR11" s="76">
        <f t="shared" si="16"/>
        <v>275000</v>
      </c>
      <c r="AS11" s="76">
        <f t="shared" si="16"/>
        <v>277000</v>
      </c>
      <c r="AT11" s="76">
        <f t="shared" si="16"/>
        <v>279000</v>
      </c>
      <c r="AU11" s="76">
        <f t="shared" si="16"/>
        <v>281000</v>
      </c>
      <c r="AV11" s="76">
        <f t="shared" si="16"/>
        <v>283000</v>
      </c>
      <c r="AW11" s="76">
        <f t="shared" si="16"/>
        <v>285000</v>
      </c>
      <c r="AX11" s="76">
        <f t="shared" si="16"/>
        <v>287000</v>
      </c>
      <c r="AY11" s="76">
        <f t="shared" si="16"/>
        <v>288000</v>
      </c>
      <c r="AZ11" s="76">
        <f t="shared" si="16"/>
        <v>289000</v>
      </c>
      <c r="BA11" s="76">
        <f t="shared" si="16"/>
        <v>290000</v>
      </c>
      <c r="BB11" s="76">
        <f t="shared" si="16"/>
        <v>291000</v>
      </c>
      <c r="BC11" s="76">
        <f t="shared" si="16"/>
        <v>292000</v>
      </c>
      <c r="BD11" s="76">
        <f t="shared" si="16"/>
        <v>293000</v>
      </c>
      <c r="BE11" s="76">
        <f t="shared" si="16"/>
        <v>294000</v>
      </c>
      <c r="BF11" s="76">
        <f t="shared" si="16"/>
        <v>295000</v>
      </c>
      <c r="BG11" s="76">
        <f t="shared" si="16"/>
        <v>296000</v>
      </c>
      <c r="BH11" s="76">
        <f t="shared" si="16"/>
        <v>297000</v>
      </c>
      <c r="BI11" s="76">
        <f t="shared" si="16"/>
        <v>298000</v>
      </c>
      <c r="BJ11" s="76">
        <f t="shared" si="16"/>
        <v>299000</v>
      </c>
      <c r="BK11" s="76">
        <f t="shared" si="16"/>
        <v>299500</v>
      </c>
      <c r="BL11" s="76">
        <f t="shared" si="16"/>
        <v>300000</v>
      </c>
      <c r="BM11" s="76">
        <f t="shared" si="16"/>
        <v>300500</v>
      </c>
      <c r="BN11" s="76">
        <f t="shared" si="16"/>
        <v>301000</v>
      </c>
      <c r="BO11" s="76">
        <f t="shared" si="16"/>
        <v>301500</v>
      </c>
      <c r="BP11" s="76">
        <f t="shared" si="16"/>
        <v>302000</v>
      </c>
      <c r="BQ11" s="76">
        <f t="shared" si="16"/>
        <v>302500</v>
      </c>
      <c r="BR11" s="76">
        <f t="shared" si="16"/>
        <v>303000</v>
      </c>
      <c r="BS11" s="76">
        <f t="shared" si="16"/>
        <v>303500</v>
      </c>
      <c r="BT11" s="76">
        <f t="shared" si="16"/>
        <v>304000</v>
      </c>
      <c r="BU11" s="76">
        <f t="shared" si="16"/>
        <v>304500</v>
      </c>
      <c r="BV11" s="76">
        <f t="shared" si="16"/>
        <v>305000</v>
      </c>
      <c r="BW11" s="76">
        <f t="shared" si="16"/>
        <v>305500</v>
      </c>
      <c r="BX11" s="76">
        <f t="shared" si="16"/>
        <v>306000</v>
      </c>
      <c r="BY11" s="76">
        <f t="shared" si="16"/>
        <v>306500</v>
      </c>
      <c r="BZ11" s="76">
        <f t="shared" si="16"/>
        <v>307000</v>
      </c>
      <c r="CA11" s="76">
        <f t="shared" si="16"/>
        <v>307500</v>
      </c>
      <c r="CB11" s="76">
        <f t="shared" si="16"/>
        <v>308000</v>
      </c>
      <c r="CC11" s="76">
        <f t="shared" si="16"/>
        <v>308500</v>
      </c>
      <c r="CD11" s="76">
        <f t="shared" si="16"/>
        <v>309000</v>
      </c>
      <c r="CE11" s="76">
        <f t="shared" si="16"/>
        <v>309500</v>
      </c>
      <c r="CF11" s="76">
        <f t="shared" si="16"/>
        <v>310000</v>
      </c>
      <c r="CG11" s="76">
        <f t="shared" si="16"/>
        <v>310500</v>
      </c>
      <c r="CH11" s="76">
        <f t="shared" si="16"/>
        <v>311000</v>
      </c>
      <c r="CI11" s="76">
        <f t="shared" si="16"/>
        <v>311500</v>
      </c>
      <c r="CJ11" s="76">
        <f t="shared" si="16"/>
        <v>312000</v>
      </c>
      <c r="CK11" s="76">
        <f t="shared" si="16"/>
        <v>312500</v>
      </c>
      <c r="CL11" s="76">
        <f t="shared" si="16"/>
        <v>313000</v>
      </c>
      <c r="CM11" s="76">
        <f t="shared" si="16"/>
        <v>313500</v>
      </c>
      <c r="CN11" s="76">
        <f t="shared" si="16"/>
        <v>314000</v>
      </c>
      <c r="CO11" s="76">
        <f t="shared" si="16"/>
        <v>314500</v>
      </c>
      <c r="CP11" s="76">
        <f t="shared" si="16"/>
        <v>315000</v>
      </c>
      <c r="CQ11" s="76">
        <f t="shared" si="16"/>
        <v>315500</v>
      </c>
      <c r="CR11" s="76">
        <f t="shared" si="16"/>
        <v>316000</v>
      </c>
      <c r="CS11" s="76">
        <f t="shared" si="16"/>
        <v>316500</v>
      </c>
      <c r="CT11" s="76">
        <f t="shared" si="16"/>
        <v>317000</v>
      </c>
      <c r="CU11" s="76">
        <f t="shared" ref="CU11:DF11" si="17">SUM(CU9:CU10)</f>
        <v>317500</v>
      </c>
      <c r="CV11" s="76">
        <f t="shared" si="17"/>
        <v>318000</v>
      </c>
      <c r="CW11" s="76">
        <f t="shared" si="17"/>
        <v>318500</v>
      </c>
      <c r="CX11" s="76">
        <f t="shared" si="17"/>
        <v>319000</v>
      </c>
      <c r="CY11" s="76">
        <f t="shared" si="17"/>
        <v>319500</v>
      </c>
      <c r="CZ11" s="76">
        <f t="shared" si="17"/>
        <v>320000</v>
      </c>
      <c r="DA11" s="76">
        <f t="shared" si="17"/>
        <v>320500</v>
      </c>
      <c r="DB11" s="76">
        <f t="shared" si="17"/>
        <v>321000</v>
      </c>
      <c r="DC11" s="76">
        <f t="shared" si="17"/>
        <v>321500</v>
      </c>
      <c r="DD11" s="76">
        <f t="shared" si="17"/>
        <v>322000</v>
      </c>
      <c r="DE11" s="76">
        <f t="shared" si="17"/>
        <v>322500</v>
      </c>
      <c r="DF11" s="76">
        <f t="shared" si="17"/>
        <v>323000</v>
      </c>
    </row>
    <row r="12" spans="1:110" ht="12.75" thickTop="1">
      <c r="A12" s="75"/>
      <c r="B12" s="7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34"/>
      <c r="S12" s="34"/>
      <c r="T12" s="34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D12" s="43"/>
      <c r="BE12" s="43"/>
      <c r="BF12" s="43"/>
      <c r="BG12" s="43"/>
      <c r="BH12" s="43"/>
      <c r="BI12" s="43"/>
      <c r="BJ12" s="43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  <c r="CA12" s="43"/>
      <c r="CB12" s="43"/>
      <c r="CC12" s="43"/>
      <c r="CD12" s="43"/>
      <c r="CE12" s="43"/>
      <c r="CF12" s="43"/>
      <c r="CG12" s="43"/>
      <c r="CH12" s="43"/>
      <c r="CI12" s="43"/>
      <c r="CJ12" s="43"/>
      <c r="CK12" s="43"/>
      <c r="CL12" s="43"/>
      <c r="CM12" s="43"/>
      <c r="CN12" s="43"/>
      <c r="CO12" s="43"/>
      <c r="CP12" s="43"/>
      <c r="CQ12" s="43"/>
      <c r="CR12" s="43"/>
      <c r="CS12" s="43"/>
      <c r="CT12" s="43"/>
      <c r="CU12" s="43"/>
      <c r="CV12" s="43"/>
      <c r="CW12" s="43"/>
      <c r="CX12" s="43"/>
      <c r="CY12" s="43"/>
      <c r="CZ12" s="43"/>
      <c r="DA12" s="43"/>
      <c r="DB12" s="43"/>
      <c r="DC12" s="43"/>
      <c r="DD12" s="43"/>
      <c r="DE12" s="43"/>
      <c r="DF12" s="43"/>
    </row>
    <row r="13" spans="1:110">
      <c r="A13" s="75" t="s">
        <v>227</v>
      </c>
      <c r="B13" s="72" t="s">
        <v>228</v>
      </c>
      <c r="C13" s="34">
        <v>0.44</v>
      </c>
      <c r="D13" s="34">
        <f>C13</f>
        <v>0.44</v>
      </c>
      <c r="E13" s="34">
        <f>D13</f>
        <v>0.44</v>
      </c>
      <c r="F13" s="34">
        <f>E13</f>
        <v>0.44</v>
      </c>
      <c r="G13" s="34">
        <f>F13</f>
        <v>0.44</v>
      </c>
      <c r="H13" s="34">
        <f>G13</f>
        <v>0.44</v>
      </c>
      <c r="I13" s="34">
        <v>0.44</v>
      </c>
      <c r="J13" s="34">
        <v>0.44</v>
      </c>
      <c r="K13" s="34">
        <v>0.44</v>
      </c>
      <c r="L13" s="34">
        <v>0.44</v>
      </c>
      <c r="M13" s="34">
        <v>0.44</v>
      </c>
      <c r="N13" s="34">
        <v>0.44</v>
      </c>
      <c r="O13" s="34">
        <v>0.38</v>
      </c>
      <c r="P13" s="34">
        <v>0.38</v>
      </c>
      <c r="Q13" s="34">
        <v>0.38</v>
      </c>
      <c r="R13" s="34">
        <v>0.42</v>
      </c>
      <c r="S13" s="34">
        <v>0.42</v>
      </c>
      <c r="T13" s="34">
        <v>0.42</v>
      </c>
      <c r="U13" s="34">
        <v>0.42</v>
      </c>
      <c r="V13" s="34">
        <v>0.42</v>
      </c>
      <c r="W13" s="34">
        <v>0.42</v>
      </c>
      <c r="X13" s="34">
        <v>0.42</v>
      </c>
      <c r="Y13" s="34">
        <v>0.42</v>
      </c>
      <c r="Z13" s="34">
        <v>0.42</v>
      </c>
      <c r="AA13" s="259">
        <v>0.39999999999999997</v>
      </c>
      <c r="AB13" s="259">
        <v>0.39999999999999997</v>
      </c>
      <c r="AC13" s="259">
        <v>0.39999999999999997</v>
      </c>
      <c r="AD13" s="259">
        <v>0.39999999999999997</v>
      </c>
      <c r="AE13" s="259">
        <v>0.39999999999999997</v>
      </c>
      <c r="AF13" s="259">
        <v>0.39999999999999997</v>
      </c>
      <c r="AG13" s="259">
        <v>0.39999999999999997</v>
      </c>
      <c r="AH13" s="259">
        <v>0.39999999999999997</v>
      </c>
      <c r="AI13" s="259">
        <v>0.39999999999999997</v>
      </c>
      <c r="AJ13" s="259">
        <v>0.39999999999999997</v>
      </c>
      <c r="AK13" s="259">
        <v>0.39999999999999997</v>
      </c>
      <c r="AL13" s="259">
        <v>0.39999999999999997</v>
      </c>
      <c r="AM13" s="259">
        <v>0.39999999999999997</v>
      </c>
      <c r="AN13" s="259">
        <v>0.39999999999999997</v>
      </c>
      <c r="AO13" s="259">
        <v>0.39999999999999997</v>
      </c>
      <c r="AP13" s="259">
        <v>0.39999999999999997</v>
      </c>
      <c r="AQ13" s="259">
        <v>0.39999999999999997</v>
      </c>
      <c r="AR13" s="259">
        <v>0.39999999999999997</v>
      </c>
      <c r="AS13" s="259">
        <v>0.39999999999999997</v>
      </c>
      <c r="AT13" s="259">
        <v>0.39999999999999997</v>
      </c>
      <c r="AU13" s="259">
        <v>0.39999999999999997</v>
      </c>
      <c r="AV13" s="259">
        <v>0.39999999999999997</v>
      </c>
      <c r="AW13" s="259">
        <v>0.39999999999999997</v>
      </c>
      <c r="AX13" s="259">
        <v>0.39999999999999997</v>
      </c>
      <c r="AY13" s="259">
        <v>0.43</v>
      </c>
      <c r="AZ13" s="259">
        <v>0.43</v>
      </c>
      <c r="BA13" s="259">
        <v>0.43</v>
      </c>
      <c r="BB13" s="259">
        <v>0.43</v>
      </c>
      <c r="BC13" s="259">
        <v>0.43</v>
      </c>
      <c r="BD13" s="259">
        <v>0.43</v>
      </c>
      <c r="BE13" s="259">
        <v>0.43</v>
      </c>
      <c r="BF13" s="259">
        <v>0.43</v>
      </c>
      <c r="BG13" s="259">
        <v>0.43</v>
      </c>
      <c r="BH13" s="259">
        <v>0.43</v>
      </c>
      <c r="BI13" s="259">
        <v>0.43</v>
      </c>
      <c r="BJ13" s="259">
        <v>0.43</v>
      </c>
      <c r="BK13" s="259">
        <v>0.43</v>
      </c>
      <c r="BL13" s="259">
        <v>0.43</v>
      </c>
      <c r="BM13" s="259">
        <v>0.43</v>
      </c>
      <c r="BN13" s="259">
        <v>0.43</v>
      </c>
      <c r="BO13" s="259">
        <v>0.43</v>
      </c>
      <c r="BP13" s="259">
        <v>0.43</v>
      </c>
      <c r="BQ13" s="259">
        <v>0.43</v>
      </c>
      <c r="BR13" s="259">
        <v>0.43</v>
      </c>
      <c r="BS13" s="259">
        <v>0.43</v>
      </c>
      <c r="BT13" s="259">
        <v>0.43</v>
      </c>
      <c r="BU13" s="259">
        <v>0.43</v>
      </c>
      <c r="BV13" s="259">
        <v>0.43</v>
      </c>
      <c r="BW13" s="259">
        <v>0.43</v>
      </c>
      <c r="BX13" s="259">
        <v>0.43</v>
      </c>
      <c r="BY13" s="259">
        <v>0.43</v>
      </c>
      <c r="BZ13" s="259">
        <v>0.43</v>
      </c>
      <c r="CA13" s="259">
        <v>0.43</v>
      </c>
      <c r="CB13" s="259">
        <v>0.43</v>
      </c>
      <c r="CC13" s="259">
        <v>0.43</v>
      </c>
      <c r="CD13" s="259">
        <v>0.43</v>
      </c>
      <c r="CE13" s="259">
        <v>0.43</v>
      </c>
      <c r="CF13" s="259">
        <v>0.435</v>
      </c>
      <c r="CG13" s="259">
        <v>0.435</v>
      </c>
      <c r="CH13" s="259">
        <v>0.435</v>
      </c>
      <c r="CI13" s="259">
        <v>0.435</v>
      </c>
      <c r="CJ13" s="259">
        <v>0.435</v>
      </c>
      <c r="CK13" s="259">
        <v>0.435</v>
      </c>
      <c r="CL13" s="259">
        <v>0.435</v>
      </c>
      <c r="CM13" s="259">
        <v>0.435</v>
      </c>
      <c r="CN13" s="259">
        <v>0.435</v>
      </c>
      <c r="CO13" s="259">
        <v>0.435</v>
      </c>
      <c r="CP13" s="259">
        <v>0.435</v>
      </c>
      <c r="CQ13" s="259">
        <v>0.435</v>
      </c>
      <c r="CR13" s="259">
        <v>0.435</v>
      </c>
      <c r="CS13" s="259">
        <v>0.435</v>
      </c>
      <c r="CT13" s="259">
        <v>0.435</v>
      </c>
      <c r="CU13" s="259">
        <v>0.435</v>
      </c>
      <c r="CV13" s="259">
        <v>0.435</v>
      </c>
      <c r="CW13" s="259">
        <v>0.435</v>
      </c>
      <c r="CX13" s="259">
        <v>0.435</v>
      </c>
      <c r="CY13" s="259">
        <v>0.435</v>
      </c>
      <c r="CZ13" s="259">
        <v>0.435</v>
      </c>
      <c r="DA13" s="259">
        <v>0.435</v>
      </c>
      <c r="DB13" s="259">
        <v>0.435</v>
      </c>
      <c r="DC13" s="259">
        <v>0.435</v>
      </c>
      <c r="DD13" s="259">
        <v>0.435</v>
      </c>
      <c r="DE13" s="259">
        <v>0.435</v>
      </c>
      <c r="DF13" s="259">
        <v>0.435</v>
      </c>
    </row>
    <row r="14" spans="1:110">
      <c r="A14" s="75" t="s">
        <v>229</v>
      </c>
      <c r="B14" s="72" t="s">
        <v>230</v>
      </c>
      <c r="C14" s="34">
        <f t="shared" ref="C14:BN14" si="18">(C13/$B$22)*1000</f>
        <v>97.777777777777786</v>
      </c>
      <c r="D14" s="34">
        <f t="shared" si="18"/>
        <v>97.777777777777786</v>
      </c>
      <c r="E14" s="34">
        <f t="shared" si="18"/>
        <v>97.777777777777786</v>
      </c>
      <c r="F14" s="34">
        <f t="shared" si="18"/>
        <v>97.777777777777786</v>
      </c>
      <c r="G14" s="34">
        <f t="shared" si="18"/>
        <v>97.777777777777786</v>
      </c>
      <c r="H14" s="34">
        <f t="shared" si="18"/>
        <v>97.777777777777786</v>
      </c>
      <c r="I14" s="34">
        <f t="shared" si="18"/>
        <v>97.777777777777786</v>
      </c>
      <c r="J14" s="34">
        <f t="shared" si="18"/>
        <v>97.777777777777786</v>
      </c>
      <c r="K14" s="34">
        <f t="shared" si="18"/>
        <v>97.777777777777786</v>
      </c>
      <c r="L14" s="34">
        <f t="shared" si="18"/>
        <v>97.777777777777786</v>
      </c>
      <c r="M14" s="34">
        <f t="shared" si="18"/>
        <v>97.777777777777786</v>
      </c>
      <c r="N14" s="34">
        <f t="shared" si="18"/>
        <v>97.777777777777786</v>
      </c>
      <c r="O14" s="34">
        <f t="shared" si="18"/>
        <v>84.444444444444443</v>
      </c>
      <c r="P14" s="34">
        <f t="shared" si="18"/>
        <v>84.444444444444443</v>
      </c>
      <c r="Q14" s="34">
        <f t="shared" si="18"/>
        <v>84.444444444444443</v>
      </c>
      <c r="R14" s="34">
        <f t="shared" si="18"/>
        <v>93.333333333333329</v>
      </c>
      <c r="S14" s="34">
        <f t="shared" si="18"/>
        <v>93.333333333333329</v>
      </c>
      <c r="T14" s="34">
        <f t="shared" si="18"/>
        <v>93.333333333333329</v>
      </c>
      <c r="U14" s="34">
        <f t="shared" si="18"/>
        <v>93.333333333333329</v>
      </c>
      <c r="V14" s="34">
        <f t="shared" si="18"/>
        <v>93.333333333333329</v>
      </c>
      <c r="W14" s="34">
        <f t="shared" si="18"/>
        <v>93.333333333333329</v>
      </c>
      <c r="X14" s="34">
        <f t="shared" si="18"/>
        <v>93.333333333333329</v>
      </c>
      <c r="Y14" s="34">
        <f t="shared" si="18"/>
        <v>93.333333333333329</v>
      </c>
      <c r="Z14" s="34">
        <f t="shared" si="18"/>
        <v>93.333333333333329</v>
      </c>
      <c r="AA14" s="34">
        <f t="shared" si="18"/>
        <v>88.888888888888872</v>
      </c>
      <c r="AB14" s="34">
        <f t="shared" si="18"/>
        <v>88.888888888888872</v>
      </c>
      <c r="AC14" s="34">
        <f t="shared" si="18"/>
        <v>88.888888888888872</v>
      </c>
      <c r="AD14" s="34">
        <f t="shared" si="18"/>
        <v>88.888888888888872</v>
      </c>
      <c r="AE14" s="34">
        <f t="shared" si="18"/>
        <v>88.888888888888872</v>
      </c>
      <c r="AF14" s="34">
        <f t="shared" si="18"/>
        <v>88.888888888888872</v>
      </c>
      <c r="AG14" s="34">
        <f t="shared" si="18"/>
        <v>88.888888888888872</v>
      </c>
      <c r="AH14" s="34">
        <f t="shared" si="18"/>
        <v>88.888888888888872</v>
      </c>
      <c r="AI14" s="34">
        <f t="shared" si="18"/>
        <v>88.888888888888872</v>
      </c>
      <c r="AJ14" s="34">
        <f t="shared" si="18"/>
        <v>88.888888888888872</v>
      </c>
      <c r="AK14" s="34">
        <f t="shared" si="18"/>
        <v>88.888888888888872</v>
      </c>
      <c r="AL14" s="34">
        <f t="shared" si="18"/>
        <v>88.888888888888872</v>
      </c>
      <c r="AM14" s="34">
        <f t="shared" si="18"/>
        <v>88.888888888888872</v>
      </c>
      <c r="AN14" s="34">
        <f t="shared" si="18"/>
        <v>88.888888888888872</v>
      </c>
      <c r="AO14" s="34">
        <f t="shared" si="18"/>
        <v>88.888888888888872</v>
      </c>
      <c r="AP14" s="34">
        <f t="shared" si="18"/>
        <v>88.888888888888872</v>
      </c>
      <c r="AQ14" s="34">
        <f t="shared" si="18"/>
        <v>88.888888888888872</v>
      </c>
      <c r="AR14" s="34">
        <f t="shared" si="18"/>
        <v>88.888888888888872</v>
      </c>
      <c r="AS14" s="34">
        <f t="shared" si="18"/>
        <v>88.888888888888872</v>
      </c>
      <c r="AT14" s="34">
        <f t="shared" si="18"/>
        <v>88.888888888888872</v>
      </c>
      <c r="AU14" s="34">
        <f t="shared" si="18"/>
        <v>88.888888888888872</v>
      </c>
      <c r="AV14" s="34">
        <f t="shared" si="18"/>
        <v>88.888888888888872</v>
      </c>
      <c r="AW14" s="34">
        <f t="shared" si="18"/>
        <v>88.888888888888872</v>
      </c>
      <c r="AX14" s="34">
        <f t="shared" si="18"/>
        <v>88.888888888888872</v>
      </c>
      <c r="AY14" s="34">
        <f t="shared" si="18"/>
        <v>95.555555555555557</v>
      </c>
      <c r="AZ14" s="34">
        <f t="shared" si="18"/>
        <v>95.555555555555557</v>
      </c>
      <c r="BA14" s="34">
        <f t="shared" si="18"/>
        <v>95.555555555555557</v>
      </c>
      <c r="BB14" s="34">
        <f t="shared" si="18"/>
        <v>95.555555555555557</v>
      </c>
      <c r="BC14" s="34">
        <f t="shared" si="18"/>
        <v>95.555555555555557</v>
      </c>
      <c r="BD14" s="34">
        <f t="shared" si="18"/>
        <v>95.555555555555557</v>
      </c>
      <c r="BE14" s="34">
        <f t="shared" si="18"/>
        <v>95.555555555555557</v>
      </c>
      <c r="BF14" s="34">
        <f t="shared" si="18"/>
        <v>95.555555555555557</v>
      </c>
      <c r="BG14" s="34">
        <f t="shared" si="18"/>
        <v>95.555555555555557</v>
      </c>
      <c r="BH14" s="34">
        <f t="shared" si="18"/>
        <v>95.555555555555557</v>
      </c>
      <c r="BI14" s="34">
        <f t="shared" si="18"/>
        <v>95.555555555555557</v>
      </c>
      <c r="BJ14" s="34">
        <f t="shared" si="18"/>
        <v>95.555555555555557</v>
      </c>
      <c r="BK14" s="34">
        <f t="shared" si="18"/>
        <v>95.555555555555557</v>
      </c>
      <c r="BL14" s="34">
        <f t="shared" si="18"/>
        <v>95.555555555555557</v>
      </c>
      <c r="BM14" s="34">
        <f t="shared" si="18"/>
        <v>95.555555555555557</v>
      </c>
      <c r="BN14" s="34">
        <f t="shared" si="18"/>
        <v>95.555555555555557</v>
      </c>
      <c r="BO14" s="34">
        <f t="shared" ref="BO14:DF14" si="19">(BO13/$B$22)*1000</f>
        <v>95.555555555555557</v>
      </c>
      <c r="BP14" s="34">
        <f t="shared" si="19"/>
        <v>95.555555555555557</v>
      </c>
      <c r="BQ14" s="34">
        <f t="shared" si="19"/>
        <v>95.555555555555557</v>
      </c>
      <c r="BR14" s="34">
        <f t="shared" si="19"/>
        <v>95.555555555555557</v>
      </c>
      <c r="BS14" s="34">
        <f t="shared" si="19"/>
        <v>95.555555555555557</v>
      </c>
      <c r="BT14" s="34">
        <f t="shared" si="19"/>
        <v>95.555555555555557</v>
      </c>
      <c r="BU14" s="34">
        <f t="shared" si="19"/>
        <v>95.555555555555557</v>
      </c>
      <c r="BV14" s="34">
        <f t="shared" si="19"/>
        <v>95.555555555555557</v>
      </c>
      <c r="BW14" s="34">
        <f t="shared" si="19"/>
        <v>95.555555555555557</v>
      </c>
      <c r="BX14" s="34">
        <f t="shared" si="19"/>
        <v>95.555555555555557</v>
      </c>
      <c r="BY14" s="34">
        <f t="shared" si="19"/>
        <v>95.555555555555557</v>
      </c>
      <c r="BZ14" s="34">
        <f t="shared" si="19"/>
        <v>95.555555555555557</v>
      </c>
      <c r="CA14" s="34">
        <f t="shared" si="19"/>
        <v>95.555555555555557</v>
      </c>
      <c r="CB14" s="34">
        <f t="shared" si="19"/>
        <v>95.555555555555557</v>
      </c>
      <c r="CC14" s="34">
        <f t="shared" si="19"/>
        <v>95.555555555555557</v>
      </c>
      <c r="CD14" s="34">
        <f t="shared" si="19"/>
        <v>95.555555555555557</v>
      </c>
      <c r="CE14" s="34">
        <f t="shared" si="19"/>
        <v>95.555555555555557</v>
      </c>
      <c r="CF14" s="34">
        <f t="shared" si="19"/>
        <v>96.666666666666671</v>
      </c>
      <c r="CG14" s="34">
        <f t="shared" si="19"/>
        <v>96.666666666666671</v>
      </c>
      <c r="CH14" s="34">
        <f t="shared" si="19"/>
        <v>96.666666666666671</v>
      </c>
      <c r="CI14" s="34">
        <f t="shared" si="19"/>
        <v>96.666666666666671</v>
      </c>
      <c r="CJ14" s="34">
        <f t="shared" si="19"/>
        <v>96.666666666666671</v>
      </c>
      <c r="CK14" s="34">
        <f t="shared" si="19"/>
        <v>96.666666666666671</v>
      </c>
      <c r="CL14" s="34">
        <f t="shared" si="19"/>
        <v>96.666666666666671</v>
      </c>
      <c r="CM14" s="34">
        <f t="shared" si="19"/>
        <v>96.666666666666671</v>
      </c>
      <c r="CN14" s="34">
        <f t="shared" si="19"/>
        <v>96.666666666666671</v>
      </c>
      <c r="CO14" s="34">
        <f t="shared" si="19"/>
        <v>96.666666666666671</v>
      </c>
      <c r="CP14" s="34">
        <f t="shared" si="19"/>
        <v>96.666666666666671</v>
      </c>
      <c r="CQ14" s="34">
        <f t="shared" si="19"/>
        <v>96.666666666666671</v>
      </c>
      <c r="CR14" s="34">
        <f t="shared" si="19"/>
        <v>96.666666666666671</v>
      </c>
      <c r="CS14" s="34">
        <f t="shared" si="19"/>
        <v>96.666666666666671</v>
      </c>
      <c r="CT14" s="34">
        <f t="shared" si="19"/>
        <v>96.666666666666671</v>
      </c>
      <c r="CU14" s="34">
        <f t="shared" si="19"/>
        <v>96.666666666666671</v>
      </c>
      <c r="CV14" s="34">
        <f t="shared" si="19"/>
        <v>96.666666666666671</v>
      </c>
      <c r="CW14" s="34">
        <f t="shared" si="19"/>
        <v>96.666666666666671</v>
      </c>
      <c r="CX14" s="34">
        <f t="shared" si="19"/>
        <v>96.666666666666671</v>
      </c>
      <c r="CY14" s="34">
        <f t="shared" si="19"/>
        <v>96.666666666666671</v>
      </c>
      <c r="CZ14" s="34">
        <f t="shared" si="19"/>
        <v>96.666666666666671</v>
      </c>
      <c r="DA14" s="34">
        <f t="shared" si="19"/>
        <v>96.666666666666671</v>
      </c>
      <c r="DB14" s="34">
        <f t="shared" si="19"/>
        <v>96.666666666666671</v>
      </c>
      <c r="DC14" s="34">
        <f t="shared" si="19"/>
        <v>96.666666666666671</v>
      </c>
      <c r="DD14" s="34">
        <f t="shared" si="19"/>
        <v>96.666666666666671</v>
      </c>
      <c r="DE14" s="34">
        <f t="shared" si="19"/>
        <v>96.666666666666671</v>
      </c>
      <c r="DF14" s="34">
        <f t="shared" si="19"/>
        <v>96.666666666666671</v>
      </c>
    </row>
    <row r="15" spans="1:110">
      <c r="A15" s="75" t="s">
        <v>231</v>
      </c>
      <c r="B15" s="72" t="s">
        <v>228</v>
      </c>
      <c r="C15" s="77">
        <f t="shared" ref="C15:BN15" si="20">C11*C13</f>
        <v>81840</v>
      </c>
      <c r="D15" s="77">
        <f t="shared" si="20"/>
        <v>84480</v>
      </c>
      <c r="E15" s="77">
        <f t="shared" si="20"/>
        <v>87120</v>
      </c>
      <c r="F15" s="77">
        <f t="shared" si="20"/>
        <v>88440</v>
      </c>
      <c r="G15" s="77">
        <f t="shared" si="20"/>
        <v>90640</v>
      </c>
      <c r="H15" s="77">
        <f t="shared" si="20"/>
        <v>92840</v>
      </c>
      <c r="I15" s="77">
        <f t="shared" si="20"/>
        <v>95040</v>
      </c>
      <c r="J15" s="77">
        <f t="shared" si="20"/>
        <v>97240</v>
      </c>
      <c r="K15" s="77">
        <f t="shared" si="20"/>
        <v>99440</v>
      </c>
      <c r="L15" s="77">
        <f t="shared" si="20"/>
        <v>101640</v>
      </c>
      <c r="M15" s="77">
        <f t="shared" si="20"/>
        <v>103840</v>
      </c>
      <c r="N15" s="77">
        <f t="shared" si="20"/>
        <v>106040</v>
      </c>
      <c r="O15" s="77">
        <f t="shared" si="20"/>
        <v>83600</v>
      </c>
      <c r="P15" s="77">
        <f t="shared" si="20"/>
        <v>84360</v>
      </c>
      <c r="Q15" s="77">
        <f t="shared" si="20"/>
        <v>85120</v>
      </c>
      <c r="R15" s="77">
        <f t="shared" si="20"/>
        <v>94920</v>
      </c>
      <c r="S15" s="77">
        <f t="shared" si="20"/>
        <v>96180</v>
      </c>
      <c r="T15" s="77">
        <f t="shared" si="20"/>
        <v>97440</v>
      </c>
      <c r="U15" s="77">
        <f t="shared" si="20"/>
        <v>98700</v>
      </c>
      <c r="V15" s="77">
        <f t="shared" si="20"/>
        <v>99960</v>
      </c>
      <c r="W15" s="77">
        <f t="shared" si="20"/>
        <v>101220</v>
      </c>
      <c r="X15" s="77">
        <f t="shared" si="20"/>
        <v>102480</v>
      </c>
      <c r="Y15" s="77">
        <f t="shared" si="20"/>
        <v>104580</v>
      </c>
      <c r="Z15" s="77">
        <f t="shared" si="20"/>
        <v>106680</v>
      </c>
      <c r="AA15" s="77">
        <f t="shared" si="20"/>
        <v>98799.999999999985</v>
      </c>
      <c r="AB15" s="77">
        <f t="shared" si="20"/>
        <v>99599.999999999985</v>
      </c>
      <c r="AC15" s="77">
        <f t="shared" si="20"/>
        <v>100799.99999999999</v>
      </c>
      <c r="AD15" s="77">
        <f t="shared" si="20"/>
        <v>101599.99999999999</v>
      </c>
      <c r="AE15" s="77">
        <f t="shared" si="20"/>
        <v>102399.99999999999</v>
      </c>
      <c r="AF15" s="77">
        <f t="shared" si="20"/>
        <v>102799.99999999999</v>
      </c>
      <c r="AG15" s="77">
        <f t="shared" si="20"/>
        <v>103199.99999999999</v>
      </c>
      <c r="AH15" s="77">
        <f t="shared" si="20"/>
        <v>103599.99999999999</v>
      </c>
      <c r="AI15" s="77">
        <f t="shared" si="20"/>
        <v>103999.99999999999</v>
      </c>
      <c r="AJ15" s="77">
        <f t="shared" si="20"/>
        <v>104399.99999999999</v>
      </c>
      <c r="AK15" s="77">
        <f t="shared" si="20"/>
        <v>104799.99999999999</v>
      </c>
      <c r="AL15" s="77">
        <f t="shared" si="20"/>
        <v>105199.99999999999</v>
      </c>
      <c r="AM15" s="77">
        <f t="shared" si="20"/>
        <v>105999.99999999999</v>
      </c>
      <c r="AN15" s="77">
        <f t="shared" si="20"/>
        <v>106799.99999999999</v>
      </c>
      <c r="AO15" s="77">
        <f t="shared" si="20"/>
        <v>107599.99999999999</v>
      </c>
      <c r="AP15" s="77">
        <f t="shared" si="20"/>
        <v>108399.99999999999</v>
      </c>
      <c r="AQ15" s="77">
        <f t="shared" si="20"/>
        <v>109199.99999999999</v>
      </c>
      <c r="AR15" s="77">
        <f t="shared" si="20"/>
        <v>109999.99999999999</v>
      </c>
      <c r="AS15" s="77">
        <f t="shared" si="20"/>
        <v>110799.99999999999</v>
      </c>
      <c r="AT15" s="77">
        <f t="shared" si="20"/>
        <v>111599.99999999999</v>
      </c>
      <c r="AU15" s="77">
        <f t="shared" si="20"/>
        <v>112399.99999999999</v>
      </c>
      <c r="AV15" s="77">
        <f t="shared" si="20"/>
        <v>113199.99999999999</v>
      </c>
      <c r="AW15" s="77">
        <f t="shared" si="20"/>
        <v>113999.99999999999</v>
      </c>
      <c r="AX15" s="77">
        <f t="shared" si="20"/>
        <v>114799.99999999999</v>
      </c>
      <c r="AY15" s="77">
        <f t="shared" si="20"/>
        <v>123840</v>
      </c>
      <c r="AZ15" s="77">
        <f t="shared" si="20"/>
        <v>124270</v>
      </c>
      <c r="BA15" s="77">
        <f t="shared" si="20"/>
        <v>124700</v>
      </c>
      <c r="BB15" s="77">
        <f t="shared" si="20"/>
        <v>125130</v>
      </c>
      <c r="BC15" s="77">
        <f t="shared" si="20"/>
        <v>125560</v>
      </c>
      <c r="BD15" s="77">
        <f t="shared" si="20"/>
        <v>125990</v>
      </c>
      <c r="BE15" s="77">
        <f t="shared" si="20"/>
        <v>126420</v>
      </c>
      <c r="BF15" s="77">
        <f t="shared" si="20"/>
        <v>126850</v>
      </c>
      <c r="BG15" s="77">
        <f t="shared" si="20"/>
        <v>127280</v>
      </c>
      <c r="BH15" s="77">
        <f t="shared" si="20"/>
        <v>127710</v>
      </c>
      <c r="BI15" s="77">
        <f t="shared" si="20"/>
        <v>128140</v>
      </c>
      <c r="BJ15" s="77">
        <f t="shared" si="20"/>
        <v>128570</v>
      </c>
      <c r="BK15" s="77">
        <f t="shared" si="20"/>
        <v>128785</v>
      </c>
      <c r="BL15" s="77">
        <f t="shared" si="20"/>
        <v>129000</v>
      </c>
      <c r="BM15" s="77">
        <f t="shared" si="20"/>
        <v>129215</v>
      </c>
      <c r="BN15" s="77">
        <f t="shared" si="20"/>
        <v>129430</v>
      </c>
      <c r="BO15" s="77">
        <f t="shared" ref="BO15:DF15" si="21">BO11*BO13</f>
        <v>129645</v>
      </c>
      <c r="BP15" s="77">
        <f t="shared" si="21"/>
        <v>129860</v>
      </c>
      <c r="BQ15" s="77">
        <f t="shared" si="21"/>
        <v>130075</v>
      </c>
      <c r="BR15" s="77">
        <f t="shared" si="21"/>
        <v>130290</v>
      </c>
      <c r="BS15" s="77">
        <f t="shared" si="21"/>
        <v>130505</v>
      </c>
      <c r="BT15" s="77">
        <f t="shared" si="21"/>
        <v>130720</v>
      </c>
      <c r="BU15" s="77">
        <f t="shared" si="21"/>
        <v>130935</v>
      </c>
      <c r="BV15" s="77">
        <f t="shared" si="21"/>
        <v>131150</v>
      </c>
      <c r="BW15" s="77">
        <f t="shared" si="21"/>
        <v>131365</v>
      </c>
      <c r="BX15" s="77">
        <f t="shared" si="21"/>
        <v>131580</v>
      </c>
      <c r="BY15" s="77">
        <f t="shared" si="21"/>
        <v>131795</v>
      </c>
      <c r="BZ15" s="77">
        <f t="shared" si="21"/>
        <v>132010</v>
      </c>
      <c r="CA15" s="77">
        <f t="shared" si="21"/>
        <v>132225</v>
      </c>
      <c r="CB15" s="77">
        <f t="shared" si="21"/>
        <v>132440</v>
      </c>
      <c r="CC15" s="77">
        <f t="shared" si="21"/>
        <v>132655</v>
      </c>
      <c r="CD15" s="77">
        <f t="shared" si="21"/>
        <v>132870</v>
      </c>
      <c r="CE15" s="77">
        <f t="shared" si="21"/>
        <v>133085</v>
      </c>
      <c r="CF15" s="77">
        <f t="shared" si="21"/>
        <v>134850</v>
      </c>
      <c r="CG15" s="77">
        <f t="shared" si="21"/>
        <v>135067.5</v>
      </c>
      <c r="CH15" s="77">
        <f t="shared" si="21"/>
        <v>135285</v>
      </c>
      <c r="CI15" s="77">
        <f t="shared" si="21"/>
        <v>135502.5</v>
      </c>
      <c r="CJ15" s="77">
        <f t="shared" si="21"/>
        <v>135720</v>
      </c>
      <c r="CK15" s="77">
        <f t="shared" si="21"/>
        <v>135937.5</v>
      </c>
      <c r="CL15" s="77">
        <f t="shared" si="21"/>
        <v>136155</v>
      </c>
      <c r="CM15" s="77">
        <f t="shared" si="21"/>
        <v>136372.5</v>
      </c>
      <c r="CN15" s="77">
        <f t="shared" si="21"/>
        <v>136590</v>
      </c>
      <c r="CO15" s="77">
        <f t="shared" si="21"/>
        <v>136807.5</v>
      </c>
      <c r="CP15" s="77">
        <f t="shared" si="21"/>
        <v>137025</v>
      </c>
      <c r="CQ15" s="77">
        <f t="shared" si="21"/>
        <v>137242.5</v>
      </c>
      <c r="CR15" s="77">
        <f t="shared" si="21"/>
        <v>137460</v>
      </c>
      <c r="CS15" s="77">
        <f t="shared" si="21"/>
        <v>137677.5</v>
      </c>
      <c r="CT15" s="77">
        <f t="shared" si="21"/>
        <v>137895</v>
      </c>
      <c r="CU15" s="77">
        <f t="shared" si="21"/>
        <v>138112.5</v>
      </c>
      <c r="CV15" s="77">
        <f t="shared" si="21"/>
        <v>138330</v>
      </c>
      <c r="CW15" s="77">
        <f t="shared" si="21"/>
        <v>138547.5</v>
      </c>
      <c r="CX15" s="77">
        <f t="shared" si="21"/>
        <v>138765</v>
      </c>
      <c r="CY15" s="77">
        <f t="shared" si="21"/>
        <v>138982.5</v>
      </c>
      <c r="CZ15" s="77">
        <f t="shared" si="21"/>
        <v>139200</v>
      </c>
      <c r="DA15" s="77">
        <f t="shared" si="21"/>
        <v>139417.5</v>
      </c>
      <c r="DB15" s="77">
        <f t="shared" si="21"/>
        <v>139635</v>
      </c>
      <c r="DC15" s="77">
        <f t="shared" si="21"/>
        <v>139852.5</v>
      </c>
      <c r="DD15" s="77">
        <f t="shared" si="21"/>
        <v>140070</v>
      </c>
      <c r="DE15" s="77">
        <f t="shared" si="21"/>
        <v>140287.5</v>
      </c>
      <c r="DF15" s="77">
        <f t="shared" si="21"/>
        <v>140505</v>
      </c>
    </row>
    <row r="16" spans="1:110">
      <c r="A16" s="75" t="s">
        <v>232</v>
      </c>
      <c r="B16" s="72" t="s">
        <v>221</v>
      </c>
      <c r="C16" s="34">
        <v>80</v>
      </c>
      <c r="D16" s="34">
        <v>80</v>
      </c>
      <c r="E16" s="34">
        <v>80</v>
      </c>
      <c r="F16" s="34">
        <v>80</v>
      </c>
      <c r="G16" s="34">
        <v>80</v>
      </c>
      <c r="H16" s="34">
        <v>80</v>
      </c>
      <c r="I16" s="34">
        <v>80</v>
      </c>
      <c r="J16" s="34">
        <v>80</v>
      </c>
      <c r="K16" s="34">
        <v>80</v>
      </c>
      <c r="L16" s="34">
        <v>80</v>
      </c>
      <c r="M16" s="34">
        <v>80</v>
      </c>
      <c r="N16" s="34">
        <v>80</v>
      </c>
      <c r="O16" s="34">
        <v>80</v>
      </c>
      <c r="P16" s="34">
        <v>80</v>
      </c>
      <c r="Q16" s="34">
        <v>80</v>
      </c>
      <c r="R16" s="34">
        <v>80</v>
      </c>
      <c r="S16" s="34">
        <v>80</v>
      </c>
      <c r="T16" s="34">
        <v>80</v>
      </c>
      <c r="U16" s="34">
        <v>80</v>
      </c>
      <c r="V16" s="34">
        <v>80</v>
      </c>
      <c r="W16" s="34">
        <v>80</v>
      </c>
      <c r="X16" s="34">
        <v>80</v>
      </c>
      <c r="Y16" s="34">
        <v>80</v>
      </c>
      <c r="Z16" s="34">
        <v>80</v>
      </c>
      <c r="AA16" s="34">
        <v>80</v>
      </c>
      <c r="AB16" s="34">
        <v>80</v>
      </c>
      <c r="AC16" s="34">
        <v>80</v>
      </c>
      <c r="AD16" s="34">
        <v>80</v>
      </c>
      <c r="AE16" s="34">
        <v>80</v>
      </c>
      <c r="AF16" s="34">
        <v>80</v>
      </c>
      <c r="AG16" s="34">
        <v>80</v>
      </c>
      <c r="AH16" s="34">
        <v>80</v>
      </c>
      <c r="AI16" s="34">
        <v>80</v>
      </c>
      <c r="AJ16" s="34">
        <v>80</v>
      </c>
      <c r="AK16" s="34">
        <v>80</v>
      </c>
      <c r="AL16" s="34">
        <v>80</v>
      </c>
      <c r="AM16" s="34">
        <v>80</v>
      </c>
      <c r="AN16" s="34">
        <v>80</v>
      </c>
      <c r="AO16" s="34">
        <v>80</v>
      </c>
      <c r="AP16" s="34">
        <v>80</v>
      </c>
      <c r="AQ16" s="34">
        <v>80</v>
      </c>
      <c r="AR16" s="34">
        <v>80</v>
      </c>
      <c r="AS16" s="34">
        <v>80</v>
      </c>
      <c r="AT16" s="34">
        <v>80</v>
      </c>
      <c r="AU16" s="34">
        <v>80</v>
      </c>
      <c r="AV16" s="34">
        <v>80</v>
      </c>
      <c r="AW16" s="34">
        <v>80</v>
      </c>
      <c r="AX16" s="34">
        <v>80</v>
      </c>
      <c r="AY16" s="34">
        <v>85</v>
      </c>
      <c r="AZ16" s="34">
        <v>85</v>
      </c>
      <c r="BA16" s="34">
        <v>85</v>
      </c>
      <c r="BB16" s="34">
        <v>85</v>
      </c>
      <c r="BC16" s="34">
        <v>85</v>
      </c>
      <c r="BD16" s="34">
        <v>85</v>
      </c>
      <c r="BE16" s="34">
        <v>85</v>
      </c>
      <c r="BF16" s="34">
        <v>85</v>
      </c>
      <c r="BG16" s="34">
        <v>85</v>
      </c>
      <c r="BH16" s="34">
        <v>85</v>
      </c>
      <c r="BI16" s="34">
        <v>85</v>
      </c>
      <c r="BJ16" s="34">
        <v>85</v>
      </c>
      <c r="BK16" s="34">
        <v>85</v>
      </c>
      <c r="BL16" s="34">
        <v>85</v>
      </c>
      <c r="BM16" s="34">
        <v>85</v>
      </c>
      <c r="BN16" s="34">
        <v>85</v>
      </c>
      <c r="BO16" s="34">
        <v>85</v>
      </c>
      <c r="BP16" s="34">
        <v>85</v>
      </c>
      <c r="BQ16" s="34">
        <v>85</v>
      </c>
      <c r="BR16" s="34">
        <v>85</v>
      </c>
      <c r="BS16" s="34">
        <v>85</v>
      </c>
      <c r="BT16" s="34">
        <v>85</v>
      </c>
      <c r="BU16" s="34">
        <v>85</v>
      </c>
      <c r="BV16" s="34">
        <v>85</v>
      </c>
      <c r="BW16" s="34">
        <v>90</v>
      </c>
      <c r="BX16" s="34">
        <v>90</v>
      </c>
      <c r="BY16" s="34">
        <v>90</v>
      </c>
      <c r="BZ16" s="34">
        <v>90</v>
      </c>
      <c r="CA16" s="34">
        <v>90</v>
      </c>
      <c r="CB16" s="34">
        <v>90</v>
      </c>
      <c r="CC16" s="34">
        <v>90</v>
      </c>
      <c r="CD16" s="34">
        <v>90</v>
      </c>
      <c r="CE16" s="34">
        <v>90</v>
      </c>
      <c r="CF16" s="34">
        <v>90</v>
      </c>
      <c r="CG16" s="34">
        <v>90</v>
      </c>
      <c r="CH16" s="34">
        <v>90</v>
      </c>
      <c r="CI16" s="34">
        <v>90</v>
      </c>
      <c r="CJ16" s="34">
        <v>90</v>
      </c>
      <c r="CK16" s="34">
        <v>90</v>
      </c>
      <c r="CL16" s="34">
        <v>90</v>
      </c>
      <c r="CM16" s="34">
        <v>90</v>
      </c>
      <c r="CN16" s="34">
        <v>90</v>
      </c>
      <c r="CO16" s="34">
        <v>90</v>
      </c>
      <c r="CP16" s="34">
        <v>90</v>
      </c>
      <c r="CQ16" s="34">
        <v>90</v>
      </c>
      <c r="CR16" s="34">
        <v>90</v>
      </c>
      <c r="CS16" s="34">
        <v>90</v>
      </c>
      <c r="CT16" s="34">
        <v>90</v>
      </c>
      <c r="CU16" s="34">
        <v>90</v>
      </c>
      <c r="CV16" s="34">
        <v>90</v>
      </c>
      <c r="CW16" s="34">
        <v>90</v>
      </c>
      <c r="CX16" s="34">
        <v>90</v>
      </c>
      <c r="CY16" s="34">
        <v>90</v>
      </c>
      <c r="CZ16" s="34">
        <v>90</v>
      </c>
      <c r="DA16" s="34">
        <v>90</v>
      </c>
      <c r="DB16" s="34">
        <v>90</v>
      </c>
      <c r="DC16" s="34">
        <v>90</v>
      </c>
      <c r="DD16" s="34">
        <v>90</v>
      </c>
      <c r="DE16" s="34">
        <v>90</v>
      </c>
      <c r="DF16" s="34">
        <v>90</v>
      </c>
    </row>
    <row r="17" spans="1:110" ht="12" customHeight="1">
      <c r="A17" s="75" t="s">
        <v>233</v>
      </c>
      <c r="B17" s="72" t="s">
        <v>234</v>
      </c>
      <c r="C17" s="34">
        <f t="shared" ref="C17:BN17" si="22">DAY(C1)</f>
        <v>30</v>
      </c>
      <c r="D17" s="34">
        <f t="shared" si="22"/>
        <v>31</v>
      </c>
      <c r="E17" s="34">
        <f t="shared" si="22"/>
        <v>30</v>
      </c>
      <c r="F17" s="34">
        <f t="shared" si="22"/>
        <v>31</v>
      </c>
      <c r="G17" s="34">
        <f t="shared" si="22"/>
        <v>31</v>
      </c>
      <c r="H17" s="34">
        <f t="shared" si="22"/>
        <v>30</v>
      </c>
      <c r="I17" s="34">
        <f t="shared" si="22"/>
        <v>31</v>
      </c>
      <c r="J17" s="34">
        <f t="shared" si="22"/>
        <v>30</v>
      </c>
      <c r="K17" s="34">
        <f t="shared" si="22"/>
        <v>31</v>
      </c>
      <c r="L17" s="34">
        <f t="shared" si="22"/>
        <v>31</v>
      </c>
      <c r="M17" s="34">
        <f t="shared" si="22"/>
        <v>28</v>
      </c>
      <c r="N17" s="34">
        <f t="shared" si="22"/>
        <v>31</v>
      </c>
      <c r="O17" s="34">
        <f t="shared" si="22"/>
        <v>30</v>
      </c>
      <c r="P17" s="34">
        <f t="shared" si="22"/>
        <v>31</v>
      </c>
      <c r="Q17" s="34">
        <f t="shared" si="22"/>
        <v>30</v>
      </c>
      <c r="R17" s="34">
        <f t="shared" si="22"/>
        <v>31</v>
      </c>
      <c r="S17" s="34">
        <f t="shared" si="22"/>
        <v>31</v>
      </c>
      <c r="T17" s="34">
        <f t="shared" si="22"/>
        <v>30</v>
      </c>
      <c r="U17" s="34">
        <f t="shared" si="22"/>
        <v>31</v>
      </c>
      <c r="V17" s="34">
        <f t="shared" si="22"/>
        <v>30</v>
      </c>
      <c r="W17" s="34">
        <f t="shared" si="22"/>
        <v>31</v>
      </c>
      <c r="X17" s="34">
        <f t="shared" si="22"/>
        <v>31</v>
      </c>
      <c r="Y17" s="34">
        <f t="shared" si="22"/>
        <v>28</v>
      </c>
      <c r="Z17" s="34">
        <f t="shared" si="22"/>
        <v>31</v>
      </c>
      <c r="AA17" s="34">
        <f t="shared" si="22"/>
        <v>30</v>
      </c>
      <c r="AB17" s="34">
        <f t="shared" si="22"/>
        <v>31</v>
      </c>
      <c r="AC17" s="34">
        <f t="shared" si="22"/>
        <v>30</v>
      </c>
      <c r="AD17" s="34">
        <f t="shared" si="22"/>
        <v>31</v>
      </c>
      <c r="AE17" s="34">
        <f t="shared" si="22"/>
        <v>31</v>
      </c>
      <c r="AF17" s="34">
        <f t="shared" si="22"/>
        <v>30</v>
      </c>
      <c r="AG17" s="34">
        <f t="shared" si="22"/>
        <v>31</v>
      </c>
      <c r="AH17" s="34">
        <f t="shared" si="22"/>
        <v>30</v>
      </c>
      <c r="AI17" s="34">
        <f t="shared" si="22"/>
        <v>31</v>
      </c>
      <c r="AJ17" s="34">
        <f t="shared" si="22"/>
        <v>31</v>
      </c>
      <c r="AK17" s="34">
        <f t="shared" si="22"/>
        <v>28</v>
      </c>
      <c r="AL17" s="34">
        <f t="shared" si="22"/>
        <v>31</v>
      </c>
      <c r="AM17" s="34">
        <f t="shared" si="22"/>
        <v>30</v>
      </c>
      <c r="AN17" s="34">
        <f t="shared" si="22"/>
        <v>31</v>
      </c>
      <c r="AO17" s="34">
        <f t="shared" si="22"/>
        <v>30</v>
      </c>
      <c r="AP17" s="34">
        <f t="shared" si="22"/>
        <v>31</v>
      </c>
      <c r="AQ17" s="34">
        <f t="shared" si="22"/>
        <v>31</v>
      </c>
      <c r="AR17" s="34">
        <f t="shared" si="22"/>
        <v>30</v>
      </c>
      <c r="AS17" s="34">
        <f t="shared" si="22"/>
        <v>31</v>
      </c>
      <c r="AT17" s="34">
        <f t="shared" si="22"/>
        <v>30</v>
      </c>
      <c r="AU17" s="34">
        <f t="shared" si="22"/>
        <v>31</v>
      </c>
      <c r="AV17" s="34">
        <f t="shared" si="22"/>
        <v>31</v>
      </c>
      <c r="AW17" s="34">
        <f t="shared" si="22"/>
        <v>29</v>
      </c>
      <c r="AX17" s="34">
        <f t="shared" si="22"/>
        <v>31</v>
      </c>
      <c r="AY17" s="34">
        <f t="shared" si="22"/>
        <v>30</v>
      </c>
      <c r="AZ17" s="34">
        <f t="shared" si="22"/>
        <v>31</v>
      </c>
      <c r="BA17" s="34">
        <f t="shared" si="22"/>
        <v>30</v>
      </c>
      <c r="BB17" s="34">
        <f t="shared" si="22"/>
        <v>31</v>
      </c>
      <c r="BC17" s="34">
        <f t="shared" si="22"/>
        <v>31</v>
      </c>
      <c r="BD17" s="34">
        <f t="shared" si="22"/>
        <v>30</v>
      </c>
      <c r="BE17" s="34">
        <f t="shared" si="22"/>
        <v>31</v>
      </c>
      <c r="BF17" s="34">
        <f t="shared" si="22"/>
        <v>30</v>
      </c>
      <c r="BG17" s="34">
        <f t="shared" si="22"/>
        <v>31</v>
      </c>
      <c r="BH17" s="34">
        <f t="shared" si="22"/>
        <v>31</v>
      </c>
      <c r="BI17" s="34">
        <f t="shared" si="22"/>
        <v>28</v>
      </c>
      <c r="BJ17" s="34">
        <f t="shared" si="22"/>
        <v>31</v>
      </c>
      <c r="BK17" s="34">
        <f t="shared" si="22"/>
        <v>30</v>
      </c>
      <c r="BL17" s="34">
        <f t="shared" si="22"/>
        <v>31</v>
      </c>
      <c r="BM17" s="34">
        <f t="shared" si="22"/>
        <v>30</v>
      </c>
      <c r="BN17" s="34">
        <f t="shared" si="22"/>
        <v>31</v>
      </c>
      <c r="BO17" s="34">
        <f t="shared" ref="BO17:DF17" si="23">DAY(BO1)</f>
        <v>31</v>
      </c>
      <c r="BP17" s="34">
        <f t="shared" si="23"/>
        <v>30</v>
      </c>
      <c r="BQ17" s="34">
        <f t="shared" si="23"/>
        <v>31</v>
      </c>
      <c r="BR17" s="34">
        <f t="shared" si="23"/>
        <v>30</v>
      </c>
      <c r="BS17" s="34">
        <f t="shared" si="23"/>
        <v>31</v>
      </c>
      <c r="BT17" s="34">
        <f t="shared" si="23"/>
        <v>31</v>
      </c>
      <c r="BU17" s="34">
        <f t="shared" si="23"/>
        <v>28</v>
      </c>
      <c r="BV17" s="34">
        <f t="shared" si="23"/>
        <v>31</v>
      </c>
      <c r="BW17" s="34">
        <f t="shared" si="23"/>
        <v>30</v>
      </c>
      <c r="BX17" s="34">
        <f t="shared" si="23"/>
        <v>31</v>
      </c>
      <c r="BY17" s="34">
        <f t="shared" si="23"/>
        <v>30</v>
      </c>
      <c r="BZ17" s="34">
        <f t="shared" si="23"/>
        <v>31</v>
      </c>
      <c r="CA17" s="34">
        <f t="shared" si="23"/>
        <v>31</v>
      </c>
      <c r="CB17" s="34">
        <f t="shared" si="23"/>
        <v>30</v>
      </c>
      <c r="CC17" s="34">
        <f t="shared" si="23"/>
        <v>31</v>
      </c>
      <c r="CD17" s="34">
        <f t="shared" si="23"/>
        <v>30</v>
      </c>
      <c r="CE17" s="34">
        <f t="shared" si="23"/>
        <v>31</v>
      </c>
      <c r="CF17" s="34">
        <f t="shared" si="23"/>
        <v>31</v>
      </c>
      <c r="CG17" s="34">
        <f t="shared" si="23"/>
        <v>28</v>
      </c>
      <c r="CH17" s="34">
        <f t="shared" si="23"/>
        <v>31</v>
      </c>
      <c r="CI17" s="34">
        <f t="shared" si="23"/>
        <v>30</v>
      </c>
      <c r="CJ17" s="34">
        <f t="shared" si="23"/>
        <v>31</v>
      </c>
      <c r="CK17" s="34">
        <f t="shared" si="23"/>
        <v>30</v>
      </c>
      <c r="CL17" s="34">
        <f t="shared" si="23"/>
        <v>31</v>
      </c>
      <c r="CM17" s="34">
        <f t="shared" si="23"/>
        <v>31</v>
      </c>
      <c r="CN17" s="34">
        <f t="shared" si="23"/>
        <v>30</v>
      </c>
      <c r="CO17" s="34">
        <f t="shared" si="23"/>
        <v>31</v>
      </c>
      <c r="CP17" s="34">
        <f t="shared" si="23"/>
        <v>30</v>
      </c>
      <c r="CQ17" s="34">
        <f t="shared" si="23"/>
        <v>31</v>
      </c>
      <c r="CR17" s="34">
        <f t="shared" si="23"/>
        <v>31</v>
      </c>
      <c r="CS17" s="34">
        <f t="shared" si="23"/>
        <v>29</v>
      </c>
      <c r="CT17" s="34">
        <f t="shared" si="23"/>
        <v>31</v>
      </c>
      <c r="CU17" s="34">
        <f t="shared" si="23"/>
        <v>30</v>
      </c>
      <c r="CV17" s="34">
        <f t="shared" si="23"/>
        <v>31</v>
      </c>
      <c r="CW17" s="34">
        <f t="shared" si="23"/>
        <v>30</v>
      </c>
      <c r="CX17" s="34">
        <f t="shared" si="23"/>
        <v>31</v>
      </c>
      <c r="CY17" s="34">
        <f t="shared" si="23"/>
        <v>31</v>
      </c>
      <c r="CZ17" s="34">
        <f t="shared" si="23"/>
        <v>30</v>
      </c>
      <c r="DA17" s="34">
        <f t="shared" si="23"/>
        <v>31</v>
      </c>
      <c r="DB17" s="34">
        <f t="shared" si="23"/>
        <v>30</v>
      </c>
      <c r="DC17" s="34">
        <f t="shared" si="23"/>
        <v>31</v>
      </c>
      <c r="DD17" s="34">
        <f t="shared" si="23"/>
        <v>31</v>
      </c>
      <c r="DE17" s="34">
        <f t="shared" si="23"/>
        <v>28</v>
      </c>
      <c r="DF17" s="34">
        <f t="shared" si="23"/>
        <v>31</v>
      </c>
    </row>
    <row r="18" spans="1:110" ht="12" customHeight="1" thickBot="1">
      <c r="A18" s="66" t="s">
        <v>235</v>
      </c>
      <c r="B18" s="72" t="s">
        <v>236</v>
      </c>
      <c r="C18" s="36">
        <f t="shared" ref="C18:BN18" si="24">C15*C16%*C17</f>
        <v>1964160</v>
      </c>
      <c r="D18" s="36">
        <f t="shared" si="24"/>
        <v>2095104</v>
      </c>
      <c r="E18" s="36">
        <f t="shared" si="24"/>
        <v>2090880</v>
      </c>
      <c r="F18" s="36">
        <f t="shared" si="24"/>
        <v>2193312</v>
      </c>
      <c r="G18" s="36">
        <f t="shared" si="24"/>
        <v>2247872</v>
      </c>
      <c r="H18" s="36">
        <f t="shared" si="24"/>
        <v>2228160</v>
      </c>
      <c r="I18" s="36">
        <f t="shared" si="24"/>
        <v>2356992</v>
      </c>
      <c r="J18" s="36">
        <f t="shared" si="24"/>
        <v>2333760</v>
      </c>
      <c r="K18" s="36">
        <f t="shared" si="24"/>
        <v>2466112</v>
      </c>
      <c r="L18" s="36">
        <f t="shared" si="24"/>
        <v>2520672</v>
      </c>
      <c r="M18" s="36">
        <f t="shared" si="24"/>
        <v>2326016</v>
      </c>
      <c r="N18" s="36">
        <f t="shared" si="24"/>
        <v>2629792</v>
      </c>
      <c r="O18" s="36">
        <f t="shared" si="24"/>
        <v>2006400</v>
      </c>
      <c r="P18" s="36">
        <f t="shared" si="24"/>
        <v>2092128</v>
      </c>
      <c r="Q18" s="36">
        <f t="shared" si="24"/>
        <v>2042880</v>
      </c>
      <c r="R18" s="36">
        <f t="shared" si="24"/>
        <v>2354016</v>
      </c>
      <c r="S18" s="36">
        <f t="shared" si="24"/>
        <v>2385264</v>
      </c>
      <c r="T18" s="36">
        <f t="shared" si="24"/>
        <v>2338560</v>
      </c>
      <c r="U18" s="36">
        <f t="shared" si="24"/>
        <v>2447760</v>
      </c>
      <c r="V18" s="36">
        <f t="shared" si="24"/>
        <v>2399040</v>
      </c>
      <c r="W18" s="36">
        <f t="shared" si="24"/>
        <v>2510256</v>
      </c>
      <c r="X18" s="36">
        <f t="shared" si="24"/>
        <v>2541504</v>
      </c>
      <c r="Y18" s="36">
        <f t="shared" si="24"/>
        <v>2342592</v>
      </c>
      <c r="Z18" s="36">
        <f t="shared" si="24"/>
        <v>2645664</v>
      </c>
      <c r="AA18" s="36">
        <f t="shared" si="24"/>
        <v>2371200</v>
      </c>
      <c r="AB18" s="36">
        <f t="shared" si="24"/>
        <v>2470080</v>
      </c>
      <c r="AC18" s="36">
        <f t="shared" si="24"/>
        <v>2419200</v>
      </c>
      <c r="AD18" s="36">
        <f t="shared" si="24"/>
        <v>2519680</v>
      </c>
      <c r="AE18" s="36">
        <f t="shared" si="24"/>
        <v>2539520</v>
      </c>
      <c r="AF18" s="36">
        <f t="shared" si="24"/>
        <v>2467200</v>
      </c>
      <c r="AG18" s="36">
        <f t="shared" si="24"/>
        <v>2559360</v>
      </c>
      <c r="AH18" s="36">
        <f t="shared" si="24"/>
        <v>2486400</v>
      </c>
      <c r="AI18" s="36">
        <f t="shared" si="24"/>
        <v>2579200</v>
      </c>
      <c r="AJ18" s="36">
        <f t="shared" si="24"/>
        <v>2589120</v>
      </c>
      <c r="AK18" s="36">
        <f t="shared" si="24"/>
        <v>2347520</v>
      </c>
      <c r="AL18" s="36">
        <f t="shared" si="24"/>
        <v>2608960</v>
      </c>
      <c r="AM18" s="36">
        <f t="shared" si="24"/>
        <v>2544000</v>
      </c>
      <c r="AN18" s="36">
        <f t="shared" si="24"/>
        <v>2648640</v>
      </c>
      <c r="AO18" s="36">
        <f t="shared" si="24"/>
        <v>2582400</v>
      </c>
      <c r="AP18" s="36">
        <f t="shared" si="24"/>
        <v>2688320</v>
      </c>
      <c r="AQ18" s="36">
        <f t="shared" si="24"/>
        <v>2708160</v>
      </c>
      <c r="AR18" s="36">
        <f t="shared" si="24"/>
        <v>2640000</v>
      </c>
      <c r="AS18" s="36">
        <f t="shared" si="24"/>
        <v>2747840</v>
      </c>
      <c r="AT18" s="36">
        <f t="shared" si="24"/>
        <v>2678400</v>
      </c>
      <c r="AU18" s="36">
        <f t="shared" si="24"/>
        <v>2787520</v>
      </c>
      <c r="AV18" s="36">
        <f t="shared" si="24"/>
        <v>2807360</v>
      </c>
      <c r="AW18" s="36">
        <f t="shared" si="24"/>
        <v>2644800</v>
      </c>
      <c r="AX18" s="36">
        <f t="shared" si="24"/>
        <v>2847040</v>
      </c>
      <c r="AY18" s="36">
        <f t="shared" si="24"/>
        <v>3157920</v>
      </c>
      <c r="AZ18" s="36">
        <f t="shared" si="24"/>
        <v>3274514.5</v>
      </c>
      <c r="BA18" s="36">
        <f t="shared" si="24"/>
        <v>3179850</v>
      </c>
      <c r="BB18" s="36">
        <f t="shared" si="24"/>
        <v>3297175.5</v>
      </c>
      <c r="BC18" s="36">
        <f t="shared" si="24"/>
        <v>3308506</v>
      </c>
      <c r="BD18" s="36">
        <f t="shared" si="24"/>
        <v>3212745</v>
      </c>
      <c r="BE18" s="36">
        <f t="shared" si="24"/>
        <v>3331167</v>
      </c>
      <c r="BF18" s="36">
        <f t="shared" si="24"/>
        <v>3234675</v>
      </c>
      <c r="BG18" s="36">
        <f t="shared" si="24"/>
        <v>3353828</v>
      </c>
      <c r="BH18" s="36">
        <f t="shared" si="24"/>
        <v>3365158.5</v>
      </c>
      <c r="BI18" s="36">
        <f t="shared" si="24"/>
        <v>3049732</v>
      </c>
      <c r="BJ18" s="36">
        <f t="shared" si="24"/>
        <v>3387819.5</v>
      </c>
      <c r="BK18" s="36">
        <f t="shared" si="24"/>
        <v>3284017.5</v>
      </c>
      <c r="BL18" s="36">
        <f t="shared" si="24"/>
        <v>3399150</v>
      </c>
      <c r="BM18" s="36">
        <f t="shared" si="24"/>
        <v>3294982.5</v>
      </c>
      <c r="BN18" s="36">
        <f t="shared" si="24"/>
        <v>3410480.5</v>
      </c>
      <c r="BO18" s="36">
        <f t="shared" ref="BO18:DF18" si="25">BO15*BO16%*BO17</f>
        <v>3416145.75</v>
      </c>
      <c r="BP18" s="36">
        <f t="shared" si="25"/>
        <v>3311430</v>
      </c>
      <c r="BQ18" s="36">
        <f t="shared" si="25"/>
        <v>3427476.25</v>
      </c>
      <c r="BR18" s="36">
        <f t="shared" si="25"/>
        <v>3322395</v>
      </c>
      <c r="BS18" s="36">
        <f t="shared" si="25"/>
        <v>3438806.75</v>
      </c>
      <c r="BT18" s="36">
        <f t="shared" si="25"/>
        <v>3444472</v>
      </c>
      <c r="BU18" s="36">
        <f t="shared" si="25"/>
        <v>3116253</v>
      </c>
      <c r="BV18" s="36">
        <f t="shared" si="25"/>
        <v>3455802.5</v>
      </c>
      <c r="BW18" s="36">
        <f t="shared" si="25"/>
        <v>3546855</v>
      </c>
      <c r="BX18" s="36">
        <f t="shared" si="25"/>
        <v>3671082</v>
      </c>
      <c r="BY18" s="36">
        <f t="shared" si="25"/>
        <v>3558465</v>
      </c>
      <c r="BZ18" s="36">
        <f t="shared" si="25"/>
        <v>3683079</v>
      </c>
      <c r="CA18" s="36">
        <f t="shared" si="25"/>
        <v>3689077.5</v>
      </c>
      <c r="CB18" s="36">
        <f t="shared" si="25"/>
        <v>3575880</v>
      </c>
      <c r="CC18" s="36">
        <f t="shared" si="25"/>
        <v>3701074.5</v>
      </c>
      <c r="CD18" s="36">
        <f t="shared" si="25"/>
        <v>3587490</v>
      </c>
      <c r="CE18" s="36">
        <f t="shared" si="25"/>
        <v>3713071.5</v>
      </c>
      <c r="CF18" s="36">
        <f t="shared" si="25"/>
        <v>3762315</v>
      </c>
      <c r="CG18" s="36">
        <f t="shared" si="25"/>
        <v>3403701</v>
      </c>
      <c r="CH18" s="36">
        <f t="shared" si="25"/>
        <v>3774451.5</v>
      </c>
      <c r="CI18" s="36">
        <f t="shared" si="25"/>
        <v>3658567.5</v>
      </c>
      <c r="CJ18" s="36">
        <f t="shared" si="25"/>
        <v>3786588</v>
      </c>
      <c r="CK18" s="36">
        <f t="shared" si="25"/>
        <v>3670312.5</v>
      </c>
      <c r="CL18" s="36">
        <f t="shared" si="25"/>
        <v>3798724.5</v>
      </c>
      <c r="CM18" s="36">
        <f t="shared" si="25"/>
        <v>3804792.75</v>
      </c>
      <c r="CN18" s="36">
        <f t="shared" si="25"/>
        <v>3687930</v>
      </c>
      <c r="CO18" s="36">
        <f t="shared" si="25"/>
        <v>3816929.25</v>
      </c>
      <c r="CP18" s="36">
        <f t="shared" si="25"/>
        <v>3699675</v>
      </c>
      <c r="CQ18" s="36">
        <f t="shared" si="25"/>
        <v>3829065.75</v>
      </c>
      <c r="CR18" s="36">
        <f t="shared" si="25"/>
        <v>3835134</v>
      </c>
      <c r="CS18" s="36">
        <f t="shared" si="25"/>
        <v>3593382.75</v>
      </c>
      <c r="CT18" s="36">
        <f t="shared" si="25"/>
        <v>3847270.5</v>
      </c>
      <c r="CU18" s="36">
        <f t="shared" si="25"/>
        <v>3729037.5</v>
      </c>
      <c r="CV18" s="36">
        <f t="shared" si="25"/>
        <v>3859407</v>
      </c>
      <c r="CW18" s="36">
        <f t="shared" si="25"/>
        <v>3740782.5</v>
      </c>
      <c r="CX18" s="36">
        <f t="shared" si="25"/>
        <v>3871543.5</v>
      </c>
      <c r="CY18" s="36">
        <f t="shared" si="25"/>
        <v>3877611.75</v>
      </c>
      <c r="CZ18" s="36">
        <f t="shared" si="25"/>
        <v>3758400</v>
      </c>
      <c r="DA18" s="36">
        <f t="shared" si="25"/>
        <v>3889748.25</v>
      </c>
      <c r="DB18" s="36">
        <f t="shared" si="25"/>
        <v>3770145</v>
      </c>
      <c r="DC18" s="36">
        <f t="shared" si="25"/>
        <v>3901884.75</v>
      </c>
      <c r="DD18" s="36">
        <f t="shared" si="25"/>
        <v>3907953</v>
      </c>
      <c r="DE18" s="36">
        <f t="shared" si="25"/>
        <v>3535245</v>
      </c>
      <c r="DF18" s="36">
        <f t="shared" si="25"/>
        <v>3920089.5</v>
      </c>
    </row>
    <row r="19" spans="1:110" ht="12" customHeight="1" thickTop="1">
      <c r="A19" s="66"/>
      <c r="B19" s="72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</row>
    <row r="20" spans="1:110" ht="12" customHeight="1">
      <c r="A20" s="75" t="s">
        <v>237</v>
      </c>
      <c r="B20" s="78" t="s">
        <v>238</v>
      </c>
      <c r="C20" s="34">
        <v>0</v>
      </c>
      <c r="D20" s="34">
        <v>0</v>
      </c>
      <c r="E20" s="34">
        <v>0</v>
      </c>
      <c r="F20" s="34">
        <v>0</v>
      </c>
      <c r="G20" s="34">
        <v>0</v>
      </c>
      <c r="H20" s="34">
        <v>0</v>
      </c>
      <c r="I20" s="34">
        <v>0</v>
      </c>
      <c r="J20" s="34">
        <v>0</v>
      </c>
      <c r="K20" s="34">
        <v>0</v>
      </c>
      <c r="L20" s="34">
        <v>0</v>
      </c>
      <c r="M20" s="34">
        <v>0</v>
      </c>
      <c r="N20" s="34">
        <v>0</v>
      </c>
      <c r="O20" s="34">
        <v>0</v>
      </c>
      <c r="P20" s="34">
        <v>0</v>
      </c>
      <c r="Q20" s="34">
        <v>0</v>
      </c>
      <c r="R20" s="34">
        <v>0</v>
      </c>
      <c r="S20" s="34">
        <v>0</v>
      </c>
      <c r="T20" s="34">
        <v>0</v>
      </c>
      <c r="U20" s="34">
        <v>0</v>
      </c>
      <c r="V20" s="34">
        <v>0</v>
      </c>
      <c r="W20" s="34">
        <v>0</v>
      </c>
      <c r="X20" s="34">
        <v>0</v>
      </c>
      <c r="Y20" s="34">
        <v>0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0</v>
      </c>
      <c r="AH20" s="34">
        <v>0</v>
      </c>
      <c r="AI20" s="34">
        <v>0</v>
      </c>
      <c r="AJ20" s="34">
        <v>0</v>
      </c>
      <c r="AK20" s="34">
        <v>0</v>
      </c>
      <c r="AL20" s="34">
        <v>0</v>
      </c>
      <c r="AM20" s="34">
        <v>0</v>
      </c>
      <c r="AN20" s="34">
        <v>0</v>
      </c>
      <c r="AO20" s="34">
        <v>0</v>
      </c>
      <c r="AP20" s="34">
        <v>0</v>
      </c>
      <c r="AQ20" s="34">
        <v>0</v>
      </c>
      <c r="AR20" s="34">
        <v>0</v>
      </c>
      <c r="AS20" s="34">
        <v>0</v>
      </c>
      <c r="AT20" s="34">
        <v>0</v>
      </c>
      <c r="AU20" s="34">
        <v>0</v>
      </c>
      <c r="AV20" s="34">
        <v>0</v>
      </c>
      <c r="AW20" s="34">
        <v>0</v>
      </c>
      <c r="AX20" s="34">
        <v>0</v>
      </c>
      <c r="AY20" s="34">
        <v>0</v>
      </c>
      <c r="AZ20" s="34">
        <v>0</v>
      </c>
      <c r="BA20" s="34">
        <v>0</v>
      </c>
      <c r="BB20" s="34">
        <v>0</v>
      </c>
      <c r="BC20" s="34">
        <v>0</v>
      </c>
      <c r="BD20" s="34">
        <v>0</v>
      </c>
      <c r="BE20" s="34">
        <v>0</v>
      </c>
      <c r="BF20" s="34">
        <v>0</v>
      </c>
      <c r="BG20" s="34">
        <v>0</v>
      </c>
      <c r="BH20" s="34">
        <v>0</v>
      </c>
      <c r="BI20" s="34">
        <v>0</v>
      </c>
      <c r="BJ20" s="34">
        <v>0</v>
      </c>
      <c r="BK20" s="34">
        <v>0</v>
      </c>
      <c r="BL20" s="34">
        <v>0</v>
      </c>
      <c r="BM20" s="34">
        <v>0</v>
      </c>
      <c r="BN20" s="34">
        <v>0</v>
      </c>
      <c r="BO20" s="34">
        <v>0</v>
      </c>
      <c r="BP20" s="34">
        <v>0</v>
      </c>
      <c r="BQ20" s="34">
        <v>0</v>
      </c>
      <c r="BR20" s="34">
        <v>0</v>
      </c>
      <c r="BS20" s="34">
        <v>0</v>
      </c>
      <c r="BT20" s="34">
        <v>0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0</v>
      </c>
      <c r="CA20" s="34">
        <v>0</v>
      </c>
      <c r="CB20" s="34">
        <v>0</v>
      </c>
      <c r="CC20" s="34">
        <v>0</v>
      </c>
      <c r="CD20" s="34">
        <v>0</v>
      </c>
      <c r="CE20" s="34">
        <v>0</v>
      </c>
      <c r="CF20" s="34">
        <v>0</v>
      </c>
      <c r="CG20" s="34">
        <v>0</v>
      </c>
      <c r="CH20" s="34">
        <v>0</v>
      </c>
      <c r="CI20" s="34">
        <v>0</v>
      </c>
      <c r="CJ20" s="34">
        <v>0</v>
      </c>
      <c r="CK20" s="34">
        <v>0</v>
      </c>
      <c r="CL20" s="34">
        <v>0</v>
      </c>
      <c r="CM20" s="34">
        <v>0</v>
      </c>
      <c r="CN20" s="34">
        <v>0</v>
      </c>
      <c r="CO20" s="34">
        <v>0</v>
      </c>
      <c r="CP20" s="34">
        <v>0</v>
      </c>
      <c r="CQ20" s="34">
        <v>0</v>
      </c>
      <c r="CR20" s="34">
        <v>0</v>
      </c>
      <c r="CS20" s="34">
        <v>0</v>
      </c>
      <c r="CT20" s="34">
        <v>0</v>
      </c>
      <c r="CU20" s="34">
        <v>0</v>
      </c>
      <c r="CV20" s="34">
        <v>0</v>
      </c>
      <c r="CW20" s="34">
        <v>0</v>
      </c>
      <c r="CX20" s="34">
        <v>0</v>
      </c>
      <c r="CY20" s="34">
        <v>0</v>
      </c>
      <c r="CZ20" s="34">
        <v>0</v>
      </c>
      <c r="DA20" s="34">
        <v>0</v>
      </c>
      <c r="DB20" s="34">
        <v>0</v>
      </c>
      <c r="DC20" s="34">
        <v>0</v>
      </c>
      <c r="DD20" s="34">
        <v>0</v>
      </c>
      <c r="DE20" s="34">
        <v>0</v>
      </c>
      <c r="DF20" s="34">
        <v>0</v>
      </c>
    </row>
    <row r="21" spans="1:110" ht="12" customHeight="1">
      <c r="A21" s="75" t="s">
        <v>239</v>
      </c>
      <c r="B21" s="78" t="s">
        <v>238</v>
      </c>
      <c r="C21" s="34">
        <v>0</v>
      </c>
      <c r="D21" s="34">
        <v>0</v>
      </c>
      <c r="E21" s="34">
        <v>0</v>
      </c>
      <c r="F21" s="34">
        <v>0</v>
      </c>
      <c r="G21" s="34">
        <v>0</v>
      </c>
      <c r="H21" s="34">
        <v>0</v>
      </c>
      <c r="I21" s="34">
        <v>358753.41253815009</v>
      </c>
      <c r="J21" s="34">
        <f t="shared" ref="J21:T21" si="26">I21</f>
        <v>358753.41253815009</v>
      </c>
      <c r="K21" s="34">
        <f t="shared" si="26"/>
        <v>358753.41253815009</v>
      </c>
      <c r="L21" s="34">
        <f t="shared" si="26"/>
        <v>358753.41253815009</v>
      </c>
      <c r="M21" s="34">
        <f t="shared" si="26"/>
        <v>358753.41253815009</v>
      </c>
      <c r="N21" s="34">
        <f t="shared" si="26"/>
        <v>358753.41253815009</v>
      </c>
      <c r="O21" s="34">
        <f t="shared" si="26"/>
        <v>358753.41253815009</v>
      </c>
      <c r="P21" s="34">
        <f t="shared" si="26"/>
        <v>358753.41253815009</v>
      </c>
      <c r="Q21" s="34">
        <f t="shared" si="26"/>
        <v>358753.41253815009</v>
      </c>
      <c r="R21" s="34">
        <f t="shared" si="26"/>
        <v>358753.41253815009</v>
      </c>
      <c r="S21" s="34">
        <f t="shared" si="26"/>
        <v>358753.41253815009</v>
      </c>
      <c r="T21" s="34">
        <f t="shared" si="26"/>
        <v>358753.41253815009</v>
      </c>
      <c r="U21" s="34">
        <v>373743.76179660228</v>
      </c>
      <c r="V21" s="34">
        <f t="shared" ref="V21:AF21" si="27">U21</f>
        <v>373743.76179660228</v>
      </c>
      <c r="W21" s="34">
        <f t="shared" si="27"/>
        <v>373743.76179660228</v>
      </c>
      <c r="X21" s="34">
        <f t="shared" si="27"/>
        <v>373743.76179660228</v>
      </c>
      <c r="Y21" s="34">
        <f t="shared" si="27"/>
        <v>373743.76179660228</v>
      </c>
      <c r="Z21" s="34">
        <f t="shared" si="27"/>
        <v>373743.76179660228</v>
      </c>
      <c r="AA21" s="34">
        <f t="shared" si="27"/>
        <v>373743.76179660228</v>
      </c>
      <c r="AB21" s="34">
        <f t="shared" si="27"/>
        <v>373743.76179660228</v>
      </c>
      <c r="AC21" s="34">
        <f t="shared" si="27"/>
        <v>373743.76179660228</v>
      </c>
      <c r="AD21" s="34">
        <f t="shared" si="27"/>
        <v>373743.76179660228</v>
      </c>
      <c r="AE21" s="34">
        <f t="shared" si="27"/>
        <v>373743.76179660228</v>
      </c>
      <c r="AF21" s="34">
        <f t="shared" si="27"/>
        <v>373743.76179660228</v>
      </c>
      <c r="AG21" s="34">
        <v>394201.23373080947</v>
      </c>
      <c r="AH21" s="34">
        <f t="shared" ref="AH21:AR21" si="28">AG21</f>
        <v>394201.23373080947</v>
      </c>
      <c r="AI21" s="34">
        <f t="shared" si="28"/>
        <v>394201.23373080947</v>
      </c>
      <c r="AJ21" s="34">
        <f t="shared" si="28"/>
        <v>394201.23373080947</v>
      </c>
      <c r="AK21" s="34">
        <f t="shared" si="28"/>
        <v>394201.23373080947</v>
      </c>
      <c r="AL21" s="34">
        <f t="shared" si="28"/>
        <v>394201.23373080947</v>
      </c>
      <c r="AM21" s="34">
        <f t="shared" si="28"/>
        <v>394201.23373080947</v>
      </c>
      <c r="AN21" s="34">
        <f t="shared" si="28"/>
        <v>394201.23373080947</v>
      </c>
      <c r="AO21" s="34">
        <f t="shared" si="28"/>
        <v>394201.23373080947</v>
      </c>
      <c r="AP21" s="34">
        <f t="shared" si="28"/>
        <v>394201.23373080947</v>
      </c>
      <c r="AQ21" s="34">
        <f t="shared" si="28"/>
        <v>394201.23373080947</v>
      </c>
      <c r="AR21" s="34">
        <f t="shared" si="28"/>
        <v>394201.23373080947</v>
      </c>
      <c r="AS21" s="34">
        <v>416699.19580723433</v>
      </c>
      <c r="AT21" s="34">
        <f t="shared" ref="AT21:BD21" si="29">AS21</f>
        <v>416699.19580723433</v>
      </c>
      <c r="AU21" s="34">
        <f t="shared" si="29"/>
        <v>416699.19580723433</v>
      </c>
      <c r="AV21" s="34">
        <f t="shared" si="29"/>
        <v>416699.19580723433</v>
      </c>
      <c r="AW21" s="34">
        <f t="shared" si="29"/>
        <v>416699.19580723433</v>
      </c>
      <c r="AX21" s="34">
        <f t="shared" si="29"/>
        <v>416699.19580723433</v>
      </c>
      <c r="AY21" s="34">
        <f t="shared" si="29"/>
        <v>416699.19580723433</v>
      </c>
      <c r="AZ21" s="34">
        <f t="shared" si="29"/>
        <v>416699.19580723433</v>
      </c>
      <c r="BA21" s="34">
        <f t="shared" si="29"/>
        <v>416699.19580723433</v>
      </c>
      <c r="BB21" s="34">
        <f t="shared" si="29"/>
        <v>416699.19580723433</v>
      </c>
      <c r="BC21" s="34">
        <f t="shared" si="29"/>
        <v>416699.19580723433</v>
      </c>
      <c r="BD21" s="34">
        <f t="shared" si="29"/>
        <v>416699.19580723433</v>
      </c>
      <c r="BE21" s="34">
        <v>440304.44265471783</v>
      </c>
      <c r="BF21" s="34">
        <f t="shared" ref="BF21:BP21" si="30">BE21</f>
        <v>440304.44265471783</v>
      </c>
      <c r="BG21" s="34">
        <f t="shared" si="30"/>
        <v>440304.44265471783</v>
      </c>
      <c r="BH21" s="34">
        <f t="shared" si="30"/>
        <v>440304.44265471783</v>
      </c>
      <c r="BI21" s="34">
        <f t="shared" si="30"/>
        <v>440304.44265471783</v>
      </c>
      <c r="BJ21" s="34">
        <f t="shared" si="30"/>
        <v>440304.44265471783</v>
      </c>
      <c r="BK21" s="34">
        <f t="shared" si="30"/>
        <v>440304.44265471783</v>
      </c>
      <c r="BL21" s="34">
        <f t="shared" si="30"/>
        <v>440304.44265471783</v>
      </c>
      <c r="BM21" s="34">
        <f t="shared" si="30"/>
        <v>440304.44265471783</v>
      </c>
      <c r="BN21" s="34">
        <f t="shared" si="30"/>
        <v>440304.44265471783</v>
      </c>
      <c r="BO21" s="34">
        <f t="shared" si="30"/>
        <v>440304.44265471783</v>
      </c>
      <c r="BP21" s="34">
        <f t="shared" si="30"/>
        <v>440304.44265471783</v>
      </c>
      <c r="BQ21" s="34">
        <v>465666.00018637266</v>
      </c>
      <c r="BR21" s="34">
        <f t="shared" ref="BR21:CB21" si="31">BQ21</f>
        <v>465666.00018637266</v>
      </c>
      <c r="BS21" s="34">
        <f t="shared" si="31"/>
        <v>465666.00018637266</v>
      </c>
      <c r="BT21" s="34">
        <f t="shared" si="31"/>
        <v>465666.00018637266</v>
      </c>
      <c r="BU21" s="34">
        <f t="shared" si="31"/>
        <v>465666.00018637266</v>
      </c>
      <c r="BV21" s="34">
        <f t="shared" si="31"/>
        <v>465666.00018637266</v>
      </c>
      <c r="BW21" s="34">
        <f t="shared" si="31"/>
        <v>465666.00018637266</v>
      </c>
      <c r="BX21" s="34">
        <f t="shared" si="31"/>
        <v>465666.00018637266</v>
      </c>
      <c r="BY21" s="34">
        <f t="shared" si="31"/>
        <v>465666.00018637266</v>
      </c>
      <c r="BZ21" s="34">
        <f t="shared" si="31"/>
        <v>465666.00018637266</v>
      </c>
      <c r="CA21" s="34">
        <f t="shared" si="31"/>
        <v>465666.00018637266</v>
      </c>
      <c r="CB21" s="34">
        <f t="shared" si="31"/>
        <v>465666.00018637266</v>
      </c>
      <c r="CC21" s="34">
        <v>493678.34702365217</v>
      </c>
      <c r="CD21" s="34">
        <f t="shared" ref="CD21:CN21" si="32">CC21</f>
        <v>493678.34702365217</v>
      </c>
      <c r="CE21" s="34">
        <f t="shared" si="32"/>
        <v>493678.34702365217</v>
      </c>
      <c r="CF21" s="34">
        <f t="shared" si="32"/>
        <v>493678.34702365217</v>
      </c>
      <c r="CG21" s="34">
        <f t="shared" si="32"/>
        <v>493678.34702365217</v>
      </c>
      <c r="CH21" s="34">
        <f t="shared" si="32"/>
        <v>493678.34702365217</v>
      </c>
      <c r="CI21" s="34">
        <f t="shared" si="32"/>
        <v>493678.34702365217</v>
      </c>
      <c r="CJ21" s="34">
        <f t="shared" si="32"/>
        <v>493678.34702365217</v>
      </c>
      <c r="CK21" s="34">
        <f t="shared" si="32"/>
        <v>493678.34702365217</v>
      </c>
      <c r="CL21" s="34">
        <f t="shared" si="32"/>
        <v>493678.34702365217</v>
      </c>
      <c r="CM21" s="34">
        <f t="shared" si="32"/>
        <v>493678.34702365217</v>
      </c>
      <c r="CN21" s="34">
        <f t="shared" si="32"/>
        <v>493678.34702365217</v>
      </c>
      <c r="CO21" s="34">
        <v>520411.92841687193</v>
      </c>
      <c r="CP21" s="34">
        <f t="shared" ref="CP21:DF21" si="33">CO21</f>
        <v>520411.92841687193</v>
      </c>
      <c r="CQ21" s="34">
        <f t="shared" si="33"/>
        <v>520411.92841687193</v>
      </c>
      <c r="CR21" s="34">
        <f t="shared" si="33"/>
        <v>520411.92841687193</v>
      </c>
      <c r="CS21" s="34">
        <f t="shared" si="33"/>
        <v>520411.92841687193</v>
      </c>
      <c r="CT21" s="34">
        <f t="shared" si="33"/>
        <v>520411.92841687193</v>
      </c>
      <c r="CU21" s="34">
        <f t="shared" si="33"/>
        <v>520411.92841687193</v>
      </c>
      <c r="CV21" s="34">
        <f t="shared" si="33"/>
        <v>520411.92841687193</v>
      </c>
      <c r="CW21" s="34">
        <f t="shared" si="33"/>
        <v>520411.92841687193</v>
      </c>
      <c r="CX21" s="34">
        <f t="shared" si="33"/>
        <v>520411.92841687193</v>
      </c>
      <c r="CY21" s="34">
        <f t="shared" si="33"/>
        <v>520411.92841687193</v>
      </c>
      <c r="CZ21" s="34">
        <f t="shared" si="33"/>
        <v>520411.92841687193</v>
      </c>
      <c r="DA21" s="34">
        <f t="shared" si="33"/>
        <v>520411.92841687193</v>
      </c>
      <c r="DB21" s="34">
        <f t="shared" si="33"/>
        <v>520411.92841687193</v>
      </c>
      <c r="DC21" s="34">
        <f t="shared" si="33"/>
        <v>520411.92841687193</v>
      </c>
      <c r="DD21" s="34">
        <f t="shared" si="33"/>
        <v>520411.92841687193</v>
      </c>
      <c r="DE21" s="34">
        <f t="shared" si="33"/>
        <v>520411.92841687193</v>
      </c>
      <c r="DF21" s="34">
        <f t="shared" si="33"/>
        <v>520411.92841687193</v>
      </c>
    </row>
    <row r="22" spans="1:110" ht="12" customHeight="1">
      <c r="A22" s="75" t="s">
        <v>240</v>
      </c>
      <c r="B22" s="78">
        <v>4.5</v>
      </c>
    </row>
    <row r="23" spans="1:110" ht="12" customHeight="1">
      <c r="Z23" s="79"/>
    </row>
    <row r="24" spans="1:110" s="80" customFormat="1" ht="12" customHeight="1">
      <c r="A24" s="235" t="s">
        <v>241</v>
      </c>
      <c r="B24" s="236" t="s">
        <v>236</v>
      </c>
      <c r="C24" s="237">
        <f t="shared" ref="C24:BN24" si="34">C18*100/C16</f>
        <v>2455200</v>
      </c>
      <c r="D24" s="237">
        <f t="shared" si="34"/>
        <v>2618880</v>
      </c>
      <c r="E24" s="237">
        <f t="shared" si="34"/>
        <v>2613600</v>
      </c>
      <c r="F24" s="237">
        <f t="shared" si="34"/>
        <v>2741640</v>
      </c>
      <c r="G24" s="237">
        <f t="shared" si="34"/>
        <v>2809840</v>
      </c>
      <c r="H24" s="237">
        <f t="shared" si="34"/>
        <v>2785200</v>
      </c>
      <c r="I24" s="237">
        <f t="shared" si="34"/>
        <v>2946240</v>
      </c>
      <c r="J24" s="237">
        <f t="shared" si="34"/>
        <v>2917200</v>
      </c>
      <c r="K24" s="237">
        <f t="shared" si="34"/>
        <v>3082640</v>
      </c>
      <c r="L24" s="237">
        <f t="shared" si="34"/>
        <v>3150840</v>
      </c>
      <c r="M24" s="237">
        <f t="shared" si="34"/>
        <v>2907520</v>
      </c>
      <c r="N24" s="237">
        <f t="shared" si="34"/>
        <v>3287240</v>
      </c>
      <c r="O24" s="237">
        <f t="shared" si="34"/>
        <v>2508000</v>
      </c>
      <c r="P24" s="237">
        <f t="shared" si="34"/>
        <v>2615160</v>
      </c>
      <c r="Q24" s="237">
        <f t="shared" si="34"/>
        <v>2553600</v>
      </c>
      <c r="R24" s="237">
        <f t="shared" si="34"/>
        <v>2942520</v>
      </c>
      <c r="S24" s="237">
        <f t="shared" si="34"/>
        <v>2981580</v>
      </c>
      <c r="T24" s="237">
        <f t="shared" si="34"/>
        <v>2923200</v>
      </c>
      <c r="U24" s="237">
        <f t="shared" si="34"/>
        <v>3059700</v>
      </c>
      <c r="V24" s="237">
        <f t="shared" si="34"/>
        <v>2998800</v>
      </c>
      <c r="W24" s="237">
        <f t="shared" si="34"/>
        <v>3137820</v>
      </c>
      <c r="X24" s="237">
        <f t="shared" si="34"/>
        <v>3176880</v>
      </c>
      <c r="Y24" s="237">
        <f t="shared" si="34"/>
        <v>2928240</v>
      </c>
      <c r="Z24" s="237">
        <f t="shared" si="34"/>
        <v>3307080</v>
      </c>
      <c r="AA24" s="237">
        <f t="shared" si="34"/>
        <v>2964000</v>
      </c>
      <c r="AB24" s="237">
        <f t="shared" si="34"/>
        <v>3087600</v>
      </c>
      <c r="AC24" s="237">
        <f t="shared" si="34"/>
        <v>3024000</v>
      </c>
      <c r="AD24" s="237">
        <f t="shared" si="34"/>
        <v>3149600</v>
      </c>
      <c r="AE24" s="237">
        <f t="shared" si="34"/>
        <v>3174400</v>
      </c>
      <c r="AF24" s="237">
        <f t="shared" si="34"/>
        <v>3084000</v>
      </c>
      <c r="AG24" s="237">
        <f t="shared" si="34"/>
        <v>3199200</v>
      </c>
      <c r="AH24" s="237">
        <f t="shared" si="34"/>
        <v>3108000</v>
      </c>
      <c r="AI24" s="237">
        <f t="shared" si="34"/>
        <v>3224000</v>
      </c>
      <c r="AJ24" s="237">
        <f t="shared" si="34"/>
        <v>3236400</v>
      </c>
      <c r="AK24" s="237">
        <f t="shared" si="34"/>
        <v>2934400</v>
      </c>
      <c r="AL24" s="237">
        <f t="shared" si="34"/>
        <v>3261200</v>
      </c>
      <c r="AM24" s="237">
        <f t="shared" si="34"/>
        <v>3180000</v>
      </c>
      <c r="AN24" s="237">
        <f t="shared" si="34"/>
        <v>3310800</v>
      </c>
      <c r="AO24" s="237">
        <f t="shared" si="34"/>
        <v>3228000</v>
      </c>
      <c r="AP24" s="237">
        <f t="shared" si="34"/>
        <v>3360400</v>
      </c>
      <c r="AQ24" s="237">
        <f t="shared" si="34"/>
        <v>3385200</v>
      </c>
      <c r="AR24" s="237">
        <f t="shared" si="34"/>
        <v>3300000</v>
      </c>
      <c r="AS24" s="237">
        <f t="shared" si="34"/>
        <v>3434800</v>
      </c>
      <c r="AT24" s="237">
        <f t="shared" si="34"/>
        <v>3348000</v>
      </c>
      <c r="AU24" s="237">
        <f t="shared" si="34"/>
        <v>3484400</v>
      </c>
      <c r="AV24" s="237">
        <f t="shared" si="34"/>
        <v>3509200</v>
      </c>
      <c r="AW24" s="237">
        <f t="shared" si="34"/>
        <v>3306000</v>
      </c>
      <c r="AX24" s="237">
        <f t="shared" si="34"/>
        <v>3558800</v>
      </c>
      <c r="AY24" s="237">
        <f t="shared" si="34"/>
        <v>3715200</v>
      </c>
      <c r="AZ24" s="237">
        <f t="shared" si="34"/>
        <v>3852370</v>
      </c>
      <c r="BA24" s="237">
        <f t="shared" si="34"/>
        <v>3741000</v>
      </c>
      <c r="BB24" s="237">
        <f t="shared" si="34"/>
        <v>3879030</v>
      </c>
      <c r="BC24" s="237">
        <f t="shared" si="34"/>
        <v>3892360</v>
      </c>
      <c r="BD24" s="237">
        <f t="shared" si="34"/>
        <v>3779700</v>
      </c>
      <c r="BE24" s="237">
        <f t="shared" si="34"/>
        <v>3919020</v>
      </c>
      <c r="BF24" s="237">
        <f t="shared" si="34"/>
        <v>3805500</v>
      </c>
      <c r="BG24" s="237">
        <f t="shared" si="34"/>
        <v>3945680</v>
      </c>
      <c r="BH24" s="237">
        <f t="shared" si="34"/>
        <v>3959010</v>
      </c>
      <c r="BI24" s="237">
        <f t="shared" si="34"/>
        <v>3587920</v>
      </c>
      <c r="BJ24" s="237">
        <f t="shared" si="34"/>
        <v>3985670</v>
      </c>
      <c r="BK24" s="237">
        <f t="shared" si="34"/>
        <v>3863550</v>
      </c>
      <c r="BL24" s="237">
        <f t="shared" si="34"/>
        <v>3999000</v>
      </c>
      <c r="BM24" s="237">
        <f t="shared" si="34"/>
        <v>3876450</v>
      </c>
      <c r="BN24" s="237">
        <f t="shared" si="34"/>
        <v>4012330</v>
      </c>
      <c r="BO24" s="237">
        <f t="shared" ref="BO24:DF24" si="35">BO18*100/BO16</f>
        <v>4018995</v>
      </c>
      <c r="BP24" s="237">
        <f t="shared" si="35"/>
        <v>3895800</v>
      </c>
      <c r="BQ24" s="237">
        <f t="shared" si="35"/>
        <v>4032325</v>
      </c>
      <c r="BR24" s="237">
        <f t="shared" si="35"/>
        <v>3908700</v>
      </c>
      <c r="BS24" s="237">
        <f t="shared" si="35"/>
        <v>4045655</v>
      </c>
      <c r="BT24" s="237">
        <f t="shared" si="35"/>
        <v>4052320</v>
      </c>
      <c r="BU24" s="237">
        <f t="shared" si="35"/>
        <v>3666180</v>
      </c>
      <c r="BV24" s="237">
        <f t="shared" si="35"/>
        <v>4065650</v>
      </c>
      <c r="BW24" s="237">
        <f t="shared" si="35"/>
        <v>3940950</v>
      </c>
      <c r="BX24" s="237">
        <f t="shared" si="35"/>
        <v>4078980</v>
      </c>
      <c r="BY24" s="237">
        <f t="shared" si="35"/>
        <v>3953850</v>
      </c>
      <c r="BZ24" s="237">
        <f t="shared" si="35"/>
        <v>4092310</v>
      </c>
      <c r="CA24" s="237">
        <f t="shared" si="35"/>
        <v>4098975</v>
      </c>
      <c r="CB24" s="237">
        <f t="shared" si="35"/>
        <v>3973200</v>
      </c>
      <c r="CC24" s="237">
        <f t="shared" si="35"/>
        <v>4112305</v>
      </c>
      <c r="CD24" s="237">
        <f t="shared" si="35"/>
        <v>3986100</v>
      </c>
      <c r="CE24" s="237">
        <f t="shared" si="35"/>
        <v>4125635</v>
      </c>
      <c r="CF24" s="237">
        <f t="shared" si="35"/>
        <v>4180350</v>
      </c>
      <c r="CG24" s="237">
        <f t="shared" si="35"/>
        <v>3781890</v>
      </c>
      <c r="CH24" s="237">
        <f t="shared" si="35"/>
        <v>4193835</v>
      </c>
      <c r="CI24" s="237">
        <f t="shared" si="35"/>
        <v>4065075</v>
      </c>
      <c r="CJ24" s="237">
        <f t="shared" si="35"/>
        <v>4207320</v>
      </c>
      <c r="CK24" s="237">
        <f t="shared" si="35"/>
        <v>4078125</v>
      </c>
      <c r="CL24" s="237">
        <f t="shared" si="35"/>
        <v>4220805</v>
      </c>
      <c r="CM24" s="237">
        <f t="shared" si="35"/>
        <v>4227547.5</v>
      </c>
      <c r="CN24" s="237">
        <f t="shared" si="35"/>
        <v>4097700</v>
      </c>
      <c r="CO24" s="237">
        <f t="shared" si="35"/>
        <v>4241032.5</v>
      </c>
      <c r="CP24" s="237">
        <f t="shared" si="35"/>
        <v>4110750</v>
      </c>
      <c r="CQ24" s="237">
        <f t="shared" si="35"/>
        <v>4254517.5</v>
      </c>
      <c r="CR24" s="237">
        <f t="shared" si="35"/>
        <v>4261260</v>
      </c>
      <c r="CS24" s="237">
        <f t="shared" si="35"/>
        <v>3992647.5</v>
      </c>
      <c r="CT24" s="237">
        <f t="shared" si="35"/>
        <v>4274745</v>
      </c>
      <c r="CU24" s="237">
        <f t="shared" si="35"/>
        <v>4143375</v>
      </c>
      <c r="CV24" s="237">
        <f t="shared" si="35"/>
        <v>4288230</v>
      </c>
      <c r="CW24" s="237">
        <f t="shared" si="35"/>
        <v>4156425</v>
      </c>
      <c r="CX24" s="237">
        <f t="shared" si="35"/>
        <v>4301715</v>
      </c>
      <c r="CY24" s="237">
        <f t="shared" si="35"/>
        <v>4308457.5</v>
      </c>
      <c r="CZ24" s="237">
        <f t="shared" si="35"/>
        <v>4176000</v>
      </c>
      <c r="DA24" s="237">
        <f t="shared" si="35"/>
        <v>4321942.5</v>
      </c>
      <c r="DB24" s="237">
        <f t="shared" si="35"/>
        <v>4189050</v>
      </c>
      <c r="DC24" s="237">
        <f t="shared" si="35"/>
        <v>4335427.5</v>
      </c>
      <c r="DD24" s="237">
        <f t="shared" si="35"/>
        <v>4342170</v>
      </c>
      <c r="DE24" s="237">
        <f t="shared" si="35"/>
        <v>3928050</v>
      </c>
      <c r="DF24" s="237">
        <f t="shared" si="35"/>
        <v>4355655</v>
      </c>
    </row>
    <row r="25" spans="1:110" s="80" customFormat="1" ht="12" customHeight="1">
      <c r="A25" s="235" t="s">
        <v>242</v>
      </c>
      <c r="B25" s="236" t="s">
        <v>236</v>
      </c>
      <c r="C25" s="238">
        <f t="shared" ref="C25:BN25" si="36">(42+7.5)*4.545*1000*C17</f>
        <v>6749325</v>
      </c>
      <c r="D25" s="238">
        <f t="shared" si="36"/>
        <v>6974302.5</v>
      </c>
      <c r="E25" s="238">
        <f t="shared" si="36"/>
        <v>6749325</v>
      </c>
      <c r="F25" s="238">
        <f t="shared" si="36"/>
        <v>6974302.5</v>
      </c>
      <c r="G25" s="238">
        <f t="shared" si="36"/>
        <v>6974302.5</v>
      </c>
      <c r="H25" s="238">
        <f t="shared" si="36"/>
        <v>6749325</v>
      </c>
      <c r="I25" s="238">
        <f t="shared" si="36"/>
        <v>6974302.5</v>
      </c>
      <c r="J25" s="238">
        <f t="shared" si="36"/>
        <v>6749325</v>
      </c>
      <c r="K25" s="238">
        <f t="shared" si="36"/>
        <v>6974302.5</v>
      </c>
      <c r="L25" s="238">
        <f t="shared" si="36"/>
        <v>6974302.5</v>
      </c>
      <c r="M25" s="238">
        <f t="shared" si="36"/>
        <v>6299370</v>
      </c>
      <c r="N25" s="238">
        <f t="shared" si="36"/>
        <v>6974302.5</v>
      </c>
      <c r="O25" s="238">
        <f t="shared" si="36"/>
        <v>6749325</v>
      </c>
      <c r="P25" s="238">
        <f t="shared" si="36"/>
        <v>6974302.5</v>
      </c>
      <c r="Q25" s="238">
        <f t="shared" si="36"/>
        <v>6749325</v>
      </c>
      <c r="R25" s="238">
        <f t="shared" si="36"/>
        <v>6974302.5</v>
      </c>
      <c r="S25" s="238">
        <f t="shared" si="36"/>
        <v>6974302.5</v>
      </c>
      <c r="T25" s="238">
        <f t="shared" si="36"/>
        <v>6749325</v>
      </c>
      <c r="U25" s="238">
        <f t="shared" si="36"/>
        <v>6974302.5</v>
      </c>
      <c r="V25" s="238">
        <f t="shared" si="36"/>
        <v>6749325</v>
      </c>
      <c r="W25" s="238">
        <f t="shared" si="36"/>
        <v>6974302.5</v>
      </c>
      <c r="X25" s="238">
        <f t="shared" si="36"/>
        <v>6974302.5</v>
      </c>
      <c r="Y25" s="238">
        <f t="shared" si="36"/>
        <v>6299370</v>
      </c>
      <c r="Z25" s="238">
        <f t="shared" si="36"/>
        <v>6974302.5</v>
      </c>
      <c r="AA25" s="238">
        <f t="shared" si="36"/>
        <v>6749325</v>
      </c>
      <c r="AB25" s="238">
        <f t="shared" si="36"/>
        <v>6974302.5</v>
      </c>
      <c r="AC25" s="238">
        <f t="shared" si="36"/>
        <v>6749325</v>
      </c>
      <c r="AD25" s="238">
        <f t="shared" si="36"/>
        <v>6974302.5</v>
      </c>
      <c r="AE25" s="238">
        <f t="shared" si="36"/>
        <v>6974302.5</v>
      </c>
      <c r="AF25" s="238">
        <f t="shared" si="36"/>
        <v>6749325</v>
      </c>
      <c r="AG25" s="238">
        <f t="shared" si="36"/>
        <v>6974302.5</v>
      </c>
      <c r="AH25" s="238">
        <f t="shared" si="36"/>
        <v>6749325</v>
      </c>
      <c r="AI25" s="238">
        <f t="shared" si="36"/>
        <v>6974302.5</v>
      </c>
      <c r="AJ25" s="238">
        <f t="shared" si="36"/>
        <v>6974302.5</v>
      </c>
      <c r="AK25" s="238">
        <f t="shared" si="36"/>
        <v>6299370</v>
      </c>
      <c r="AL25" s="238">
        <f t="shared" si="36"/>
        <v>6974302.5</v>
      </c>
      <c r="AM25" s="238">
        <f t="shared" si="36"/>
        <v>6749325</v>
      </c>
      <c r="AN25" s="238">
        <f t="shared" si="36"/>
        <v>6974302.5</v>
      </c>
      <c r="AO25" s="238">
        <f t="shared" si="36"/>
        <v>6749325</v>
      </c>
      <c r="AP25" s="238">
        <f t="shared" si="36"/>
        <v>6974302.5</v>
      </c>
      <c r="AQ25" s="238">
        <f t="shared" si="36"/>
        <v>6974302.5</v>
      </c>
      <c r="AR25" s="238">
        <f t="shared" si="36"/>
        <v>6749325</v>
      </c>
      <c r="AS25" s="238">
        <f t="shared" si="36"/>
        <v>6974302.5</v>
      </c>
      <c r="AT25" s="238">
        <f t="shared" si="36"/>
        <v>6749325</v>
      </c>
      <c r="AU25" s="238">
        <f t="shared" si="36"/>
        <v>6974302.5</v>
      </c>
      <c r="AV25" s="238">
        <f t="shared" si="36"/>
        <v>6974302.5</v>
      </c>
      <c r="AW25" s="238">
        <f t="shared" si="36"/>
        <v>6524347.5</v>
      </c>
      <c r="AX25" s="238">
        <f t="shared" si="36"/>
        <v>6974302.5</v>
      </c>
      <c r="AY25" s="238">
        <f t="shared" si="36"/>
        <v>6749325</v>
      </c>
      <c r="AZ25" s="238">
        <f t="shared" si="36"/>
        <v>6974302.5</v>
      </c>
      <c r="BA25" s="238">
        <f t="shared" si="36"/>
        <v>6749325</v>
      </c>
      <c r="BB25" s="238">
        <f t="shared" si="36"/>
        <v>6974302.5</v>
      </c>
      <c r="BC25" s="238">
        <f t="shared" si="36"/>
        <v>6974302.5</v>
      </c>
      <c r="BD25" s="238">
        <f t="shared" si="36"/>
        <v>6749325</v>
      </c>
      <c r="BE25" s="238">
        <f t="shared" si="36"/>
        <v>6974302.5</v>
      </c>
      <c r="BF25" s="238">
        <f t="shared" si="36"/>
        <v>6749325</v>
      </c>
      <c r="BG25" s="238">
        <f t="shared" si="36"/>
        <v>6974302.5</v>
      </c>
      <c r="BH25" s="238">
        <f t="shared" si="36"/>
        <v>6974302.5</v>
      </c>
      <c r="BI25" s="238">
        <f t="shared" si="36"/>
        <v>6299370</v>
      </c>
      <c r="BJ25" s="238">
        <f t="shared" si="36"/>
        <v>6974302.5</v>
      </c>
      <c r="BK25" s="238">
        <f t="shared" si="36"/>
        <v>6749325</v>
      </c>
      <c r="BL25" s="238">
        <f t="shared" si="36"/>
        <v>6974302.5</v>
      </c>
      <c r="BM25" s="238">
        <f t="shared" si="36"/>
        <v>6749325</v>
      </c>
      <c r="BN25" s="238">
        <f t="shared" si="36"/>
        <v>6974302.5</v>
      </c>
      <c r="BO25" s="238">
        <f t="shared" ref="BO25:DF25" si="37">(42+7.5)*4.545*1000*BO17</f>
        <v>6974302.5</v>
      </c>
      <c r="BP25" s="238">
        <f t="shared" si="37"/>
        <v>6749325</v>
      </c>
      <c r="BQ25" s="238">
        <f t="shared" si="37"/>
        <v>6974302.5</v>
      </c>
      <c r="BR25" s="238">
        <f t="shared" si="37"/>
        <v>6749325</v>
      </c>
      <c r="BS25" s="238">
        <f t="shared" si="37"/>
        <v>6974302.5</v>
      </c>
      <c r="BT25" s="238">
        <f t="shared" si="37"/>
        <v>6974302.5</v>
      </c>
      <c r="BU25" s="238">
        <f t="shared" si="37"/>
        <v>6299370</v>
      </c>
      <c r="BV25" s="238">
        <f t="shared" si="37"/>
        <v>6974302.5</v>
      </c>
      <c r="BW25" s="238">
        <f t="shared" si="37"/>
        <v>6749325</v>
      </c>
      <c r="BX25" s="238">
        <f t="shared" si="37"/>
        <v>6974302.5</v>
      </c>
      <c r="BY25" s="238">
        <f t="shared" si="37"/>
        <v>6749325</v>
      </c>
      <c r="BZ25" s="238">
        <f t="shared" si="37"/>
        <v>6974302.5</v>
      </c>
      <c r="CA25" s="238">
        <f t="shared" si="37"/>
        <v>6974302.5</v>
      </c>
      <c r="CB25" s="238">
        <f t="shared" si="37"/>
        <v>6749325</v>
      </c>
      <c r="CC25" s="238">
        <f t="shared" si="37"/>
        <v>6974302.5</v>
      </c>
      <c r="CD25" s="238">
        <f t="shared" si="37"/>
        <v>6749325</v>
      </c>
      <c r="CE25" s="238">
        <f t="shared" si="37"/>
        <v>6974302.5</v>
      </c>
      <c r="CF25" s="238">
        <f t="shared" si="37"/>
        <v>6974302.5</v>
      </c>
      <c r="CG25" s="238">
        <f t="shared" si="37"/>
        <v>6299370</v>
      </c>
      <c r="CH25" s="238">
        <f t="shared" si="37"/>
        <v>6974302.5</v>
      </c>
      <c r="CI25" s="238">
        <f t="shared" si="37"/>
        <v>6749325</v>
      </c>
      <c r="CJ25" s="238">
        <f t="shared" si="37"/>
        <v>6974302.5</v>
      </c>
      <c r="CK25" s="238">
        <f t="shared" si="37"/>
        <v>6749325</v>
      </c>
      <c r="CL25" s="238">
        <f t="shared" si="37"/>
        <v>6974302.5</v>
      </c>
      <c r="CM25" s="238">
        <f t="shared" si="37"/>
        <v>6974302.5</v>
      </c>
      <c r="CN25" s="238">
        <f t="shared" si="37"/>
        <v>6749325</v>
      </c>
      <c r="CO25" s="238">
        <f t="shared" si="37"/>
        <v>6974302.5</v>
      </c>
      <c r="CP25" s="238">
        <f t="shared" si="37"/>
        <v>6749325</v>
      </c>
      <c r="CQ25" s="238">
        <f t="shared" si="37"/>
        <v>6974302.5</v>
      </c>
      <c r="CR25" s="238">
        <f t="shared" si="37"/>
        <v>6974302.5</v>
      </c>
      <c r="CS25" s="238">
        <f t="shared" si="37"/>
        <v>6524347.5</v>
      </c>
      <c r="CT25" s="238">
        <f t="shared" si="37"/>
        <v>6974302.5</v>
      </c>
      <c r="CU25" s="238">
        <f t="shared" si="37"/>
        <v>6749325</v>
      </c>
      <c r="CV25" s="238">
        <f t="shared" si="37"/>
        <v>6974302.5</v>
      </c>
      <c r="CW25" s="238">
        <f t="shared" si="37"/>
        <v>6749325</v>
      </c>
      <c r="CX25" s="238">
        <f t="shared" si="37"/>
        <v>6974302.5</v>
      </c>
      <c r="CY25" s="238">
        <f t="shared" si="37"/>
        <v>6974302.5</v>
      </c>
      <c r="CZ25" s="238">
        <f t="shared" si="37"/>
        <v>6749325</v>
      </c>
      <c r="DA25" s="238">
        <f t="shared" si="37"/>
        <v>6974302.5</v>
      </c>
      <c r="DB25" s="238">
        <f t="shared" si="37"/>
        <v>6749325</v>
      </c>
      <c r="DC25" s="238">
        <f t="shared" si="37"/>
        <v>6974302.5</v>
      </c>
      <c r="DD25" s="238">
        <f t="shared" si="37"/>
        <v>6974302.5</v>
      </c>
      <c r="DE25" s="238">
        <f t="shared" si="37"/>
        <v>6299370</v>
      </c>
      <c r="DF25" s="238">
        <f t="shared" si="37"/>
        <v>6974302.5</v>
      </c>
    </row>
    <row r="26" spans="1:110" s="80" customFormat="1" ht="12" customHeight="1">
      <c r="A26" s="80" t="s">
        <v>5</v>
      </c>
      <c r="B26" s="236" t="s">
        <v>221</v>
      </c>
      <c r="C26" s="34">
        <f>IF(100-C24/C25%&lt;=15,15,100-C24/C25%)</f>
        <v>63.62302896956362</v>
      </c>
      <c r="D26" s="34">
        <f t="shared" ref="D26:N26" si="38">IF(100-D24/D25%&lt;=15,15,100-D24/D25%)</f>
        <v>62.449578291162446</v>
      </c>
      <c r="E26" s="34">
        <f t="shared" si="38"/>
        <v>61.276127612761279</v>
      </c>
      <c r="F26" s="34">
        <f t="shared" si="38"/>
        <v>60.689402273560688</v>
      </c>
      <c r="G26" s="34">
        <f t="shared" si="38"/>
        <v>59.711526708226373</v>
      </c>
      <c r="H26" s="34">
        <f t="shared" si="38"/>
        <v>58.733651142892064</v>
      </c>
      <c r="I26" s="34">
        <f t="shared" si="38"/>
        <v>57.755775577557749</v>
      </c>
      <c r="J26" s="34">
        <f t="shared" si="38"/>
        <v>56.777900012223448</v>
      </c>
      <c r="K26" s="34">
        <f t="shared" si="38"/>
        <v>55.800024446889132</v>
      </c>
      <c r="L26" s="34">
        <f t="shared" si="38"/>
        <v>54.822148881554817</v>
      </c>
      <c r="M26" s="34">
        <f t="shared" si="38"/>
        <v>53.844273316220509</v>
      </c>
      <c r="N26" s="34">
        <f t="shared" si="38"/>
        <v>52.866397750886193</v>
      </c>
      <c r="O26" s="34">
        <f>IF(100-O24/O25%&lt;=25,25,100-O24/O25%)</f>
        <v>62.840728517296171</v>
      </c>
      <c r="P26" s="34">
        <f t="shared" ref="P26:CA26" si="39">IF(100-P24/P25%&lt;=25,25,100-P24/P25%)</f>
        <v>62.502916958362498</v>
      </c>
      <c r="Q26" s="34">
        <f t="shared" si="39"/>
        <v>62.165105399428832</v>
      </c>
      <c r="R26" s="34">
        <f t="shared" si="39"/>
        <v>57.809114244757808</v>
      </c>
      <c r="S26" s="34">
        <f t="shared" si="39"/>
        <v>57.249058239157243</v>
      </c>
      <c r="T26" s="34">
        <f t="shared" si="39"/>
        <v>56.689002233556693</v>
      </c>
      <c r="U26" s="34">
        <f t="shared" si="39"/>
        <v>56.128946227956128</v>
      </c>
      <c r="V26" s="34">
        <f t="shared" si="39"/>
        <v>55.56889022235557</v>
      </c>
      <c r="W26" s="34">
        <f t="shared" si="39"/>
        <v>55.008834216755005</v>
      </c>
      <c r="X26" s="34">
        <f t="shared" si="39"/>
        <v>54.448778211154448</v>
      </c>
      <c r="Y26" s="34">
        <f t="shared" si="39"/>
        <v>53.515351535153513</v>
      </c>
      <c r="Z26" s="34">
        <f t="shared" si="39"/>
        <v>52.581924859152579</v>
      </c>
      <c r="AA26" s="34">
        <f t="shared" si="39"/>
        <v>56.084497338622754</v>
      </c>
      <c r="AB26" s="34">
        <f t="shared" si="39"/>
        <v>55.728906223955725</v>
      </c>
      <c r="AC26" s="34">
        <f t="shared" si="39"/>
        <v>55.195519551955194</v>
      </c>
      <c r="AD26" s="34">
        <f t="shared" si="39"/>
        <v>54.839928437288172</v>
      </c>
      <c r="AE26" s="34">
        <f t="shared" si="39"/>
        <v>54.484337322621144</v>
      </c>
      <c r="AF26" s="34">
        <f t="shared" si="39"/>
        <v>54.306541765287641</v>
      </c>
      <c r="AG26" s="34">
        <f t="shared" si="39"/>
        <v>54.128746207954123</v>
      </c>
      <c r="AH26" s="34">
        <f t="shared" si="39"/>
        <v>53.950950650620619</v>
      </c>
      <c r="AI26" s="34">
        <f t="shared" si="39"/>
        <v>53.773155093287102</v>
      </c>
      <c r="AJ26" s="34">
        <f t="shared" si="39"/>
        <v>53.595359535953591</v>
      </c>
      <c r="AK26" s="34">
        <f t="shared" si="39"/>
        <v>53.41756397862008</v>
      </c>
      <c r="AL26" s="34">
        <f t="shared" si="39"/>
        <v>53.23976842128657</v>
      </c>
      <c r="AM26" s="34">
        <f t="shared" si="39"/>
        <v>52.884177306619549</v>
      </c>
      <c r="AN26" s="34">
        <f t="shared" si="39"/>
        <v>52.528586191952527</v>
      </c>
      <c r="AO26" s="34">
        <f t="shared" si="39"/>
        <v>52.172995077285506</v>
      </c>
      <c r="AP26" s="34">
        <f t="shared" si="39"/>
        <v>51.817403962618478</v>
      </c>
      <c r="AQ26" s="34">
        <f t="shared" si="39"/>
        <v>51.461812847951457</v>
      </c>
      <c r="AR26" s="34">
        <f t="shared" si="39"/>
        <v>51.106221733284443</v>
      </c>
      <c r="AS26" s="34">
        <f t="shared" si="39"/>
        <v>50.750630618617414</v>
      </c>
      <c r="AT26" s="34">
        <f t="shared" si="39"/>
        <v>50.395039503950393</v>
      </c>
      <c r="AU26" s="34">
        <f t="shared" si="39"/>
        <v>50.039448389283372</v>
      </c>
      <c r="AV26" s="34">
        <f t="shared" si="39"/>
        <v>49.683857274616344</v>
      </c>
      <c r="AW26" s="34">
        <f t="shared" si="39"/>
        <v>49.32826615994933</v>
      </c>
      <c r="AX26" s="34">
        <f t="shared" si="39"/>
        <v>48.972675045282301</v>
      </c>
      <c r="AY26" s="34">
        <f t="shared" si="39"/>
        <v>44.954495449544957</v>
      </c>
      <c r="AZ26" s="34">
        <f t="shared" si="39"/>
        <v>44.763365225411427</v>
      </c>
      <c r="BA26" s="34">
        <f t="shared" si="39"/>
        <v>44.572235001277903</v>
      </c>
      <c r="BB26" s="34">
        <f t="shared" si="39"/>
        <v>44.38110477714438</v>
      </c>
      <c r="BC26" s="34">
        <f t="shared" si="39"/>
        <v>44.189974553010849</v>
      </c>
      <c r="BD26" s="34">
        <f t="shared" si="39"/>
        <v>43.998844328877333</v>
      </c>
      <c r="BE26" s="34">
        <f t="shared" si="39"/>
        <v>43.807714104743802</v>
      </c>
      <c r="BF26" s="34">
        <f t="shared" si="39"/>
        <v>43.616583880610285</v>
      </c>
      <c r="BG26" s="34">
        <f t="shared" si="39"/>
        <v>43.425453656476755</v>
      </c>
      <c r="BH26" s="34">
        <f t="shared" si="39"/>
        <v>43.234323432343231</v>
      </c>
      <c r="BI26" s="34">
        <f t="shared" si="39"/>
        <v>43.043193208209708</v>
      </c>
      <c r="BJ26" s="34">
        <f t="shared" si="39"/>
        <v>42.852062984076177</v>
      </c>
      <c r="BK26" s="34">
        <f t="shared" si="39"/>
        <v>42.756497872009426</v>
      </c>
      <c r="BL26" s="34">
        <f t="shared" si="39"/>
        <v>42.660932759942654</v>
      </c>
      <c r="BM26" s="34">
        <f t="shared" si="39"/>
        <v>42.565367647875895</v>
      </c>
      <c r="BN26" s="34">
        <f t="shared" si="39"/>
        <v>42.46980253580913</v>
      </c>
      <c r="BO26" s="34">
        <f t="shared" si="39"/>
        <v>42.374237423742372</v>
      </c>
      <c r="BP26" s="34">
        <f t="shared" si="39"/>
        <v>42.278672311675614</v>
      </c>
      <c r="BQ26" s="34">
        <f t="shared" si="39"/>
        <v>42.183107199608848</v>
      </c>
      <c r="BR26" s="34">
        <f t="shared" si="39"/>
        <v>42.08754208754209</v>
      </c>
      <c r="BS26" s="34">
        <f t="shared" si="39"/>
        <v>41.991976975475318</v>
      </c>
      <c r="BT26" s="34">
        <f t="shared" si="39"/>
        <v>41.896411863408559</v>
      </c>
      <c r="BU26" s="34">
        <f t="shared" si="39"/>
        <v>41.800846751341801</v>
      </c>
      <c r="BV26" s="34">
        <f t="shared" si="39"/>
        <v>41.705281639275036</v>
      </c>
      <c r="BW26" s="34">
        <f t="shared" si="39"/>
        <v>41.609716527208278</v>
      </c>
      <c r="BX26" s="34">
        <f t="shared" si="39"/>
        <v>41.514151415141512</v>
      </c>
      <c r="BY26" s="34">
        <f t="shared" si="39"/>
        <v>41.418586303074754</v>
      </c>
      <c r="BZ26" s="34">
        <f t="shared" si="39"/>
        <v>41.323021191007982</v>
      </c>
      <c r="CA26" s="34">
        <f t="shared" si="39"/>
        <v>41.227456078941223</v>
      </c>
      <c r="CB26" s="34">
        <f t="shared" ref="CB26:DF26" si="40">IF(100-CB24/CB25%&lt;=25,25,100-CB24/CB25%)</f>
        <v>41.131890966874465</v>
      </c>
      <c r="CC26" s="34">
        <f t="shared" si="40"/>
        <v>41.0363258548077</v>
      </c>
      <c r="CD26" s="34">
        <f t="shared" si="40"/>
        <v>40.940760742740942</v>
      </c>
      <c r="CE26" s="34">
        <f t="shared" si="40"/>
        <v>40.845195630674176</v>
      </c>
      <c r="CF26" s="34">
        <f t="shared" si="40"/>
        <v>40.060672733940052</v>
      </c>
      <c r="CG26" s="34">
        <f t="shared" si="40"/>
        <v>39.96399639963996</v>
      </c>
      <c r="CH26" s="34">
        <f t="shared" si="40"/>
        <v>39.867320065339861</v>
      </c>
      <c r="CI26" s="34">
        <f t="shared" si="40"/>
        <v>39.770643731039769</v>
      </c>
      <c r="CJ26" s="34">
        <f t="shared" si="40"/>
        <v>39.67396739673967</v>
      </c>
      <c r="CK26" s="34">
        <f t="shared" si="40"/>
        <v>39.577291062439578</v>
      </c>
      <c r="CL26" s="34">
        <f t="shared" si="40"/>
        <v>39.480614728139479</v>
      </c>
      <c r="CM26" s="34">
        <f t="shared" si="40"/>
        <v>39.383938393839379</v>
      </c>
      <c r="CN26" s="34">
        <f t="shared" si="40"/>
        <v>39.287262059539287</v>
      </c>
      <c r="CO26" s="34">
        <f t="shared" si="40"/>
        <v>39.190585725239188</v>
      </c>
      <c r="CP26" s="34">
        <f t="shared" si="40"/>
        <v>39.093909390939096</v>
      </c>
      <c r="CQ26" s="34">
        <f t="shared" si="40"/>
        <v>38.99723305663899</v>
      </c>
      <c r="CR26" s="34">
        <f t="shared" si="40"/>
        <v>38.900556722338898</v>
      </c>
      <c r="CS26" s="34">
        <f t="shared" si="40"/>
        <v>38.803880388038806</v>
      </c>
      <c r="CT26" s="34">
        <f t="shared" si="40"/>
        <v>38.7072040537387</v>
      </c>
      <c r="CU26" s="34">
        <f t="shared" si="40"/>
        <v>38.610527719438608</v>
      </c>
      <c r="CV26" s="34">
        <f t="shared" si="40"/>
        <v>38.513851385138508</v>
      </c>
      <c r="CW26" s="34">
        <f t="shared" si="40"/>
        <v>38.417175050838416</v>
      </c>
      <c r="CX26" s="34">
        <f t="shared" si="40"/>
        <v>38.320498716538317</v>
      </c>
      <c r="CY26" s="34">
        <f t="shared" si="40"/>
        <v>38.223822382238218</v>
      </c>
      <c r="CZ26" s="34">
        <f t="shared" si="40"/>
        <v>38.127146047938126</v>
      </c>
      <c r="DA26" s="34">
        <f t="shared" si="40"/>
        <v>38.030469713638027</v>
      </c>
      <c r="DB26" s="34">
        <f t="shared" si="40"/>
        <v>37.933793379337935</v>
      </c>
      <c r="DC26" s="34">
        <f t="shared" si="40"/>
        <v>37.837117045037829</v>
      </c>
      <c r="DD26" s="34">
        <f t="shared" si="40"/>
        <v>37.740440710737737</v>
      </c>
      <c r="DE26" s="34">
        <f t="shared" si="40"/>
        <v>37.643764376437638</v>
      </c>
      <c r="DF26" s="34">
        <f t="shared" si="40"/>
        <v>37.547088042137538</v>
      </c>
    </row>
    <row r="27" spans="1:110" ht="12" customHeight="1">
      <c r="A27" s="68" t="s">
        <v>243</v>
      </c>
      <c r="B27" s="236" t="s">
        <v>244</v>
      </c>
      <c r="C27" s="79">
        <f>C15/4.545/1000</f>
        <v>18.006600660066006</v>
      </c>
      <c r="D27" s="79">
        <f t="shared" ref="D27:BO27" si="41">D15/4.545/1000</f>
        <v>18.587458745874589</v>
      </c>
      <c r="E27" s="79">
        <f t="shared" si="41"/>
        <v>19.168316831683168</v>
      </c>
      <c r="F27" s="79">
        <f t="shared" si="41"/>
        <v>19.458745874587457</v>
      </c>
      <c r="G27" s="79">
        <f t="shared" si="41"/>
        <v>19.942794279427943</v>
      </c>
      <c r="H27" s="79">
        <f t="shared" si="41"/>
        <v>20.426842684268429</v>
      </c>
      <c r="I27" s="79">
        <f t="shared" si="41"/>
        <v>20.910891089108912</v>
      </c>
      <c r="J27" s="79">
        <f t="shared" si="41"/>
        <v>21.394939493949394</v>
      </c>
      <c r="K27" s="79">
        <f t="shared" si="41"/>
        <v>21.87898789878988</v>
      </c>
      <c r="L27" s="79">
        <f t="shared" si="41"/>
        <v>22.363036303630363</v>
      </c>
      <c r="M27" s="79">
        <f t="shared" si="41"/>
        <v>22.847084708470849</v>
      </c>
      <c r="N27" s="79">
        <f t="shared" si="41"/>
        <v>23.331133113311331</v>
      </c>
      <c r="O27" s="79">
        <f t="shared" si="41"/>
        <v>18.393839383938392</v>
      </c>
      <c r="P27" s="79">
        <f t="shared" si="41"/>
        <v>18.561056105610561</v>
      </c>
      <c r="Q27" s="79">
        <f t="shared" si="41"/>
        <v>18.72827282728273</v>
      </c>
      <c r="R27" s="79">
        <f t="shared" si="41"/>
        <v>20.884488448844884</v>
      </c>
      <c r="S27" s="79">
        <f t="shared" si="41"/>
        <v>21.161716171617162</v>
      </c>
      <c r="T27" s="79">
        <f t="shared" si="41"/>
        <v>21.438943894389439</v>
      </c>
      <c r="U27" s="79">
        <f t="shared" si="41"/>
        <v>21.716171617161717</v>
      </c>
      <c r="V27" s="79">
        <f t="shared" si="41"/>
        <v>21.993399339933994</v>
      </c>
      <c r="W27" s="79">
        <f t="shared" si="41"/>
        <v>22.270627062706268</v>
      </c>
      <c r="X27" s="79">
        <f t="shared" si="41"/>
        <v>22.547854785478545</v>
      </c>
      <c r="Y27" s="79">
        <f t="shared" si="41"/>
        <v>23.009900990099009</v>
      </c>
      <c r="Z27" s="79">
        <f t="shared" si="41"/>
        <v>23.471947194719473</v>
      </c>
      <c r="AA27" s="79">
        <f t="shared" si="41"/>
        <v>21.738173817381735</v>
      </c>
      <c r="AB27" s="79">
        <f t="shared" si="41"/>
        <v>21.914191419141911</v>
      </c>
      <c r="AC27" s="79">
        <f t="shared" si="41"/>
        <v>22.178217821782173</v>
      </c>
      <c r="AD27" s="79">
        <f t="shared" si="41"/>
        <v>22.354235423542352</v>
      </c>
      <c r="AE27" s="79">
        <f t="shared" si="41"/>
        <v>22.530253025302528</v>
      </c>
      <c r="AF27" s="79">
        <f t="shared" si="41"/>
        <v>22.618261826182614</v>
      </c>
      <c r="AG27" s="79">
        <f t="shared" si="41"/>
        <v>22.706270627062704</v>
      </c>
      <c r="AH27" s="79">
        <f t="shared" si="41"/>
        <v>22.79427942794279</v>
      </c>
      <c r="AI27" s="79">
        <f t="shared" si="41"/>
        <v>22.88228822882288</v>
      </c>
      <c r="AJ27" s="79">
        <f t="shared" si="41"/>
        <v>22.970297029702969</v>
      </c>
      <c r="AK27" s="79">
        <f t="shared" si="41"/>
        <v>23.058305830583055</v>
      </c>
      <c r="AL27" s="79">
        <f t="shared" si="41"/>
        <v>23.146314631463145</v>
      </c>
      <c r="AM27" s="79">
        <f t="shared" si="41"/>
        <v>23.322332233223317</v>
      </c>
      <c r="AN27" s="79">
        <f t="shared" si="41"/>
        <v>23.498349834983497</v>
      </c>
      <c r="AO27" s="79">
        <f t="shared" si="41"/>
        <v>23.674367436743672</v>
      </c>
      <c r="AP27" s="79">
        <f t="shared" si="41"/>
        <v>23.850385038503845</v>
      </c>
      <c r="AQ27" s="79">
        <f t="shared" si="41"/>
        <v>24.026402640264024</v>
      </c>
      <c r="AR27" s="79">
        <f t="shared" si="41"/>
        <v>24.2024202420242</v>
      </c>
      <c r="AS27" s="79">
        <f t="shared" si="41"/>
        <v>24.378437843784376</v>
      </c>
      <c r="AT27" s="79">
        <f t="shared" si="41"/>
        <v>24.554455445544551</v>
      </c>
      <c r="AU27" s="79">
        <f t="shared" si="41"/>
        <v>24.730473047304727</v>
      </c>
      <c r="AV27" s="79">
        <f t="shared" si="41"/>
        <v>24.906490649064903</v>
      </c>
      <c r="AW27" s="79">
        <f t="shared" si="41"/>
        <v>25.082508250825079</v>
      </c>
      <c r="AX27" s="79">
        <f t="shared" si="41"/>
        <v>25.258525852585255</v>
      </c>
      <c r="AY27" s="79">
        <f t="shared" si="41"/>
        <v>27.247524752475247</v>
      </c>
      <c r="AZ27" s="79">
        <f t="shared" si="41"/>
        <v>27.342134213421343</v>
      </c>
      <c r="BA27" s="79">
        <f t="shared" si="41"/>
        <v>27.436743674367438</v>
      </c>
      <c r="BB27" s="79">
        <f t="shared" si="41"/>
        <v>27.531353135313534</v>
      </c>
      <c r="BC27" s="79">
        <f t="shared" si="41"/>
        <v>27.625962596259626</v>
      </c>
      <c r="BD27" s="79">
        <f t="shared" si="41"/>
        <v>27.720572057205722</v>
      </c>
      <c r="BE27" s="79">
        <f t="shared" si="41"/>
        <v>27.815181518151814</v>
      </c>
      <c r="BF27" s="79">
        <f t="shared" si="41"/>
        <v>27.90979097909791</v>
      </c>
      <c r="BG27" s="79">
        <f t="shared" si="41"/>
        <v>28.004400440044005</v>
      </c>
      <c r="BH27" s="79">
        <f t="shared" si="41"/>
        <v>28.099009900990097</v>
      </c>
      <c r="BI27" s="79">
        <f t="shared" si="41"/>
        <v>28.193619361936193</v>
      </c>
      <c r="BJ27" s="79">
        <f t="shared" si="41"/>
        <v>28.288228822882289</v>
      </c>
      <c r="BK27" s="79">
        <f t="shared" si="41"/>
        <v>28.335533553355337</v>
      </c>
      <c r="BL27" s="79">
        <f t="shared" si="41"/>
        <v>28.382838283828384</v>
      </c>
      <c r="BM27" s="79">
        <f t="shared" si="41"/>
        <v>28.430143014301429</v>
      </c>
      <c r="BN27" s="79">
        <f t="shared" si="41"/>
        <v>28.47744774477448</v>
      </c>
      <c r="BO27" s="79">
        <f t="shared" si="41"/>
        <v>28.524752475247524</v>
      </c>
      <c r="BP27" s="79">
        <f t="shared" ref="BP27:DF27" si="42">BP15/4.545/1000</f>
        <v>28.572057205720572</v>
      </c>
      <c r="BQ27" s="79">
        <f t="shared" si="42"/>
        <v>28.619361936193616</v>
      </c>
      <c r="BR27" s="79">
        <f t="shared" si="42"/>
        <v>28.666666666666668</v>
      </c>
      <c r="BS27" s="79">
        <f t="shared" si="42"/>
        <v>28.713971397139716</v>
      </c>
      <c r="BT27" s="79">
        <f t="shared" si="42"/>
        <v>28.76127612761276</v>
      </c>
      <c r="BU27" s="79">
        <f t="shared" si="42"/>
        <v>28.808580858085811</v>
      </c>
      <c r="BV27" s="79">
        <f t="shared" si="42"/>
        <v>28.855885588558856</v>
      </c>
      <c r="BW27" s="79">
        <f t="shared" si="42"/>
        <v>28.903190319031903</v>
      </c>
      <c r="BX27" s="79">
        <f t="shared" si="42"/>
        <v>28.950495049504951</v>
      </c>
      <c r="BY27" s="79">
        <f t="shared" si="42"/>
        <v>28.997799779977999</v>
      </c>
      <c r="BZ27" s="79">
        <f t="shared" si="42"/>
        <v>29.045104510451043</v>
      </c>
      <c r="CA27" s="79">
        <f t="shared" si="42"/>
        <v>29.092409240924091</v>
      </c>
      <c r="CB27" s="79">
        <f t="shared" si="42"/>
        <v>29.139713971397143</v>
      </c>
      <c r="CC27" s="79">
        <f t="shared" si="42"/>
        <v>29.187018701870187</v>
      </c>
      <c r="CD27" s="79">
        <f t="shared" si="42"/>
        <v>29.234323432343235</v>
      </c>
      <c r="CE27" s="79">
        <f t="shared" si="42"/>
        <v>29.281628162816283</v>
      </c>
      <c r="CF27" s="79">
        <f t="shared" si="42"/>
        <v>29.669966996699671</v>
      </c>
      <c r="CG27" s="79">
        <f t="shared" si="42"/>
        <v>29.71782178217822</v>
      </c>
      <c r="CH27" s="79">
        <f t="shared" si="42"/>
        <v>29.765676567656765</v>
      </c>
      <c r="CI27" s="79">
        <f t="shared" si="42"/>
        <v>29.813531353135314</v>
      </c>
      <c r="CJ27" s="79">
        <f t="shared" si="42"/>
        <v>29.861386138613863</v>
      </c>
      <c r="CK27" s="79">
        <f t="shared" si="42"/>
        <v>29.909240924092408</v>
      </c>
      <c r="CL27" s="79">
        <f t="shared" si="42"/>
        <v>29.957095709570957</v>
      </c>
      <c r="CM27" s="79">
        <f t="shared" si="42"/>
        <v>30.004950495049506</v>
      </c>
      <c r="CN27" s="79">
        <f t="shared" si="42"/>
        <v>30.052805280528052</v>
      </c>
      <c r="CO27" s="79">
        <f t="shared" si="42"/>
        <v>30.100660066006601</v>
      </c>
      <c r="CP27" s="79">
        <f t="shared" si="42"/>
        <v>30.14851485148515</v>
      </c>
      <c r="CQ27" s="79">
        <f t="shared" si="42"/>
        <v>30.196369636963695</v>
      </c>
      <c r="CR27" s="79">
        <f t="shared" si="42"/>
        <v>30.244224422442244</v>
      </c>
      <c r="CS27" s="79">
        <f t="shared" si="42"/>
        <v>30.292079207920793</v>
      </c>
      <c r="CT27" s="79">
        <f t="shared" si="42"/>
        <v>30.339933993399338</v>
      </c>
      <c r="CU27" s="79">
        <f t="shared" si="42"/>
        <v>30.387788778877891</v>
      </c>
      <c r="CV27" s="79">
        <f t="shared" si="42"/>
        <v>30.435643564356436</v>
      </c>
      <c r="CW27" s="79">
        <f t="shared" si="42"/>
        <v>30.483498349834981</v>
      </c>
      <c r="CX27" s="79">
        <f t="shared" si="42"/>
        <v>30.531353135313534</v>
      </c>
      <c r="CY27" s="79">
        <f t="shared" si="42"/>
        <v>30.579207920792079</v>
      </c>
      <c r="CZ27" s="79">
        <f t="shared" si="42"/>
        <v>30.627062706270625</v>
      </c>
      <c r="DA27" s="79">
        <f t="shared" si="42"/>
        <v>30.674917491749177</v>
      </c>
      <c r="DB27" s="79">
        <f t="shared" si="42"/>
        <v>30.722772277227723</v>
      </c>
      <c r="DC27" s="79">
        <f t="shared" si="42"/>
        <v>30.770627062706268</v>
      </c>
      <c r="DD27" s="79">
        <f t="shared" si="42"/>
        <v>30.81848184818482</v>
      </c>
      <c r="DE27" s="79">
        <f t="shared" si="42"/>
        <v>30.866336633663366</v>
      </c>
      <c r="DF27" s="79">
        <f t="shared" si="42"/>
        <v>30.914191419141915</v>
      </c>
    </row>
    <row r="28" spans="1:110" ht="12" customHeight="1">
      <c r="A28" s="68" t="s">
        <v>245</v>
      </c>
      <c r="B28" s="236" t="s">
        <v>244</v>
      </c>
      <c r="C28" s="79">
        <f t="shared" ref="C28:N28" si="43">C27*100/85</f>
        <v>21.184236070665889</v>
      </c>
      <c r="D28" s="79">
        <f t="shared" si="43"/>
        <v>21.867598524558339</v>
      </c>
      <c r="E28" s="79">
        <f t="shared" si="43"/>
        <v>22.550960978450785</v>
      </c>
      <c r="F28" s="79">
        <f t="shared" si="43"/>
        <v>22.89264220539701</v>
      </c>
      <c r="G28" s="79">
        <f t="shared" si="43"/>
        <v>23.462110916974051</v>
      </c>
      <c r="H28" s="79">
        <f t="shared" si="43"/>
        <v>24.031579628551093</v>
      </c>
      <c r="I28" s="79">
        <f t="shared" si="43"/>
        <v>24.601048340128134</v>
      </c>
      <c r="J28" s="79">
        <f t="shared" si="43"/>
        <v>25.170517051705172</v>
      </c>
      <c r="K28" s="79">
        <f t="shared" si="43"/>
        <v>25.73998576328221</v>
      </c>
      <c r="L28" s="79">
        <f t="shared" si="43"/>
        <v>26.309454474859248</v>
      </c>
      <c r="M28" s="79">
        <f t="shared" si="43"/>
        <v>26.878923186436293</v>
      </c>
      <c r="N28" s="79">
        <f t="shared" si="43"/>
        <v>27.44839189801333</v>
      </c>
      <c r="O28" s="79">
        <f t="shared" ref="O28:BZ28" si="44">O27*100/75</f>
        <v>24.525119178584522</v>
      </c>
      <c r="P28" s="79">
        <f t="shared" si="44"/>
        <v>24.748074807480748</v>
      </c>
      <c r="Q28" s="79">
        <f t="shared" si="44"/>
        <v>24.971030436376974</v>
      </c>
      <c r="R28" s="79">
        <f t="shared" si="44"/>
        <v>27.845984598459847</v>
      </c>
      <c r="S28" s="79">
        <f t="shared" si="44"/>
        <v>28.215621562156219</v>
      </c>
      <c r="T28" s="79">
        <f t="shared" si="44"/>
        <v>28.585258525852588</v>
      </c>
      <c r="U28" s="79">
        <f t="shared" si="44"/>
        <v>28.954895489548957</v>
      </c>
      <c r="V28" s="79">
        <f t="shared" si="44"/>
        <v>29.324532453245325</v>
      </c>
      <c r="W28" s="79">
        <f t="shared" si="44"/>
        <v>29.694169416941691</v>
      </c>
      <c r="X28" s="79">
        <f t="shared" si="44"/>
        <v>30.063806380638059</v>
      </c>
      <c r="Y28" s="79">
        <f t="shared" si="44"/>
        <v>30.67986798679868</v>
      </c>
      <c r="Z28" s="79">
        <f t="shared" si="44"/>
        <v>31.295929592959297</v>
      </c>
      <c r="AA28" s="79">
        <f t="shared" si="44"/>
        <v>28.984231756508979</v>
      </c>
      <c r="AB28" s="79">
        <f t="shared" si="44"/>
        <v>29.218921892189215</v>
      </c>
      <c r="AC28" s="79">
        <f t="shared" si="44"/>
        <v>29.570957095709563</v>
      </c>
      <c r="AD28" s="79">
        <f t="shared" si="44"/>
        <v>29.805647231389806</v>
      </c>
      <c r="AE28" s="79">
        <f t="shared" si="44"/>
        <v>30.040337367070038</v>
      </c>
      <c r="AF28" s="79">
        <f t="shared" si="44"/>
        <v>30.157682434910154</v>
      </c>
      <c r="AG28" s="79">
        <f t="shared" si="44"/>
        <v>30.275027502750273</v>
      </c>
      <c r="AH28" s="79">
        <f t="shared" si="44"/>
        <v>30.392372570590386</v>
      </c>
      <c r="AI28" s="79">
        <f t="shared" si="44"/>
        <v>30.509717638430509</v>
      </c>
      <c r="AJ28" s="79">
        <f t="shared" si="44"/>
        <v>30.627062706270625</v>
      </c>
      <c r="AK28" s="79">
        <f t="shared" si="44"/>
        <v>30.744407774110737</v>
      </c>
      <c r="AL28" s="79">
        <f t="shared" si="44"/>
        <v>30.861752841950864</v>
      </c>
      <c r="AM28" s="79">
        <f t="shared" si="44"/>
        <v>31.096442977631092</v>
      </c>
      <c r="AN28" s="79">
        <f t="shared" si="44"/>
        <v>31.331133113311328</v>
      </c>
      <c r="AO28" s="79">
        <f t="shared" si="44"/>
        <v>31.565823248991563</v>
      </c>
      <c r="AP28" s="79">
        <f t="shared" si="44"/>
        <v>31.800513384671795</v>
      </c>
      <c r="AQ28" s="79">
        <f t="shared" si="44"/>
        <v>32.035203520352027</v>
      </c>
      <c r="AR28" s="79">
        <f t="shared" si="44"/>
        <v>32.269893656032266</v>
      </c>
      <c r="AS28" s="79">
        <f t="shared" si="44"/>
        <v>32.504583791712506</v>
      </c>
      <c r="AT28" s="79">
        <f t="shared" si="44"/>
        <v>32.73927392739273</v>
      </c>
      <c r="AU28" s="79">
        <f t="shared" si="44"/>
        <v>32.97396406307297</v>
      </c>
      <c r="AV28" s="79">
        <f t="shared" si="44"/>
        <v>33.208654198753202</v>
      </c>
      <c r="AW28" s="79">
        <f t="shared" si="44"/>
        <v>33.443344334433441</v>
      </c>
      <c r="AX28" s="79">
        <f t="shared" si="44"/>
        <v>33.678034470113673</v>
      </c>
      <c r="AY28" s="79">
        <f t="shared" si="44"/>
        <v>36.330033003300329</v>
      </c>
      <c r="AZ28" s="79">
        <f t="shared" si="44"/>
        <v>36.456178951228452</v>
      </c>
      <c r="BA28" s="79">
        <f t="shared" si="44"/>
        <v>36.582324899156589</v>
      </c>
      <c r="BB28" s="79">
        <f t="shared" si="44"/>
        <v>36.708470847084712</v>
      </c>
      <c r="BC28" s="79">
        <f t="shared" si="44"/>
        <v>36.834616795012835</v>
      </c>
      <c r="BD28" s="79">
        <f t="shared" si="44"/>
        <v>36.960762742940965</v>
      </c>
      <c r="BE28" s="79">
        <f t="shared" si="44"/>
        <v>37.08690869086908</v>
      </c>
      <c r="BF28" s="79">
        <f t="shared" si="44"/>
        <v>37.213054638797217</v>
      </c>
      <c r="BG28" s="79">
        <f t="shared" si="44"/>
        <v>37.33920058672534</v>
      </c>
      <c r="BH28" s="79">
        <f t="shared" si="44"/>
        <v>37.465346534653463</v>
      </c>
      <c r="BI28" s="79">
        <f t="shared" si="44"/>
        <v>37.591492482581593</v>
      </c>
      <c r="BJ28" s="79">
        <f t="shared" si="44"/>
        <v>37.717638430509716</v>
      </c>
      <c r="BK28" s="79">
        <f t="shared" si="44"/>
        <v>37.780711404473777</v>
      </c>
      <c r="BL28" s="79">
        <f t="shared" si="44"/>
        <v>37.843784378437846</v>
      </c>
      <c r="BM28" s="79">
        <f t="shared" si="44"/>
        <v>37.906857352401907</v>
      </c>
      <c r="BN28" s="79">
        <f t="shared" si="44"/>
        <v>37.969930326365976</v>
      </c>
      <c r="BO28" s="79">
        <f t="shared" si="44"/>
        <v>38.03300330033003</v>
      </c>
      <c r="BP28" s="79">
        <f t="shared" si="44"/>
        <v>38.096076274294091</v>
      </c>
      <c r="BQ28" s="79">
        <f t="shared" si="44"/>
        <v>38.15914924825816</v>
      </c>
      <c r="BR28" s="79">
        <f t="shared" si="44"/>
        <v>38.222222222222229</v>
      </c>
      <c r="BS28" s="79">
        <f t="shared" si="44"/>
        <v>38.28529519618629</v>
      </c>
      <c r="BT28" s="79">
        <f t="shared" si="44"/>
        <v>38.348368170150344</v>
      </c>
      <c r="BU28" s="79">
        <f t="shared" si="44"/>
        <v>38.411441144114413</v>
      </c>
      <c r="BV28" s="79">
        <f t="shared" si="44"/>
        <v>38.474514118078474</v>
      </c>
      <c r="BW28" s="79">
        <f t="shared" si="44"/>
        <v>38.537587092042543</v>
      </c>
      <c r="BX28" s="79">
        <f t="shared" si="44"/>
        <v>38.600660066006604</v>
      </c>
      <c r="BY28" s="79">
        <f t="shared" si="44"/>
        <v>38.663733039970666</v>
      </c>
      <c r="BZ28" s="79">
        <f t="shared" si="44"/>
        <v>38.72680601393472</v>
      </c>
      <c r="CA28" s="79">
        <f t="shared" ref="CA28:DE28" si="45">CA27*100/75</f>
        <v>38.789878987898788</v>
      </c>
      <c r="CB28" s="79">
        <f t="shared" si="45"/>
        <v>38.852951961862857</v>
      </c>
      <c r="CC28" s="79">
        <f t="shared" si="45"/>
        <v>38.916024935826918</v>
      </c>
      <c r="CD28" s="79">
        <f t="shared" si="45"/>
        <v>38.97909790979098</v>
      </c>
      <c r="CE28" s="79">
        <f t="shared" si="45"/>
        <v>39.042170883755041</v>
      </c>
      <c r="CF28" s="79">
        <f t="shared" si="45"/>
        <v>39.559955995599566</v>
      </c>
      <c r="CG28" s="79">
        <f t="shared" si="45"/>
        <v>39.623762376237629</v>
      </c>
      <c r="CH28" s="79">
        <f t="shared" si="45"/>
        <v>39.687568756875685</v>
      </c>
      <c r="CI28" s="79">
        <f t="shared" si="45"/>
        <v>39.751375137513747</v>
      </c>
      <c r="CJ28" s="79">
        <f t="shared" si="45"/>
        <v>39.815181518151817</v>
      </c>
      <c r="CK28" s="79">
        <f t="shared" si="45"/>
        <v>39.87898789878988</v>
      </c>
      <c r="CL28" s="79">
        <f t="shared" si="45"/>
        <v>39.942794279427943</v>
      </c>
      <c r="CM28" s="79">
        <f t="shared" si="45"/>
        <v>40.006600660066006</v>
      </c>
      <c r="CN28" s="79">
        <f t="shared" si="45"/>
        <v>40.070407040704069</v>
      </c>
      <c r="CO28" s="79">
        <f t="shared" si="45"/>
        <v>40.134213421342132</v>
      </c>
      <c r="CP28" s="79">
        <f t="shared" si="45"/>
        <v>40.198019801980202</v>
      </c>
      <c r="CQ28" s="79">
        <f t="shared" si="45"/>
        <v>40.261826182618258</v>
      </c>
      <c r="CR28" s="79">
        <f t="shared" si="45"/>
        <v>40.325632563256328</v>
      </c>
      <c r="CS28" s="79">
        <f t="shared" si="45"/>
        <v>40.38943894389439</v>
      </c>
      <c r="CT28" s="79">
        <f t="shared" si="45"/>
        <v>40.453245324532446</v>
      </c>
      <c r="CU28" s="79">
        <f t="shared" si="45"/>
        <v>40.517051705170516</v>
      </c>
      <c r="CV28" s="79">
        <f t="shared" si="45"/>
        <v>40.580858085808586</v>
      </c>
      <c r="CW28" s="79">
        <f t="shared" si="45"/>
        <v>40.644664466446642</v>
      </c>
      <c r="CX28" s="79">
        <f t="shared" si="45"/>
        <v>40.708470847084712</v>
      </c>
      <c r="CY28" s="79">
        <f t="shared" si="45"/>
        <v>40.772277227722768</v>
      </c>
      <c r="CZ28" s="79">
        <f t="shared" si="45"/>
        <v>40.836083608360838</v>
      </c>
      <c r="DA28" s="79">
        <f t="shared" si="45"/>
        <v>40.899889988998908</v>
      </c>
      <c r="DB28" s="79">
        <f t="shared" si="45"/>
        <v>40.963696369636963</v>
      </c>
      <c r="DC28" s="79">
        <f t="shared" si="45"/>
        <v>41.027502750275019</v>
      </c>
      <c r="DD28" s="79">
        <f t="shared" si="45"/>
        <v>41.091309130913096</v>
      </c>
      <c r="DE28" s="79">
        <f t="shared" si="45"/>
        <v>41.155115511551159</v>
      </c>
      <c r="DF28" s="79">
        <f>DF27*100/75</f>
        <v>41.218921892189222</v>
      </c>
    </row>
    <row r="29" spans="1:110" ht="12" customHeight="1">
      <c r="A29" s="239" t="s">
        <v>246</v>
      </c>
      <c r="B29" s="236" t="s">
        <v>244</v>
      </c>
      <c r="C29" s="79">
        <f>IF((C28-49.5)&lt;0,0,(C28-49.5))</f>
        <v>0</v>
      </c>
      <c r="D29" s="79">
        <f t="shared" ref="D29:BO29" si="46">IF((D28-49.5)&lt;0,0,(D28-49.5))</f>
        <v>0</v>
      </c>
      <c r="E29" s="79">
        <f t="shared" si="46"/>
        <v>0</v>
      </c>
      <c r="F29" s="79">
        <f t="shared" si="46"/>
        <v>0</v>
      </c>
      <c r="G29" s="79">
        <f t="shared" si="46"/>
        <v>0</v>
      </c>
      <c r="H29" s="79">
        <f t="shared" si="46"/>
        <v>0</v>
      </c>
      <c r="I29" s="79">
        <f t="shared" si="46"/>
        <v>0</v>
      </c>
      <c r="J29" s="79">
        <f t="shared" si="46"/>
        <v>0</v>
      </c>
      <c r="K29" s="79">
        <f t="shared" si="46"/>
        <v>0</v>
      </c>
      <c r="L29" s="79">
        <f t="shared" si="46"/>
        <v>0</v>
      </c>
      <c r="M29" s="79">
        <f t="shared" si="46"/>
        <v>0</v>
      </c>
      <c r="N29" s="79">
        <f t="shared" si="46"/>
        <v>0</v>
      </c>
      <c r="O29" s="79">
        <f t="shared" si="46"/>
        <v>0</v>
      </c>
      <c r="P29" s="79">
        <f t="shared" si="46"/>
        <v>0</v>
      </c>
      <c r="Q29" s="79">
        <f t="shared" si="46"/>
        <v>0</v>
      </c>
      <c r="R29" s="79">
        <f t="shared" si="46"/>
        <v>0</v>
      </c>
      <c r="S29" s="79">
        <f t="shared" si="46"/>
        <v>0</v>
      </c>
      <c r="T29" s="79">
        <f t="shared" si="46"/>
        <v>0</v>
      </c>
      <c r="U29" s="79">
        <f t="shared" si="46"/>
        <v>0</v>
      </c>
      <c r="V29" s="79">
        <f t="shared" si="46"/>
        <v>0</v>
      </c>
      <c r="W29" s="79">
        <f t="shared" si="46"/>
        <v>0</v>
      </c>
      <c r="X29" s="79">
        <f t="shared" si="46"/>
        <v>0</v>
      </c>
      <c r="Y29" s="79">
        <f t="shared" si="46"/>
        <v>0</v>
      </c>
      <c r="Z29" s="79">
        <f t="shared" si="46"/>
        <v>0</v>
      </c>
      <c r="AA29" s="79">
        <f t="shared" si="46"/>
        <v>0</v>
      </c>
      <c r="AB29" s="79">
        <f t="shared" si="46"/>
        <v>0</v>
      </c>
      <c r="AC29" s="79">
        <f t="shared" si="46"/>
        <v>0</v>
      </c>
      <c r="AD29" s="79">
        <f t="shared" si="46"/>
        <v>0</v>
      </c>
      <c r="AE29" s="79">
        <f t="shared" si="46"/>
        <v>0</v>
      </c>
      <c r="AF29" s="79">
        <f t="shared" si="46"/>
        <v>0</v>
      </c>
      <c r="AG29" s="79">
        <f t="shared" si="46"/>
        <v>0</v>
      </c>
      <c r="AH29" s="79">
        <f t="shared" si="46"/>
        <v>0</v>
      </c>
      <c r="AI29" s="79">
        <f t="shared" si="46"/>
        <v>0</v>
      </c>
      <c r="AJ29" s="79">
        <f t="shared" si="46"/>
        <v>0</v>
      </c>
      <c r="AK29" s="79">
        <f t="shared" si="46"/>
        <v>0</v>
      </c>
      <c r="AL29" s="79">
        <f t="shared" si="46"/>
        <v>0</v>
      </c>
      <c r="AM29" s="79">
        <f t="shared" si="46"/>
        <v>0</v>
      </c>
      <c r="AN29" s="79">
        <f t="shared" si="46"/>
        <v>0</v>
      </c>
      <c r="AO29" s="79">
        <f t="shared" si="46"/>
        <v>0</v>
      </c>
      <c r="AP29" s="79">
        <f t="shared" si="46"/>
        <v>0</v>
      </c>
      <c r="AQ29" s="79">
        <f t="shared" si="46"/>
        <v>0</v>
      </c>
      <c r="AR29" s="79">
        <f t="shared" si="46"/>
        <v>0</v>
      </c>
      <c r="AS29" s="79">
        <f t="shared" si="46"/>
        <v>0</v>
      </c>
      <c r="AT29" s="79">
        <f t="shared" si="46"/>
        <v>0</v>
      </c>
      <c r="AU29" s="79">
        <f t="shared" si="46"/>
        <v>0</v>
      </c>
      <c r="AV29" s="79">
        <f t="shared" si="46"/>
        <v>0</v>
      </c>
      <c r="AW29" s="79">
        <f t="shared" si="46"/>
        <v>0</v>
      </c>
      <c r="AX29" s="79">
        <f t="shared" si="46"/>
        <v>0</v>
      </c>
      <c r="AY29" s="79">
        <f t="shared" si="46"/>
        <v>0</v>
      </c>
      <c r="AZ29" s="79">
        <f t="shared" si="46"/>
        <v>0</v>
      </c>
      <c r="BA29" s="79">
        <f t="shared" si="46"/>
        <v>0</v>
      </c>
      <c r="BB29" s="79">
        <f t="shared" si="46"/>
        <v>0</v>
      </c>
      <c r="BC29" s="79">
        <f t="shared" si="46"/>
        <v>0</v>
      </c>
      <c r="BD29" s="79">
        <f t="shared" si="46"/>
        <v>0</v>
      </c>
      <c r="BE29" s="79">
        <f t="shared" si="46"/>
        <v>0</v>
      </c>
      <c r="BF29" s="79">
        <f t="shared" si="46"/>
        <v>0</v>
      </c>
      <c r="BG29" s="79">
        <f t="shared" si="46"/>
        <v>0</v>
      </c>
      <c r="BH29" s="79">
        <f t="shared" si="46"/>
        <v>0</v>
      </c>
      <c r="BI29" s="79">
        <f t="shared" si="46"/>
        <v>0</v>
      </c>
      <c r="BJ29" s="79">
        <f t="shared" si="46"/>
        <v>0</v>
      </c>
      <c r="BK29" s="79">
        <f t="shared" si="46"/>
        <v>0</v>
      </c>
      <c r="BL29" s="79">
        <f t="shared" si="46"/>
        <v>0</v>
      </c>
      <c r="BM29" s="79">
        <f t="shared" si="46"/>
        <v>0</v>
      </c>
      <c r="BN29" s="79">
        <f t="shared" si="46"/>
        <v>0</v>
      </c>
      <c r="BO29" s="79">
        <f t="shared" si="46"/>
        <v>0</v>
      </c>
      <c r="BP29" s="79">
        <f t="shared" ref="BP29:DF29" si="47">IF((BP28-49.5)&lt;0,0,(BP28-49.5))</f>
        <v>0</v>
      </c>
      <c r="BQ29" s="79">
        <f t="shared" si="47"/>
        <v>0</v>
      </c>
      <c r="BR29" s="79">
        <f t="shared" si="47"/>
        <v>0</v>
      </c>
      <c r="BS29" s="79">
        <f t="shared" si="47"/>
        <v>0</v>
      </c>
      <c r="BT29" s="79">
        <f t="shared" si="47"/>
        <v>0</v>
      </c>
      <c r="BU29" s="79">
        <f t="shared" si="47"/>
        <v>0</v>
      </c>
      <c r="BV29" s="79">
        <f t="shared" si="47"/>
        <v>0</v>
      </c>
      <c r="BW29" s="79">
        <f t="shared" si="47"/>
        <v>0</v>
      </c>
      <c r="BX29" s="79">
        <f t="shared" si="47"/>
        <v>0</v>
      </c>
      <c r="BY29" s="79">
        <f t="shared" si="47"/>
        <v>0</v>
      </c>
      <c r="BZ29" s="79">
        <f t="shared" si="47"/>
        <v>0</v>
      </c>
      <c r="CA29" s="79">
        <f t="shared" si="47"/>
        <v>0</v>
      </c>
      <c r="CB29" s="79">
        <f t="shared" si="47"/>
        <v>0</v>
      </c>
      <c r="CC29" s="79">
        <f t="shared" si="47"/>
        <v>0</v>
      </c>
      <c r="CD29" s="79">
        <f t="shared" si="47"/>
        <v>0</v>
      </c>
      <c r="CE29" s="79">
        <f t="shared" si="47"/>
        <v>0</v>
      </c>
      <c r="CF29" s="79">
        <f t="shared" si="47"/>
        <v>0</v>
      </c>
      <c r="CG29" s="79">
        <f t="shared" si="47"/>
        <v>0</v>
      </c>
      <c r="CH29" s="79">
        <f t="shared" si="47"/>
        <v>0</v>
      </c>
      <c r="CI29" s="79">
        <f t="shared" si="47"/>
        <v>0</v>
      </c>
      <c r="CJ29" s="79">
        <f t="shared" si="47"/>
        <v>0</v>
      </c>
      <c r="CK29" s="79">
        <f t="shared" si="47"/>
        <v>0</v>
      </c>
      <c r="CL29" s="79">
        <f t="shared" si="47"/>
        <v>0</v>
      </c>
      <c r="CM29" s="79">
        <f t="shared" si="47"/>
        <v>0</v>
      </c>
      <c r="CN29" s="79">
        <f t="shared" si="47"/>
        <v>0</v>
      </c>
      <c r="CO29" s="79">
        <f t="shared" si="47"/>
        <v>0</v>
      </c>
      <c r="CP29" s="79">
        <f t="shared" si="47"/>
        <v>0</v>
      </c>
      <c r="CQ29" s="79">
        <f t="shared" si="47"/>
        <v>0</v>
      </c>
      <c r="CR29" s="79">
        <f t="shared" si="47"/>
        <v>0</v>
      </c>
      <c r="CS29" s="79">
        <f t="shared" si="47"/>
        <v>0</v>
      </c>
      <c r="CT29" s="79">
        <f t="shared" si="47"/>
        <v>0</v>
      </c>
      <c r="CU29" s="79">
        <f t="shared" si="47"/>
        <v>0</v>
      </c>
      <c r="CV29" s="79">
        <f t="shared" si="47"/>
        <v>0</v>
      </c>
      <c r="CW29" s="79">
        <f t="shared" si="47"/>
        <v>0</v>
      </c>
      <c r="CX29" s="79">
        <f t="shared" si="47"/>
        <v>0</v>
      </c>
      <c r="CY29" s="79">
        <f t="shared" si="47"/>
        <v>0</v>
      </c>
      <c r="CZ29" s="79">
        <f t="shared" si="47"/>
        <v>0</v>
      </c>
      <c r="DA29" s="79">
        <f t="shared" si="47"/>
        <v>0</v>
      </c>
      <c r="DB29" s="79">
        <f t="shared" si="47"/>
        <v>0</v>
      </c>
      <c r="DC29" s="79">
        <f t="shared" si="47"/>
        <v>0</v>
      </c>
      <c r="DD29" s="79">
        <f t="shared" si="47"/>
        <v>0</v>
      </c>
      <c r="DE29" s="79">
        <f t="shared" si="47"/>
        <v>0</v>
      </c>
      <c r="DF29" s="79">
        <f t="shared" si="47"/>
        <v>0</v>
      </c>
    </row>
    <row r="30" spans="1:110" s="81" customFormat="1" ht="12" customHeight="1">
      <c r="O30" s="81" t="s">
        <v>46</v>
      </c>
      <c r="P30" s="81" t="s">
        <v>46</v>
      </c>
      <c r="Q30" s="81" t="s">
        <v>46</v>
      </c>
      <c r="R30" s="81" t="s">
        <v>46</v>
      </c>
      <c r="S30" s="81" t="s">
        <v>46</v>
      </c>
      <c r="T30" s="81" t="s">
        <v>46</v>
      </c>
      <c r="U30" s="81" t="s">
        <v>46</v>
      </c>
      <c r="V30" s="81" t="s">
        <v>46</v>
      </c>
      <c r="W30" s="81" t="s">
        <v>46</v>
      </c>
      <c r="X30" s="81" t="s">
        <v>46</v>
      </c>
      <c r="Y30" s="81" t="s">
        <v>46</v>
      </c>
      <c r="Z30" s="81" t="s">
        <v>46</v>
      </c>
      <c r="AA30" s="81" t="s">
        <v>47</v>
      </c>
      <c r="AB30" s="81" t="s">
        <v>47</v>
      </c>
      <c r="AC30" s="81" t="s">
        <v>47</v>
      </c>
      <c r="AD30" s="81" t="s">
        <v>47</v>
      </c>
      <c r="AE30" s="81" t="s">
        <v>47</v>
      </c>
      <c r="AF30" s="81" t="s">
        <v>47</v>
      </c>
      <c r="AG30" s="81" t="s">
        <v>47</v>
      </c>
      <c r="AH30" s="81" t="s">
        <v>47</v>
      </c>
      <c r="AI30" s="81" t="s">
        <v>47</v>
      </c>
      <c r="AJ30" s="81" t="s">
        <v>47</v>
      </c>
      <c r="AK30" s="81" t="s">
        <v>47</v>
      </c>
      <c r="AL30" s="81" t="s">
        <v>47</v>
      </c>
      <c r="AM30" s="81" t="s">
        <v>48</v>
      </c>
      <c r="AN30" s="81" t="s">
        <v>48</v>
      </c>
      <c r="AO30" s="81" t="s">
        <v>48</v>
      </c>
      <c r="AP30" s="81" t="s">
        <v>48</v>
      </c>
      <c r="AQ30" s="81" t="s">
        <v>48</v>
      </c>
      <c r="AR30" s="81" t="s">
        <v>48</v>
      </c>
      <c r="AS30" s="81" t="s">
        <v>48</v>
      </c>
      <c r="AT30" s="81" t="s">
        <v>48</v>
      </c>
      <c r="AU30" s="81" t="s">
        <v>48</v>
      </c>
      <c r="AV30" s="81" t="s">
        <v>48</v>
      </c>
      <c r="AW30" s="81" t="s">
        <v>48</v>
      </c>
      <c r="AX30" s="81" t="s">
        <v>48</v>
      </c>
      <c r="AY30" s="81" t="s">
        <v>49</v>
      </c>
      <c r="AZ30" s="81" t="s">
        <v>49</v>
      </c>
      <c r="BA30" s="81" t="s">
        <v>49</v>
      </c>
      <c r="BB30" s="81" t="s">
        <v>49</v>
      </c>
      <c r="BC30" s="81" t="s">
        <v>49</v>
      </c>
      <c r="BD30" s="81" t="s">
        <v>49</v>
      </c>
      <c r="BE30" s="81" t="s">
        <v>49</v>
      </c>
      <c r="BF30" s="81" t="s">
        <v>49</v>
      </c>
      <c r="BG30" s="81" t="s">
        <v>49</v>
      </c>
      <c r="BH30" s="81" t="s">
        <v>49</v>
      </c>
      <c r="BI30" s="81" t="s">
        <v>49</v>
      </c>
      <c r="BJ30" s="81" t="s">
        <v>49</v>
      </c>
      <c r="BK30" s="81" t="s">
        <v>50</v>
      </c>
      <c r="BL30" s="81" t="s">
        <v>50</v>
      </c>
      <c r="BM30" s="81" t="s">
        <v>50</v>
      </c>
      <c r="BN30" s="81" t="s">
        <v>50</v>
      </c>
      <c r="BO30" s="81" t="s">
        <v>50</v>
      </c>
      <c r="BP30" s="81" t="s">
        <v>50</v>
      </c>
      <c r="BQ30" s="81" t="s">
        <v>50</v>
      </c>
      <c r="BR30" s="81" t="s">
        <v>50</v>
      </c>
      <c r="BS30" s="81" t="s">
        <v>50</v>
      </c>
      <c r="BT30" s="81" t="s">
        <v>50</v>
      </c>
      <c r="BU30" s="81" t="s">
        <v>50</v>
      </c>
      <c r="BV30" s="81" t="s">
        <v>50</v>
      </c>
      <c r="BW30" s="81" t="s">
        <v>51</v>
      </c>
      <c r="BX30" s="81" t="s">
        <v>51</v>
      </c>
      <c r="BY30" s="81" t="s">
        <v>51</v>
      </c>
      <c r="BZ30" s="81" t="s">
        <v>51</v>
      </c>
      <c r="CA30" s="81" t="s">
        <v>51</v>
      </c>
      <c r="CB30" s="81" t="s">
        <v>51</v>
      </c>
      <c r="CC30" s="81" t="s">
        <v>51</v>
      </c>
      <c r="CD30" s="81" t="s">
        <v>51</v>
      </c>
      <c r="CE30" s="81" t="s">
        <v>51</v>
      </c>
      <c r="CF30" s="81" t="s">
        <v>51</v>
      </c>
      <c r="CG30" s="81" t="s">
        <v>51</v>
      </c>
      <c r="CH30" s="81" t="s">
        <v>51</v>
      </c>
      <c r="CI30" s="81" t="s">
        <v>52</v>
      </c>
      <c r="CJ30" s="81" t="s">
        <v>52</v>
      </c>
      <c r="CK30" s="81" t="s">
        <v>52</v>
      </c>
      <c r="CL30" s="81" t="s">
        <v>52</v>
      </c>
      <c r="CM30" s="81" t="s">
        <v>52</v>
      </c>
      <c r="CN30" s="81" t="s">
        <v>52</v>
      </c>
      <c r="CO30" s="81" t="s">
        <v>52</v>
      </c>
      <c r="CP30" s="81" t="s">
        <v>52</v>
      </c>
      <c r="CQ30" s="81" t="s">
        <v>52</v>
      </c>
      <c r="CR30" s="81" t="s">
        <v>52</v>
      </c>
      <c r="CS30" s="81" t="s">
        <v>52</v>
      </c>
      <c r="CT30" s="81" t="s">
        <v>52</v>
      </c>
      <c r="CU30" s="81" t="s">
        <v>53</v>
      </c>
      <c r="CV30" s="81" t="s">
        <v>53</v>
      </c>
      <c r="CW30" s="81" t="s">
        <v>53</v>
      </c>
      <c r="CX30" s="81" t="s">
        <v>53</v>
      </c>
      <c r="CY30" s="81" t="s">
        <v>53</v>
      </c>
      <c r="CZ30" s="81" t="s">
        <v>53</v>
      </c>
      <c r="DA30" s="81" t="s">
        <v>53</v>
      </c>
      <c r="DB30" s="81" t="s">
        <v>53</v>
      </c>
      <c r="DC30" s="81" t="s">
        <v>53</v>
      </c>
      <c r="DD30" s="81" t="s">
        <v>53</v>
      </c>
      <c r="DE30" s="81" t="s">
        <v>53</v>
      </c>
      <c r="DF30" s="81" t="s">
        <v>53</v>
      </c>
    </row>
    <row r="31" spans="1:110" ht="12" customHeight="1">
      <c r="O31" s="79">
        <f t="shared" ref="O31:BZ31" si="48">49.5-O27</f>
        <v>31.106160616061608</v>
      </c>
      <c r="P31" s="79">
        <f t="shared" si="48"/>
        <v>30.938943894389439</v>
      </c>
      <c r="Q31" s="79">
        <f t="shared" si="48"/>
        <v>30.77172717271727</v>
      </c>
      <c r="R31" s="79">
        <f t="shared" si="48"/>
        <v>28.615511551155116</v>
      </c>
      <c r="S31" s="79">
        <f t="shared" si="48"/>
        <v>28.338283828382838</v>
      </c>
      <c r="T31" s="79">
        <f t="shared" si="48"/>
        <v>28.061056105610561</v>
      </c>
      <c r="U31" s="79">
        <f t="shared" si="48"/>
        <v>27.783828382838283</v>
      </c>
      <c r="V31" s="79">
        <f t="shared" si="48"/>
        <v>27.506600660066006</v>
      </c>
      <c r="W31" s="79">
        <f t="shared" si="48"/>
        <v>27.229372937293732</v>
      </c>
      <c r="X31" s="79">
        <f t="shared" si="48"/>
        <v>26.952145214521455</v>
      </c>
      <c r="Y31" s="79">
        <f t="shared" si="48"/>
        <v>26.490099009900991</v>
      </c>
      <c r="Z31" s="79">
        <f t="shared" si="48"/>
        <v>26.028052805280527</v>
      </c>
      <c r="AA31" s="79">
        <f t="shared" si="48"/>
        <v>27.761826182618265</v>
      </c>
      <c r="AB31" s="79">
        <f t="shared" si="48"/>
        <v>27.585808580858089</v>
      </c>
      <c r="AC31" s="79">
        <f t="shared" si="48"/>
        <v>27.321782178217827</v>
      </c>
      <c r="AD31" s="79">
        <f t="shared" si="48"/>
        <v>27.145764576457648</v>
      </c>
      <c r="AE31" s="79">
        <f t="shared" si="48"/>
        <v>26.969746974697472</v>
      </c>
      <c r="AF31" s="79">
        <f t="shared" si="48"/>
        <v>26.881738173817386</v>
      </c>
      <c r="AG31" s="79">
        <f t="shared" si="48"/>
        <v>26.793729372937296</v>
      </c>
      <c r="AH31" s="79">
        <f t="shared" si="48"/>
        <v>26.70572057205721</v>
      </c>
      <c r="AI31" s="79">
        <f t="shared" si="48"/>
        <v>26.61771177117712</v>
      </c>
      <c r="AJ31" s="79">
        <f t="shared" si="48"/>
        <v>26.529702970297031</v>
      </c>
      <c r="AK31" s="79">
        <f t="shared" si="48"/>
        <v>26.441694169416945</v>
      </c>
      <c r="AL31" s="79">
        <f t="shared" si="48"/>
        <v>26.353685368536855</v>
      </c>
      <c r="AM31" s="79">
        <f t="shared" si="48"/>
        <v>26.177667766776683</v>
      </c>
      <c r="AN31" s="79">
        <f t="shared" si="48"/>
        <v>26.001650165016503</v>
      </c>
      <c r="AO31" s="79">
        <f t="shared" si="48"/>
        <v>25.825632563256328</v>
      </c>
      <c r="AP31" s="79">
        <f t="shared" si="48"/>
        <v>25.649614961496155</v>
      </c>
      <c r="AQ31" s="79">
        <f t="shared" si="48"/>
        <v>25.473597359735976</v>
      </c>
      <c r="AR31" s="79">
        <f t="shared" si="48"/>
        <v>25.2975797579758</v>
      </c>
      <c r="AS31" s="79">
        <f t="shared" si="48"/>
        <v>25.121562156215624</v>
      </c>
      <c r="AT31" s="79">
        <f t="shared" si="48"/>
        <v>24.945544554455449</v>
      </c>
      <c r="AU31" s="79">
        <f t="shared" si="48"/>
        <v>24.769526952695273</v>
      </c>
      <c r="AV31" s="79">
        <f t="shared" si="48"/>
        <v>24.593509350935097</v>
      </c>
      <c r="AW31" s="79">
        <f t="shared" si="48"/>
        <v>24.417491749174921</v>
      </c>
      <c r="AX31" s="79">
        <f t="shared" si="48"/>
        <v>24.241474147414745</v>
      </c>
      <c r="AY31" s="79">
        <f t="shared" si="48"/>
        <v>22.252475247524753</v>
      </c>
      <c r="AZ31" s="79">
        <f t="shared" si="48"/>
        <v>22.157865786578657</v>
      </c>
      <c r="BA31" s="79">
        <f t="shared" si="48"/>
        <v>22.063256325632562</v>
      </c>
      <c r="BB31" s="79">
        <f t="shared" si="48"/>
        <v>21.968646864686466</v>
      </c>
      <c r="BC31" s="79">
        <f t="shared" si="48"/>
        <v>21.874037403740374</v>
      </c>
      <c r="BD31" s="79">
        <f t="shared" si="48"/>
        <v>21.779427942794278</v>
      </c>
      <c r="BE31" s="79">
        <f t="shared" si="48"/>
        <v>21.684818481848186</v>
      </c>
      <c r="BF31" s="79">
        <f t="shared" si="48"/>
        <v>21.59020902090209</v>
      </c>
      <c r="BG31" s="79">
        <f t="shared" si="48"/>
        <v>21.495599559955995</v>
      </c>
      <c r="BH31" s="79">
        <f t="shared" si="48"/>
        <v>21.400990099009903</v>
      </c>
      <c r="BI31" s="79">
        <f t="shared" si="48"/>
        <v>21.306380638063807</v>
      </c>
      <c r="BJ31" s="79">
        <f t="shared" si="48"/>
        <v>21.211771177117711</v>
      </c>
      <c r="BK31" s="79">
        <f t="shared" si="48"/>
        <v>21.164466446644663</v>
      </c>
      <c r="BL31" s="79">
        <f t="shared" si="48"/>
        <v>21.117161716171616</v>
      </c>
      <c r="BM31" s="79">
        <f t="shared" si="48"/>
        <v>21.069856985698571</v>
      </c>
      <c r="BN31" s="79">
        <f t="shared" si="48"/>
        <v>21.02255225522552</v>
      </c>
      <c r="BO31" s="79">
        <f t="shared" si="48"/>
        <v>20.975247524752476</v>
      </c>
      <c r="BP31" s="79">
        <f t="shared" si="48"/>
        <v>20.927942794279428</v>
      </c>
      <c r="BQ31" s="79">
        <f t="shared" si="48"/>
        <v>20.880638063806384</v>
      </c>
      <c r="BR31" s="79">
        <f t="shared" si="48"/>
        <v>20.833333333333332</v>
      </c>
      <c r="BS31" s="79">
        <f t="shared" si="48"/>
        <v>20.786028602860284</v>
      </c>
      <c r="BT31" s="79">
        <f t="shared" si="48"/>
        <v>20.73872387238724</v>
      </c>
      <c r="BU31" s="79">
        <f t="shared" si="48"/>
        <v>20.691419141914189</v>
      </c>
      <c r="BV31" s="79">
        <f t="shared" si="48"/>
        <v>20.644114411441144</v>
      </c>
      <c r="BW31" s="79">
        <f t="shared" si="48"/>
        <v>20.596809680968097</v>
      </c>
      <c r="BX31" s="79">
        <f t="shared" si="48"/>
        <v>20.549504950495049</v>
      </c>
      <c r="BY31" s="79">
        <f t="shared" si="48"/>
        <v>20.502200220022001</v>
      </c>
      <c r="BZ31" s="79">
        <f t="shared" si="48"/>
        <v>20.454895489548957</v>
      </c>
      <c r="CA31" s="79">
        <f t="shared" ref="CA31:DE31" si="49">49.5-CA27</f>
        <v>20.407590759075909</v>
      </c>
      <c r="CB31" s="79">
        <f t="shared" si="49"/>
        <v>20.360286028602857</v>
      </c>
      <c r="CC31" s="79">
        <f t="shared" si="49"/>
        <v>20.312981298129813</v>
      </c>
      <c r="CD31" s="79">
        <f t="shared" si="49"/>
        <v>20.265676567656765</v>
      </c>
      <c r="CE31" s="79">
        <f t="shared" si="49"/>
        <v>20.218371837183717</v>
      </c>
      <c r="CF31" s="79">
        <f t="shared" si="49"/>
        <v>19.830033003300329</v>
      </c>
      <c r="CG31" s="79">
        <f t="shared" si="49"/>
        <v>19.78217821782178</v>
      </c>
      <c r="CH31" s="79">
        <f t="shared" si="49"/>
        <v>19.734323432343235</v>
      </c>
      <c r="CI31" s="79">
        <f t="shared" si="49"/>
        <v>19.686468646864686</v>
      </c>
      <c r="CJ31" s="79">
        <f t="shared" si="49"/>
        <v>19.638613861386137</v>
      </c>
      <c r="CK31" s="79">
        <f t="shared" si="49"/>
        <v>19.590759075907592</v>
      </c>
      <c r="CL31" s="79">
        <f t="shared" si="49"/>
        <v>19.542904290429043</v>
      </c>
      <c r="CM31" s="79">
        <f t="shared" si="49"/>
        <v>19.495049504950494</v>
      </c>
      <c r="CN31" s="79">
        <f t="shared" si="49"/>
        <v>19.447194719471948</v>
      </c>
      <c r="CO31" s="79">
        <f t="shared" si="49"/>
        <v>19.399339933993399</v>
      </c>
      <c r="CP31" s="79">
        <f t="shared" si="49"/>
        <v>19.35148514851485</v>
      </c>
      <c r="CQ31" s="79">
        <f t="shared" si="49"/>
        <v>19.303630363036305</v>
      </c>
      <c r="CR31" s="79">
        <f t="shared" si="49"/>
        <v>19.255775577557756</v>
      </c>
      <c r="CS31" s="79">
        <f t="shared" si="49"/>
        <v>19.207920792079207</v>
      </c>
      <c r="CT31" s="79">
        <f t="shared" si="49"/>
        <v>19.160066006600662</v>
      </c>
      <c r="CU31" s="79">
        <f t="shared" si="49"/>
        <v>19.112211221122109</v>
      </c>
      <c r="CV31" s="79">
        <f t="shared" si="49"/>
        <v>19.064356435643564</v>
      </c>
      <c r="CW31" s="79">
        <f t="shared" si="49"/>
        <v>19.016501650165019</v>
      </c>
      <c r="CX31" s="79">
        <f t="shared" si="49"/>
        <v>18.968646864686466</v>
      </c>
      <c r="CY31" s="79">
        <f t="shared" si="49"/>
        <v>18.920792079207921</v>
      </c>
      <c r="CZ31" s="79">
        <f t="shared" si="49"/>
        <v>18.872937293729375</v>
      </c>
      <c r="DA31" s="79">
        <f t="shared" si="49"/>
        <v>18.825082508250823</v>
      </c>
      <c r="DB31" s="79">
        <f t="shared" si="49"/>
        <v>18.777227722772277</v>
      </c>
      <c r="DC31" s="79">
        <f t="shared" si="49"/>
        <v>18.729372937293732</v>
      </c>
      <c r="DD31" s="79">
        <f t="shared" si="49"/>
        <v>18.68151815181518</v>
      </c>
      <c r="DE31" s="79">
        <f t="shared" si="49"/>
        <v>18.633663366336634</v>
      </c>
      <c r="DF31" s="79">
        <f>49.5-DF27</f>
        <v>18.585808580858085</v>
      </c>
    </row>
    <row r="32" spans="1:110" ht="12" customHeight="1">
      <c r="O32" s="34">
        <f t="shared" ref="O32:BZ32" si="50">O31/49.5%</f>
        <v>62.840728517296178</v>
      </c>
      <c r="P32" s="34">
        <f t="shared" si="50"/>
        <v>62.502916958362505</v>
      </c>
      <c r="Q32" s="34">
        <f t="shared" si="50"/>
        <v>62.165105399428832</v>
      </c>
      <c r="R32" s="34">
        <f t="shared" si="50"/>
        <v>57.809114244757808</v>
      </c>
      <c r="S32" s="34">
        <f t="shared" si="50"/>
        <v>57.24905823915725</v>
      </c>
      <c r="T32" s="34">
        <f t="shared" si="50"/>
        <v>56.689002233556693</v>
      </c>
      <c r="U32" s="34">
        <f t="shared" si="50"/>
        <v>56.128946227956128</v>
      </c>
      <c r="V32" s="34">
        <f t="shared" si="50"/>
        <v>55.56889022235557</v>
      </c>
      <c r="W32" s="34">
        <f t="shared" si="50"/>
        <v>55.008834216755012</v>
      </c>
      <c r="X32" s="34">
        <f t="shared" si="50"/>
        <v>54.448778211154455</v>
      </c>
      <c r="Y32" s="34">
        <f t="shared" si="50"/>
        <v>53.515351535153521</v>
      </c>
      <c r="Z32" s="34">
        <f t="shared" si="50"/>
        <v>52.581924859152579</v>
      </c>
      <c r="AA32" s="34">
        <f t="shared" si="50"/>
        <v>56.084497338622761</v>
      </c>
      <c r="AB32" s="34">
        <f t="shared" si="50"/>
        <v>55.728906223955732</v>
      </c>
      <c r="AC32" s="34">
        <f t="shared" si="50"/>
        <v>55.195519551955208</v>
      </c>
      <c r="AD32" s="34">
        <f t="shared" si="50"/>
        <v>54.839928437288179</v>
      </c>
      <c r="AE32" s="34">
        <f t="shared" si="50"/>
        <v>54.484337322621158</v>
      </c>
      <c r="AF32" s="34">
        <f t="shared" si="50"/>
        <v>54.306541765287648</v>
      </c>
      <c r="AG32" s="34">
        <f t="shared" si="50"/>
        <v>54.128746207954137</v>
      </c>
      <c r="AH32" s="34">
        <f t="shared" si="50"/>
        <v>53.950950650620626</v>
      </c>
      <c r="AI32" s="34">
        <f t="shared" si="50"/>
        <v>53.773155093287109</v>
      </c>
      <c r="AJ32" s="34">
        <f t="shared" si="50"/>
        <v>53.595359535953598</v>
      </c>
      <c r="AK32" s="34">
        <f t="shared" si="50"/>
        <v>53.417563978620088</v>
      </c>
      <c r="AL32" s="34">
        <f t="shared" si="50"/>
        <v>53.239768421286577</v>
      </c>
      <c r="AM32" s="34">
        <f t="shared" si="50"/>
        <v>52.884177306619563</v>
      </c>
      <c r="AN32" s="34">
        <f t="shared" si="50"/>
        <v>52.528586191952535</v>
      </c>
      <c r="AO32" s="34">
        <f t="shared" si="50"/>
        <v>52.172995077285513</v>
      </c>
      <c r="AP32" s="34">
        <f t="shared" si="50"/>
        <v>51.817403962618499</v>
      </c>
      <c r="AQ32" s="34">
        <f t="shared" si="50"/>
        <v>51.461812847951464</v>
      </c>
      <c r="AR32" s="34">
        <f t="shared" si="50"/>
        <v>51.106221733284443</v>
      </c>
      <c r="AS32" s="34">
        <f t="shared" si="50"/>
        <v>50.750630618617421</v>
      </c>
      <c r="AT32" s="34">
        <f t="shared" si="50"/>
        <v>50.3950395039504</v>
      </c>
      <c r="AU32" s="34">
        <f t="shared" si="50"/>
        <v>50.039448389283379</v>
      </c>
      <c r="AV32" s="34">
        <f t="shared" si="50"/>
        <v>49.683857274616358</v>
      </c>
      <c r="AW32" s="34">
        <f t="shared" si="50"/>
        <v>49.328266159949337</v>
      </c>
      <c r="AX32" s="34">
        <f t="shared" si="50"/>
        <v>48.972675045282315</v>
      </c>
      <c r="AY32" s="34">
        <f t="shared" si="50"/>
        <v>44.954495449544957</v>
      </c>
      <c r="AZ32" s="34">
        <f t="shared" si="50"/>
        <v>44.763365225411427</v>
      </c>
      <c r="BA32" s="34">
        <f t="shared" si="50"/>
        <v>44.572235001277903</v>
      </c>
      <c r="BB32" s="34">
        <f t="shared" si="50"/>
        <v>44.38110477714438</v>
      </c>
      <c r="BC32" s="34">
        <f t="shared" si="50"/>
        <v>44.189974553010856</v>
      </c>
      <c r="BD32" s="34">
        <f t="shared" si="50"/>
        <v>43.998844328877333</v>
      </c>
      <c r="BE32" s="34">
        <f t="shared" si="50"/>
        <v>43.807714104743809</v>
      </c>
      <c r="BF32" s="34">
        <f t="shared" si="50"/>
        <v>43.616583880610285</v>
      </c>
      <c r="BG32" s="34">
        <f t="shared" si="50"/>
        <v>43.425453656476755</v>
      </c>
      <c r="BH32" s="34">
        <f t="shared" si="50"/>
        <v>43.234323432343238</v>
      </c>
      <c r="BI32" s="34">
        <f t="shared" si="50"/>
        <v>43.043193208209715</v>
      </c>
      <c r="BJ32" s="34">
        <f t="shared" si="50"/>
        <v>42.852062984076184</v>
      </c>
      <c r="BK32" s="34">
        <f t="shared" si="50"/>
        <v>42.756497872009419</v>
      </c>
      <c r="BL32" s="34">
        <f t="shared" si="50"/>
        <v>42.660932759942661</v>
      </c>
      <c r="BM32" s="34">
        <f t="shared" si="50"/>
        <v>42.565367647875902</v>
      </c>
      <c r="BN32" s="34">
        <f t="shared" si="50"/>
        <v>42.46980253580913</v>
      </c>
      <c r="BO32" s="34">
        <f t="shared" si="50"/>
        <v>42.374237423742379</v>
      </c>
      <c r="BP32" s="34">
        <f t="shared" si="50"/>
        <v>42.278672311675614</v>
      </c>
      <c r="BQ32" s="34">
        <f t="shared" si="50"/>
        <v>42.183107199608855</v>
      </c>
      <c r="BR32" s="34">
        <f t="shared" si="50"/>
        <v>42.087542087542083</v>
      </c>
      <c r="BS32" s="34">
        <f t="shared" si="50"/>
        <v>41.991976975475325</v>
      </c>
      <c r="BT32" s="34">
        <f t="shared" si="50"/>
        <v>41.896411863408566</v>
      </c>
      <c r="BU32" s="34">
        <f t="shared" si="50"/>
        <v>41.800846751341794</v>
      </c>
      <c r="BV32" s="34">
        <f t="shared" si="50"/>
        <v>41.705281639275043</v>
      </c>
      <c r="BW32" s="34">
        <f t="shared" si="50"/>
        <v>41.609716527208278</v>
      </c>
      <c r="BX32" s="34">
        <f t="shared" si="50"/>
        <v>41.514151415141512</v>
      </c>
      <c r="BY32" s="34">
        <f t="shared" si="50"/>
        <v>41.418586303074747</v>
      </c>
      <c r="BZ32" s="34">
        <f t="shared" si="50"/>
        <v>41.323021191007996</v>
      </c>
      <c r="CA32" s="34">
        <f t="shared" ref="CA32:DE32" si="51">CA31/49.5%</f>
        <v>41.227456078941231</v>
      </c>
      <c r="CB32" s="34">
        <f t="shared" si="51"/>
        <v>41.131890966874458</v>
      </c>
      <c r="CC32" s="34">
        <f t="shared" si="51"/>
        <v>41.0363258548077</v>
      </c>
      <c r="CD32" s="34">
        <f t="shared" si="51"/>
        <v>40.940760742740942</v>
      </c>
      <c r="CE32" s="34">
        <f t="shared" si="51"/>
        <v>40.845195630674176</v>
      </c>
      <c r="CF32" s="34">
        <f t="shared" si="51"/>
        <v>40.060672733940059</v>
      </c>
      <c r="CG32" s="34">
        <f t="shared" si="51"/>
        <v>39.96399639963996</v>
      </c>
      <c r="CH32" s="34">
        <f t="shared" si="51"/>
        <v>39.867320065339868</v>
      </c>
      <c r="CI32" s="34">
        <f t="shared" si="51"/>
        <v>39.770643731039769</v>
      </c>
      <c r="CJ32" s="34">
        <f t="shared" si="51"/>
        <v>39.67396739673967</v>
      </c>
      <c r="CK32" s="34">
        <f t="shared" si="51"/>
        <v>39.577291062439578</v>
      </c>
      <c r="CL32" s="34">
        <f t="shared" si="51"/>
        <v>39.480614728139479</v>
      </c>
      <c r="CM32" s="34">
        <f t="shared" si="51"/>
        <v>39.383938393839379</v>
      </c>
      <c r="CN32" s="34">
        <f t="shared" si="51"/>
        <v>39.287262059539287</v>
      </c>
      <c r="CO32" s="34">
        <f t="shared" si="51"/>
        <v>39.190585725239188</v>
      </c>
      <c r="CP32" s="34">
        <f t="shared" si="51"/>
        <v>39.093909390939089</v>
      </c>
      <c r="CQ32" s="34">
        <f t="shared" si="51"/>
        <v>38.997233056638997</v>
      </c>
      <c r="CR32" s="34">
        <f t="shared" si="51"/>
        <v>38.900556722338905</v>
      </c>
      <c r="CS32" s="34">
        <f t="shared" si="51"/>
        <v>38.803880388038806</v>
      </c>
      <c r="CT32" s="34">
        <f t="shared" si="51"/>
        <v>38.707204053738714</v>
      </c>
      <c r="CU32" s="34">
        <f t="shared" si="51"/>
        <v>38.610527719438608</v>
      </c>
      <c r="CV32" s="34">
        <f t="shared" si="51"/>
        <v>38.513851385138516</v>
      </c>
      <c r="CW32" s="34">
        <f t="shared" si="51"/>
        <v>38.417175050838424</v>
      </c>
      <c r="CX32" s="34">
        <f t="shared" si="51"/>
        <v>38.320498716538317</v>
      </c>
      <c r="CY32" s="34">
        <f t="shared" si="51"/>
        <v>38.223822382238225</v>
      </c>
      <c r="CZ32" s="34">
        <f t="shared" si="51"/>
        <v>38.127146047938133</v>
      </c>
      <c r="DA32" s="34">
        <f t="shared" si="51"/>
        <v>38.030469713638027</v>
      </c>
      <c r="DB32" s="34">
        <f t="shared" si="51"/>
        <v>37.933793379337935</v>
      </c>
      <c r="DC32" s="34">
        <f t="shared" si="51"/>
        <v>37.837117045037843</v>
      </c>
      <c r="DD32" s="34">
        <f t="shared" si="51"/>
        <v>37.740440710737737</v>
      </c>
      <c r="DE32" s="34">
        <f t="shared" si="51"/>
        <v>37.643764376437645</v>
      </c>
      <c r="DF32" s="34">
        <f>DF31/49.5%</f>
        <v>37.547088042137545</v>
      </c>
    </row>
  </sheetData>
  <autoFilter ref="A1:DF29" xr:uid="{00000000-0009-0000-0000-000011000000}"/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24"/>
  <sheetViews>
    <sheetView workbookViewId="0"/>
  </sheetViews>
  <sheetFormatPr defaultRowHeight="12"/>
  <cols>
    <col min="1" max="1" width="16.5" customWidth="1"/>
    <col min="2" max="2" width="12" customWidth="1"/>
    <col min="3" max="9" width="15.6640625" bestFit="1" customWidth="1"/>
  </cols>
  <sheetData>
    <row r="1" spans="1:9">
      <c r="B1" t="s">
        <v>46</v>
      </c>
      <c r="C1" t="s">
        <v>47</v>
      </c>
      <c r="D1" t="s">
        <v>48</v>
      </c>
      <c r="E1" t="s">
        <v>49</v>
      </c>
      <c r="F1" t="s">
        <v>50</v>
      </c>
      <c r="G1" t="s">
        <v>51</v>
      </c>
      <c r="H1" t="s">
        <v>52</v>
      </c>
      <c r="I1" t="s">
        <v>53</v>
      </c>
    </row>
    <row r="2" spans="1:9">
      <c r="A2" s="40" t="s">
        <v>539</v>
      </c>
      <c r="B2" s="93">
        <f>AVERAGEIF('NOR Revenue'!$1:$1,Sheet1!B1,'NOR Revenue'!$3:$3)</f>
        <v>234500</v>
      </c>
      <c r="C2" s="93">
        <f>AVERAGEIF('NOR Revenue'!$1:$1,Sheet1!C1,'NOR Revenue'!$3:$3)</f>
        <v>256500</v>
      </c>
      <c r="D2" s="93">
        <f>AVERAGEIF('NOR Revenue'!$1:$1,Sheet1!D1,'NOR Revenue'!$3:$3)</f>
        <v>276000</v>
      </c>
      <c r="E2" s="93">
        <f>AVERAGEIF('NOR Revenue'!$1:$1,Sheet1!E1,'NOR Revenue'!$3:$3)</f>
        <v>293500</v>
      </c>
      <c r="F2" s="93">
        <f>AVERAGEIF('NOR Revenue'!$1:$1,Sheet1!F1,'NOR Revenue'!$3:$3)</f>
        <v>302250</v>
      </c>
      <c r="G2" s="93">
        <f>AVERAGEIF('NOR Revenue'!$1:$1,Sheet1!G1,'NOR Revenue'!$3:$3)</f>
        <v>308250</v>
      </c>
      <c r="H2" s="93">
        <f>AVERAGEIF('NOR Revenue'!$1:$1,Sheet1!H1,'NOR Revenue'!$3:$3)</f>
        <v>314250</v>
      </c>
      <c r="I2" s="93">
        <f>AVERAGEIF('NOR Revenue'!$1:$1,Sheet1!I1,'NOR Revenue'!$3:$3)</f>
        <v>320250</v>
      </c>
    </row>
    <row r="3" spans="1:9">
      <c r="A3" s="40" t="s">
        <v>247</v>
      </c>
      <c r="B3" s="9">
        <f>AVERAGEIF('NOR Revenue'!$1:$1,Sheet1!B1,'NOR Revenue'!$4:$4)</f>
        <v>0.41</v>
      </c>
      <c r="C3" s="9">
        <f>AVERAGEIF('NOR Revenue'!$1:$1,Sheet1!C1,'NOR Revenue'!$4:$4)</f>
        <v>0.39999999999999997</v>
      </c>
      <c r="D3" s="9">
        <f>AVERAGEIF('NOR Revenue'!$1:$1,Sheet1!D1,'NOR Revenue'!$4:$4)</f>
        <v>0.39999999999999997</v>
      </c>
      <c r="E3" s="9">
        <f>AVERAGEIF('NOR Revenue'!$1:$1,Sheet1!E1,'NOR Revenue'!$4:$4)</f>
        <v>0.43</v>
      </c>
      <c r="F3" s="9">
        <f>AVERAGEIF('NOR Revenue'!$1:$1,Sheet1!F1,'NOR Revenue'!$4:$4)</f>
        <v>0.43</v>
      </c>
      <c r="G3" s="9">
        <f>AVERAGEIF('NOR Revenue'!$1:$1,Sheet1!G1,'NOR Revenue'!$4:$4)</f>
        <v>0.43124999999999997</v>
      </c>
      <c r="H3" s="9">
        <f>AVERAGEIF('NOR Revenue'!$1:$1,Sheet1!H1,'NOR Revenue'!$4:$4)</f>
        <v>0.43499999999999989</v>
      </c>
      <c r="I3" s="9">
        <f>AVERAGEIF('NOR Revenue'!$1:$1,Sheet1!I1,'NOR Revenue'!$4:$4)</f>
        <v>0.43499999999999989</v>
      </c>
    </row>
    <row r="4" spans="1:9">
      <c r="A4" s="40" t="s">
        <v>541</v>
      </c>
      <c r="B4" s="9">
        <f>AVERAGEIF('NOR Revenue'!$1:$1,Sheet1!B1,'NOR Revenue'!$6:$6)</f>
        <v>80</v>
      </c>
      <c r="C4" s="9">
        <f>AVERAGEIF('NOR Revenue'!$1:$1,Sheet1!C1,'NOR Revenue'!$6:$6)</f>
        <v>80</v>
      </c>
      <c r="D4" s="9">
        <f>AVERAGEIF('NOR Revenue'!$1:$1,Sheet1!D1,'NOR Revenue'!$6:$6)</f>
        <v>80</v>
      </c>
      <c r="E4" s="9">
        <f>AVERAGEIF('NOR Revenue'!$1:$1,Sheet1!E1,'NOR Revenue'!$6:$6)</f>
        <v>85</v>
      </c>
      <c r="F4" s="9">
        <f>AVERAGEIF('NOR Revenue'!$1:$1,Sheet1!F1,'NOR Revenue'!$6:$6)</f>
        <v>85</v>
      </c>
      <c r="G4" s="9">
        <f>AVERAGEIF('NOR Revenue'!$1:$1,Sheet1!G1,'NOR Revenue'!$6:$6)</f>
        <v>90</v>
      </c>
      <c r="H4" s="9">
        <f>AVERAGEIF('NOR Revenue'!$1:$1,Sheet1!H1,'NOR Revenue'!$6:$6)</f>
        <v>90</v>
      </c>
      <c r="I4" s="9">
        <f>AVERAGEIF('NOR Revenue'!$1:$1,Sheet1!I1,'NOR Revenue'!$6:$6)</f>
        <v>90</v>
      </c>
    </row>
    <row r="5" spans="1:9">
      <c r="A5" s="40" t="s">
        <v>540</v>
      </c>
      <c r="B5" s="9">
        <f>AVERAGEIF('NOR Revenue'!$1:$1,Sheet1!B1,'NOR Revenue'!$11:$11)</f>
        <v>19.789999999999996</v>
      </c>
      <c r="C5" s="9">
        <f>AVERAGEIF('NOR Revenue'!$1:$1,Sheet1!C1,'NOR Revenue'!$11:$11)</f>
        <v>21.020000000000003</v>
      </c>
      <c r="D5" s="9">
        <f>AVERAGEIF('NOR Revenue'!$1:$1,Sheet1!D1,'NOR Revenue'!$11:$11)</f>
        <v>21.860800000000008</v>
      </c>
      <c r="E5" s="9">
        <f>AVERAGEIF('NOR Revenue'!$1:$1,Sheet1!E1,'NOR Revenue'!$11:$11)</f>
        <v>22.735232</v>
      </c>
      <c r="F5" s="9">
        <f>AVERAGEIF('NOR Revenue'!$1:$1,Sheet1!F1,'NOR Revenue'!$11:$11)</f>
        <v>23.644641280000005</v>
      </c>
      <c r="G5" s="9">
        <f>AVERAGEIF('NOR Revenue'!$1:$1,Sheet1!G1,'NOR Revenue'!$11:$11)</f>
        <v>24.590426931200003</v>
      </c>
      <c r="H5" s="9">
        <f>AVERAGEIF('NOR Revenue'!$1:$1,Sheet1!H1,'NOR Revenue'!$11:$11)</f>
        <v>25.574044008448009</v>
      </c>
      <c r="I5" s="9">
        <f>AVERAGEIF('NOR Revenue'!$1:$1,Sheet1!I1,'NOR Revenue'!$11:$11)</f>
        <v>26.59700576878593</v>
      </c>
    </row>
    <row r="6" spans="1:9">
      <c r="A6" s="40"/>
    </row>
    <row r="7" spans="1:9">
      <c r="A7" s="40" t="s">
        <v>542</v>
      </c>
      <c r="B7" s="40" t="s">
        <v>539</v>
      </c>
      <c r="C7" s="9">
        <f t="shared" ref="C7:I10" si="0">(C2/B2)</f>
        <v>1.0938166311300639</v>
      </c>
      <c r="D7" s="9">
        <f t="shared" si="0"/>
        <v>1.0760233918128654</v>
      </c>
      <c r="E7" s="9">
        <f t="shared" si="0"/>
        <v>1.0634057971014492</v>
      </c>
      <c r="F7" s="9">
        <f t="shared" si="0"/>
        <v>1.0298126064735946</v>
      </c>
      <c r="G7" s="9">
        <f t="shared" si="0"/>
        <v>1.0198511166253101</v>
      </c>
      <c r="H7" s="9">
        <f t="shared" si="0"/>
        <v>1.0194647201946472</v>
      </c>
      <c r="I7" s="9">
        <f t="shared" si="0"/>
        <v>1.0190930787589498</v>
      </c>
    </row>
    <row r="8" spans="1:9">
      <c r="A8" s="40" t="s">
        <v>542</v>
      </c>
      <c r="B8" s="40" t="s">
        <v>247</v>
      </c>
      <c r="C8" s="9">
        <f t="shared" si="0"/>
        <v>0.97560975609756095</v>
      </c>
      <c r="D8" s="9">
        <f t="shared" si="0"/>
        <v>1</v>
      </c>
      <c r="E8" s="9">
        <f t="shared" si="0"/>
        <v>1.0750000000000002</v>
      </c>
      <c r="F8" s="9">
        <f t="shared" si="0"/>
        <v>1</v>
      </c>
      <c r="G8" s="9">
        <f t="shared" si="0"/>
        <v>1.0029069767441861</v>
      </c>
      <c r="H8" s="9">
        <f t="shared" si="0"/>
        <v>1.0086956521739128</v>
      </c>
      <c r="I8" s="9">
        <f t="shared" si="0"/>
        <v>1</v>
      </c>
    </row>
    <row r="9" spans="1:9">
      <c r="A9" s="40" t="s">
        <v>542</v>
      </c>
      <c r="B9" s="40" t="s">
        <v>541</v>
      </c>
      <c r="C9" s="9">
        <f t="shared" si="0"/>
        <v>1</v>
      </c>
      <c r="D9" s="9">
        <f t="shared" si="0"/>
        <v>1</v>
      </c>
      <c r="E9" s="9">
        <f t="shared" si="0"/>
        <v>1.0625</v>
      </c>
      <c r="F9" s="9">
        <f t="shared" si="0"/>
        <v>1</v>
      </c>
      <c r="G9" s="9">
        <f t="shared" si="0"/>
        <v>1.0588235294117647</v>
      </c>
      <c r="H9" s="9">
        <f t="shared" si="0"/>
        <v>1</v>
      </c>
      <c r="I9" s="9">
        <f t="shared" si="0"/>
        <v>1</v>
      </c>
    </row>
    <row r="10" spans="1:9">
      <c r="A10" s="40" t="s">
        <v>542</v>
      </c>
      <c r="B10" s="40" t="s">
        <v>540</v>
      </c>
      <c r="C10" s="9">
        <f t="shared" si="0"/>
        <v>1.0621526023244066</v>
      </c>
      <c r="D10" s="9">
        <f t="shared" si="0"/>
        <v>1.0400000000000003</v>
      </c>
      <c r="E10" s="9">
        <f t="shared" si="0"/>
        <v>1.0399999999999996</v>
      </c>
      <c r="F10" s="9">
        <f t="shared" si="0"/>
        <v>1.0400000000000003</v>
      </c>
      <c r="G10" s="9">
        <f t="shared" si="0"/>
        <v>1.0399999999999998</v>
      </c>
      <c r="H10" s="9">
        <f t="shared" si="0"/>
        <v>1.0400000000000003</v>
      </c>
      <c r="I10" s="9">
        <f t="shared" si="0"/>
        <v>1.04</v>
      </c>
    </row>
    <row r="11" spans="1:9" ht="12.75" thickBot="1">
      <c r="A11" s="29" t="s">
        <v>543</v>
      </c>
      <c r="C11" s="10">
        <f>(PRODUCT(C7:C10)-1)*100</f>
        <v>13.346359143464671</v>
      </c>
      <c r="D11" s="10">
        <f t="shared" ref="D11:I11" si="1">(PRODUCT(D7:D10)-1)*100</f>
        <v>11.906432748538043</v>
      </c>
      <c r="E11" s="10">
        <f t="shared" si="1"/>
        <v>26.319316123188365</v>
      </c>
      <c r="F11" s="10">
        <f t="shared" si="1"/>
        <v>7.1005110732538679</v>
      </c>
      <c r="G11" s="10">
        <f t="shared" si="1"/>
        <v>12.630069282026369</v>
      </c>
      <c r="H11" s="10">
        <f t="shared" si="1"/>
        <v>6.9462816037236808</v>
      </c>
      <c r="I11" s="10">
        <f t="shared" si="1"/>
        <v>5.9856801909307755</v>
      </c>
    </row>
    <row r="12" spans="1:9" ht="12.75" thickTop="1">
      <c r="A12" s="7"/>
    </row>
    <row r="13" spans="1:9">
      <c r="A13" s="29" t="s">
        <v>545</v>
      </c>
      <c r="C13" s="156">
        <f>(PL!K3-PL!J3)*10000000</f>
        <v>55805388.799999915</v>
      </c>
      <c r="D13" s="156">
        <f>(PL!L3-PL!K3)*10000000</f>
        <v>76933603.58400014</v>
      </c>
      <c r="E13" s="156">
        <f>(PL!M3-PL!L3)*10000000</f>
        <v>183515615.01811218</v>
      </c>
      <c r="F13" s="156">
        <f>(PL!N3-PL!M3)*10000000</f>
        <v>63230709.329814941</v>
      </c>
      <c r="G13" s="156">
        <f>(PL!O3-PL!N3)*10000000</f>
        <v>120393593.65724877</v>
      </c>
      <c r="H13" s="156">
        <f>(PL!P3-PL!O3)*10000000</f>
        <v>77778669.554614335</v>
      </c>
      <c r="I13" s="156">
        <f>(PL!Q3-PL!P3)*10000000</f>
        <v>-544167550.70003211</v>
      </c>
    </row>
    <row r="14" spans="1:9">
      <c r="C14" s="157"/>
      <c r="D14" s="157"/>
      <c r="E14" s="157"/>
      <c r="F14" s="157"/>
      <c r="G14" s="157"/>
      <c r="H14" s="157"/>
      <c r="I14" s="157"/>
    </row>
    <row r="15" spans="1:9">
      <c r="C15" s="158"/>
      <c r="D15" s="158"/>
      <c r="E15" s="158"/>
      <c r="F15" s="158"/>
      <c r="G15" s="158"/>
      <c r="H15" s="158"/>
      <c r="I15" s="158"/>
    </row>
    <row r="16" spans="1:9">
      <c r="C16" s="157"/>
      <c r="D16" s="157"/>
      <c r="E16" s="157"/>
      <c r="F16" s="157"/>
      <c r="G16" s="157"/>
      <c r="H16" s="157"/>
      <c r="I16" s="157"/>
    </row>
    <row r="17" spans="1:9">
      <c r="A17" s="40" t="s">
        <v>544</v>
      </c>
      <c r="B17" s="40" t="s">
        <v>539</v>
      </c>
      <c r="C17" s="93">
        <f t="shared" ref="C17:I17" si="2">(C2-B2)*C3*C4%*C5*365</f>
        <v>54012992.000000007</v>
      </c>
      <c r="D17" s="93">
        <f t="shared" si="2"/>
        <v>49790158.080000021</v>
      </c>
      <c r="E17" s="93">
        <f t="shared" si="2"/>
        <v>53078383.103200004</v>
      </c>
      <c r="F17" s="93">
        <f t="shared" si="2"/>
        <v>27600759.213664003</v>
      </c>
      <c r="G17" s="93">
        <f t="shared" si="2"/>
        <v>20901709.201351684</v>
      </c>
      <c r="H17" s="93">
        <f t="shared" si="2"/>
        <v>21926801.72218319</v>
      </c>
      <c r="I17" s="93">
        <f t="shared" si="2"/>
        <v>22803873.791070521</v>
      </c>
    </row>
    <row r="18" spans="1:9">
      <c r="A18" s="40" t="s">
        <v>544</v>
      </c>
      <c r="B18" s="40" t="s">
        <v>247</v>
      </c>
      <c r="C18" s="93">
        <f t="shared" ref="C18:I18" si="3">(C3-B3)*B2*C4%*C5*365</f>
        <v>-14393234.800000018</v>
      </c>
      <c r="D18" s="93">
        <f t="shared" si="3"/>
        <v>0</v>
      </c>
      <c r="E18" s="93">
        <f t="shared" si="3"/>
        <v>58403855.427840047</v>
      </c>
      <c r="F18" s="93">
        <f t="shared" si="3"/>
        <v>0</v>
      </c>
      <c r="G18" s="93">
        <f t="shared" si="3"/>
        <v>3051952.4667190393</v>
      </c>
      <c r="H18" s="93">
        <f t="shared" si="3"/>
        <v>9711115.8489408437</v>
      </c>
      <c r="I18" s="93">
        <f t="shared" si="3"/>
        <v>0</v>
      </c>
    </row>
    <row r="19" spans="1:9">
      <c r="A19" s="40" t="s">
        <v>544</v>
      </c>
      <c r="B19" s="40" t="s">
        <v>541</v>
      </c>
      <c r="C19" s="93">
        <f t="shared" ref="C19:I19" si="4">(C4-B4)*B2*B3%*C5*365</f>
        <v>0</v>
      </c>
      <c r="D19" s="93">
        <f t="shared" si="4"/>
        <v>0</v>
      </c>
      <c r="E19" s="93">
        <f t="shared" si="4"/>
        <v>45806945.433600001</v>
      </c>
      <c r="F19" s="93">
        <f t="shared" si="4"/>
        <v>0</v>
      </c>
      <c r="G19" s="93">
        <f t="shared" si="4"/>
        <v>58326202.697298445</v>
      </c>
      <c r="H19" s="93">
        <f t="shared" si="4"/>
        <v>0</v>
      </c>
      <c r="I19" s="93">
        <f t="shared" si="4"/>
        <v>0</v>
      </c>
    </row>
    <row r="20" spans="1:9">
      <c r="A20" s="40" t="s">
        <v>544</v>
      </c>
      <c r="B20" s="40" t="s">
        <v>540</v>
      </c>
      <c r="C20" s="93">
        <f t="shared" ref="C20:I20" si="5">(C5-B5)*B2*B3%*B4*365</f>
        <v>34531438.200000204</v>
      </c>
      <c r="D20" s="93">
        <f t="shared" si="5"/>
        <v>25189695.360000156</v>
      </c>
      <c r="E20" s="93">
        <f t="shared" si="5"/>
        <v>28188889.497599732</v>
      </c>
      <c r="F20" s="93">
        <f t="shared" si="5"/>
        <v>35608012.436089821</v>
      </c>
      <c r="G20" s="93">
        <f t="shared" si="5"/>
        <v>38136363.302079655</v>
      </c>
      <c r="H20" s="93">
        <f t="shared" si="5"/>
        <v>42953012.408777952</v>
      </c>
      <c r="I20" s="93">
        <f t="shared" si="5"/>
        <v>45936649.607973814</v>
      </c>
    </row>
    <row r="21" spans="1:9" ht="12.75" thickBot="1">
      <c r="A21" s="29" t="s">
        <v>546</v>
      </c>
      <c r="C21" s="96">
        <f>SUM(C17:C20)</f>
        <v>74151195.400000185</v>
      </c>
      <c r="D21" s="96">
        <f t="shared" ref="D21:I21" si="6">SUM(D17:D20)</f>
        <v>74979853.440000176</v>
      </c>
      <c r="E21" s="96">
        <f t="shared" si="6"/>
        <v>185478073.46223977</v>
      </c>
      <c r="F21" s="96">
        <f t="shared" si="6"/>
        <v>63208771.649753824</v>
      </c>
      <c r="G21" s="96">
        <f t="shared" si="6"/>
        <v>120416227.66744882</v>
      </c>
      <c r="H21" s="96">
        <f t="shared" si="6"/>
        <v>74590929.979901984</v>
      </c>
      <c r="I21" s="96">
        <f t="shared" si="6"/>
        <v>68740523.399044335</v>
      </c>
    </row>
    <row r="22" spans="1:9" ht="12.75" thickTop="1"/>
    <row r="23" spans="1:9">
      <c r="C23" s="157">
        <f>C13-C21</f>
        <v>-18345806.60000027</v>
      </c>
      <c r="D23" s="157">
        <f t="shared" ref="D23:I23" si="7">D13-D21</f>
        <v>1953750.143999964</v>
      </c>
      <c r="E23" s="157">
        <f t="shared" si="7"/>
        <v>-1962458.4441275895</v>
      </c>
      <c r="F23" s="157">
        <f t="shared" si="7"/>
        <v>21937.680061116815</v>
      </c>
      <c r="G23" s="157">
        <f t="shared" si="7"/>
        <v>-22634.010200053453</v>
      </c>
      <c r="H23" s="157">
        <f t="shared" si="7"/>
        <v>3187739.574712351</v>
      </c>
      <c r="I23" s="157">
        <f t="shared" si="7"/>
        <v>-612908074.09907651</v>
      </c>
    </row>
    <row r="24" spans="1:9">
      <c r="C24" s="159">
        <f>C23/C13</f>
        <v>-0.32874614789889783</v>
      </c>
      <c r="D24" s="159">
        <f t="shared" ref="D24:I24" si="8">D23/D13</f>
        <v>2.5395276614941835E-2</v>
      </c>
      <c r="E24" s="159">
        <f t="shared" si="8"/>
        <v>-1.0693686441526535E-2</v>
      </c>
      <c r="F24" s="159">
        <f t="shared" si="8"/>
        <v>3.4694660701477568E-4</v>
      </c>
      <c r="G24" s="159">
        <f t="shared" si="8"/>
        <v>-1.8800012120653801E-4</v>
      </c>
      <c r="H24" s="159">
        <f t="shared" si="8"/>
        <v>4.0984753184470403E-2</v>
      </c>
      <c r="I24" s="159">
        <f t="shared" si="8"/>
        <v>1.1263223492665351</v>
      </c>
    </row>
  </sheetData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DF23"/>
  <sheetViews>
    <sheetView zoomScaleNormal="100" workbookViewId="0">
      <pane xSplit="2" topLeftCell="O1" activePane="topRight" state="frozen"/>
      <selection pane="topRight"/>
    </sheetView>
  </sheetViews>
  <sheetFormatPr defaultColWidth="9.33203125" defaultRowHeight="12" customHeight="1"/>
  <cols>
    <col min="1" max="1" width="33.1640625" style="68" customWidth="1"/>
    <col min="2" max="2" width="9" style="68" customWidth="1"/>
    <col min="3" max="20" width="14.6640625" style="68" hidden="1" customWidth="1"/>
    <col min="21" max="24" width="15.6640625" style="68" hidden="1" customWidth="1"/>
    <col min="25" max="25" width="14.6640625" style="68" hidden="1" customWidth="1"/>
    <col min="26" max="26" width="15.6640625" style="68" hidden="1" customWidth="1"/>
    <col min="27" max="110" width="15.6640625" style="68" bestFit="1" customWidth="1"/>
    <col min="111" max="16384" width="9.33203125" style="68"/>
  </cols>
  <sheetData>
    <row r="1" spans="1:110" s="81" customFormat="1" ht="12" customHeight="1">
      <c r="O1" s="81" t="s">
        <v>46</v>
      </c>
      <c r="P1" s="81" t="s">
        <v>46</v>
      </c>
      <c r="Q1" s="81" t="s">
        <v>46</v>
      </c>
      <c r="R1" s="81" t="s">
        <v>46</v>
      </c>
      <c r="S1" s="81" t="s">
        <v>46</v>
      </c>
      <c r="T1" s="81" t="s">
        <v>46</v>
      </c>
      <c r="U1" s="81" t="s">
        <v>46</v>
      </c>
      <c r="V1" s="81" t="s">
        <v>46</v>
      </c>
      <c r="W1" s="81" t="s">
        <v>46</v>
      </c>
      <c r="X1" s="81" t="s">
        <v>46</v>
      </c>
      <c r="Y1" s="81" t="s">
        <v>46</v>
      </c>
      <c r="Z1" s="81" t="s">
        <v>46</v>
      </c>
      <c r="AA1" s="81" t="s">
        <v>47</v>
      </c>
      <c r="AB1" s="81" t="s">
        <v>47</v>
      </c>
      <c r="AC1" s="81" t="s">
        <v>47</v>
      </c>
      <c r="AD1" s="81" t="s">
        <v>47</v>
      </c>
      <c r="AE1" s="81" t="s">
        <v>47</v>
      </c>
      <c r="AF1" s="81" t="s">
        <v>47</v>
      </c>
      <c r="AG1" s="81" t="s">
        <v>47</v>
      </c>
      <c r="AH1" s="81" t="s">
        <v>47</v>
      </c>
      <c r="AI1" s="81" t="s">
        <v>47</v>
      </c>
      <c r="AJ1" s="81" t="s">
        <v>47</v>
      </c>
      <c r="AK1" s="81" t="s">
        <v>47</v>
      </c>
      <c r="AL1" s="81" t="s">
        <v>47</v>
      </c>
      <c r="AM1" s="81" t="s">
        <v>48</v>
      </c>
      <c r="AN1" s="81" t="s">
        <v>48</v>
      </c>
      <c r="AO1" s="81" t="s">
        <v>48</v>
      </c>
      <c r="AP1" s="81" t="s">
        <v>48</v>
      </c>
      <c r="AQ1" s="81" t="s">
        <v>48</v>
      </c>
      <c r="AR1" s="81" t="s">
        <v>48</v>
      </c>
      <c r="AS1" s="81" t="s">
        <v>48</v>
      </c>
      <c r="AT1" s="81" t="s">
        <v>48</v>
      </c>
      <c r="AU1" s="81" t="s">
        <v>48</v>
      </c>
      <c r="AV1" s="81" t="s">
        <v>48</v>
      </c>
      <c r="AW1" s="81" t="s">
        <v>48</v>
      </c>
      <c r="AX1" s="81" t="s">
        <v>48</v>
      </c>
      <c r="AY1" s="81" t="s">
        <v>49</v>
      </c>
      <c r="AZ1" s="81" t="s">
        <v>49</v>
      </c>
      <c r="BA1" s="81" t="s">
        <v>49</v>
      </c>
      <c r="BB1" s="81" t="s">
        <v>49</v>
      </c>
      <c r="BC1" s="81" t="s">
        <v>49</v>
      </c>
      <c r="BD1" s="81" t="s">
        <v>49</v>
      </c>
      <c r="BE1" s="81" t="s">
        <v>49</v>
      </c>
      <c r="BF1" s="81" t="s">
        <v>49</v>
      </c>
      <c r="BG1" s="81" t="s">
        <v>49</v>
      </c>
      <c r="BH1" s="81" t="s">
        <v>49</v>
      </c>
      <c r="BI1" s="81" t="s">
        <v>49</v>
      </c>
      <c r="BJ1" s="81" t="s">
        <v>49</v>
      </c>
      <c r="BK1" s="81" t="s">
        <v>50</v>
      </c>
      <c r="BL1" s="81" t="s">
        <v>50</v>
      </c>
      <c r="BM1" s="81" t="s">
        <v>50</v>
      </c>
      <c r="BN1" s="81" t="s">
        <v>50</v>
      </c>
      <c r="BO1" s="81" t="s">
        <v>50</v>
      </c>
      <c r="BP1" s="81" t="s">
        <v>50</v>
      </c>
      <c r="BQ1" s="81" t="s">
        <v>50</v>
      </c>
      <c r="BR1" s="81" t="s">
        <v>50</v>
      </c>
      <c r="BS1" s="81" t="s">
        <v>50</v>
      </c>
      <c r="BT1" s="81" t="s">
        <v>50</v>
      </c>
      <c r="BU1" s="81" t="s">
        <v>50</v>
      </c>
      <c r="BV1" s="81" t="s">
        <v>50</v>
      </c>
      <c r="BW1" s="81" t="s">
        <v>51</v>
      </c>
      <c r="BX1" s="81" t="s">
        <v>51</v>
      </c>
      <c r="BY1" s="81" t="s">
        <v>51</v>
      </c>
      <c r="BZ1" s="81" t="s">
        <v>51</v>
      </c>
      <c r="CA1" s="81" t="s">
        <v>51</v>
      </c>
      <c r="CB1" s="81" t="s">
        <v>51</v>
      </c>
      <c r="CC1" s="81" t="s">
        <v>51</v>
      </c>
      <c r="CD1" s="81" t="s">
        <v>51</v>
      </c>
      <c r="CE1" s="81" t="s">
        <v>51</v>
      </c>
      <c r="CF1" s="81" t="s">
        <v>51</v>
      </c>
      <c r="CG1" s="81" t="s">
        <v>51</v>
      </c>
      <c r="CH1" s="81" t="s">
        <v>51</v>
      </c>
      <c r="CI1" s="81" t="s">
        <v>52</v>
      </c>
      <c r="CJ1" s="81" t="s">
        <v>52</v>
      </c>
      <c r="CK1" s="81" t="s">
        <v>52</v>
      </c>
      <c r="CL1" s="81" t="s">
        <v>52</v>
      </c>
      <c r="CM1" s="81" t="s">
        <v>52</v>
      </c>
      <c r="CN1" s="81" t="s">
        <v>52</v>
      </c>
      <c r="CO1" s="81" t="s">
        <v>52</v>
      </c>
      <c r="CP1" s="81" t="s">
        <v>52</v>
      </c>
      <c r="CQ1" s="81" t="s">
        <v>52</v>
      </c>
      <c r="CR1" s="81" t="s">
        <v>52</v>
      </c>
      <c r="CS1" s="81" t="s">
        <v>52</v>
      </c>
      <c r="CT1" s="81" t="s">
        <v>52</v>
      </c>
      <c r="CU1" s="81" t="s">
        <v>53</v>
      </c>
      <c r="CV1" s="81" t="s">
        <v>53</v>
      </c>
      <c r="CW1" s="81" t="s">
        <v>53</v>
      </c>
      <c r="CX1" s="81" t="s">
        <v>53</v>
      </c>
      <c r="CY1" s="81" t="s">
        <v>53</v>
      </c>
      <c r="CZ1" s="81" t="s">
        <v>53</v>
      </c>
      <c r="DA1" s="81" t="s">
        <v>53</v>
      </c>
      <c r="DB1" s="81" t="s">
        <v>53</v>
      </c>
      <c r="DC1" s="81" t="s">
        <v>53</v>
      </c>
      <c r="DD1" s="81" t="s">
        <v>53</v>
      </c>
      <c r="DE1" s="81" t="s">
        <v>53</v>
      </c>
      <c r="DF1" s="81" t="s">
        <v>53</v>
      </c>
    </row>
    <row r="2" spans="1:110" ht="12" customHeight="1">
      <c r="A2" s="66" t="s">
        <v>37</v>
      </c>
      <c r="B2" s="67" t="s">
        <v>218</v>
      </c>
      <c r="C2" s="8">
        <f>'Water Revenue'!C1</f>
        <v>43951</v>
      </c>
      <c r="D2" s="8">
        <f>'Water Revenue'!D1</f>
        <v>43982</v>
      </c>
      <c r="E2" s="8">
        <f>'Water Revenue'!E1</f>
        <v>44012</v>
      </c>
      <c r="F2" s="8">
        <f>'Water Revenue'!F1</f>
        <v>44043</v>
      </c>
      <c r="G2" s="8">
        <f>'Water Revenue'!G1</f>
        <v>44074</v>
      </c>
      <c r="H2" s="8">
        <f>'Water Revenue'!H1</f>
        <v>44104</v>
      </c>
      <c r="I2" s="8">
        <f>'Water Revenue'!I1</f>
        <v>44135</v>
      </c>
      <c r="J2" s="8">
        <f>'Water Revenue'!J1</f>
        <v>44165</v>
      </c>
      <c r="K2" s="8">
        <f>'Water Revenue'!K1</f>
        <v>44196</v>
      </c>
      <c r="L2" s="8">
        <f>'Water Revenue'!L1</f>
        <v>44227</v>
      </c>
      <c r="M2" s="8">
        <f>'Water Revenue'!M1</f>
        <v>44255</v>
      </c>
      <c r="N2" s="8">
        <f>'Water Revenue'!N1</f>
        <v>44286</v>
      </c>
      <c r="O2" s="8">
        <f>'Water Revenue'!O1</f>
        <v>44316</v>
      </c>
      <c r="P2" s="8">
        <f>'Water Revenue'!P1</f>
        <v>44347</v>
      </c>
      <c r="Q2" s="8">
        <f>'Water Revenue'!Q1</f>
        <v>44377</v>
      </c>
      <c r="R2" s="8">
        <f>'Water Revenue'!R1</f>
        <v>44408</v>
      </c>
      <c r="S2" s="8">
        <f>'Water Revenue'!S1</f>
        <v>44439</v>
      </c>
      <c r="T2" s="8">
        <f>'Water Revenue'!T1</f>
        <v>44469</v>
      </c>
      <c r="U2" s="8">
        <f>'Water Revenue'!U1</f>
        <v>44500</v>
      </c>
      <c r="V2" s="8">
        <f>'Water Revenue'!V1</f>
        <v>44530</v>
      </c>
      <c r="W2" s="8">
        <f>'Water Revenue'!W1</f>
        <v>44561</v>
      </c>
      <c r="X2" s="8">
        <f>'Water Revenue'!X1</f>
        <v>44592</v>
      </c>
      <c r="Y2" s="8">
        <f>'Water Revenue'!Y1</f>
        <v>44620</v>
      </c>
      <c r="Z2" s="8">
        <f>'Water Revenue'!Z1</f>
        <v>44651</v>
      </c>
      <c r="AA2" s="8">
        <f>'Water Revenue'!AA1</f>
        <v>44681</v>
      </c>
      <c r="AB2" s="8">
        <f>'Water Revenue'!AB1</f>
        <v>44712</v>
      </c>
      <c r="AC2" s="8">
        <f>'Water Revenue'!AC1</f>
        <v>44742</v>
      </c>
      <c r="AD2" s="8">
        <f>'Water Revenue'!AD1</f>
        <v>44773</v>
      </c>
      <c r="AE2" s="8">
        <f>'Water Revenue'!AE1</f>
        <v>44804</v>
      </c>
      <c r="AF2" s="8">
        <f>'Water Revenue'!AF1</f>
        <v>44834</v>
      </c>
      <c r="AG2" s="8">
        <f>'Water Revenue'!AG1</f>
        <v>44865</v>
      </c>
      <c r="AH2" s="8">
        <f>'Water Revenue'!AH1</f>
        <v>44895</v>
      </c>
      <c r="AI2" s="8">
        <f>'Water Revenue'!AI1</f>
        <v>44926</v>
      </c>
      <c r="AJ2" s="8">
        <f>'Water Revenue'!AJ1</f>
        <v>44957</v>
      </c>
      <c r="AK2" s="8">
        <f>'Water Revenue'!AK1</f>
        <v>44985</v>
      </c>
      <c r="AL2" s="8">
        <f>'Water Revenue'!AL1</f>
        <v>45016</v>
      </c>
      <c r="AM2" s="8">
        <f>'Water Revenue'!AM1</f>
        <v>45046</v>
      </c>
      <c r="AN2" s="8">
        <f>'Water Revenue'!AN1</f>
        <v>45077</v>
      </c>
      <c r="AO2" s="8">
        <f>'Water Revenue'!AO1</f>
        <v>45107</v>
      </c>
      <c r="AP2" s="8">
        <f>'Water Revenue'!AP1</f>
        <v>45138</v>
      </c>
      <c r="AQ2" s="8">
        <f>'Water Revenue'!AQ1</f>
        <v>45169</v>
      </c>
      <c r="AR2" s="8">
        <f>'Water Revenue'!AR1</f>
        <v>45199</v>
      </c>
      <c r="AS2" s="8">
        <f>'Water Revenue'!AS1</f>
        <v>45230</v>
      </c>
      <c r="AT2" s="8">
        <f>'Water Revenue'!AT1</f>
        <v>45260</v>
      </c>
      <c r="AU2" s="8">
        <f>'Water Revenue'!AU1</f>
        <v>45291</v>
      </c>
      <c r="AV2" s="8">
        <f>'Water Revenue'!AV1</f>
        <v>45322</v>
      </c>
      <c r="AW2" s="8">
        <f>'Water Revenue'!AW1</f>
        <v>45351</v>
      </c>
      <c r="AX2" s="8">
        <f>'Water Revenue'!AX1</f>
        <v>45382</v>
      </c>
      <c r="AY2" s="8">
        <f>'Water Revenue'!AY1</f>
        <v>45412</v>
      </c>
      <c r="AZ2" s="8">
        <f>'Water Revenue'!AZ1</f>
        <v>45443</v>
      </c>
      <c r="BA2" s="8">
        <f>'Water Revenue'!BA1</f>
        <v>45473</v>
      </c>
      <c r="BB2" s="8">
        <f>'Water Revenue'!BB1</f>
        <v>45504</v>
      </c>
      <c r="BC2" s="8">
        <f>'Water Revenue'!BC1</f>
        <v>45535</v>
      </c>
      <c r="BD2" s="8">
        <f>'Water Revenue'!BD1</f>
        <v>45565</v>
      </c>
      <c r="BE2" s="8">
        <f>'Water Revenue'!BE1</f>
        <v>45596</v>
      </c>
      <c r="BF2" s="8">
        <f>'Water Revenue'!BF1</f>
        <v>45626</v>
      </c>
      <c r="BG2" s="8">
        <f>'Water Revenue'!BG1</f>
        <v>45657</v>
      </c>
      <c r="BH2" s="8">
        <f>'Water Revenue'!BH1</f>
        <v>45688</v>
      </c>
      <c r="BI2" s="8">
        <f>'Water Revenue'!BI1</f>
        <v>45716</v>
      </c>
      <c r="BJ2" s="8">
        <f>'Water Revenue'!BJ1</f>
        <v>45747</v>
      </c>
      <c r="BK2" s="8">
        <f>'Water Revenue'!BK1</f>
        <v>45777</v>
      </c>
      <c r="BL2" s="8">
        <f>'Water Revenue'!BL1</f>
        <v>45808</v>
      </c>
      <c r="BM2" s="8">
        <f>'Water Revenue'!BM1</f>
        <v>45838</v>
      </c>
      <c r="BN2" s="8">
        <f>'Water Revenue'!BN1</f>
        <v>45869</v>
      </c>
      <c r="BO2" s="8">
        <f>'Water Revenue'!BO1</f>
        <v>45900</v>
      </c>
      <c r="BP2" s="8">
        <f>'Water Revenue'!BP1</f>
        <v>45930</v>
      </c>
      <c r="BQ2" s="8">
        <f>'Water Revenue'!BQ1</f>
        <v>45961</v>
      </c>
      <c r="BR2" s="8">
        <f>'Water Revenue'!BR1</f>
        <v>45991</v>
      </c>
      <c r="BS2" s="8">
        <f>'Water Revenue'!BS1</f>
        <v>46022</v>
      </c>
      <c r="BT2" s="8">
        <f>'Water Revenue'!BT1</f>
        <v>46053</v>
      </c>
      <c r="BU2" s="8">
        <f>'Water Revenue'!BU1</f>
        <v>46081</v>
      </c>
      <c r="BV2" s="8">
        <f>'Water Revenue'!BV1</f>
        <v>46112</v>
      </c>
      <c r="BW2" s="8">
        <f>'Water Revenue'!BW1</f>
        <v>46142</v>
      </c>
      <c r="BX2" s="8">
        <f>'Water Revenue'!BX1</f>
        <v>46173</v>
      </c>
      <c r="BY2" s="8">
        <f>'Water Revenue'!BY1</f>
        <v>46203</v>
      </c>
      <c r="BZ2" s="8">
        <f>'Water Revenue'!BZ1</f>
        <v>46234</v>
      </c>
      <c r="CA2" s="8">
        <f>'Water Revenue'!CA1</f>
        <v>46265</v>
      </c>
      <c r="CB2" s="8">
        <f>'Water Revenue'!CB1</f>
        <v>46295</v>
      </c>
      <c r="CC2" s="8">
        <f>'Water Revenue'!CC1</f>
        <v>46326</v>
      </c>
      <c r="CD2" s="8">
        <f>'Water Revenue'!CD1</f>
        <v>46356</v>
      </c>
      <c r="CE2" s="8">
        <f>'Water Revenue'!CE1</f>
        <v>46387</v>
      </c>
      <c r="CF2" s="8">
        <f>'Water Revenue'!CF1</f>
        <v>46418</v>
      </c>
      <c r="CG2" s="8">
        <f>'Water Revenue'!CG1</f>
        <v>46446</v>
      </c>
      <c r="CH2" s="8">
        <f>'Water Revenue'!CH1</f>
        <v>46477</v>
      </c>
      <c r="CI2" s="8">
        <f>'Water Revenue'!CI1</f>
        <v>46507</v>
      </c>
      <c r="CJ2" s="8">
        <f>'Water Revenue'!CJ1</f>
        <v>46538</v>
      </c>
      <c r="CK2" s="8">
        <f>'Water Revenue'!CK1</f>
        <v>46568</v>
      </c>
      <c r="CL2" s="8">
        <f>'Water Revenue'!CL1</f>
        <v>46599</v>
      </c>
      <c r="CM2" s="8">
        <f>'Water Revenue'!CM1</f>
        <v>46630</v>
      </c>
      <c r="CN2" s="8">
        <f>'Water Revenue'!CN1</f>
        <v>46660</v>
      </c>
      <c r="CO2" s="8">
        <f>'Water Revenue'!CO1</f>
        <v>46691</v>
      </c>
      <c r="CP2" s="8">
        <f>'Water Revenue'!CP1</f>
        <v>46721</v>
      </c>
      <c r="CQ2" s="8">
        <f>'Water Revenue'!CQ1</f>
        <v>46752</v>
      </c>
      <c r="CR2" s="8">
        <f>'Water Revenue'!CR1</f>
        <v>46783</v>
      </c>
      <c r="CS2" s="8">
        <f>'Water Revenue'!CS1</f>
        <v>46812</v>
      </c>
      <c r="CT2" s="8">
        <f>'Water Revenue'!CT1</f>
        <v>46843</v>
      </c>
      <c r="CU2" s="8">
        <f>'Water Revenue'!CU1</f>
        <v>46873</v>
      </c>
      <c r="CV2" s="8">
        <f>'Water Revenue'!CV1</f>
        <v>46904</v>
      </c>
      <c r="CW2" s="8">
        <f>'Water Revenue'!CW1</f>
        <v>46934</v>
      </c>
      <c r="CX2" s="8">
        <f>'Water Revenue'!CX1</f>
        <v>46965</v>
      </c>
      <c r="CY2" s="8">
        <f>'Water Revenue'!CY1</f>
        <v>46996</v>
      </c>
      <c r="CZ2" s="8">
        <f>'Water Revenue'!CZ1</f>
        <v>47026</v>
      </c>
      <c r="DA2" s="8">
        <f>'Water Revenue'!DA1</f>
        <v>47057</v>
      </c>
      <c r="DB2" s="8">
        <f>'Water Revenue'!DB1</f>
        <v>47087</v>
      </c>
      <c r="DC2" s="8">
        <f>'Water Revenue'!DC1</f>
        <v>47118</v>
      </c>
      <c r="DD2" s="8">
        <f>'Water Revenue'!DD1</f>
        <v>47149</v>
      </c>
      <c r="DE2" s="8">
        <f>'Water Revenue'!DE1</f>
        <v>47177</v>
      </c>
      <c r="DF2" s="8">
        <f>'Water Revenue'!DF1</f>
        <v>47208</v>
      </c>
    </row>
    <row r="3" spans="1:110" ht="12" customHeight="1">
      <c r="A3" s="75" t="s">
        <v>226</v>
      </c>
      <c r="B3" s="72" t="s">
        <v>82</v>
      </c>
      <c r="C3" s="34">
        <f>'Water Revenue'!C11</f>
        <v>186000</v>
      </c>
      <c r="D3" s="34">
        <f>'Water Revenue'!D11</f>
        <v>192000</v>
      </c>
      <c r="E3" s="34">
        <f>'Water Revenue'!E11</f>
        <v>198000</v>
      </c>
      <c r="F3" s="34">
        <f>'Water Revenue'!F11</f>
        <v>201000</v>
      </c>
      <c r="G3" s="34">
        <f>'Water Revenue'!G11</f>
        <v>206000</v>
      </c>
      <c r="H3" s="34">
        <f>'Water Revenue'!H11</f>
        <v>211000</v>
      </c>
      <c r="I3" s="34">
        <f>'Water Revenue'!I11</f>
        <v>216000</v>
      </c>
      <c r="J3" s="34">
        <f>'Water Revenue'!J11</f>
        <v>221000</v>
      </c>
      <c r="K3" s="34">
        <f>'Water Revenue'!K11</f>
        <v>226000</v>
      </c>
      <c r="L3" s="34">
        <f>'Water Revenue'!L11</f>
        <v>231000</v>
      </c>
      <c r="M3" s="34">
        <f>'Water Revenue'!M11</f>
        <v>236000</v>
      </c>
      <c r="N3" s="34">
        <f>'Water Revenue'!N11</f>
        <v>241000</v>
      </c>
      <c r="O3" s="34">
        <f>'Water Revenue'!O11</f>
        <v>220000</v>
      </c>
      <c r="P3" s="34">
        <f>'Water Revenue'!P11</f>
        <v>222000</v>
      </c>
      <c r="Q3" s="34">
        <f>'Water Revenue'!Q11</f>
        <v>224000</v>
      </c>
      <c r="R3" s="34">
        <f>'Water Revenue'!R11</f>
        <v>226000</v>
      </c>
      <c r="S3" s="34">
        <f>'Water Revenue'!S11</f>
        <v>229000</v>
      </c>
      <c r="T3" s="34">
        <f>'Water Revenue'!T11</f>
        <v>232000</v>
      </c>
      <c r="U3" s="34">
        <f>'Water Revenue'!U11</f>
        <v>235000</v>
      </c>
      <c r="V3" s="34">
        <f>'Water Revenue'!V11</f>
        <v>238000</v>
      </c>
      <c r="W3" s="34">
        <f>'Water Revenue'!W11</f>
        <v>241000</v>
      </c>
      <c r="X3" s="34">
        <f>'Water Revenue'!X11</f>
        <v>244000</v>
      </c>
      <c r="Y3" s="34">
        <f>'Water Revenue'!Y11</f>
        <v>249000</v>
      </c>
      <c r="Z3" s="34">
        <f>'Water Revenue'!Z11</f>
        <v>254000</v>
      </c>
      <c r="AA3" s="34">
        <f>'Water Revenue'!AA11</f>
        <v>247000</v>
      </c>
      <c r="AB3" s="34">
        <f>'Water Revenue'!AB11</f>
        <v>249000</v>
      </c>
      <c r="AC3" s="34">
        <f>'Water Revenue'!AC11</f>
        <v>252000</v>
      </c>
      <c r="AD3" s="34">
        <f>'Water Revenue'!AD11</f>
        <v>254000</v>
      </c>
      <c r="AE3" s="34">
        <f>'Water Revenue'!AE11</f>
        <v>256000</v>
      </c>
      <c r="AF3" s="34">
        <f>'Water Revenue'!AF11</f>
        <v>257000</v>
      </c>
      <c r="AG3" s="34">
        <f>'Water Revenue'!AG11</f>
        <v>258000</v>
      </c>
      <c r="AH3" s="34">
        <f>'Water Revenue'!AH11</f>
        <v>259000</v>
      </c>
      <c r="AI3" s="34">
        <f>'Water Revenue'!AI11</f>
        <v>260000</v>
      </c>
      <c r="AJ3" s="34">
        <f>'Water Revenue'!AJ11</f>
        <v>261000</v>
      </c>
      <c r="AK3" s="34">
        <f>'Water Revenue'!AK11</f>
        <v>262000</v>
      </c>
      <c r="AL3" s="34">
        <f>'Water Revenue'!AL11</f>
        <v>263000</v>
      </c>
      <c r="AM3" s="34">
        <f>'Water Revenue'!AM11</f>
        <v>265000</v>
      </c>
      <c r="AN3" s="34">
        <f>'Water Revenue'!AN11</f>
        <v>267000</v>
      </c>
      <c r="AO3" s="34">
        <f>'Water Revenue'!AO11</f>
        <v>269000</v>
      </c>
      <c r="AP3" s="34">
        <f>'Water Revenue'!AP11</f>
        <v>271000</v>
      </c>
      <c r="AQ3" s="34">
        <f>'Water Revenue'!AQ11</f>
        <v>273000</v>
      </c>
      <c r="AR3" s="34">
        <f>'Water Revenue'!AR11</f>
        <v>275000</v>
      </c>
      <c r="AS3" s="34">
        <f>'Water Revenue'!AS11</f>
        <v>277000</v>
      </c>
      <c r="AT3" s="34">
        <f>'Water Revenue'!AT11</f>
        <v>279000</v>
      </c>
      <c r="AU3" s="34">
        <f>'Water Revenue'!AU11</f>
        <v>281000</v>
      </c>
      <c r="AV3" s="34">
        <f>'Water Revenue'!AV11</f>
        <v>283000</v>
      </c>
      <c r="AW3" s="34">
        <f>'Water Revenue'!AW11</f>
        <v>285000</v>
      </c>
      <c r="AX3" s="34">
        <f>'Water Revenue'!AX11</f>
        <v>287000</v>
      </c>
      <c r="AY3" s="34">
        <f>'Water Revenue'!AY11</f>
        <v>288000</v>
      </c>
      <c r="AZ3" s="34">
        <f>'Water Revenue'!AZ11</f>
        <v>289000</v>
      </c>
      <c r="BA3" s="34">
        <f>'Water Revenue'!BA11</f>
        <v>290000</v>
      </c>
      <c r="BB3" s="34">
        <f>'Water Revenue'!BB11</f>
        <v>291000</v>
      </c>
      <c r="BC3" s="34">
        <f>'Water Revenue'!BC11</f>
        <v>292000</v>
      </c>
      <c r="BD3" s="34">
        <f>'Water Revenue'!BD11</f>
        <v>293000</v>
      </c>
      <c r="BE3" s="34">
        <f>'Water Revenue'!BE11</f>
        <v>294000</v>
      </c>
      <c r="BF3" s="34">
        <f>'Water Revenue'!BF11</f>
        <v>295000</v>
      </c>
      <c r="BG3" s="34">
        <f>'Water Revenue'!BG11</f>
        <v>296000</v>
      </c>
      <c r="BH3" s="34">
        <f>'Water Revenue'!BH11</f>
        <v>297000</v>
      </c>
      <c r="BI3" s="34">
        <f>'Water Revenue'!BI11</f>
        <v>298000</v>
      </c>
      <c r="BJ3" s="34">
        <f>'Water Revenue'!BJ11</f>
        <v>299000</v>
      </c>
      <c r="BK3" s="34">
        <f>'Water Revenue'!BK11</f>
        <v>299500</v>
      </c>
      <c r="BL3" s="34">
        <f>'Water Revenue'!BL11</f>
        <v>300000</v>
      </c>
      <c r="BM3" s="34">
        <f>'Water Revenue'!BM11</f>
        <v>300500</v>
      </c>
      <c r="BN3" s="34">
        <f>'Water Revenue'!BN11</f>
        <v>301000</v>
      </c>
      <c r="BO3" s="34">
        <f>'Water Revenue'!BO11</f>
        <v>301500</v>
      </c>
      <c r="BP3" s="34">
        <f>'Water Revenue'!BP11</f>
        <v>302000</v>
      </c>
      <c r="BQ3" s="34">
        <f>'Water Revenue'!BQ11</f>
        <v>302500</v>
      </c>
      <c r="BR3" s="34">
        <f>'Water Revenue'!BR11</f>
        <v>303000</v>
      </c>
      <c r="BS3" s="34">
        <f>'Water Revenue'!BS11</f>
        <v>303500</v>
      </c>
      <c r="BT3" s="34">
        <f>'Water Revenue'!BT11</f>
        <v>304000</v>
      </c>
      <c r="BU3" s="34">
        <f>'Water Revenue'!BU11</f>
        <v>304500</v>
      </c>
      <c r="BV3" s="34">
        <f>'Water Revenue'!BV11</f>
        <v>305000</v>
      </c>
      <c r="BW3" s="34">
        <f>'Water Revenue'!BW11</f>
        <v>305500</v>
      </c>
      <c r="BX3" s="34">
        <f>'Water Revenue'!BX11</f>
        <v>306000</v>
      </c>
      <c r="BY3" s="34">
        <f>'Water Revenue'!BY11</f>
        <v>306500</v>
      </c>
      <c r="BZ3" s="34">
        <f>'Water Revenue'!BZ11</f>
        <v>307000</v>
      </c>
      <c r="CA3" s="34">
        <f>'Water Revenue'!CA11</f>
        <v>307500</v>
      </c>
      <c r="CB3" s="34">
        <f>'Water Revenue'!CB11</f>
        <v>308000</v>
      </c>
      <c r="CC3" s="34">
        <f>'Water Revenue'!CC11</f>
        <v>308500</v>
      </c>
      <c r="CD3" s="34">
        <f>'Water Revenue'!CD11</f>
        <v>309000</v>
      </c>
      <c r="CE3" s="34">
        <f>'Water Revenue'!CE11</f>
        <v>309500</v>
      </c>
      <c r="CF3" s="34">
        <f>'Water Revenue'!CF11</f>
        <v>310000</v>
      </c>
      <c r="CG3" s="34">
        <f>'Water Revenue'!CG11</f>
        <v>310500</v>
      </c>
      <c r="CH3" s="34">
        <f>'Water Revenue'!CH11</f>
        <v>311000</v>
      </c>
      <c r="CI3" s="34">
        <f>'Water Revenue'!CI11</f>
        <v>311500</v>
      </c>
      <c r="CJ3" s="34">
        <f>'Water Revenue'!CJ11</f>
        <v>312000</v>
      </c>
      <c r="CK3" s="34">
        <f>'Water Revenue'!CK11</f>
        <v>312500</v>
      </c>
      <c r="CL3" s="34">
        <f>'Water Revenue'!CL11</f>
        <v>313000</v>
      </c>
      <c r="CM3" s="34">
        <f>'Water Revenue'!CM11</f>
        <v>313500</v>
      </c>
      <c r="CN3" s="34">
        <f>'Water Revenue'!CN11</f>
        <v>314000</v>
      </c>
      <c r="CO3" s="34">
        <f>'Water Revenue'!CO11</f>
        <v>314500</v>
      </c>
      <c r="CP3" s="34">
        <f>'Water Revenue'!CP11</f>
        <v>315000</v>
      </c>
      <c r="CQ3" s="34">
        <f>'Water Revenue'!CQ11</f>
        <v>315500</v>
      </c>
      <c r="CR3" s="34">
        <f>'Water Revenue'!CR11</f>
        <v>316000</v>
      </c>
      <c r="CS3" s="34">
        <f>'Water Revenue'!CS11</f>
        <v>316500</v>
      </c>
      <c r="CT3" s="34">
        <f>'Water Revenue'!CT11</f>
        <v>317000</v>
      </c>
      <c r="CU3" s="34">
        <f>'Water Revenue'!CU11</f>
        <v>317500</v>
      </c>
      <c r="CV3" s="34">
        <f>'Water Revenue'!CV11</f>
        <v>318000</v>
      </c>
      <c r="CW3" s="34">
        <f>'Water Revenue'!CW11</f>
        <v>318500</v>
      </c>
      <c r="CX3" s="34">
        <f>'Water Revenue'!CX11</f>
        <v>319000</v>
      </c>
      <c r="CY3" s="34">
        <f>'Water Revenue'!CY11</f>
        <v>319500</v>
      </c>
      <c r="CZ3" s="34">
        <f>'Water Revenue'!CZ11</f>
        <v>320000</v>
      </c>
      <c r="DA3" s="34">
        <f>'Water Revenue'!DA11</f>
        <v>320500</v>
      </c>
      <c r="DB3" s="34">
        <f>'Water Revenue'!DB11</f>
        <v>321000</v>
      </c>
      <c r="DC3" s="34">
        <f>'Water Revenue'!DC11</f>
        <v>321500</v>
      </c>
      <c r="DD3" s="34">
        <f>'Water Revenue'!DD11</f>
        <v>322000</v>
      </c>
      <c r="DE3" s="34">
        <f>'Water Revenue'!DE11</f>
        <v>322500</v>
      </c>
      <c r="DF3" s="34">
        <f>'Water Revenue'!DF11</f>
        <v>323000</v>
      </c>
    </row>
    <row r="4" spans="1:110" ht="12" customHeight="1">
      <c r="A4" s="75" t="s">
        <v>247</v>
      </c>
      <c r="B4" s="72" t="s">
        <v>228</v>
      </c>
      <c r="C4" s="34">
        <f>'Water Revenue'!C13</f>
        <v>0.44</v>
      </c>
      <c r="D4" s="34">
        <f>'Water Revenue'!D13</f>
        <v>0.44</v>
      </c>
      <c r="E4" s="34">
        <f>'Water Revenue'!E13</f>
        <v>0.44</v>
      </c>
      <c r="F4" s="34">
        <f>'Water Revenue'!F13</f>
        <v>0.44</v>
      </c>
      <c r="G4" s="34">
        <f>'Water Revenue'!G13</f>
        <v>0.44</v>
      </c>
      <c r="H4" s="34">
        <f>'Water Revenue'!H13</f>
        <v>0.44</v>
      </c>
      <c r="I4" s="34">
        <f>'Water Revenue'!I13</f>
        <v>0.44</v>
      </c>
      <c r="J4" s="34">
        <f>'Water Revenue'!J13</f>
        <v>0.44</v>
      </c>
      <c r="K4" s="34">
        <f>'Water Revenue'!K13</f>
        <v>0.44</v>
      </c>
      <c r="L4" s="34">
        <f>'Water Revenue'!L13</f>
        <v>0.44</v>
      </c>
      <c r="M4" s="34">
        <f>'Water Revenue'!M13</f>
        <v>0.44</v>
      </c>
      <c r="N4" s="34">
        <f>'Water Revenue'!N13</f>
        <v>0.44</v>
      </c>
      <c r="O4" s="34">
        <f>'Water Revenue'!O13</f>
        <v>0.38</v>
      </c>
      <c r="P4" s="34">
        <f>'Water Revenue'!P13</f>
        <v>0.38</v>
      </c>
      <c r="Q4" s="34">
        <f>'Water Revenue'!Q13</f>
        <v>0.38</v>
      </c>
      <c r="R4" s="34">
        <f>'Water Revenue'!R13</f>
        <v>0.42</v>
      </c>
      <c r="S4" s="34">
        <f>'Water Revenue'!S13</f>
        <v>0.42</v>
      </c>
      <c r="T4" s="34">
        <f>'Water Revenue'!T13</f>
        <v>0.42</v>
      </c>
      <c r="U4" s="34">
        <f>'Water Revenue'!U13</f>
        <v>0.42</v>
      </c>
      <c r="V4" s="34">
        <f>'Water Revenue'!V13</f>
        <v>0.42</v>
      </c>
      <c r="W4" s="34">
        <f>'Water Revenue'!W13</f>
        <v>0.42</v>
      </c>
      <c r="X4" s="34">
        <f>'Water Revenue'!X13</f>
        <v>0.42</v>
      </c>
      <c r="Y4" s="34">
        <f>'Water Revenue'!Y13</f>
        <v>0.42</v>
      </c>
      <c r="Z4" s="34">
        <f>'Water Revenue'!Z13</f>
        <v>0.42</v>
      </c>
      <c r="AA4" s="34">
        <f>'Water Revenue'!AA13</f>
        <v>0.39999999999999997</v>
      </c>
      <c r="AB4" s="34">
        <f>'Water Revenue'!AB13</f>
        <v>0.39999999999999997</v>
      </c>
      <c r="AC4" s="34">
        <f>'Water Revenue'!AC13</f>
        <v>0.39999999999999997</v>
      </c>
      <c r="AD4" s="34">
        <f>'Water Revenue'!AD13</f>
        <v>0.39999999999999997</v>
      </c>
      <c r="AE4" s="34">
        <f>'Water Revenue'!AE13</f>
        <v>0.39999999999999997</v>
      </c>
      <c r="AF4" s="34">
        <f>'Water Revenue'!AF13</f>
        <v>0.39999999999999997</v>
      </c>
      <c r="AG4" s="34">
        <f>'Water Revenue'!AG13</f>
        <v>0.39999999999999997</v>
      </c>
      <c r="AH4" s="34">
        <f>'Water Revenue'!AH13</f>
        <v>0.39999999999999997</v>
      </c>
      <c r="AI4" s="34">
        <f>'Water Revenue'!AI13</f>
        <v>0.39999999999999997</v>
      </c>
      <c r="AJ4" s="34">
        <f>'Water Revenue'!AJ13</f>
        <v>0.39999999999999997</v>
      </c>
      <c r="AK4" s="34">
        <f>'Water Revenue'!AK13</f>
        <v>0.39999999999999997</v>
      </c>
      <c r="AL4" s="34">
        <f>'Water Revenue'!AL13</f>
        <v>0.39999999999999997</v>
      </c>
      <c r="AM4" s="34">
        <f>'Water Revenue'!AM13</f>
        <v>0.39999999999999997</v>
      </c>
      <c r="AN4" s="34">
        <f>'Water Revenue'!AN13</f>
        <v>0.39999999999999997</v>
      </c>
      <c r="AO4" s="34">
        <f>'Water Revenue'!AO13</f>
        <v>0.39999999999999997</v>
      </c>
      <c r="AP4" s="34">
        <f>'Water Revenue'!AP13</f>
        <v>0.39999999999999997</v>
      </c>
      <c r="AQ4" s="34">
        <f>'Water Revenue'!AQ13</f>
        <v>0.39999999999999997</v>
      </c>
      <c r="AR4" s="34">
        <f>'Water Revenue'!AR13</f>
        <v>0.39999999999999997</v>
      </c>
      <c r="AS4" s="34">
        <f>'Water Revenue'!AS13</f>
        <v>0.39999999999999997</v>
      </c>
      <c r="AT4" s="34">
        <f>'Water Revenue'!AT13</f>
        <v>0.39999999999999997</v>
      </c>
      <c r="AU4" s="34">
        <f>'Water Revenue'!AU13</f>
        <v>0.39999999999999997</v>
      </c>
      <c r="AV4" s="34">
        <f>'Water Revenue'!AV13</f>
        <v>0.39999999999999997</v>
      </c>
      <c r="AW4" s="34">
        <f>'Water Revenue'!AW13</f>
        <v>0.39999999999999997</v>
      </c>
      <c r="AX4" s="34">
        <f>'Water Revenue'!AX13</f>
        <v>0.39999999999999997</v>
      </c>
      <c r="AY4" s="34">
        <f>'Water Revenue'!AY13</f>
        <v>0.43</v>
      </c>
      <c r="AZ4" s="34">
        <f>'Water Revenue'!AZ13</f>
        <v>0.43</v>
      </c>
      <c r="BA4" s="34">
        <f>'Water Revenue'!BA13</f>
        <v>0.43</v>
      </c>
      <c r="BB4" s="34">
        <f>'Water Revenue'!BB13</f>
        <v>0.43</v>
      </c>
      <c r="BC4" s="34">
        <f>'Water Revenue'!BC13</f>
        <v>0.43</v>
      </c>
      <c r="BD4" s="34">
        <f>'Water Revenue'!BD13</f>
        <v>0.43</v>
      </c>
      <c r="BE4" s="34">
        <f>'Water Revenue'!BE13</f>
        <v>0.43</v>
      </c>
      <c r="BF4" s="34">
        <f>'Water Revenue'!BF13</f>
        <v>0.43</v>
      </c>
      <c r="BG4" s="34">
        <f>'Water Revenue'!BG13</f>
        <v>0.43</v>
      </c>
      <c r="BH4" s="34">
        <f>'Water Revenue'!BH13</f>
        <v>0.43</v>
      </c>
      <c r="BI4" s="34">
        <f>'Water Revenue'!BI13</f>
        <v>0.43</v>
      </c>
      <c r="BJ4" s="34">
        <f>'Water Revenue'!BJ13</f>
        <v>0.43</v>
      </c>
      <c r="BK4" s="34">
        <f>'Water Revenue'!BK13</f>
        <v>0.43</v>
      </c>
      <c r="BL4" s="34">
        <f>'Water Revenue'!BL13</f>
        <v>0.43</v>
      </c>
      <c r="BM4" s="34">
        <f>'Water Revenue'!BM13</f>
        <v>0.43</v>
      </c>
      <c r="BN4" s="34">
        <f>'Water Revenue'!BN13</f>
        <v>0.43</v>
      </c>
      <c r="BO4" s="34">
        <f>'Water Revenue'!BO13</f>
        <v>0.43</v>
      </c>
      <c r="BP4" s="34">
        <f>'Water Revenue'!BP13</f>
        <v>0.43</v>
      </c>
      <c r="BQ4" s="34">
        <f>'Water Revenue'!BQ13</f>
        <v>0.43</v>
      </c>
      <c r="BR4" s="34">
        <f>'Water Revenue'!BR13</f>
        <v>0.43</v>
      </c>
      <c r="BS4" s="34">
        <f>'Water Revenue'!BS13</f>
        <v>0.43</v>
      </c>
      <c r="BT4" s="34">
        <f>'Water Revenue'!BT13</f>
        <v>0.43</v>
      </c>
      <c r="BU4" s="34">
        <f>'Water Revenue'!BU13</f>
        <v>0.43</v>
      </c>
      <c r="BV4" s="34">
        <f>'Water Revenue'!BV13</f>
        <v>0.43</v>
      </c>
      <c r="BW4" s="34">
        <f>'Water Revenue'!BW13</f>
        <v>0.43</v>
      </c>
      <c r="BX4" s="34">
        <f>'Water Revenue'!BX13</f>
        <v>0.43</v>
      </c>
      <c r="BY4" s="34">
        <f>'Water Revenue'!BY13</f>
        <v>0.43</v>
      </c>
      <c r="BZ4" s="34">
        <f>'Water Revenue'!BZ13</f>
        <v>0.43</v>
      </c>
      <c r="CA4" s="34">
        <f>'Water Revenue'!CA13</f>
        <v>0.43</v>
      </c>
      <c r="CB4" s="34">
        <f>'Water Revenue'!CB13</f>
        <v>0.43</v>
      </c>
      <c r="CC4" s="34">
        <f>'Water Revenue'!CC13</f>
        <v>0.43</v>
      </c>
      <c r="CD4" s="34">
        <f>'Water Revenue'!CD13</f>
        <v>0.43</v>
      </c>
      <c r="CE4" s="34">
        <f>'Water Revenue'!CE13</f>
        <v>0.43</v>
      </c>
      <c r="CF4" s="34">
        <f>'Water Revenue'!CF13</f>
        <v>0.435</v>
      </c>
      <c r="CG4" s="34">
        <f>'Water Revenue'!CG13</f>
        <v>0.435</v>
      </c>
      <c r="CH4" s="34">
        <f>'Water Revenue'!CH13</f>
        <v>0.435</v>
      </c>
      <c r="CI4" s="34">
        <f>'Water Revenue'!CI13</f>
        <v>0.435</v>
      </c>
      <c r="CJ4" s="34">
        <f>'Water Revenue'!CJ13</f>
        <v>0.435</v>
      </c>
      <c r="CK4" s="34">
        <f>'Water Revenue'!CK13</f>
        <v>0.435</v>
      </c>
      <c r="CL4" s="34">
        <f>'Water Revenue'!CL13</f>
        <v>0.435</v>
      </c>
      <c r="CM4" s="34">
        <f>'Water Revenue'!CM13</f>
        <v>0.435</v>
      </c>
      <c r="CN4" s="34">
        <f>'Water Revenue'!CN13</f>
        <v>0.435</v>
      </c>
      <c r="CO4" s="34">
        <f>'Water Revenue'!CO13</f>
        <v>0.435</v>
      </c>
      <c r="CP4" s="34">
        <f>'Water Revenue'!CP13</f>
        <v>0.435</v>
      </c>
      <c r="CQ4" s="34">
        <f>'Water Revenue'!CQ13</f>
        <v>0.435</v>
      </c>
      <c r="CR4" s="34">
        <f>'Water Revenue'!CR13</f>
        <v>0.435</v>
      </c>
      <c r="CS4" s="34">
        <f>'Water Revenue'!CS13</f>
        <v>0.435</v>
      </c>
      <c r="CT4" s="34">
        <f>'Water Revenue'!CT13</f>
        <v>0.435</v>
      </c>
      <c r="CU4" s="34">
        <f>'Water Revenue'!CU13</f>
        <v>0.435</v>
      </c>
      <c r="CV4" s="34">
        <f>'Water Revenue'!CV13</f>
        <v>0.435</v>
      </c>
      <c r="CW4" s="34">
        <f>'Water Revenue'!CW13</f>
        <v>0.435</v>
      </c>
      <c r="CX4" s="34">
        <f>'Water Revenue'!CX13</f>
        <v>0.435</v>
      </c>
      <c r="CY4" s="34">
        <f>'Water Revenue'!CY13</f>
        <v>0.435</v>
      </c>
      <c r="CZ4" s="34">
        <f>'Water Revenue'!CZ13</f>
        <v>0.435</v>
      </c>
      <c r="DA4" s="34">
        <f>'Water Revenue'!DA13</f>
        <v>0.435</v>
      </c>
      <c r="DB4" s="34">
        <f>'Water Revenue'!DB13</f>
        <v>0.435</v>
      </c>
      <c r="DC4" s="34">
        <f>'Water Revenue'!DC13</f>
        <v>0.435</v>
      </c>
      <c r="DD4" s="34">
        <f>'Water Revenue'!DD13</f>
        <v>0.435</v>
      </c>
      <c r="DE4" s="34">
        <f>'Water Revenue'!DE13</f>
        <v>0.435</v>
      </c>
      <c r="DF4" s="34">
        <f>'Water Revenue'!DF13</f>
        <v>0.435</v>
      </c>
    </row>
    <row r="5" spans="1:110" ht="12" customHeight="1">
      <c r="A5" s="75" t="s">
        <v>231</v>
      </c>
      <c r="B5" s="72" t="s">
        <v>228</v>
      </c>
      <c r="C5" s="77">
        <f t="shared" ref="C5:BN5" si="0">C3*C4</f>
        <v>81840</v>
      </c>
      <c r="D5" s="77">
        <f t="shared" si="0"/>
        <v>84480</v>
      </c>
      <c r="E5" s="77">
        <f t="shared" si="0"/>
        <v>87120</v>
      </c>
      <c r="F5" s="77">
        <f t="shared" si="0"/>
        <v>88440</v>
      </c>
      <c r="G5" s="77">
        <f t="shared" si="0"/>
        <v>90640</v>
      </c>
      <c r="H5" s="77">
        <f t="shared" si="0"/>
        <v>92840</v>
      </c>
      <c r="I5" s="77">
        <f t="shared" si="0"/>
        <v>95040</v>
      </c>
      <c r="J5" s="77">
        <f t="shared" si="0"/>
        <v>97240</v>
      </c>
      <c r="K5" s="77">
        <f t="shared" si="0"/>
        <v>99440</v>
      </c>
      <c r="L5" s="77">
        <f t="shared" si="0"/>
        <v>101640</v>
      </c>
      <c r="M5" s="77">
        <f t="shared" si="0"/>
        <v>103840</v>
      </c>
      <c r="N5" s="77">
        <f t="shared" si="0"/>
        <v>106040</v>
      </c>
      <c r="O5" s="77">
        <f t="shared" si="0"/>
        <v>83600</v>
      </c>
      <c r="P5" s="77">
        <f t="shared" si="0"/>
        <v>84360</v>
      </c>
      <c r="Q5" s="77">
        <f t="shared" si="0"/>
        <v>85120</v>
      </c>
      <c r="R5" s="77">
        <f t="shared" si="0"/>
        <v>94920</v>
      </c>
      <c r="S5" s="77">
        <f t="shared" si="0"/>
        <v>96180</v>
      </c>
      <c r="T5" s="77">
        <f t="shared" si="0"/>
        <v>97440</v>
      </c>
      <c r="U5" s="77">
        <f t="shared" si="0"/>
        <v>98700</v>
      </c>
      <c r="V5" s="77">
        <f t="shared" si="0"/>
        <v>99960</v>
      </c>
      <c r="W5" s="77">
        <f t="shared" si="0"/>
        <v>101220</v>
      </c>
      <c r="X5" s="77">
        <f t="shared" si="0"/>
        <v>102480</v>
      </c>
      <c r="Y5" s="77">
        <f t="shared" si="0"/>
        <v>104580</v>
      </c>
      <c r="Z5" s="77">
        <f t="shared" si="0"/>
        <v>106680</v>
      </c>
      <c r="AA5" s="77">
        <f t="shared" si="0"/>
        <v>98799.999999999985</v>
      </c>
      <c r="AB5" s="77">
        <f t="shared" si="0"/>
        <v>99599.999999999985</v>
      </c>
      <c r="AC5" s="77">
        <f t="shared" si="0"/>
        <v>100799.99999999999</v>
      </c>
      <c r="AD5" s="77">
        <f t="shared" si="0"/>
        <v>101599.99999999999</v>
      </c>
      <c r="AE5" s="77">
        <f t="shared" si="0"/>
        <v>102399.99999999999</v>
      </c>
      <c r="AF5" s="77">
        <f t="shared" si="0"/>
        <v>102799.99999999999</v>
      </c>
      <c r="AG5" s="77">
        <f t="shared" si="0"/>
        <v>103199.99999999999</v>
      </c>
      <c r="AH5" s="77">
        <f t="shared" si="0"/>
        <v>103599.99999999999</v>
      </c>
      <c r="AI5" s="77">
        <f t="shared" si="0"/>
        <v>103999.99999999999</v>
      </c>
      <c r="AJ5" s="77">
        <f t="shared" si="0"/>
        <v>104399.99999999999</v>
      </c>
      <c r="AK5" s="77">
        <f t="shared" si="0"/>
        <v>104799.99999999999</v>
      </c>
      <c r="AL5" s="77">
        <f t="shared" si="0"/>
        <v>105199.99999999999</v>
      </c>
      <c r="AM5" s="77">
        <f t="shared" si="0"/>
        <v>105999.99999999999</v>
      </c>
      <c r="AN5" s="77">
        <f t="shared" si="0"/>
        <v>106799.99999999999</v>
      </c>
      <c r="AO5" s="77">
        <f t="shared" si="0"/>
        <v>107599.99999999999</v>
      </c>
      <c r="AP5" s="77">
        <f t="shared" si="0"/>
        <v>108399.99999999999</v>
      </c>
      <c r="AQ5" s="77">
        <f t="shared" si="0"/>
        <v>109199.99999999999</v>
      </c>
      <c r="AR5" s="77">
        <f t="shared" si="0"/>
        <v>109999.99999999999</v>
      </c>
      <c r="AS5" s="77">
        <f t="shared" si="0"/>
        <v>110799.99999999999</v>
      </c>
      <c r="AT5" s="77">
        <f t="shared" si="0"/>
        <v>111599.99999999999</v>
      </c>
      <c r="AU5" s="77">
        <f t="shared" si="0"/>
        <v>112399.99999999999</v>
      </c>
      <c r="AV5" s="77">
        <f t="shared" si="0"/>
        <v>113199.99999999999</v>
      </c>
      <c r="AW5" s="77">
        <f t="shared" si="0"/>
        <v>113999.99999999999</v>
      </c>
      <c r="AX5" s="77">
        <f t="shared" si="0"/>
        <v>114799.99999999999</v>
      </c>
      <c r="AY5" s="77">
        <f t="shared" si="0"/>
        <v>123840</v>
      </c>
      <c r="AZ5" s="77">
        <f t="shared" si="0"/>
        <v>124270</v>
      </c>
      <c r="BA5" s="77">
        <f t="shared" si="0"/>
        <v>124700</v>
      </c>
      <c r="BB5" s="77">
        <f t="shared" si="0"/>
        <v>125130</v>
      </c>
      <c r="BC5" s="77">
        <f t="shared" si="0"/>
        <v>125560</v>
      </c>
      <c r="BD5" s="77">
        <f t="shared" si="0"/>
        <v>125990</v>
      </c>
      <c r="BE5" s="77">
        <f t="shared" si="0"/>
        <v>126420</v>
      </c>
      <c r="BF5" s="77">
        <f t="shared" si="0"/>
        <v>126850</v>
      </c>
      <c r="BG5" s="77">
        <f t="shared" si="0"/>
        <v>127280</v>
      </c>
      <c r="BH5" s="77">
        <f t="shared" si="0"/>
        <v>127710</v>
      </c>
      <c r="BI5" s="77">
        <f t="shared" si="0"/>
        <v>128140</v>
      </c>
      <c r="BJ5" s="77">
        <f t="shared" si="0"/>
        <v>128570</v>
      </c>
      <c r="BK5" s="77">
        <f t="shared" si="0"/>
        <v>128785</v>
      </c>
      <c r="BL5" s="77">
        <f t="shared" si="0"/>
        <v>129000</v>
      </c>
      <c r="BM5" s="77">
        <f t="shared" si="0"/>
        <v>129215</v>
      </c>
      <c r="BN5" s="77">
        <f t="shared" si="0"/>
        <v>129430</v>
      </c>
      <c r="BO5" s="77">
        <f t="shared" ref="BO5:DF5" si="1">BO3*BO4</f>
        <v>129645</v>
      </c>
      <c r="BP5" s="77">
        <f t="shared" si="1"/>
        <v>129860</v>
      </c>
      <c r="BQ5" s="77">
        <f t="shared" si="1"/>
        <v>130075</v>
      </c>
      <c r="BR5" s="77">
        <f t="shared" si="1"/>
        <v>130290</v>
      </c>
      <c r="BS5" s="77">
        <f t="shared" si="1"/>
        <v>130505</v>
      </c>
      <c r="BT5" s="77">
        <f t="shared" si="1"/>
        <v>130720</v>
      </c>
      <c r="BU5" s="77">
        <f t="shared" si="1"/>
        <v>130935</v>
      </c>
      <c r="BV5" s="77">
        <f t="shared" si="1"/>
        <v>131150</v>
      </c>
      <c r="BW5" s="77">
        <f t="shared" si="1"/>
        <v>131365</v>
      </c>
      <c r="BX5" s="77">
        <f t="shared" si="1"/>
        <v>131580</v>
      </c>
      <c r="BY5" s="77">
        <f t="shared" si="1"/>
        <v>131795</v>
      </c>
      <c r="BZ5" s="77">
        <f t="shared" si="1"/>
        <v>132010</v>
      </c>
      <c r="CA5" s="77">
        <f t="shared" si="1"/>
        <v>132225</v>
      </c>
      <c r="CB5" s="77">
        <f t="shared" si="1"/>
        <v>132440</v>
      </c>
      <c r="CC5" s="77">
        <f t="shared" si="1"/>
        <v>132655</v>
      </c>
      <c r="CD5" s="77">
        <f t="shared" si="1"/>
        <v>132870</v>
      </c>
      <c r="CE5" s="77">
        <f t="shared" si="1"/>
        <v>133085</v>
      </c>
      <c r="CF5" s="77">
        <f t="shared" si="1"/>
        <v>134850</v>
      </c>
      <c r="CG5" s="77">
        <f t="shared" si="1"/>
        <v>135067.5</v>
      </c>
      <c r="CH5" s="77">
        <f t="shared" si="1"/>
        <v>135285</v>
      </c>
      <c r="CI5" s="77">
        <f t="shared" si="1"/>
        <v>135502.5</v>
      </c>
      <c r="CJ5" s="77">
        <f t="shared" si="1"/>
        <v>135720</v>
      </c>
      <c r="CK5" s="77">
        <f t="shared" si="1"/>
        <v>135937.5</v>
      </c>
      <c r="CL5" s="77">
        <f t="shared" si="1"/>
        <v>136155</v>
      </c>
      <c r="CM5" s="77">
        <f t="shared" si="1"/>
        <v>136372.5</v>
      </c>
      <c r="CN5" s="77">
        <f t="shared" si="1"/>
        <v>136590</v>
      </c>
      <c r="CO5" s="77">
        <f t="shared" si="1"/>
        <v>136807.5</v>
      </c>
      <c r="CP5" s="77">
        <f t="shared" si="1"/>
        <v>137025</v>
      </c>
      <c r="CQ5" s="77">
        <f t="shared" si="1"/>
        <v>137242.5</v>
      </c>
      <c r="CR5" s="77">
        <f t="shared" si="1"/>
        <v>137460</v>
      </c>
      <c r="CS5" s="77">
        <f t="shared" si="1"/>
        <v>137677.5</v>
      </c>
      <c r="CT5" s="77">
        <f t="shared" si="1"/>
        <v>137895</v>
      </c>
      <c r="CU5" s="77">
        <f t="shared" si="1"/>
        <v>138112.5</v>
      </c>
      <c r="CV5" s="77">
        <f t="shared" si="1"/>
        <v>138330</v>
      </c>
      <c r="CW5" s="77">
        <f t="shared" si="1"/>
        <v>138547.5</v>
      </c>
      <c r="CX5" s="77">
        <f t="shared" si="1"/>
        <v>138765</v>
      </c>
      <c r="CY5" s="77">
        <f t="shared" si="1"/>
        <v>138982.5</v>
      </c>
      <c r="CZ5" s="77">
        <f t="shared" si="1"/>
        <v>139200</v>
      </c>
      <c r="DA5" s="77">
        <f t="shared" si="1"/>
        <v>139417.5</v>
      </c>
      <c r="DB5" s="77">
        <f t="shared" si="1"/>
        <v>139635</v>
      </c>
      <c r="DC5" s="77">
        <f t="shared" si="1"/>
        <v>139852.5</v>
      </c>
      <c r="DD5" s="77">
        <f t="shared" si="1"/>
        <v>140070</v>
      </c>
      <c r="DE5" s="77">
        <f t="shared" si="1"/>
        <v>140287.5</v>
      </c>
      <c r="DF5" s="77">
        <f t="shared" si="1"/>
        <v>140505</v>
      </c>
    </row>
    <row r="6" spans="1:110" ht="12" customHeight="1">
      <c r="A6" s="75" t="s">
        <v>248</v>
      </c>
      <c r="B6" s="72" t="s">
        <v>221</v>
      </c>
      <c r="C6" s="34">
        <f>'Water Revenue'!C16</f>
        <v>80</v>
      </c>
      <c r="D6" s="34">
        <f>'Water Revenue'!D16</f>
        <v>80</v>
      </c>
      <c r="E6" s="34">
        <f>'Water Revenue'!E16</f>
        <v>80</v>
      </c>
      <c r="F6" s="34">
        <f>'Water Revenue'!F16</f>
        <v>80</v>
      </c>
      <c r="G6" s="34">
        <f>'Water Revenue'!G16</f>
        <v>80</v>
      </c>
      <c r="H6" s="34">
        <f>'Water Revenue'!H16</f>
        <v>80</v>
      </c>
      <c r="I6" s="34">
        <f>'Water Revenue'!I16</f>
        <v>80</v>
      </c>
      <c r="J6" s="34">
        <f>'Water Revenue'!J16</f>
        <v>80</v>
      </c>
      <c r="K6" s="34">
        <f>'Water Revenue'!K16</f>
        <v>80</v>
      </c>
      <c r="L6" s="34">
        <f>'Water Revenue'!L16</f>
        <v>80</v>
      </c>
      <c r="M6" s="34">
        <f>'Water Revenue'!M16</f>
        <v>80</v>
      </c>
      <c r="N6" s="34">
        <f>'Water Revenue'!N16</f>
        <v>80</v>
      </c>
      <c r="O6" s="34">
        <f>'Water Revenue'!O16</f>
        <v>80</v>
      </c>
      <c r="P6" s="34">
        <f>'Water Revenue'!P16</f>
        <v>80</v>
      </c>
      <c r="Q6" s="34">
        <f>'Water Revenue'!Q16</f>
        <v>80</v>
      </c>
      <c r="R6" s="34">
        <f>'Water Revenue'!R16</f>
        <v>80</v>
      </c>
      <c r="S6" s="34">
        <f>'Water Revenue'!S16</f>
        <v>80</v>
      </c>
      <c r="T6" s="34">
        <f>'Water Revenue'!T16</f>
        <v>80</v>
      </c>
      <c r="U6" s="34">
        <f>'Water Revenue'!U16</f>
        <v>80</v>
      </c>
      <c r="V6" s="34">
        <f>'Water Revenue'!V16</f>
        <v>80</v>
      </c>
      <c r="W6" s="34">
        <f>'Water Revenue'!W16</f>
        <v>80</v>
      </c>
      <c r="X6" s="34">
        <f>'Water Revenue'!X16</f>
        <v>80</v>
      </c>
      <c r="Y6" s="34">
        <f>'Water Revenue'!Y16</f>
        <v>80</v>
      </c>
      <c r="Z6" s="34">
        <f>'Water Revenue'!Z16</f>
        <v>80</v>
      </c>
      <c r="AA6" s="34">
        <f>'Water Revenue'!AA16</f>
        <v>80</v>
      </c>
      <c r="AB6" s="34">
        <f>'Water Revenue'!AB16</f>
        <v>80</v>
      </c>
      <c r="AC6" s="34">
        <f>'Water Revenue'!AC16</f>
        <v>80</v>
      </c>
      <c r="AD6" s="34">
        <f>'Water Revenue'!AD16</f>
        <v>80</v>
      </c>
      <c r="AE6" s="34">
        <f>'Water Revenue'!AE16</f>
        <v>80</v>
      </c>
      <c r="AF6" s="34">
        <f>'Water Revenue'!AF16</f>
        <v>80</v>
      </c>
      <c r="AG6" s="34">
        <f>'Water Revenue'!AG16</f>
        <v>80</v>
      </c>
      <c r="AH6" s="34">
        <f>'Water Revenue'!AH16</f>
        <v>80</v>
      </c>
      <c r="AI6" s="34">
        <f>'Water Revenue'!AI16</f>
        <v>80</v>
      </c>
      <c r="AJ6" s="34">
        <f>'Water Revenue'!AJ16</f>
        <v>80</v>
      </c>
      <c r="AK6" s="34">
        <f>'Water Revenue'!AK16</f>
        <v>80</v>
      </c>
      <c r="AL6" s="34">
        <f>'Water Revenue'!AL16</f>
        <v>80</v>
      </c>
      <c r="AM6" s="34">
        <f>'Water Revenue'!AM16</f>
        <v>80</v>
      </c>
      <c r="AN6" s="34">
        <f>'Water Revenue'!AN16</f>
        <v>80</v>
      </c>
      <c r="AO6" s="34">
        <f>'Water Revenue'!AO16</f>
        <v>80</v>
      </c>
      <c r="AP6" s="34">
        <f>'Water Revenue'!AP16</f>
        <v>80</v>
      </c>
      <c r="AQ6" s="34">
        <f>'Water Revenue'!AQ16</f>
        <v>80</v>
      </c>
      <c r="AR6" s="34">
        <f>'Water Revenue'!AR16</f>
        <v>80</v>
      </c>
      <c r="AS6" s="34">
        <f>'Water Revenue'!AS16</f>
        <v>80</v>
      </c>
      <c r="AT6" s="34">
        <f>'Water Revenue'!AT16</f>
        <v>80</v>
      </c>
      <c r="AU6" s="34">
        <f>'Water Revenue'!AU16</f>
        <v>80</v>
      </c>
      <c r="AV6" s="34">
        <f>'Water Revenue'!AV16</f>
        <v>80</v>
      </c>
      <c r="AW6" s="34">
        <f>'Water Revenue'!AW16</f>
        <v>80</v>
      </c>
      <c r="AX6" s="34">
        <f>'Water Revenue'!AX16</f>
        <v>80</v>
      </c>
      <c r="AY6" s="34">
        <f>'Water Revenue'!AY16</f>
        <v>85</v>
      </c>
      <c r="AZ6" s="34">
        <f>'Water Revenue'!AZ16</f>
        <v>85</v>
      </c>
      <c r="BA6" s="34">
        <f>'Water Revenue'!BA16</f>
        <v>85</v>
      </c>
      <c r="BB6" s="34">
        <f>'Water Revenue'!BB16</f>
        <v>85</v>
      </c>
      <c r="BC6" s="34">
        <f>'Water Revenue'!BC16</f>
        <v>85</v>
      </c>
      <c r="BD6" s="34">
        <f>'Water Revenue'!BD16</f>
        <v>85</v>
      </c>
      <c r="BE6" s="34">
        <f>'Water Revenue'!BE16</f>
        <v>85</v>
      </c>
      <c r="BF6" s="34">
        <f>'Water Revenue'!BF16</f>
        <v>85</v>
      </c>
      <c r="BG6" s="34">
        <f>'Water Revenue'!BG16</f>
        <v>85</v>
      </c>
      <c r="BH6" s="34">
        <f>'Water Revenue'!BH16</f>
        <v>85</v>
      </c>
      <c r="BI6" s="34">
        <f>'Water Revenue'!BI16</f>
        <v>85</v>
      </c>
      <c r="BJ6" s="34">
        <f>'Water Revenue'!BJ16</f>
        <v>85</v>
      </c>
      <c r="BK6" s="34">
        <f>'Water Revenue'!BK16</f>
        <v>85</v>
      </c>
      <c r="BL6" s="34">
        <f>'Water Revenue'!BL16</f>
        <v>85</v>
      </c>
      <c r="BM6" s="34">
        <f>'Water Revenue'!BM16</f>
        <v>85</v>
      </c>
      <c r="BN6" s="34">
        <f>'Water Revenue'!BN16</f>
        <v>85</v>
      </c>
      <c r="BO6" s="34">
        <f>'Water Revenue'!BO16</f>
        <v>85</v>
      </c>
      <c r="BP6" s="34">
        <f>'Water Revenue'!BP16</f>
        <v>85</v>
      </c>
      <c r="BQ6" s="34">
        <f>'Water Revenue'!BQ16</f>
        <v>85</v>
      </c>
      <c r="BR6" s="34">
        <f>'Water Revenue'!BR16</f>
        <v>85</v>
      </c>
      <c r="BS6" s="34">
        <f>'Water Revenue'!BS16</f>
        <v>85</v>
      </c>
      <c r="BT6" s="34">
        <f>'Water Revenue'!BT16</f>
        <v>85</v>
      </c>
      <c r="BU6" s="34">
        <f>'Water Revenue'!BU16</f>
        <v>85</v>
      </c>
      <c r="BV6" s="34">
        <f>'Water Revenue'!BV16</f>
        <v>85</v>
      </c>
      <c r="BW6" s="34">
        <f>'Water Revenue'!BW16</f>
        <v>90</v>
      </c>
      <c r="BX6" s="34">
        <f>'Water Revenue'!BX16</f>
        <v>90</v>
      </c>
      <c r="BY6" s="34">
        <f>'Water Revenue'!BY16</f>
        <v>90</v>
      </c>
      <c r="BZ6" s="34">
        <f>'Water Revenue'!BZ16</f>
        <v>90</v>
      </c>
      <c r="CA6" s="34">
        <f>'Water Revenue'!CA16</f>
        <v>90</v>
      </c>
      <c r="CB6" s="34">
        <f>'Water Revenue'!CB16</f>
        <v>90</v>
      </c>
      <c r="CC6" s="34">
        <f>'Water Revenue'!CC16</f>
        <v>90</v>
      </c>
      <c r="CD6" s="34">
        <f>'Water Revenue'!CD16</f>
        <v>90</v>
      </c>
      <c r="CE6" s="34">
        <f>'Water Revenue'!CE16</f>
        <v>90</v>
      </c>
      <c r="CF6" s="34">
        <f>'Water Revenue'!CF16</f>
        <v>90</v>
      </c>
      <c r="CG6" s="34">
        <f>'Water Revenue'!CG16</f>
        <v>90</v>
      </c>
      <c r="CH6" s="34">
        <f>'Water Revenue'!CH16</f>
        <v>90</v>
      </c>
      <c r="CI6" s="34">
        <f>'Water Revenue'!CI16</f>
        <v>90</v>
      </c>
      <c r="CJ6" s="34">
        <f>'Water Revenue'!CJ16</f>
        <v>90</v>
      </c>
      <c r="CK6" s="34">
        <f>'Water Revenue'!CK16</f>
        <v>90</v>
      </c>
      <c r="CL6" s="34">
        <f>'Water Revenue'!CL16</f>
        <v>90</v>
      </c>
      <c r="CM6" s="34">
        <f>'Water Revenue'!CM16</f>
        <v>90</v>
      </c>
      <c r="CN6" s="34">
        <f>'Water Revenue'!CN16</f>
        <v>90</v>
      </c>
      <c r="CO6" s="34">
        <f>'Water Revenue'!CO16</f>
        <v>90</v>
      </c>
      <c r="CP6" s="34">
        <f>'Water Revenue'!CP16</f>
        <v>90</v>
      </c>
      <c r="CQ6" s="34">
        <f>'Water Revenue'!CQ16</f>
        <v>90</v>
      </c>
      <c r="CR6" s="34">
        <f>'Water Revenue'!CR16</f>
        <v>90</v>
      </c>
      <c r="CS6" s="34">
        <f>'Water Revenue'!CS16</f>
        <v>90</v>
      </c>
      <c r="CT6" s="34">
        <f>'Water Revenue'!CT16</f>
        <v>90</v>
      </c>
      <c r="CU6" s="34">
        <f>'Water Revenue'!CU16</f>
        <v>90</v>
      </c>
      <c r="CV6" s="34">
        <f>'Water Revenue'!CV16</f>
        <v>90</v>
      </c>
      <c r="CW6" s="34">
        <f>'Water Revenue'!CW16</f>
        <v>90</v>
      </c>
      <c r="CX6" s="34">
        <f>'Water Revenue'!CX16</f>
        <v>90</v>
      </c>
      <c r="CY6" s="34">
        <f>'Water Revenue'!CY16</f>
        <v>90</v>
      </c>
      <c r="CZ6" s="34">
        <f>'Water Revenue'!CZ16</f>
        <v>90</v>
      </c>
      <c r="DA6" s="34">
        <f>'Water Revenue'!DA16</f>
        <v>90</v>
      </c>
      <c r="DB6" s="34">
        <f>'Water Revenue'!DB16</f>
        <v>90</v>
      </c>
      <c r="DC6" s="34">
        <f>'Water Revenue'!DC16</f>
        <v>90</v>
      </c>
      <c r="DD6" s="34">
        <f>'Water Revenue'!DD16</f>
        <v>90</v>
      </c>
      <c r="DE6" s="34">
        <f>'Water Revenue'!DE16</f>
        <v>90</v>
      </c>
      <c r="DF6" s="34">
        <f>'Water Revenue'!DF16</f>
        <v>90</v>
      </c>
    </row>
    <row r="7" spans="1:110" ht="12" customHeight="1">
      <c r="A7" s="75" t="s">
        <v>233</v>
      </c>
      <c r="B7" s="72" t="s">
        <v>234</v>
      </c>
      <c r="C7" s="34">
        <f t="shared" ref="C7:BN7" si="2">DAY(C2)</f>
        <v>30</v>
      </c>
      <c r="D7" s="34">
        <f t="shared" si="2"/>
        <v>31</v>
      </c>
      <c r="E7" s="34">
        <f t="shared" si="2"/>
        <v>30</v>
      </c>
      <c r="F7" s="34">
        <f t="shared" si="2"/>
        <v>31</v>
      </c>
      <c r="G7" s="34">
        <f t="shared" si="2"/>
        <v>31</v>
      </c>
      <c r="H7" s="34">
        <f t="shared" si="2"/>
        <v>30</v>
      </c>
      <c r="I7" s="34">
        <f t="shared" si="2"/>
        <v>31</v>
      </c>
      <c r="J7" s="34">
        <f t="shared" si="2"/>
        <v>30</v>
      </c>
      <c r="K7" s="34">
        <f t="shared" si="2"/>
        <v>31</v>
      </c>
      <c r="L7" s="34">
        <f t="shared" si="2"/>
        <v>31</v>
      </c>
      <c r="M7" s="34">
        <f t="shared" si="2"/>
        <v>28</v>
      </c>
      <c r="N7" s="34">
        <f t="shared" si="2"/>
        <v>31</v>
      </c>
      <c r="O7" s="34">
        <f t="shared" si="2"/>
        <v>30</v>
      </c>
      <c r="P7" s="34">
        <f t="shared" si="2"/>
        <v>31</v>
      </c>
      <c r="Q7" s="34">
        <f t="shared" si="2"/>
        <v>30</v>
      </c>
      <c r="R7" s="34">
        <f t="shared" si="2"/>
        <v>31</v>
      </c>
      <c r="S7" s="34">
        <f t="shared" si="2"/>
        <v>31</v>
      </c>
      <c r="T7" s="34">
        <f t="shared" si="2"/>
        <v>30</v>
      </c>
      <c r="U7" s="34">
        <f t="shared" si="2"/>
        <v>31</v>
      </c>
      <c r="V7" s="34">
        <f t="shared" si="2"/>
        <v>30</v>
      </c>
      <c r="W7" s="34">
        <f t="shared" si="2"/>
        <v>31</v>
      </c>
      <c r="X7" s="34">
        <f t="shared" si="2"/>
        <v>31</v>
      </c>
      <c r="Y7" s="34">
        <f t="shared" si="2"/>
        <v>28</v>
      </c>
      <c r="Z7" s="34">
        <f t="shared" si="2"/>
        <v>31</v>
      </c>
      <c r="AA7" s="34">
        <f t="shared" si="2"/>
        <v>30</v>
      </c>
      <c r="AB7" s="34">
        <f t="shared" si="2"/>
        <v>31</v>
      </c>
      <c r="AC7" s="34">
        <f t="shared" si="2"/>
        <v>30</v>
      </c>
      <c r="AD7" s="34">
        <f t="shared" si="2"/>
        <v>31</v>
      </c>
      <c r="AE7" s="34">
        <f t="shared" si="2"/>
        <v>31</v>
      </c>
      <c r="AF7" s="34">
        <f t="shared" si="2"/>
        <v>30</v>
      </c>
      <c r="AG7" s="34">
        <f t="shared" si="2"/>
        <v>31</v>
      </c>
      <c r="AH7" s="34">
        <f t="shared" si="2"/>
        <v>30</v>
      </c>
      <c r="AI7" s="34">
        <f t="shared" si="2"/>
        <v>31</v>
      </c>
      <c r="AJ7" s="34">
        <f t="shared" si="2"/>
        <v>31</v>
      </c>
      <c r="AK7" s="34">
        <f t="shared" si="2"/>
        <v>28</v>
      </c>
      <c r="AL7" s="34">
        <f t="shared" si="2"/>
        <v>31</v>
      </c>
      <c r="AM7" s="34">
        <f t="shared" si="2"/>
        <v>30</v>
      </c>
      <c r="AN7" s="34">
        <f t="shared" si="2"/>
        <v>31</v>
      </c>
      <c r="AO7" s="34">
        <f t="shared" si="2"/>
        <v>30</v>
      </c>
      <c r="AP7" s="34">
        <f t="shared" si="2"/>
        <v>31</v>
      </c>
      <c r="AQ7" s="34">
        <f t="shared" si="2"/>
        <v>31</v>
      </c>
      <c r="AR7" s="34">
        <f t="shared" si="2"/>
        <v>30</v>
      </c>
      <c r="AS7" s="34">
        <f t="shared" si="2"/>
        <v>31</v>
      </c>
      <c r="AT7" s="34">
        <f t="shared" si="2"/>
        <v>30</v>
      </c>
      <c r="AU7" s="34">
        <f t="shared" si="2"/>
        <v>31</v>
      </c>
      <c r="AV7" s="34">
        <f t="shared" si="2"/>
        <v>31</v>
      </c>
      <c r="AW7" s="34">
        <f t="shared" si="2"/>
        <v>29</v>
      </c>
      <c r="AX7" s="34">
        <f t="shared" si="2"/>
        <v>31</v>
      </c>
      <c r="AY7" s="34">
        <f t="shared" si="2"/>
        <v>30</v>
      </c>
      <c r="AZ7" s="34">
        <f t="shared" si="2"/>
        <v>31</v>
      </c>
      <c r="BA7" s="34">
        <f t="shared" si="2"/>
        <v>30</v>
      </c>
      <c r="BB7" s="34">
        <f t="shared" si="2"/>
        <v>31</v>
      </c>
      <c r="BC7" s="34">
        <f t="shared" si="2"/>
        <v>31</v>
      </c>
      <c r="BD7" s="34">
        <f t="shared" si="2"/>
        <v>30</v>
      </c>
      <c r="BE7" s="34">
        <f t="shared" si="2"/>
        <v>31</v>
      </c>
      <c r="BF7" s="34">
        <f t="shared" si="2"/>
        <v>30</v>
      </c>
      <c r="BG7" s="34">
        <f t="shared" si="2"/>
        <v>31</v>
      </c>
      <c r="BH7" s="34">
        <f t="shared" si="2"/>
        <v>31</v>
      </c>
      <c r="BI7" s="34">
        <f t="shared" si="2"/>
        <v>28</v>
      </c>
      <c r="BJ7" s="34">
        <f t="shared" si="2"/>
        <v>31</v>
      </c>
      <c r="BK7" s="34">
        <f t="shared" si="2"/>
        <v>30</v>
      </c>
      <c r="BL7" s="34">
        <f t="shared" si="2"/>
        <v>31</v>
      </c>
      <c r="BM7" s="34">
        <f t="shared" si="2"/>
        <v>30</v>
      </c>
      <c r="BN7" s="34">
        <f t="shared" si="2"/>
        <v>31</v>
      </c>
      <c r="BO7" s="34">
        <f t="shared" ref="BO7:DF7" si="3">DAY(BO2)</f>
        <v>31</v>
      </c>
      <c r="BP7" s="34">
        <f t="shared" si="3"/>
        <v>30</v>
      </c>
      <c r="BQ7" s="34">
        <f t="shared" si="3"/>
        <v>31</v>
      </c>
      <c r="BR7" s="34">
        <f t="shared" si="3"/>
        <v>30</v>
      </c>
      <c r="BS7" s="34">
        <f t="shared" si="3"/>
        <v>31</v>
      </c>
      <c r="BT7" s="34">
        <f t="shared" si="3"/>
        <v>31</v>
      </c>
      <c r="BU7" s="34">
        <f t="shared" si="3"/>
        <v>28</v>
      </c>
      <c r="BV7" s="34">
        <f t="shared" si="3"/>
        <v>31</v>
      </c>
      <c r="BW7" s="34">
        <f t="shared" si="3"/>
        <v>30</v>
      </c>
      <c r="BX7" s="34">
        <f t="shared" si="3"/>
        <v>31</v>
      </c>
      <c r="BY7" s="34">
        <f t="shared" si="3"/>
        <v>30</v>
      </c>
      <c r="BZ7" s="34">
        <f t="shared" si="3"/>
        <v>31</v>
      </c>
      <c r="CA7" s="34">
        <f t="shared" si="3"/>
        <v>31</v>
      </c>
      <c r="CB7" s="34">
        <f t="shared" si="3"/>
        <v>30</v>
      </c>
      <c r="CC7" s="34">
        <f t="shared" si="3"/>
        <v>31</v>
      </c>
      <c r="CD7" s="34">
        <f t="shared" si="3"/>
        <v>30</v>
      </c>
      <c r="CE7" s="34">
        <f t="shared" si="3"/>
        <v>31</v>
      </c>
      <c r="CF7" s="34">
        <f t="shared" si="3"/>
        <v>31</v>
      </c>
      <c r="CG7" s="34">
        <f t="shared" si="3"/>
        <v>28</v>
      </c>
      <c r="CH7" s="34">
        <f t="shared" si="3"/>
        <v>31</v>
      </c>
      <c r="CI7" s="34">
        <f t="shared" si="3"/>
        <v>30</v>
      </c>
      <c r="CJ7" s="34">
        <f t="shared" si="3"/>
        <v>31</v>
      </c>
      <c r="CK7" s="34">
        <f t="shared" si="3"/>
        <v>30</v>
      </c>
      <c r="CL7" s="34">
        <f t="shared" si="3"/>
        <v>31</v>
      </c>
      <c r="CM7" s="34">
        <f t="shared" si="3"/>
        <v>31</v>
      </c>
      <c r="CN7" s="34">
        <f t="shared" si="3"/>
        <v>30</v>
      </c>
      <c r="CO7" s="34">
        <f t="shared" si="3"/>
        <v>31</v>
      </c>
      <c r="CP7" s="34">
        <f t="shared" si="3"/>
        <v>30</v>
      </c>
      <c r="CQ7" s="34">
        <f t="shared" si="3"/>
        <v>31</v>
      </c>
      <c r="CR7" s="34">
        <f t="shared" si="3"/>
        <v>31</v>
      </c>
      <c r="CS7" s="34">
        <f t="shared" si="3"/>
        <v>29</v>
      </c>
      <c r="CT7" s="34">
        <f t="shared" si="3"/>
        <v>31</v>
      </c>
      <c r="CU7" s="34">
        <f t="shared" si="3"/>
        <v>30</v>
      </c>
      <c r="CV7" s="34">
        <f t="shared" si="3"/>
        <v>31</v>
      </c>
      <c r="CW7" s="34">
        <f t="shared" si="3"/>
        <v>30</v>
      </c>
      <c r="CX7" s="34">
        <f t="shared" si="3"/>
        <v>31</v>
      </c>
      <c r="CY7" s="34">
        <f t="shared" si="3"/>
        <v>31</v>
      </c>
      <c r="CZ7" s="34">
        <f t="shared" si="3"/>
        <v>30</v>
      </c>
      <c r="DA7" s="34">
        <f t="shared" si="3"/>
        <v>31</v>
      </c>
      <c r="DB7" s="34">
        <f t="shared" si="3"/>
        <v>30</v>
      </c>
      <c r="DC7" s="34">
        <f t="shared" si="3"/>
        <v>31</v>
      </c>
      <c r="DD7" s="34">
        <f t="shared" si="3"/>
        <v>31</v>
      </c>
      <c r="DE7" s="34">
        <f t="shared" si="3"/>
        <v>28</v>
      </c>
      <c r="DF7" s="34">
        <f t="shared" si="3"/>
        <v>31</v>
      </c>
    </row>
    <row r="8" spans="1:110" ht="12" customHeight="1" thickBot="1">
      <c r="A8" s="66" t="s">
        <v>235</v>
      </c>
      <c r="B8" s="72" t="s">
        <v>236</v>
      </c>
      <c r="C8" s="36">
        <f t="shared" ref="C8:BN8" si="4">C5*C6%*C7</f>
        <v>1964160</v>
      </c>
      <c r="D8" s="36">
        <f t="shared" si="4"/>
        <v>2095104</v>
      </c>
      <c r="E8" s="36">
        <f t="shared" si="4"/>
        <v>2090880</v>
      </c>
      <c r="F8" s="36">
        <f t="shared" si="4"/>
        <v>2193312</v>
      </c>
      <c r="G8" s="36">
        <f t="shared" si="4"/>
        <v>2247872</v>
      </c>
      <c r="H8" s="36">
        <f t="shared" si="4"/>
        <v>2228160</v>
      </c>
      <c r="I8" s="36">
        <f t="shared" si="4"/>
        <v>2356992</v>
      </c>
      <c r="J8" s="36">
        <f t="shared" si="4"/>
        <v>2333760</v>
      </c>
      <c r="K8" s="36">
        <f t="shared" si="4"/>
        <v>2466112</v>
      </c>
      <c r="L8" s="36">
        <f t="shared" si="4"/>
        <v>2520672</v>
      </c>
      <c r="M8" s="36">
        <f t="shared" si="4"/>
        <v>2326016</v>
      </c>
      <c r="N8" s="36">
        <f t="shared" si="4"/>
        <v>2629792</v>
      </c>
      <c r="O8" s="36">
        <f t="shared" si="4"/>
        <v>2006400</v>
      </c>
      <c r="P8" s="36">
        <f t="shared" si="4"/>
        <v>2092128</v>
      </c>
      <c r="Q8" s="36">
        <f t="shared" si="4"/>
        <v>2042880</v>
      </c>
      <c r="R8" s="36">
        <f t="shared" si="4"/>
        <v>2354016</v>
      </c>
      <c r="S8" s="36">
        <f t="shared" si="4"/>
        <v>2385264</v>
      </c>
      <c r="T8" s="36">
        <f t="shared" si="4"/>
        <v>2338560</v>
      </c>
      <c r="U8" s="36">
        <f t="shared" si="4"/>
        <v>2447760</v>
      </c>
      <c r="V8" s="36">
        <f t="shared" si="4"/>
        <v>2399040</v>
      </c>
      <c r="W8" s="36">
        <f t="shared" si="4"/>
        <v>2510256</v>
      </c>
      <c r="X8" s="36">
        <f t="shared" si="4"/>
        <v>2541504</v>
      </c>
      <c r="Y8" s="36">
        <f t="shared" si="4"/>
        <v>2342592</v>
      </c>
      <c r="Z8" s="36">
        <f t="shared" si="4"/>
        <v>2645664</v>
      </c>
      <c r="AA8" s="36">
        <f t="shared" si="4"/>
        <v>2371200</v>
      </c>
      <c r="AB8" s="36">
        <f t="shared" si="4"/>
        <v>2470080</v>
      </c>
      <c r="AC8" s="36">
        <f t="shared" si="4"/>
        <v>2419200</v>
      </c>
      <c r="AD8" s="36">
        <f t="shared" si="4"/>
        <v>2519680</v>
      </c>
      <c r="AE8" s="36">
        <f t="shared" si="4"/>
        <v>2539520</v>
      </c>
      <c r="AF8" s="36">
        <f t="shared" si="4"/>
        <v>2467200</v>
      </c>
      <c r="AG8" s="36">
        <f t="shared" si="4"/>
        <v>2559360</v>
      </c>
      <c r="AH8" s="36">
        <f t="shared" si="4"/>
        <v>2486400</v>
      </c>
      <c r="AI8" s="36">
        <f t="shared" si="4"/>
        <v>2579200</v>
      </c>
      <c r="AJ8" s="36">
        <f t="shared" si="4"/>
        <v>2589120</v>
      </c>
      <c r="AK8" s="36">
        <f t="shared" si="4"/>
        <v>2347520</v>
      </c>
      <c r="AL8" s="36">
        <f t="shared" si="4"/>
        <v>2608960</v>
      </c>
      <c r="AM8" s="36">
        <f t="shared" si="4"/>
        <v>2544000</v>
      </c>
      <c r="AN8" s="36">
        <f t="shared" si="4"/>
        <v>2648640</v>
      </c>
      <c r="AO8" s="36">
        <f t="shared" si="4"/>
        <v>2582400</v>
      </c>
      <c r="AP8" s="36">
        <f t="shared" si="4"/>
        <v>2688320</v>
      </c>
      <c r="AQ8" s="36">
        <f t="shared" si="4"/>
        <v>2708160</v>
      </c>
      <c r="AR8" s="36">
        <f t="shared" si="4"/>
        <v>2640000</v>
      </c>
      <c r="AS8" s="36">
        <f t="shared" si="4"/>
        <v>2747840</v>
      </c>
      <c r="AT8" s="36">
        <f t="shared" si="4"/>
        <v>2678400</v>
      </c>
      <c r="AU8" s="36">
        <f t="shared" si="4"/>
        <v>2787520</v>
      </c>
      <c r="AV8" s="36">
        <f t="shared" si="4"/>
        <v>2807360</v>
      </c>
      <c r="AW8" s="36">
        <f t="shared" si="4"/>
        <v>2644800</v>
      </c>
      <c r="AX8" s="36">
        <f t="shared" si="4"/>
        <v>2847040</v>
      </c>
      <c r="AY8" s="36">
        <f t="shared" si="4"/>
        <v>3157920</v>
      </c>
      <c r="AZ8" s="36">
        <f t="shared" si="4"/>
        <v>3274514.5</v>
      </c>
      <c r="BA8" s="36">
        <f t="shared" si="4"/>
        <v>3179850</v>
      </c>
      <c r="BB8" s="36">
        <f t="shared" si="4"/>
        <v>3297175.5</v>
      </c>
      <c r="BC8" s="36">
        <f t="shared" si="4"/>
        <v>3308506</v>
      </c>
      <c r="BD8" s="36">
        <f t="shared" si="4"/>
        <v>3212745</v>
      </c>
      <c r="BE8" s="36">
        <f t="shared" si="4"/>
        <v>3331167</v>
      </c>
      <c r="BF8" s="36">
        <f t="shared" si="4"/>
        <v>3234675</v>
      </c>
      <c r="BG8" s="36">
        <f t="shared" si="4"/>
        <v>3353828</v>
      </c>
      <c r="BH8" s="36">
        <f t="shared" si="4"/>
        <v>3365158.5</v>
      </c>
      <c r="BI8" s="36">
        <f t="shared" si="4"/>
        <v>3049732</v>
      </c>
      <c r="BJ8" s="36">
        <f t="shared" si="4"/>
        <v>3387819.5</v>
      </c>
      <c r="BK8" s="36">
        <f t="shared" si="4"/>
        <v>3284017.5</v>
      </c>
      <c r="BL8" s="36">
        <f t="shared" si="4"/>
        <v>3399150</v>
      </c>
      <c r="BM8" s="36">
        <f t="shared" si="4"/>
        <v>3294982.5</v>
      </c>
      <c r="BN8" s="36">
        <f t="shared" si="4"/>
        <v>3410480.5</v>
      </c>
      <c r="BO8" s="36">
        <f t="shared" ref="BO8:DF8" si="5">BO5*BO6%*BO7</f>
        <v>3416145.75</v>
      </c>
      <c r="BP8" s="36">
        <f t="shared" si="5"/>
        <v>3311430</v>
      </c>
      <c r="BQ8" s="36">
        <f t="shared" si="5"/>
        <v>3427476.25</v>
      </c>
      <c r="BR8" s="36">
        <f t="shared" si="5"/>
        <v>3322395</v>
      </c>
      <c r="BS8" s="36">
        <f t="shared" si="5"/>
        <v>3438806.75</v>
      </c>
      <c r="BT8" s="36">
        <f t="shared" si="5"/>
        <v>3444472</v>
      </c>
      <c r="BU8" s="36">
        <f t="shared" si="5"/>
        <v>3116253</v>
      </c>
      <c r="BV8" s="36">
        <f t="shared" si="5"/>
        <v>3455802.5</v>
      </c>
      <c r="BW8" s="36">
        <f t="shared" si="5"/>
        <v>3546855</v>
      </c>
      <c r="BX8" s="36">
        <f t="shared" si="5"/>
        <v>3671082</v>
      </c>
      <c r="BY8" s="36">
        <f t="shared" si="5"/>
        <v>3558465</v>
      </c>
      <c r="BZ8" s="36">
        <f t="shared" si="5"/>
        <v>3683079</v>
      </c>
      <c r="CA8" s="36">
        <f t="shared" si="5"/>
        <v>3689077.5</v>
      </c>
      <c r="CB8" s="36">
        <f t="shared" si="5"/>
        <v>3575880</v>
      </c>
      <c r="CC8" s="36">
        <f t="shared" si="5"/>
        <v>3701074.5</v>
      </c>
      <c r="CD8" s="36">
        <f t="shared" si="5"/>
        <v>3587490</v>
      </c>
      <c r="CE8" s="36">
        <f t="shared" si="5"/>
        <v>3713071.5</v>
      </c>
      <c r="CF8" s="36">
        <f t="shared" si="5"/>
        <v>3762315</v>
      </c>
      <c r="CG8" s="36">
        <f t="shared" si="5"/>
        <v>3403701</v>
      </c>
      <c r="CH8" s="36">
        <f t="shared" si="5"/>
        <v>3774451.5</v>
      </c>
      <c r="CI8" s="36">
        <f t="shared" si="5"/>
        <v>3658567.5</v>
      </c>
      <c r="CJ8" s="36">
        <f t="shared" si="5"/>
        <v>3786588</v>
      </c>
      <c r="CK8" s="36">
        <f t="shared" si="5"/>
        <v>3670312.5</v>
      </c>
      <c r="CL8" s="36">
        <f t="shared" si="5"/>
        <v>3798724.5</v>
      </c>
      <c r="CM8" s="36">
        <f t="shared" si="5"/>
        <v>3804792.75</v>
      </c>
      <c r="CN8" s="36">
        <f t="shared" si="5"/>
        <v>3687930</v>
      </c>
      <c r="CO8" s="36">
        <f t="shared" si="5"/>
        <v>3816929.25</v>
      </c>
      <c r="CP8" s="36">
        <f t="shared" si="5"/>
        <v>3699675</v>
      </c>
      <c r="CQ8" s="36">
        <f t="shared" si="5"/>
        <v>3829065.75</v>
      </c>
      <c r="CR8" s="36">
        <f t="shared" si="5"/>
        <v>3835134</v>
      </c>
      <c r="CS8" s="36">
        <f t="shared" si="5"/>
        <v>3593382.75</v>
      </c>
      <c r="CT8" s="36">
        <f t="shared" si="5"/>
        <v>3847270.5</v>
      </c>
      <c r="CU8" s="36">
        <f t="shared" si="5"/>
        <v>3729037.5</v>
      </c>
      <c r="CV8" s="36">
        <f t="shared" si="5"/>
        <v>3859407</v>
      </c>
      <c r="CW8" s="36">
        <f t="shared" si="5"/>
        <v>3740782.5</v>
      </c>
      <c r="CX8" s="36">
        <f t="shared" si="5"/>
        <v>3871543.5</v>
      </c>
      <c r="CY8" s="36">
        <f t="shared" si="5"/>
        <v>3877611.75</v>
      </c>
      <c r="CZ8" s="36">
        <f t="shared" si="5"/>
        <v>3758400</v>
      </c>
      <c r="DA8" s="36">
        <f t="shared" si="5"/>
        <v>3889748.25</v>
      </c>
      <c r="DB8" s="36">
        <f t="shared" si="5"/>
        <v>3770145</v>
      </c>
      <c r="DC8" s="36">
        <f t="shared" si="5"/>
        <v>3901884.75</v>
      </c>
      <c r="DD8" s="36">
        <f t="shared" si="5"/>
        <v>3907953</v>
      </c>
      <c r="DE8" s="36">
        <f t="shared" si="5"/>
        <v>3535245</v>
      </c>
      <c r="DF8" s="36">
        <f t="shared" si="5"/>
        <v>3920089.5</v>
      </c>
    </row>
    <row r="9" spans="1:110" ht="12" customHeight="1" thickTop="1">
      <c r="A9" s="75" t="s">
        <v>249</v>
      </c>
      <c r="B9" s="72"/>
      <c r="C9" s="33">
        <v>4</v>
      </c>
      <c r="D9" s="33">
        <v>0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4">
        <f t="shared" ref="O9:BZ9" si="6">C9</f>
        <v>4</v>
      </c>
      <c r="P9" s="34">
        <f t="shared" si="6"/>
        <v>0</v>
      </c>
      <c r="Q9" s="34">
        <f t="shared" si="6"/>
        <v>0</v>
      </c>
      <c r="R9" s="34">
        <f t="shared" si="6"/>
        <v>0</v>
      </c>
      <c r="S9" s="34">
        <f t="shared" si="6"/>
        <v>0</v>
      </c>
      <c r="T9" s="34">
        <f t="shared" si="6"/>
        <v>0</v>
      </c>
      <c r="U9" s="34">
        <f t="shared" si="6"/>
        <v>0</v>
      </c>
      <c r="V9" s="34">
        <f t="shared" si="6"/>
        <v>0</v>
      </c>
      <c r="W9" s="34">
        <f t="shared" si="6"/>
        <v>0</v>
      </c>
      <c r="X9" s="34">
        <f t="shared" si="6"/>
        <v>0</v>
      </c>
      <c r="Y9" s="34">
        <f t="shared" si="6"/>
        <v>0</v>
      </c>
      <c r="Z9" s="34">
        <f t="shared" si="6"/>
        <v>0</v>
      </c>
      <c r="AA9" s="34">
        <f t="shared" si="6"/>
        <v>4</v>
      </c>
      <c r="AB9" s="34">
        <f t="shared" si="6"/>
        <v>0</v>
      </c>
      <c r="AC9" s="34">
        <f t="shared" si="6"/>
        <v>0</v>
      </c>
      <c r="AD9" s="34">
        <f t="shared" si="6"/>
        <v>0</v>
      </c>
      <c r="AE9" s="34">
        <f t="shared" si="6"/>
        <v>0</v>
      </c>
      <c r="AF9" s="34">
        <f t="shared" si="6"/>
        <v>0</v>
      </c>
      <c r="AG9" s="34">
        <f t="shared" si="6"/>
        <v>0</v>
      </c>
      <c r="AH9" s="34">
        <f t="shared" si="6"/>
        <v>0</v>
      </c>
      <c r="AI9" s="34">
        <f t="shared" si="6"/>
        <v>0</v>
      </c>
      <c r="AJ9" s="34">
        <f t="shared" si="6"/>
        <v>0</v>
      </c>
      <c r="AK9" s="34">
        <f t="shared" si="6"/>
        <v>0</v>
      </c>
      <c r="AL9" s="34">
        <f t="shared" si="6"/>
        <v>0</v>
      </c>
      <c r="AM9" s="34">
        <f t="shared" si="6"/>
        <v>4</v>
      </c>
      <c r="AN9" s="34">
        <f t="shared" si="6"/>
        <v>0</v>
      </c>
      <c r="AO9" s="34">
        <f t="shared" si="6"/>
        <v>0</v>
      </c>
      <c r="AP9" s="34">
        <f t="shared" si="6"/>
        <v>0</v>
      </c>
      <c r="AQ9" s="34">
        <f t="shared" si="6"/>
        <v>0</v>
      </c>
      <c r="AR9" s="34">
        <f t="shared" si="6"/>
        <v>0</v>
      </c>
      <c r="AS9" s="34">
        <f t="shared" si="6"/>
        <v>0</v>
      </c>
      <c r="AT9" s="34">
        <f t="shared" si="6"/>
        <v>0</v>
      </c>
      <c r="AU9" s="34">
        <f t="shared" si="6"/>
        <v>0</v>
      </c>
      <c r="AV9" s="34">
        <f t="shared" si="6"/>
        <v>0</v>
      </c>
      <c r="AW9" s="34">
        <f t="shared" si="6"/>
        <v>0</v>
      </c>
      <c r="AX9" s="34">
        <f t="shared" si="6"/>
        <v>0</v>
      </c>
      <c r="AY9" s="34">
        <f t="shared" si="6"/>
        <v>4</v>
      </c>
      <c r="AZ9" s="34">
        <f t="shared" si="6"/>
        <v>0</v>
      </c>
      <c r="BA9" s="34">
        <f t="shared" si="6"/>
        <v>0</v>
      </c>
      <c r="BB9" s="34">
        <f t="shared" si="6"/>
        <v>0</v>
      </c>
      <c r="BC9" s="34">
        <f t="shared" si="6"/>
        <v>0</v>
      </c>
      <c r="BD9" s="34">
        <f t="shared" si="6"/>
        <v>0</v>
      </c>
      <c r="BE9" s="34">
        <f t="shared" si="6"/>
        <v>0</v>
      </c>
      <c r="BF9" s="34">
        <f t="shared" si="6"/>
        <v>0</v>
      </c>
      <c r="BG9" s="34">
        <f t="shared" si="6"/>
        <v>0</v>
      </c>
      <c r="BH9" s="34">
        <f t="shared" si="6"/>
        <v>0</v>
      </c>
      <c r="BI9" s="34">
        <f t="shared" si="6"/>
        <v>0</v>
      </c>
      <c r="BJ9" s="34">
        <f t="shared" si="6"/>
        <v>0</v>
      </c>
      <c r="BK9" s="34">
        <f t="shared" si="6"/>
        <v>4</v>
      </c>
      <c r="BL9" s="34">
        <f t="shared" si="6"/>
        <v>0</v>
      </c>
      <c r="BM9" s="34">
        <f t="shared" si="6"/>
        <v>0</v>
      </c>
      <c r="BN9" s="34">
        <f t="shared" si="6"/>
        <v>0</v>
      </c>
      <c r="BO9" s="34">
        <f t="shared" si="6"/>
        <v>0</v>
      </c>
      <c r="BP9" s="34">
        <f t="shared" si="6"/>
        <v>0</v>
      </c>
      <c r="BQ9" s="34">
        <f t="shared" si="6"/>
        <v>0</v>
      </c>
      <c r="BR9" s="34">
        <f t="shared" si="6"/>
        <v>0</v>
      </c>
      <c r="BS9" s="34">
        <f t="shared" si="6"/>
        <v>0</v>
      </c>
      <c r="BT9" s="34">
        <f t="shared" si="6"/>
        <v>0</v>
      </c>
      <c r="BU9" s="34">
        <f t="shared" si="6"/>
        <v>0</v>
      </c>
      <c r="BV9" s="34">
        <f t="shared" si="6"/>
        <v>0</v>
      </c>
      <c r="BW9" s="34">
        <f t="shared" si="6"/>
        <v>4</v>
      </c>
      <c r="BX9" s="34">
        <f t="shared" si="6"/>
        <v>0</v>
      </c>
      <c r="BY9" s="34">
        <f t="shared" si="6"/>
        <v>0</v>
      </c>
      <c r="BZ9" s="34">
        <f t="shared" si="6"/>
        <v>0</v>
      </c>
      <c r="CA9" s="34">
        <f t="shared" ref="CA9:DF9" si="7">BO9</f>
        <v>0</v>
      </c>
      <c r="CB9" s="34">
        <f t="shared" si="7"/>
        <v>0</v>
      </c>
      <c r="CC9" s="34">
        <f t="shared" si="7"/>
        <v>0</v>
      </c>
      <c r="CD9" s="34">
        <f t="shared" si="7"/>
        <v>0</v>
      </c>
      <c r="CE9" s="34">
        <f t="shared" si="7"/>
        <v>0</v>
      </c>
      <c r="CF9" s="34">
        <f t="shared" si="7"/>
        <v>0</v>
      </c>
      <c r="CG9" s="34">
        <f t="shared" si="7"/>
        <v>0</v>
      </c>
      <c r="CH9" s="34">
        <f t="shared" si="7"/>
        <v>0</v>
      </c>
      <c r="CI9" s="34">
        <f t="shared" si="7"/>
        <v>4</v>
      </c>
      <c r="CJ9" s="34">
        <f t="shared" si="7"/>
        <v>0</v>
      </c>
      <c r="CK9" s="34">
        <f t="shared" si="7"/>
        <v>0</v>
      </c>
      <c r="CL9" s="34">
        <f t="shared" si="7"/>
        <v>0</v>
      </c>
      <c r="CM9" s="34">
        <f t="shared" si="7"/>
        <v>0</v>
      </c>
      <c r="CN9" s="34">
        <f t="shared" si="7"/>
        <v>0</v>
      </c>
      <c r="CO9" s="34">
        <f t="shared" si="7"/>
        <v>0</v>
      </c>
      <c r="CP9" s="34">
        <f t="shared" si="7"/>
        <v>0</v>
      </c>
      <c r="CQ9" s="34">
        <f t="shared" si="7"/>
        <v>0</v>
      </c>
      <c r="CR9" s="34">
        <f t="shared" si="7"/>
        <v>0</v>
      </c>
      <c r="CS9" s="34">
        <f t="shared" si="7"/>
        <v>0</v>
      </c>
      <c r="CT9" s="34">
        <f t="shared" si="7"/>
        <v>0</v>
      </c>
      <c r="CU9" s="34">
        <f t="shared" si="7"/>
        <v>4</v>
      </c>
      <c r="CV9" s="34">
        <f t="shared" si="7"/>
        <v>0</v>
      </c>
      <c r="CW9" s="34">
        <f t="shared" si="7"/>
        <v>0</v>
      </c>
      <c r="CX9" s="34">
        <f t="shared" si="7"/>
        <v>0</v>
      </c>
      <c r="CY9" s="34">
        <f t="shared" si="7"/>
        <v>0</v>
      </c>
      <c r="CZ9" s="34">
        <f t="shared" si="7"/>
        <v>0</v>
      </c>
      <c r="DA9" s="34">
        <f t="shared" si="7"/>
        <v>0</v>
      </c>
      <c r="DB9" s="34">
        <f t="shared" si="7"/>
        <v>0</v>
      </c>
      <c r="DC9" s="34">
        <f t="shared" si="7"/>
        <v>0</v>
      </c>
      <c r="DD9" s="34">
        <f t="shared" si="7"/>
        <v>0</v>
      </c>
      <c r="DE9" s="34">
        <f t="shared" si="7"/>
        <v>0</v>
      </c>
      <c r="DF9" s="34">
        <f t="shared" si="7"/>
        <v>0</v>
      </c>
    </row>
    <row r="10" spans="1:110" ht="12" customHeight="1">
      <c r="A10" s="66" t="s">
        <v>250</v>
      </c>
      <c r="B10" s="72" t="s">
        <v>236</v>
      </c>
      <c r="C10" s="34">
        <f t="shared" ref="C10:BN10" si="8">C8</f>
        <v>1964160</v>
      </c>
      <c r="D10" s="34">
        <f t="shared" si="8"/>
        <v>2095104</v>
      </c>
      <c r="E10" s="34">
        <f t="shared" si="8"/>
        <v>2090880</v>
      </c>
      <c r="F10" s="34">
        <f t="shared" si="8"/>
        <v>2193312</v>
      </c>
      <c r="G10" s="34">
        <f t="shared" si="8"/>
        <v>2247872</v>
      </c>
      <c r="H10" s="34">
        <f t="shared" si="8"/>
        <v>2228160</v>
      </c>
      <c r="I10" s="34">
        <f t="shared" si="8"/>
        <v>2356992</v>
      </c>
      <c r="J10" s="34">
        <f t="shared" si="8"/>
        <v>2333760</v>
      </c>
      <c r="K10" s="34">
        <f t="shared" si="8"/>
        <v>2466112</v>
      </c>
      <c r="L10" s="34">
        <f t="shared" si="8"/>
        <v>2520672</v>
      </c>
      <c r="M10" s="34">
        <f t="shared" si="8"/>
        <v>2326016</v>
      </c>
      <c r="N10" s="34">
        <f t="shared" si="8"/>
        <v>2629792</v>
      </c>
      <c r="O10" s="34">
        <f t="shared" si="8"/>
        <v>2006400</v>
      </c>
      <c r="P10" s="34">
        <f t="shared" si="8"/>
        <v>2092128</v>
      </c>
      <c r="Q10" s="34">
        <f t="shared" si="8"/>
        <v>2042880</v>
      </c>
      <c r="R10" s="34">
        <f t="shared" si="8"/>
        <v>2354016</v>
      </c>
      <c r="S10" s="34">
        <f t="shared" si="8"/>
        <v>2385264</v>
      </c>
      <c r="T10" s="34">
        <f t="shared" si="8"/>
        <v>2338560</v>
      </c>
      <c r="U10" s="34">
        <f t="shared" si="8"/>
        <v>2447760</v>
      </c>
      <c r="V10" s="34">
        <f t="shared" si="8"/>
        <v>2399040</v>
      </c>
      <c r="W10" s="34">
        <f t="shared" si="8"/>
        <v>2510256</v>
      </c>
      <c r="X10" s="34">
        <f t="shared" si="8"/>
        <v>2541504</v>
      </c>
      <c r="Y10" s="34">
        <f t="shared" si="8"/>
        <v>2342592</v>
      </c>
      <c r="Z10" s="34">
        <f t="shared" si="8"/>
        <v>2645664</v>
      </c>
      <c r="AA10" s="34">
        <f t="shared" si="8"/>
        <v>2371200</v>
      </c>
      <c r="AB10" s="34">
        <f t="shared" si="8"/>
        <v>2470080</v>
      </c>
      <c r="AC10" s="34">
        <f t="shared" si="8"/>
        <v>2419200</v>
      </c>
      <c r="AD10" s="34">
        <f t="shared" si="8"/>
        <v>2519680</v>
      </c>
      <c r="AE10" s="34">
        <f t="shared" si="8"/>
        <v>2539520</v>
      </c>
      <c r="AF10" s="34">
        <f t="shared" si="8"/>
        <v>2467200</v>
      </c>
      <c r="AG10" s="34">
        <f t="shared" si="8"/>
        <v>2559360</v>
      </c>
      <c r="AH10" s="34">
        <f t="shared" si="8"/>
        <v>2486400</v>
      </c>
      <c r="AI10" s="34">
        <f t="shared" si="8"/>
        <v>2579200</v>
      </c>
      <c r="AJ10" s="34">
        <f t="shared" si="8"/>
        <v>2589120</v>
      </c>
      <c r="AK10" s="34">
        <f t="shared" si="8"/>
        <v>2347520</v>
      </c>
      <c r="AL10" s="34">
        <f t="shared" si="8"/>
        <v>2608960</v>
      </c>
      <c r="AM10" s="34">
        <f t="shared" si="8"/>
        <v>2544000</v>
      </c>
      <c r="AN10" s="34">
        <f t="shared" si="8"/>
        <v>2648640</v>
      </c>
      <c r="AO10" s="34">
        <f t="shared" si="8"/>
        <v>2582400</v>
      </c>
      <c r="AP10" s="34">
        <f t="shared" si="8"/>
        <v>2688320</v>
      </c>
      <c r="AQ10" s="34">
        <f t="shared" si="8"/>
        <v>2708160</v>
      </c>
      <c r="AR10" s="34">
        <f t="shared" si="8"/>
        <v>2640000</v>
      </c>
      <c r="AS10" s="34">
        <f t="shared" si="8"/>
        <v>2747840</v>
      </c>
      <c r="AT10" s="34">
        <f t="shared" si="8"/>
        <v>2678400</v>
      </c>
      <c r="AU10" s="34">
        <f t="shared" si="8"/>
        <v>2787520</v>
      </c>
      <c r="AV10" s="34">
        <f t="shared" si="8"/>
        <v>2807360</v>
      </c>
      <c r="AW10" s="34">
        <f t="shared" si="8"/>
        <v>2644800</v>
      </c>
      <c r="AX10" s="34">
        <f t="shared" si="8"/>
        <v>2847040</v>
      </c>
      <c r="AY10" s="34">
        <f t="shared" si="8"/>
        <v>3157920</v>
      </c>
      <c r="AZ10" s="34">
        <f t="shared" si="8"/>
        <v>3274514.5</v>
      </c>
      <c r="BA10" s="34">
        <f t="shared" si="8"/>
        <v>3179850</v>
      </c>
      <c r="BB10" s="34">
        <f t="shared" si="8"/>
        <v>3297175.5</v>
      </c>
      <c r="BC10" s="34">
        <f t="shared" si="8"/>
        <v>3308506</v>
      </c>
      <c r="BD10" s="34">
        <f t="shared" si="8"/>
        <v>3212745</v>
      </c>
      <c r="BE10" s="34">
        <f t="shared" si="8"/>
        <v>3331167</v>
      </c>
      <c r="BF10" s="34">
        <f t="shared" si="8"/>
        <v>3234675</v>
      </c>
      <c r="BG10" s="34">
        <f t="shared" si="8"/>
        <v>3353828</v>
      </c>
      <c r="BH10" s="34">
        <f t="shared" si="8"/>
        <v>3365158.5</v>
      </c>
      <c r="BI10" s="34">
        <f t="shared" si="8"/>
        <v>3049732</v>
      </c>
      <c r="BJ10" s="34">
        <f t="shared" si="8"/>
        <v>3387819.5</v>
      </c>
      <c r="BK10" s="34">
        <f t="shared" si="8"/>
        <v>3284017.5</v>
      </c>
      <c r="BL10" s="34">
        <f t="shared" si="8"/>
        <v>3399150</v>
      </c>
      <c r="BM10" s="34">
        <f t="shared" si="8"/>
        <v>3294982.5</v>
      </c>
      <c r="BN10" s="34">
        <f t="shared" si="8"/>
        <v>3410480.5</v>
      </c>
      <c r="BO10" s="34">
        <f t="shared" ref="BO10:DF10" si="9">BO8</f>
        <v>3416145.75</v>
      </c>
      <c r="BP10" s="34">
        <f t="shared" si="9"/>
        <v>3311430</v>
      </c>
      <c r="BQ10" s="34">
        <f t="shared" si="9"/>
        <v>3427476.25</v>
      </c>
      <c r="BR10" s="34">
        <f t="shared" si="9"/>
        <v>3322395</v>
      </c>
      <c r="BS10" s="34">
        <f t="shared" si="9"/>
        <v>3438806.75</v>
      </c>
      <c r="BT10" s="34">
        <f t="shared" si="9"/>
        <v>3444472</v>
      </c>
      <c r="BU10" s="34">
        <f t="shared" si="9"/>
        <v>3116253</v>
      </c>
      <c r="BV10" s="34">
        <f t="shared" si="9"/>
        <v>3455802.5</v>
      </c>
      <c r="BW10" s="34">
        <f t="shared" si="9"/>
        <v>3546855</v>
      </c>
      <c r="BX10" s="34">
        <f t="shared" si="9"/>
        <v>3671082</v>
      </c>
      <c r="BY10" s="34">
        <f t="shared" si="9"/>
        <v>3558465</v>
      </c>
      <c r="BZ10" s="34">
        <f t="shared" si="9"/>
        <v>3683079</v>
      </c>
      <c r="CA10" s="34">
        <f t="shared" si="9"/>
        <v>3689077.5</v>
      </c>
      <c r="CB10" s="34">
        <f t="shared" si="9"/>
        <v>3575880</v>
      </c>
      <c r="CC10" s="34">
        <f t="shared" si="9"/>
        <v>3701074.5</v>
      </c>
      <c r="CD10" s="34">
        <f t="shared" si="9"/>
        <v>3587490</v>
      </c>
      <c r="CE10" s="34">
        <f t="shared" si="9"/>
        <v>3713071.5</v>
      </c>
      <c r="CF10" s="34">
        <f t="shared" si="9"/>
        <v>3762315</v>
      </c>
      <c r="CG10" s="34">
        <f t="shared" si="9"/>
        <v>3403701</v>
      </c>
      <c r="CH10" s="34">
        <f t="shared" si="9"/>
        <v>3774451.5</v>
      </c>
      <c r="CI10" s="34">
        <f t="shared" si="9"/>
        <v>3658567.5</v>
      </c>
      <c r="CJ10" s="34">
        <f t="shared" si="9"/>
        <v>3786588</v>
      </c>
      <c r="CK10" s="34">
        <f t="shared" si="9"/>
        <v>3670312.5</v>
      </c>
      <c r="CL10" s="34">
        <f t="shared" si="9"/>
        <v>3798724.5</v>
      </c>
      <c r="CM10" s="34">
        <f t="shared" si="9"/>
        <v>3804792.75</v>
      </c>
      <c r="CN10" s="34">
        <f t="shared" si="9"/>
        <v>3687930</v>
      </c>
      <c r="CO10" s="34">
        <f t="shared" si="9"/>
        <v>3816929.25</v>
      </c>
      <c r="CP10" s="34">
        <f t="shared" si="9"/>
        <v>3699675</v>
      </c>
      <c r="CQ10" s="34">
        <f t="shared" si="9"/>
        <v>3829065.75</v>
      </c>
      <c r="CR10" s="34">
        <f t="shared" si="9"/>
        <v>3835134</v>
      </c>
      <c r="CS10" s="34">
        <f t="shared" si="9"/>
        <v>3593382.75</v>
      </c>
      <c r="CT10" s="34">
        <f t="shared" si="9"/>
        <v>3847270.5</v>
      </c>
      <c r="CU10" s="34">
        <f t="shared" si="9"/>
        <v>3729037.5</v>
      </c>
      <c r="CV10" s="34">
        <f t="shared" si="9"/>
        <v>3859407</v>
      </c>
      <c r="CW10" s="34">
        <f t="shared" si="9"/>
        <v>3740782.5</v>
      </c>
      <c r="CX10" s="34">
        <f t="shared" si="9"/>
        <v>3871543.5</v>
      </c>
      <c r="CY10" s="34">
        <f t="shared" si="9"/>
        <v>3877611.75</v>
      </c>
      <c r="CZ10" s="34">
        <f t="shared" si="9"/>
        <v>3758400</v>
      </c>
      <c r="DA10" s="34">
        <f t="shared" si="9"/>
        <v>3889748.25</v>
      </c>
      <c r="DB10" s="34">
        <f t="shared" si="9"/>
        <v>3770145</v>
      </c>
      <c r="DC10" s="34">
        <f t="shared" si="9"/>
        <v>3901884.75</v>
      </c>
      <c r="DD10" s="34">
        <f t="shared" si="9"/>
        <v>3907953</v>
      </c>
      <c r="DE10" s="34">
        <f t="shared" si="9"/>
        <v>3535245</v>
      </c>
      <c r="DF10" s="34">
        <f t="shared" si="9"/>
        <v>3920089.5</v>
      </c>
    </row>
    <row r="11" spans="1:110" ht="12" customHeight="1">
      <c r="A11" s="75" t="s">
        <v>251</v>
      </c>
      <c r="B11" s="78" t="s">
        <v>238</v>
      </c>
      <c r="C11" s="33">
        <v>19.46</v>
      </c>
      <c r="D11" s="34">
        <f t="shared" ref="D11:BO11" si="10">C11*(100+D9)%</f>
        <v>19.46</v>
      </c>
      <c r="E11" s="34">
        <f t="shared" si="10"/>
        <v>19.46</v>
      </c>
      <c r="F11" s="34">
        <f t="shared" si="10"/>
        <v>19.46</v>
      </c>
      <c r="G11" s="34">
        <f t="shared" si="10"/>
        <v>19.46</v>
      </c>
      <c r="H11" s="34">
        <f t="shared" si="10"/>
        <v>19.46</v>
      </c>
      <c r="I11" s="34">
        <f t="shared" si="10"/>
        <v>19.46</v>
      </c>
      <c r="J11" s="34">
        <f t="shared" si="10"/>
        <v>19.46</v>
      </c>
      <c r="K11" s="34">
        <f t="shared" si="10"/>
        <v>19.46</v>
      </c>
      <c r="L11" s="34">
        <f t="shared" si="10"/>
        <v>19.46</v>
      </c>
      <c r="M11" s="34">
        <f t="shared" si="10"/>
        <v>19.46</v>
      </c>
      <c r="N11" s="34">
        <f t="shared" si="10"/>
        <v>19.46</v>
      </c>
      <c r="O11" s="34">
        <v>19.79</v>
      </c>
      <c r="P11" s="34">
        <f t="shared" si="10"/>
        <v>19.79</v>
      </c>
      <c r="Q11" s="34">
        <f t="shared" si="10"/>
        <v>19.79</v>
      </c>
      <c r="R11" s="34">
        <f t="shared" si="10"/>
        <v>19.79</v>
      </c>
      <c r="S11" s="34">
        <f t="shared" si="10"/>
        <v>19.79</v>
      </c>
      <c r="T11" s="34">
        <f t="shared" si="10"/>
        <v>19.79</v>
      </c>
      <c r="U11" s="34">
        <f t="shared" si="10"/>
        <v>19.79</v>
      </c>
      <c r="V11" s="34">
        <f t="shared" si="10"/>
        <v>19.79</v>
      </c>
      <c r="W11" s="34">
        <f t="shared" si="10"/>
        <v>19.79</v>
      </c>
      <c r="X11" s="34">
        <f t="shared" si="10"/>
        <v>19.79</v>
      </c>
      <c r="Y11" s="34">
        <f t="shared" si="10"/>
        <v>19.79</v>
      </c>
      <c r="Z11" s="34">
        <f t="shared" si="10"/>
        <v>19.79</v>
      </c>
      <c r="AA11" s="34">
        <v>21.02</v>
      </c>
      <c r="AB11" s="34">
        <f t="shared" si="10"/>
        <v>21.02</v>
      </c>
      <c r="AC11" s="34">
        <f t="shared" si="10"/>
        <v>21.02</v>
      </c>
      <c r="AD11" s="34">
        <f t="shared" si="10"/>
        <v>21.02</v>
      </c>
      <c r="AE11" s="34">
        <f t="shared" si="10"/>
        <v>21.02</v>
      </c>
      <c r="AF11" s="34">
        <f t="shared" si="10"/>
        <v>21.02</v>
      </c>
      <c r="AG11" s="34">
        <f t="shared" si="10"/>
        <v>21.02</v>
      </c>
      <c r="AH11" s="34">
        <f t="shared" si="10"/>
        <v>21.02</v>
      </c>
      <c r="AI11" s="34">
        <f t="shared" si="10"/>
        <v>21.02</v>
      </c>
      <c r="AJ11" s="34">
        <f t="shared" si="10"/>
        <v>21.02</v>
      </c>
      <c r="AK11" s="34">
        <f t="shared" si="10"/>
        <v>21.02</v>
      </c>
      <c r="AL11" s="34">
        <f t="shared" si="10"/>
        <v>21.02</v>
      </c>
      <c r="AM11" s="34">
        <f t="shared" si="10"/>
        <v>21.860800000000001</v>
      </c>
      <c r="AN11" s="34">
        <f t="shared" si="10"/>
        <v>21.860800000000001</v>
      </c>
      <c r="AO11" s="34">
        <f t="shared" si="10"/>
        <v>21.860800000000001</v>
      </c>
      <c r="AP11" s="34">
        <f t="shared" si="10"/>
        <v>21.860800000000001</v>
      </c>
      <c r="AQ11" s="34">
        <f t="shared" si="10"/>
        <v>21.860800000000001</v>
      </c>
      <c r="AR11" s="34">
        <f t="shared" si="10"/>
        <v>21.860800000000001</v>
      </c>
      <c r="AS11" s="34">
        <f t="shared" si="10"/>
        <v>21.860800000000001</v>
      </c>
      <c r="AT11" s="34">
        <f t="shared" si="10"/>
        <v>21.860800000000001</v>
      </c>
      <c r="AU11" s="34">
        <f t="shared" si="10"/>
        <v>21.860800000000001</v>
      </c>
      <c r="AV11" s="34">
        <f t="shared" si="10"/>
        <v>21.860800000000001</v>
      </c>
      <c r="AW11" s="34">
        <f t="shared" si="10"/>
        <v>21.860800000000001</v>
      </c>
      <c r="AX11" s="34">
        <f t="shared" si="10"/>
        <v>21.860800000000001</v>
      </c>
      <c r="AY11" s="34">
        <f t="shared" si="10"/>
        <v>22.735232000000003</v>
      </c>
      <c r="AZ11" s="34">
        <f t="shared" si="10"/>
        <v>22.735232000000003</v>
      </c>
      <c r="BA11" s="34">
        <f t="shared" si="10"/>
        <v>22.735232000000003</v>
      </c>
      <c r="BB11" s="34">
        <f t="shared" si="10"/>
        <v>22.735232000000003</v>
      </c>
      <c r="BC11" s="34">
        <f t="shared" si="10"/>
        <v>22.735232000000003</v>
      </c>
      <c r="BD11" s="34">
        <f t="shared" si="10"/>
        <v>22.735232000000003</v>
      </c>
      <c r="BE11" s="34">
        <f t="shared" si="10"/>
        <v>22.735232000000003</v>
      </c>
      <c r="BF11" s="34">
        <f t="shared" si="10"/>
        <v>22.735232000000003</v>
      </c>
      <c r="BG11" s="34">
        <f t="shared" si="10"/>
        <v>22.735232000000003</v>
      </c>
      <c r="BH11" s="34">
        <f t="shared" si="10"/>
        <v>22.735232000000003</v>
      </c>
      <c r="BI11" s="34">
        <f t="shared" si="10"/>
        <v>22.735232000000003</v>
      </c>
      <c r="BJ11" s="34">
        <f t="shared" si="10"/>
        <v>22.735232000000003</v>
      </c>
      <c r="BK11" s="34">
        <f t="shared" si="10"/>
        <v>23.644641280000005</v>
      </c>
      <c r="BL11" s="34">
        <f t="shared" si="10"/>
        <v>23.644641280000005</v>
      </c>
      <c r="BM11" s="34">
        <f t="shared" si="10"/>
        <v>23.644641280000005</v>
      </c>
      <c r="BN11" s="34">
        <f t="shared" si="10"/>
        <v>23.644641280000005</v>
      </c>
      <c r="BO11" s="34">
        <f t="shared" si="10"/>
        <v>23.644641280000005</v>
      </c>
      <c r="BP11" s="34">
        <f t="shared" ref="BP11:DF11" si="11">BO11*(100+BP9)%</f>
        <v>23.644641280000005</v>
      </c>
      <c r="BQ11" s="34">
        <f t="shared" si="11"/>
        <v>23.644641280000005</v>
      </c>
      <c r="BR11" s="34">
        <f t="shared" si="11"/>
        <v>23.644641280000005</v>
      </c>
      <c r="BS11" s="34">
        <f t="shared" si="11"/>
        <v>23.644641280000005</v>
      </c>
      <c r="BT11" s="34">
        <f t="shared" si="11"/>
        <v>23.644641280000005</v>
      </c>
      <c r="BU11" s="34">
        <f t="shared" si="11"/>
        <v>23.644641280000005</v>
      </c>
      <c r="BV11" s="34">
        <f t="shared" si="11"/>
        <v>23.644641280000005</v>
      </c>
      <c r="BW11" s="34">
        <f t="shared" si="11"/>
        <v>24.590426931200007</v>
      </c>
      <c r="BX11" s="34">
        <f t="shared" si="11"/>
        <v>24.590426931200007</v>
      </c>
      <c r="BY11" s="34">
        <f t="shared" si="11"/>
        <v>24.590426931200007</v>
      </c>
      <c r="BZ11" s="34">
        <f t="shared" si="11"/>
        <v>24.590426931200007</v>
      </c>
      <c r="CA11" s="34">
        <f t="shared" si="11"/>
        <v>24.590426931200007</v>
      </c>
      <c r="CB11" s="34">
        <f t="shared" si="11"/>
        <v>24.590426931200007</v>
      </c>
      <c r="CC11" s="34">
        <f t="shared" si="11"/>
        <v>24.590426931200007</v>
      </c>
      <c r="CD11" s="34">
        <f t="shared" si="11"/>
        <v>24.590426931200007</v>
      </c>
      <c r="CE11" s="34">
        <f t="shared" si="11"/>
        <v>24.590426931200007</v>
      </c>
      <c r="CF11" s="34">
        <f t="shared" si="11"/>
        <v>24.590426931200007</v>
      </c>
      <c r="CG11" s="34">
        <f t="shared" si="11"/>
        <v>24.590426931200007</v>
      </c>
      <c r="CH11" s="34">
        <f t="shared" si="11"/>
        <v>24.590426931200007</v>
      </c>
      <c r="CI11" s="34">
        <f t="shared" si="11"/>
        <v>25.574044008448009</v>
      </c>
      <c r="CJ11" s="34">
        <f t="shared" si="11"/>
        <v>25.574044008448009</v>
      </c>
      <c r="CK11" s="34">
        <f t="shared" si="11"/>
        <v>25.574044008448009</v>
      </c>
      <c r="CL11" s="34">
        <f t="shared" si="11"/>
        <v>25.574044008448009</v>
      </c>
      <c r="CM11" s="34">
        <f t="shared" si="11"/>
        <v>25.574044008448009</v>
      </c>
      <c r="CN11" s="34">
        <f t="shared" si="11"/>
        <v>25.574044008448009</v>
      </c>
      <c r="CO11" s="34">
        <f t="shared" si="11"/>
        <v>25.574044008448009</v>
      </c>
      <c r="CP11" s="34">
        <f t="shared" si="11"/>
        <v>25.574044008448009</v>
      </c>
      <c r="CQ11" s="34">
        <f t="shared" si="11"/>
        <v>25.574044008448009</v>
      </c>
      <c r="CR11" s="34">
        <f t="shared" si="11"/>
        <v>25.574044008448009</v>
      </c>
      <c r="CS11" s="34">
        <f t="shared" si="11"/>
        <v>25.574044008448009</v>
      </c>
      <c r="CT11" s="34">
        <f t="shared" si="11"/>
        <v>25.574044008448009</v>
      </c>
      <c r="CU11" s="34">
        <f t="shared" si="11"/>
        <v>26.59700576878593</v>
      </c>
      <c r="CV11" s="34">
        <f t="shared" si="11"/>
        <v>26.59700576878593</v>
      </c>
      <c r="CW11" s="34">
        <f t="shared" si="11"/>
        <v>26.59700576878593</v>
      </c>
      <c r="CX11" s="34">
        <f t="shared" si="11"/>
        <v>26.59700576878593</v>
      </c>
      <c r="CY11" s="34">
        <f t="shared" si="11"/>
        <v>26.59700576878593</v>
      </c>
      <c r="CZ11" s="34">
        <f t="shared" si="11"/>
        <v>26.59700576878593</v>
      </c>
      <c r="DA11" s="34">
        <f t="shared" si="11"/>
        <v>26.59700576878593</v>
      </c>
      <c r="DB11" s="34">
        <f t="shared" si="11"/>
        <v>26.59700576878593</v>
      </c>
      <c r="DC11" s="34">
        <f t="shared" si="11"/>
        <v>26.59700576878593</v>
      </c>
      <c r="DD11" s="34">
        <f t="shared" si="11"/>
        <v>26.59700576878593</v>
      </c>
      <c r="DE11" s="34">
        <f t="shared" si="11"/>
        <v>26.59700576878593</v>
      </c>
      <c r="DF11" s="34">
        <f t="shared" si="11"/>
        <v>26.59700576878593</v>
      </c>
    </row>
    <row r="12" spans="1:110" ht="12" customHeight="1">
      <c r="A12" s="75" t="s">
        <v>252</v>
      </c>
      <c r="B12" s="78" t="s">
        <v>238</v>
      </c>
      <c r="C12" s="33">
        <v>19.21</v>
      </c>
      <c r="D12" s="34">
        <f t="shared" ref="D12:BO12" si="12">C12*(100+D9)%</f>
        <v>19.21</v>
      </c>
      <c r="E12" s="34">
        <f t="shared" si="12"/>
        <v>19.21</v>
      </c>
      <c r="F12" s="34">
        <f t="shared" si="12"/>
        <v>19.21</v>
      </c>
      <c r="G12" s="34">
        <f t="shared" si="12"/>
        <v>19.21</v>
      </c>
      <c r="H12" s="34">
        <f t="shared" si="12"/>
        <v>19.21</v>
      </c>
      <c r="I12" s="34">
        <f t="shared" si="12"/>
        <v>19.21</v>
      </c>
      <c r="J12" s="34">
        <f t="shared" si="12"/>
        <v>19.21</v>
      </c>
      <c r="K12" s="34">
        <f t="shared" si="12"/>
        <v>19.21</v>
      </c>
      <c r="L12" s="34">
        <f t="shared" si="12"/>
        <v>19.21</v>
      </c>
      <c r="M12" s="34">
        <f t="shared" si="12"/>
        <v>19.21</v>
      </c>
      <c r="N12" s="34">
        <f t="shared" si="12"/>
        <v>19.21</v>
      </c>
      <c r="O12" s="34">
        <v>19.54</v>
      </c>
      <c r="P12" s="34">
        <f t="shared" si="12"/>
        <v>19.54</v>
      </c>
      <c r="Q12" s="34">
        <f t="shared" si="12"/>
        <v>19.54</v>
      </c>
      <c r="R12" s="34">
        <f t="shared" si="12"/>
        <v>19.54</v>
      </c>
      <c r="S12" s="34">
        <f t="shared" si="12"/>
        <v>19.54</v>
      </c>
      <c r="T12" s="34">
        <f t="shared" si="12"/>
        <v>19.54</v>
      </c>
      <c r="U12" s="34">
        <f t="shared" si="12"/>
        <v>19.54</v>
      </c>
      <c r="V12" s="34">
        <f t="shared" si="12"/>
        <v>19.54</v>
      </c>
      <c r="W12" s="34">
        <f t="shared" si="12"/>
        <v>19.54</v>
      </c>
      <c r="X12" s="34">
        <f t="shared" si="12"/>
        <v>19.54</v>
      </c>
      <c r="Y12" s="34">
        <f t="shared" si="12"/>
        <v>19.54</v>
      </c>
      <c r="Z12" s="34">
        <f t="shared" si="12"/>
        <v>19.54</v>
      </c>
      <c r="AA12" s="34">
        <f t="shared" si="12"/>
        <v>20.3216</v>
      </c>
      <c r="AB12" s="34">
        <f t="shared" si="12"/>
        <v>20.3216</v>
      </c>
      <c r="AC12" s="34">
        <f t="shared" si="12"/>
        <v>20.3216</v>
      </c>
      <c r="AD12" s="34">
        <f t="shared" si="12"/>
        <v>20.3216</v>
      </c>
      <c r="AE12" s="34">
        <f t="shared" si="12"/>
        <v>20.3216</v>
      </c>
      <c r="AF12" s="34">
        <f t="shared" si="12"/>
        <v>20.3216</v>
      </c>
      <c r="AG12" s="34">
        <f t="shared" si="12"/>
        <v>20.3216</v>
      </c>
      <c r="AH12" s="34">
        <f t="shared" si="12"/>
        <v>20.3216</v>
      </c>
      <c r="AI12" s="34">
        <f t="shared" si="12"/>
        <v>20.3216</v>
      </c>
      <c r="AJ12" s="34">
        <f t="shared" si="12"/>
        <v>20.3216</v>
      </c>
      <c r="AK12" s="34">
        <f t="shared" si="12"/>
        <v>20.3216</v>
      </c>
      <c r="AL12" s="34">
        <f t="shared" si="12"/>
        <v>20.3216</v>
      </c>
      <c r="AM12" s="34">
        <f t="shared" si="12"/>
        <v>21.134464000000001</v>
      </c>
      <c r="AN12" s="34">
        <f t="shared" si="12"/>
        <v>21.134464000000001</v>
      </c>
      <c r="AO12" s="34">
        <f t="shared" si="12"/>
        <v>21.134464000000001</v>
      </c>
      <c r="AP12" s="34">
        <f t="shared" si="12"/>
        <v>21.134464000000001</v>
      </c>
      <c r="AQ12" s="34">
        <f t="shared" si="12"/>
        <v>21.134464000000001</v>
      </c>
      <c r="AR12" s="34">
        <f t="shared" si="12"/>
        <v>21.134464000000001</v>
      </c>
      <c r="AS12" s="34">
        <f t="shared" si="12"/>
        <v>21.134464000000001</v>
      </c>
      <c r="AT12" s="34">
        <f t="shared" si="12"/>
        <v>21.134464000000001</v>
      </c>
      <c r="AU12" s="34">
        <f t="shared" si="12"/>
        <v>21.134464000000001</v>
      </c>
      <c r="AV12" s="34">
        <f t="shared" si="12"/>
        <v>21.134464000000001</v>
      </c>
      <c r="AW12" s="34">
        <f t="shared" si="12"/>
        <v>21.134464000000001</v>
      </c>
      <c r="AX12" s="34">
        <f t="shared" si="12"/>
        <v>21.134464000000001</v>
      </c>
      <c r="AY12" s="34">
        <f t="shared" si="12"/>
        <v>21.979842560000002</v>
      </c>
      <c r="AZ12" s="34">
        <f t="shared" si="12"/>
        <v>21.979842560000002</v>
      </c>
      <c r="BA12" s="34">
        <f t="shared" si="12"/>
        <v>21.979842560000002</v>
      </c>
      <c r="BB12" s="34">
        <f t="shared" si="12"/>
        <v>21.979842560000002</v>
      </c>
      <c r="BC12" s="34">
        <f t="shared" si="12"/>
        <v>21.979842560000002</v>
      </c>
      <c r="BD12" s="34">
        <f t="shared" si="12"/>
        <v>21.979842560000002</v>
      </c>
      <c r="BE12" s="34">
        <f t="shared" si="12"/>
        <v>21.979842560000002</v>
      </c>
      <c r="BF12" s="34">
        <f t="shared" si="12"/>
        <v>21.979842560000002</v>
      </c>
      <c r="BG12" s="34">
        <f t="shared" si="12"/>
        <v>21.979842560000002</v>
      </c>
      <c r="BH12" s="34">
        <f t="shared" si="12"/>
        <v>21.979842560000002</v>
      </c>
      <c r="BI12" s="34">
        <f t="shared" si="12"/>
        <v>21.979842560000002</v>
      </c>
      <c r="BJ12" s="34">
        <f t="shared" si="12"/>
        <v>21.979842560000002</v>
      </c>
      <c r="BK12" s="34">
        <f t="shared" si="12"/>
        <v>22.859036262400004</v>
      </c>
      <c r="BL12" s="34">
        <f t="shared" si="12"/>
        <v>22.859036262400004</v>
      </c>
      <c r="BM12" s="34">
        <f t="shared" si="12"/>
        <v>22.859036262400004</v>
      </c>
      <c r="BN12" s="34">
        <f t="shared" si="12"/>
        <v>22.859036262400004</v>
      </c>
      <c r="BO12" s="34">
        <f t="shared" si="12"/>
        <v>22.859036262400004</v>
      </c>
      <c r="BP12" s="34">
        <f t="shared" ref="BP12:DF12" si="13">BO12*(100+BP9)%</f>
        <v>22.859036262400004</v>
      </c>
      <c r="BQ12" s="34">
        <f t="shared" si="13"/>
        <v>22.859036262400004</v>
      </c>
      <c r="BR12" s="34">
        <f t="shared" si="13"/>
        <v>22.859036262400004</v>
      </c>
      <c r="BS12" s="34">
        <f t="shared" si="13"/>
        <v>22.859036262400004</v>
      </c>
      <c r="BT12" s="34">
        <f t="shared" si="13"/>
        <v>22.859036262400004</v>
      </c>
      <c r="BU12" s="34">
        <f t="shared" si="13"/>
        <v>22.859036262400004</v>
      </c>
      <c r="BV12" s="34">
        <f t="shared" si="13"/>
        <v>22.859036262400004</v>
      </c>
      <c r="BW12" s="34">
        <f t="shared" si="13"/>
        <v>23.773397712896006</v>
      </c>
      <c r="BX12" s="34">
        <f t="shared" si="13"/>
        <v>23.773397712896006</v>
      </c>
      <c r="BY12" s="34">
        <f t="shared" si="13"/>
        <v>23.773397712896006</v>
      </c>
      <c r="BZ12" s="34">
        <f t="shared" si="13"/>
        <v>23.773397712896006</v>
      </c>
      <c r="CA12" s="34">
        <f t="shared" si="13"/>
        <v>23.773397712896006</v>
      </c>
      <c r="CB12" s="34">
        <f t="shared" si="13"/>
        <v>23.773397712896006</v>
      </c>
      <c r="CC12" s="34">
        <f t="shared" si="13"/>
        <v>23.773397712896006</v>
      </c>
      <c r="CD12" s="34">
        <f t="shared" si="13"/>
        <v>23.773397712896006</v>
      </c>
      <c r="CE12" s="34">
        <f t="shared" si="13"/>
        <v>23.773397712896006</v>
      </c>
      <c r="CF12" s="34">
        <f t="shared" si="13"/>
        <v>23.773397712896006</v>
      </c>
      <c r="CG12" s="34">
        <f t="shared" si="13"/>
        <v>23.773397712896006</v>
      </c>
      <c r="CH12" s="34">
        <f t="shared" si="13"/>
        <v>23.773397712896006</v>
      </c>
      <c r="CI12" s="34">
        <f t="shared" si="13"/>
        <v>24.724333621411848</v>
      </c>
      <c r="CJ12" s="34">
        <f t="shared" si="13"/>
        <v>24.724333621411848</v>
      </c>
      <c r="CK12" s="34">
        <f t="shared" si="13"/>
        <v>24.724333621411848</v>
      </c>
      <c r="CL12" s="34">
        <f t="shared" si="13"/>
        <v>24.724333621411848</v>
      </c>
      <c r="CM12" s="34">
        <f t="shared" si="13"/>
        <v>24.724333621411848</v>
      </c>
      <c r="CN12" s="34">
        <f t="shared" si="13"/>
        <v>24.724333621411848</v>
      </c>
      <c r="CO12" s="34">
        <f t="shared" si="13"/>
        <v>24.724333621411848</v>
      </c>
      <c r="CP12" s="34">
        <f t="shared" si="13"/>
        <v>24.724333621411848</v>
      </c>
      <c r="CQ12" s="34">
        <f t="shared" si="13"/>
        <v>24.724333621411848</v>
      </c>
      <c r="CR12" s="34">
        <f t="shared" si="13"/>
        <v>24.724333621411848</v>
      </c>
      <c r="CS12" s="34">
        <f t="shared" si="13"/>
        <v>24.724333621411848</v>
      </c>
      <c r="CT12" s="34">
        <f t="shared" si="13"/>
        <v>24.724333621411848</v>
      </c>
      <c r="CU12" s="34">
        <f t="shared" si="13"/>
        <v>25.713306966268323</v>
      </c>
      <c r="CV12" s="34">
        <f t="shared" si="13"/>
        <v>25.713306966268323</v>
      </c>
      <c r="CW12" s="34">
        <f t="shared" si="13"/>
        <v>25.713306966268323</v>
      </c>
      <c r="CX12" s="34">
        <f t="shared" si="13"/>
        <v>25.713306966268323</v>
      </c>
      <c r="CY12" s="34">
        <f t="shared" si="13"/>
        <v>25.713306966268323</v>
      </c>
      <c r="CZ12" s="34">
        <f t="shared" si="13"/>
        <v>25.713306966268323</v>
      </c>
      <c r="DA12" s="34">
        <f t="shared" si="13"/>
        <v>25.713306966268323</v>
      </c>
      <c r="DB12" s="34">
        <f t="shared" si="13"/>
        <v>25.713306966268323</v>
      </c>
      <c r="DC12" s="34">
        <f t="shared" si="13"/>
        <v>25.713306966268323</v>
      </c>
      <c r="DD12" s="34">
        <f t="shared" si="13"/>
        <v>25.713306966268323</v>
      </c>
      <c r="DE12" s="34">
        <f t="shared" si="13"/>
        <v>25.713306966268323</v>
      </c>
      <c r="DF12" s="34">
        <f t="shared" si="13"/>
        <v>25.713306966268323</v>
      </c>
    </row>
    <row r="13" spans="1:110" ht="12" customHeight="1" thickBot="1">
      <c r="A13" s="75" t="s">
        <v>253</v>
      </c>
      <c r="B13" s="78" t="s">
        <v>238</v>
      </c>
      <c r="C13" s="36">
        <f t="shared" ref="C13:BN13" si="14">(C8*C11)*C14</f>
        <v>38222553.600000001</v>
      </c>
      <c r="D13" s="36">
        <f t="shared" si="14"/>
        <v>40770723.840000004</v>
      </c>
      <c r="E13" s="36">
        <f t="shared" si="14"/>
        <v>40688524.800000004</v>
      </c>
      <c r="F13" s="36">
        <f t="shared" si="14"/>
        <v>42681851.520000003</v>
      </c>
      <c r="G13" s="36">
        <f t="shared" si="14"/>
        <v>43743589.120000005</v>
      </c>
      <c r="H13" s="36">
        <f t="shared" si="14"/>
        <v>43359993.600000001</v>
      </c>
      <c r="I13" s="36">
        <f t="shared" si="14"/>
        <v>45867064.32</v>
      </c>
      <c r="J13" s="36">
        <f t="shared" si="14"/>
        <v>45414969.600000001</v>
      </c>
      <c r="K13" s="36">
        <f t="shared" si="14"/>
        <v>47990539.520000003</v>
      </c>
      <c r="L13" s="36">
        <f t="shared" si="14"/>
        <v>49052277.120000005</v>
      </c>
      <c r="M13" s="36">
        <f t="shared" si="14"/>
        <v>45264271.359999999</v>
      </c>
      <c r="N13" s="36">
        <f t="shared" si="14"/>
        <v>51175752.32</v>
      </c>
      <c r="O13" s="36">
        <f t="shared" si="14"/>
        <v>39706656</v>
      </c>
      <c r="P13" s="36">
        <f t="shared" si="14"/>
        <v>41403213.119999997</v>
      </c>
      <c r="Q13" s="36">
        <f t="shared" si="14"/>
        <v>40428595.199999996</v>
      </c>
      <c r="R13" s="36">
        <f t="shared" si="14"/>
        <v>46585976.640000001</v>
      </c>
      <c r="S13" s="36">
        <f t="shared" si="14"/>
        <v>47204374.559999995</v>
      </c>
      <c r="T13" s="36">
        <f t="shared" si="14"/>
        <v>46280102.399999999</v>
      </c>
      <c r="U13" s="36">
        <f t="shared" si="14"/>
        <v>48441170.399999999</v>
      </c>
      <c r="V13" s="36">
        <f t="shared" si="14"/>
        <v>47477001.600000001</v>
      </c>
      <c r="W13" s="36">
        <f t="shared" si="14"/>
        <v>49677966.239999995</v>
      </c>
      <c r="X13" s="36">
        <f t="shared" si="14"/>
        <v>50296364.159999996</v>
      </c>
      <c r="Y13" s="36">
        <f t="shared" si="14"/>
        <v>46359895.68</v>
      </c>
      <c r="Z13" s="36">
        <f t="shared" si="14"/>
        <v>52357690.559999995</v>
      </c>
      <c r="AA13" s="36">
        <f t="shared" si="14"/>
        <v>49842624</v>
      </c>
      <c r="AB13" s="36">
        <f t="shared" si="14"/>
        <v>51921081.600000001</v>
      </c>
      <c r="AC13" s="36">
        <f t="shared" si="14"/>
        <v>50851584</v>
      </c>
      <c r="AD13" s="36">
        <f t="shared" si="14"/>
        <v>52963673.600000001</v>
      </c>
      <c r="AE13" s="36">
        <f t="shared" si="14"/>
        <v>53380710.399999999</v>
      </c>
      <c r="AF13" s="36">
        <f t="shared" si="14"/>
        <v>51860544</v>
      </c>
      <c r="AG13" s="36">
        <f t="shared" si="14"/>
        <v>53797747.199999996</v>
      </c>
      <c r="AH13" s="36">
        <f t="shared" si="14"/>
        <v>52264128</v>
      </c>
      <c r="AI13" s="36">
        <f t="shared" si="14"/>
        <v>54214784</v>
      </c>
      <c r="AJ13" s="36">
        <f t="shared" si="14"/>
        <v>54423302.399999999</v>
      </c>
      <c r="AK13" s="36">
        <f t="shared" si="14"/>
        <v>49344870.399999999</v>
      </c>
      <c r="AL13" s="36">
        <f t="shared" si="14"/>
        <v>54840339.199999996</v>
      </c>
      <c r="AM13" s="36">
        <f t="shared" si="14"/>
        <v>55613875.200000003</v>
      </c>
      <c r="AN13" s="36">
        <f t="shared" si="14"/>
        <v>57901389.312000006</v>
      </c>
      <c r="AO13" s="36">
        <f t="shared" si="14"/>
        <v>56453329.920000002</v>
      </c>
      <c r="AP13" s="36">
        <f t="shared" si="14"/>
        <v>58768825.856000006</v>
      </c>
      <c r="AQ13" s="36">
        <f t="shared" si="14"/>
        <v>59202544.128000006</v>
      </c>
      <c r="AR13" s="36">
        <f t="shared" si="14"/>
        <v>57712512</v>
      </c>
      <c r="AS13" s="36">
        <f t="shared" si="14"/>
        <v>60069980.672000006</v>
      </c>
      <c r="AT13" s="36">
        <f t="shared" si="14"/>
        <v>58551966.720000006</v>
      </c>
      <c r="AU13" s="36">
        <f t="shared" si="14"/>
        <v>60937417.216000006</v>
      </c>
      <c r="AV13" s="36">
        <f t="shared" si="14"/>
        <v>61371135.488000005</v>
      </c>
      <c r="AW13" s="36">
        <f t="shared" si="14"/>
        <v>57817443.840000004</v>
      </c>
      <c r="AX13" s="36">
        <f t="shared" si="14"/>
        <v>62238572.032000005</v>
      </c>
      <c r="AY13" s="36">
        <f t="shared" si="14"/>
        <v>71796043.837440014</v>
      </c>
      <c r="AZ13" s="36">
        <f t="shared" si="14"/>
        <v>74446846.844864011</v>
      </c>
      <c r="BA13" s="36">
        <f t="shared" si="14"/>
        <v>72294627.475200012</v>
      </c>
      <c r="BB13" s="36">
        <f t="shared" si="14"/>
        <v>74962049.937216014</v>
      </c>
      <c r="BC13" s="36">
        <f t="shared" si="14"/>
        <v>75219651.483392015</v>
      </c>
      <c r="BD13" s="36">
        <f t="shared" si="14"/>
        <v>73042502.931840017</v>
      </c>
      <c r="BE13" s="36">
        <f t="shared" si="14"/>
        <v>75734854.575744018</v>
      </c>
      <c r="BF13" s="36">
        <f t="shared" si="14"/>
        <v>73541086.569600016</v>
      </c>
      <c r="BG13" s="36">
        <f t="shared" si="14"/>
        <v>76250057.668096006</v>
      </c>
      <c r="BH13" s="36">
        <f t="shared" si="14"/>
        <v>76507659.214272007</v>
      </c>
      <c r="BI13" s="36">
        <f t="shared" si="14"/>
        <v>69336364.557824016</v>
      </c>
      <c r="BJ13" s="36">
        <f t="shared" si="14"/>
        <v>77022862.30662401</v>
      </c>
      <c r="BK13" s="36">
        <f t="shared" si="14"/>
        <v>77649415.744742423</v>
      </c>
      <c r="BL13" s="36">
        <f t="shared" si="14"/>
        <v>80371682.406912014</v>
      </c>
      <c r="BM13" s="36">
        <f t="shared" si="14"/>
        <v>77908679.236377612</v>
      </c>
      <c r="BN13" s="36">
        <f t="shared" si="14"/>
        <v>80639588.014935061</v>
      </c>
      <c r="BO13" s="36">
        <f t="shared" ref="BO13:DF13" si="15">(BO8*BO11)*BO14</f>
        <v>80773540.818946585</v>
      </c>
      <c r="BP13" s="36">
        <f t="shared" si="15"/>
        <v>78297574.473830417</v>
      </c>
      <c r="BQ13" s="36">
        <f t="shared" si="15"/>
        <v>81041446.426969618</v>
      </c>
      <c r="BR13" s="36">
        <f t="shared" si="15"/>
        <v>78556837.96546562</v>
      </c>
      <c r="BS13" s="36">
        <f t="shared" si="15"/>
        <v>81309352.034992665</v>
      </c>
      <c r="BT13" s="36">
        <f t="shared" si="15"/>
        <v>81443304.839004174</v>
      </c>
      <c r="BU13" s="36">
        <f t="shared" si="15"/>
        <v>73682684.322723851</v>
      </c>
      <c r="BV13" s="36">
        <f t="shared" si="15"/>
        <v>81711210.447027221</v>
      </c>
      <c r="BW13" s="36">
        <f t="shared" si="15"/>
        <v>87218678.713061407</v>
      </c>
      <c r="BX13" s="36">
        <f t="shared" si="15"/>
        <v>90273473.679443583</v>
      </c>
      <c r="BY13" s="36">
        <f t="shared" si="15"/>
        <v>87504173.569732636</v>
      </c>
      <c r="BZ13" s="36">
        <f t="shared" si="15"/>
        <v>90568485.031337187</v>
      </c>
      <c r="CA13" s="36">
        <f t="shared" si="15"/>
        <v>90715990.707283989</v>
      </c>
      <c r="CB13" s="36">
        <f t="shared" si="15"/>
        <v>87932415.854739487</v>
      </c>
      <c r="CC13" s="36">
        <f t="shared" si="15"/>
        <v>91011002.059177592</v>
      </c>
      <c r="CD13" s="36">
        <f t="shared" si="15"/>
        <v>88217910.711410716</v>
      </c>
      <c r="CE13" s="36">
        <f t="shared" si="15"/>
        <v>91306013.411071211</v>
      </c>
      <c r="CF13" s="36">
        <f t="shared" si="15"/>
        <v>92516932.099657759</v>
      </c>
      <c r="CG13" s="36">
        <f t="shared" si="15"/>
        <v>83698460.736152396</v>
      </c>
      <c r="CH13" s="36">
        <f t="shared" si="15"/>
        <v>92815373.816108257</v>
      </c>
      <c r="CI13" s="36">
        <f t="shared" si="15"/>
        <v>93564366.252877608</v>
      </c>
      <c r="CJ13" s="36">
        <f t="shared" si="15"/>
        <v>96838368.153861135</v>
      </c>
      <c r="CK13" s="36">
        <f t="shared" si="15"/>
        <v>93864733.399756834</v>
      </c>
      <c r="CL13" s="36">
        <f t="shared" si="15"/>
        <v>97148747.538969666</v>
      </c>
      <c r="CM13" s="36">
        <f t="shared" si="15"/>
        <v>97303937.231523931</v>
      </c>
      <c r="CN13" s="36">
        <f t="shared" si="15"/>
        <v>94315284.120075673</v>
      </c>
      <c r="CO13" s="36">
        <f t="shared" si="15"/>
        <v>97614316.616632447</v>
      </c>
      <c r="CP13" s="36">
        <f t="shared" si="15"/>
        <v>94615651.266954884</v>
      </c>
      <c r="CQ13" s="36">
        <f t="shared" si="15"/>
        <v>97924696.001740977</v>
      </c>
      <c r="CR13" s="36">
        <f t="shared" si="15"/>
        <v>98079885.694295242</v>
      </c>
      <c r="CS13" s="36">
        <f t="shared" si="15"/>
        <v>91897328.587697923</v>
      </c>
      <c r="CT13" s="36">
        <f t="shared" si="15"/>
        <v>98390265.079403773</v>
      </c>
      <c r="CU13" s="36">
        <f t="shared" si="15"/>
        <v>99181231.899519056</v>
      </c>
      <c r="CV13" s="36">
        <f t="shared" si="15"/>
        <v>102648670.24309281</v>
      </c>
      <c r="CW13" s="36">
        <f t="shared" si="15"/>
        <v>99493613.732273459</v>
      </c>
      <c r="CX13" s="36">
        <f t="shared" si="15"/>
        <v>102971464.80360568</v>
      </c>
      <c r="CY13" s="36">
        <f t="shared" si="15"/>
        <v>103132862.08386211</v>
      </c>
      <c r="CZ13" s="36">
        <f t="shared" si="15"/>
        <v>99962186.481405035</v>
      </c>
      <c r="DA13" s="36">
        <f t="shared" si="15"/>
        <v>103455656.64437498</v>
      </c>
      <c r="DB13" s="36">
        <f t="shared" si="15"/>
        <v>100274568.31415944</v>
      </c>
      <c r="DC13" s="36">
        <f t="shared" si="15"/>
        <v>103778451.20488785</v>
      </c>
      <c r="DD13" s="36">
        <f t="shared" si="15"/>
        <v>103939848.48514429</v>
      </c>
      <c r="DE13" s="36">
        <f t="shared" si="15"/>
        <v>94026931.659071609</v>
      </c>
      <c r="DF13" s="36">
        <f t="shared" si="15"/>
        <v>104262643.04565716</v>
      </c>
    </row>
    <row r="14" spans="1:110" s="84" customFormat="1" ht="12" customHeight="1" thickTop="1">
      <c r="A14" s="66" t="s">
        <v>254</v>
      </c>
      <c r="B14" s="82"/>
      <c r="C14" s="83">
        <v>1</v>
      </c>
      <c r="D14" s="79">
        <f t="shared" ref="D14:BO14" si="16">C14</f>
        <v>1</v>
      </c>
      <c r="E14" s="79">
        <f t="shared" si="16"/>
        <v>1</v>
      </c>
      <c r="F14" s="79">
        <f t="shared" si="16"/>
        <v>1</v>
      </c>
      <c r="G14" s="79">
        <f t="shared" si="16"/>
        <v>1</v>
      </c>
      <c r="H14" s="79">
        <f t="shared" si="16"/>
        <v>1</v>
      </c>
      <c r="I14" s="79">
        <f t="shared" si="16"/>
        <v>1</v>
      </c>
      <c r="J14" s="79">
        <f t="shared" si="16"/>
        <v>1</v>
      </c>
      <c r="K14" s="79">
        <f t="shared" si="16"/>
        <v>1</v>
      </c>
      <c r="L14" s="79">
        <f t="shared" si="16"/>
        <v>1</v>
      </c>
      <c r="M14" s="79">
        <f t="shared" si="16"/>
        <v>1</v>
      </c>
      <c r="N14" s="79">
        <f t="shared" si="16"/>
        <v>1</v>
      </c>
      <c r="O14" s="79">
        <f>N14</f>
        <v>1</v>
      </c>
      <c r="P14" s="79">
        <f t="shared" si="16"/>
        <v>1</v>
      </c>
      <c r="Q14" s="79">
        <f t="shared" si="16"/>
        <v>1</v>
      </c>
      <c r="R14" s="79">
        <f t="shared" si="16"/>
        <v>1</v>
      </c>
      <c r="S14" s="79">
        <f t="shared" si="16"/>
        <v>1</v>
      </c>
      <c r="T14" s="79">
        <f t="shared" si="16"/>
        <v>1</v>
      </c>
      <c r="U14" s="79">
        <f t="shared" si="16"/>
        <v>1</v>
      </c>
      <c r="V14" s="79">
        <f t="shared" si="16"/>
        <v>1</v>
      </c>
      <c r="W14" s="79">
        <f t="shared" si="16"/>
        <v>1</v>
      </c>
      <c r="X14" s="79">
        <f t="shared" si="16"/>
        <v>1</v>
      </c>
      <c r="Y14" s="79">
        <f t="shared" si="16"/>
        <v>1</v>
      </c>
      <c r="Z14" s="79">
        <f t="shared" si="16"/>
        <v>1</v>
      </c>
      <c r="AA14" s="79">
        <f t="shared" si="16"/>
        <v>1</v>
      </c>
      <c r="AB14" s="79">
        <f t="shared" si="16"/>
        <v>1</v>
      </c>
      <c r="AC14" s="79">
        <f t="shared" si="16"/>
        <v>1</v>
      </c>
      <c r="AD14" s="79">
        <f t="shared" si="16"/>
        <v>1</v>
      </c>
      <c r="AE14" s="79">
        <f t="shared" si="16"/>
        <v>1</v>
      </c>
      <c r="AF14" s="79">
        <f t="shared" si="16"/>
        <v>1</v>
      </c>
      <c r="AG14" s="79">
        <f t="shared" si="16"/>
        <v>1</v>
      </c>
      <c r="AH14" s="79">
        <f t="shared" si="16"/>
        <v>1</v>
      </c>
      <c r="AI14" s="79">
        <f t="shared" si="16"/>
        <v>1</v>
      </c>
      <c r="AJ14" s="79">
        <f t="shared" si="16"/>
        <v>1</v>
      </c>
      <c r="AK14" s="79">
        <f t="shared" si="16"/>
        <v>1</v>
      </c>
      <c r="AL14" s="79">
        <f t="shared" si="16"/>
        <v>1</v>
      </c>
      <c r="AM14" s="79">
        <f t="shared" si="16"/>
        <v>1</v>
      </c>
      <c r="AN14" s="79">
        <f t="shared" si="16"/>
        <v>1</v>
      </c>
      <c r="AO14" s="79">
        <f t="shared" si="16"/>
        <v>1</v>
      </c>
      <c r="AP14" s="79">
        <f t="shared" si="16"/>
        <v>1</v>
      </c>
      <c r="AQ14" s="79">
        <f t="shared" si="16"/>
        <v>1</v>
      </c>
      <c r="AR14" s="79">
        <f t="shared" si="16"/>
        <v>1</v>
      </c>
      <c r="AS14" s="79">
        <f t="shared" si="16"/>
        <v>1</v>
      </c>
      <c r="AT14" s="79">
        <f t="shared" si="16"/>
        <v>1</v>
      </c>
      <c r="AU14" s="79">
        <f t="shared" si="16"/>
        <v>1</v>
      </c>
      <c r="AV14" s="79">
        <f t="shared" si="16"/>
        <v>1</v>
      </c>
      <c r="AW14" s="79">
        <f t="shared" si="16"/>
        <v>1</v>
      </c>
      <c r="AX14" s="79">
        <f t="shared" si="16"/>
        <v>1</v>
      </c>
      <c r="AY14" s="79">
        <f t="shared" si="16"/>
        <v>1</v>
      </c>
      <c r="AZ14" s="79">
        <f t="shared" si="16"/>
        <v>1</v>
      </c>
      <c r="BA14" s="79">
        <f t="shared" si="16"/>
        <v>1</v>
      </c>
      <c r="BB14" s="79">
        <f t="shared" si="16"/>
        <v>1</v>
      </c>
      <c r="BC14" s="79">
        <f t="shared" si="16"/>
        <v>1</v>
      </c>
      <c r="BD14" s="79">
        <f t="shared" si="16"/>
        <v>1</v>
      </c>
      <c r="BE14" s="79">
        <f t="shared" si="16"/>
        <v>1</v>
      </c>
      <c r="BF14" s="79">
        <f t="shared" si="16"/>
        <v>1</v>
      </c>
      <c r="BG14" s="79">
        <f t="shared" si="16"/>
        <v>1</v>
      </c>
      <c r="BH14" s="79">
        <f t="shared" si="16"/>
        <v>1</v>
      </c>
      <c r="BI14" s="79">
        <f t="shared" si="16"/>
        <v>1</v>
      </c>
      <c r="BJ14" s="79">
        <f t="shared" si="16"/>
        <v>1</v>
      </c>
      <c r="BK14" s="79">
        <f t="shared" si="16"/>
        <v>1</v>
      </c>
      <c r="BL14" s="79">
        <f t="shared" si="16"/>
        <v>1</v>
      </c>
      <c r="BM14" s="79">
        <f t="shared" si="16"/>
        <v>1</v>
      </c>
      <c r="BN14" s="79">
        <f t="shared" si="16"/>
        <v>1</v>
      </c>
      <c r="BO14" s="79">
        <f t="shared" si="16"/>
        <v>1</v>
      </c>
      <c r="BP14" s="79">
        <f t="shared" ref="BP14:DF14" si="17">BO14</f>
        <v>1</v>
      </c>
      <c r="BQ14" s="79">
        <f t="shared" si="17"/>
        <v>1</v>
      </c>
      <c r="BR14" s="79">
        <f t="shared" si="17"/>
        <v>1</v>
      </c>
      <c r="BS14" s="79">
        <f t="shared" si="17"/>
        <v>1</v>
      </c>
      <c r="BT14" s="79">
        <f t="shared" si="17"/>
        <v>1</v>
      </c>
      <c r="BU14" s="79">
        <f t="shared" si="17"/>
        <v>1</v>
      </c>
      <c r="BV14" s="79">
        <f t="shared" si="17"/>
        <v>1</v>
      </c>
      <c r="BW14" s="79">
        <f t="shared" si="17"/>
        <v>1</v>
      </c>
      <c r="BX14" s="79">
        <f t="shared" si="17"/>
        <v>1</v>
      </c>
      <c r="BY14" s="79">
        <f t="shared" si="17"/>
        <v>1</v>
      </c>
      <c r="BZ14" s="79">
        <f t="shared" si="17"/>
        <v>1</v>
      </c>
      <c r="CA14" s="79">
        <f t="shared" si="17"/>
        <v>1</v>
      </c>
      <c r="CB14" s="79">
        <f t="shared" si="17"/>
        <v>1</v>
      </c>
      <c r="CC14" s="79">
        <f t="shared" si="17"/>
        <v>1</v>
      </c>
      <c r="CD14" s="79">
        <f t="shared" si="17"/>
        <v>1</v>
      </c>
      <c r="CE14" s="79">
        <f t="shared" si="17"/>
        <v>1</v>
      </c>
      <c r="CF14" s="79">
        <f t="shared" si="17"/>
        <v>1</v>
      </c>
      <c r="CG14" s="79">
        <f t="shared" si="17"/>
        <v>1</v>
      </c>
      <c r="CH14" s="79">
        <f t="shared" si="17"/>
        <v>1</v>
      </c>
      <c r="CI14" s="79">
        <f t="shared" si="17"/>
        <v>1</v>
      </c>
      <c r="CJ14" s="79">
        <f t="shared" si="17"/>
        <v>1</v>
      </c>
      <c r="CK14" s="79">
        <f t="shared" si="17"/>
        <v>1</v>
      </c>
      <c r="CL14" s="79">
        <f t="shared" si="17"/>
        <v>1</v>
      </c>
      <c r="CM14" s="79">
        <f t="shared" si="17"/>
        <v>1</v>
      </c>
      <c r="CN14" s="79">
        <f t="shared" si="17"/>
        <v>1</v>
      </c>
      <c r="CO14" s="79">
        <f t="shared" si="17"/>
        <v>1</v>
      </c>
      <c r="CP14" s="79">
        <f t="shared" si="17"/>
        <v>1</v>
      </c>
      <c r="CQ14" s="79">
        <f t="shared" si="17"/>
        <v>1</v>
      </c>
      <c r="CR14" s="79">
        <f t="shared" si="17"/>
        <v>1</v>
      </c>
      <c r="CS14" s="79">
        <f t="shared" si="17"/>
        <v>1</v>
      </c>
      <c r="CT14" s="79">
        <f t="shared" si="17"/>
        <v>1</v>
      </c>
      <c r="CU14" s="79">
        <f t="shared" si="17"/>
        <v>1</v>
      </c>
      <c r="CV14" s="79">
        <f t="shared" si="17"/>
        <v>1</v>
      </c>
      <c r="CW14" s="79">
        <f t="shared" si="17"/>
        <v>1</v>
      </c>
      <c r="CX14" s="79">
        <f t="shared" si="17"/>
        <v>1</v>
      </c>
      <c r="CY14" s="79">
        <f t="shared" si="17"/>
        <v>1</v>
      </c>
      <c r="CZ14" s="79">
        <f t="shared" si="17"/>
        <v>1</v>
      </c>
      <c r="DA14" s="79">
        <f t="shared" si="17"/>
        <v>1</v>
      </c>
      <c r="DB14" s="79">
        <f t="shared" si="17"/>
        <v>1</v>
      </c>
      <c r="DC14" s="79">
        <f t="shared" si="17"/>
        <v>1</v>
      </c>
      <c r="DD14" s="79">
        <f t="shared" si="17"/>
        <v>1</v>
      </c>
      <c r="DE14" s="79">
        <f t="shared" si="17"/>
        <v>1</v>
      </c>
      <c r="DF14" s="79">
        <f t="shared" si="17"/>
        <v>1</v>
      </c>
    </row>
    <row r="15" spans="1:110" s="86" customFormat="1" ht="12" customHeight="1">
      <c r="A15" s="85" t="s">
        <v>247</v>
      </c>
      <c r="B15" s="234">
        <v>4.5</v>
      </c>
      <c r="C15" s="34">
        <f t="shared" ref="C15:BN15" si="18">C4/$B$15*1000</f>
        <v>97.777777777777786</v>
      </c>
      <c r="D15" s="34">
        <f t="shared" si="18"/>
        <v>97.777777777777786</v>
      </c>
      <c r="E15" s="34">
        <f t="shared" si="18"/>
        <v>97.777777777777786</v>
      </c>
      <c r="F15" s="34">
        <f t="shared" si="18"/>
        <v>97.777777777777786</v>
      </c>
      <c r="G15" s="34">
        <f t="shared" si="18"/>
        <v>97.777777777777786</v>
      </c>
      <c r="H15" s="34">
        <f t="shared" si="18"/>
        <v>97.777777777777786</v>
      </c>
      <c r="I15" s="34">
        <f t="shared" si="18"/>
        <v>97.777777777777786</v>
      </c>
      <c r="J15" s="34">
        <f t="shared" si="18"/>
        <v>97.777777777777786</v>
      </c>
      <c r="K15" s="34">
        <f t="shared" si="18"/>
        <v>97.777777777777786</v>
      </c>
      <c r="L15" s="34">
        <f t="shared" si="18"/>
        <v>97.777777777777786</v>
      </c>
      <c r="M15" s="34">
        <f t="shared" si="18"/>
        <v>97.777777777777786</v>
      </c>
      <c r="N15" s="34">
        <f t="shared" si="18"/>
        <v>97.777777777777786</v>
      </c>
      <c r="O15" s="34">
        <f t="shared" si="18"/>
        <v>84.444444444444443</v>
      </c>
      <c r="P15" s="34">
        <f t="shared" si="18"/>
        <v>84.444444444444443</v>
      </c>
      <c r="Q15" s="34">
        <f t="shared" si="18"/>
        <v>84.444444444444443</v>
      </c>
      <c r="R15" s="34">
        <f t="shared" si="18"/>
        <v>93.333333333333329</v>
      </c>
      <c r="S15" s="34">
        <f t="shared" si="18"/>
        <v>93.333333333333329</v>
      </c>
      <c r="T15" s="34">
        <f t="shared" si="18"/>
        <v>93.333333333333329</v>
      </c>
      <c r="U15" s="34">
        <f t="shared" si="18"/>
        <v>93.333333333333329</v>
      </c>
      <c r="V15" s="34">
        <f t="shared" si="18"/>
        <v>93.333333333333329</v>
      </c>
      <c r="W15" s="34">
        <f t="shared" si="18"/>
        <v>93.333333333333329</v>
      </c>
      <c r="X15" s="34">
        <f t="shared" si="18"/>
        <v>93.333333333333329</v>
      </c>
      <c r="Y15" s="34">
        <f t="shared" si="18"/>
        <v>93.333333333333329</v>
      </c>
      <c r="Z15" s="34">
        <f t="shared" si="18"/>
        <v>93.333333333333329</v>
      </c>
      <c r="AA15" s="34">
        <f t="shared" si="18"/>
        <v>88.888888888888872</v>
      </c>
      <c r="AB15" s="34">
        <f t="shared" si="18"/>
        <v>88.888888888888872</v>
      </c>
      <c r="AC15" s="34">
        <f t="shared" si="18"/>
        <v>88.888888888888872</v>
      </c>
      <c r="AD15" s="34">
        <f t="shared" si="18"/>
        <v>88.888888888888872</v>
      </c>
      <c r="AE15" s="34">
        <f t="shared" si="18"/>
        <v>88.888888888888872</v>
      </c>
      <c r="AF15" s="34">
        <f t="shared" si="18"/>
        <v>88.888888888888872</v>
      </c>
      <c r="AG15" s="34">
        <f t="shared" si="18"/>
        <v>88.888888888888872</v>
      </c>
      <c r="AH15" s="34">
        <f t="shared" si="18"/>
        <v>88.888888888888872</v>
      </c>
      <c r="AI15" s="34">
        <f t="shared" si="18"/>
        <v>88.888888888888872</v>
      </c>
      <c r="AJ15" s="34">
        <f t="shared" si="18"/>
        <v>88.888888888888872</v>
      </c>
      <c r="AK15" s="34">
        <f t="shared" si="18"/>
        <v>88.888888888888872</v>
      </c>
      <c r="AL15" s="34">
        <f t="shared" si="18"/>
        <v>88.888888888888872</v>
      </c>
      <c r="AM15" s="34">
        <f t="shared" si="18"/>
        <v>88.888888888888872</v>
      </c>
      <c r="AN15" s="34">
        <f t="shared" si="18"/>
        <v>88.888888888888872</v>
      </c>
      <c r="AO15" s="34">
        <f t="shared" si="18"/>
        <v>88.888888888888872</v>
      </c>
      <c r="AP15" s="34">
        <f t="shared" si="18"/>
        <v>88.888888888888872</v>
      </c>
      <c r="AQ15" s="34">
        <f t="shared" si="18"/>
        <v>88.888888888888872</v>
      </c>
      <c r="AR15" s="34">
        <f t="shared" si="18"/>
        <v>88.888888888888872</v>
      </c>
      <c r="AS15" s="34">
        <f t="shared" si="18"/>
        <v>88.888888888888872</v>
      </c>
      <c r="AT15" s="34">
        <f t="shared" si="18"/>
        <v>88.888888888888872</v>
      </c>
      <c r="AU15" s="34">
        <f t="shared" si="18"/>
        <v>88.888888888888872</v>
      </c>
      <c r="AV15" s="34">
        <f t="shared" si="18"/>
        <v>88.888888888888872</v>
      </c>
      <c r="AW15" s="34">
        <f t="shared" si="18"/>
        <v>88.888888888888872</v>
      </c>
      <c r="AX15" s="34">
        <f t="shared" si="18"/>
        <v>88.888888888888872</v>
      </c>
      <c r="AY15" s="34">
        <f t="shared" si="18"/>
        <v>95.555555555555557</v>
      </c>
      <c r="AZ15" s="34">
        <f t="shared" si="18"/>
        <v>95.555555555555557</v>
      </c>
      <c r="BA15" s="34">
        <f t="shared" si="18"/>
        <v>95.555555555555557</v>
      </c>
      <c r="BB15" s="34">
        <f t="shared" si="18"/>
        <v>95.555555555555557</v>
      </c>
      <c r="BC15" s="34">
        <f t="shared" si="18"/>
        <v>95.555555555555557</v>
      </c>
      <c r="BD15" s="34">
        <f t="shared" si="18"/>
        <v>95.555555555555557</v>
      </c>
      <c r="BE15" s="34">
        <f t="shared" si="18"/>
        <v>95.555555555555557</v>
      </c>
      <c r="BF15" s="34">
        <f t="shared" si="18"/>
        <v>95.555555555555557</v>
      </c>
      <c r="BG15" s="34">
        <f t="shared" si="18"/>
        <v>95.555555555555557</v>
      </c>
      <c r="BH15" s="34">
        <f t="shared" si="18"/>
        <v>95.555555555555557</v>
      </c>
      <c r="BI15" s="34">
        <f t="shared" si="18"/>
        <v>95.555555555555557</v>
      </c>
      <c r="BJ15" s="34">
        <f t="shared" si="18"/>
        <v>95.555555555555557</v>
      </c>
      <c r="BK15" s="34">
        <f t="shared" si="18"/>
        <v>95.555555555555557</v>
      </c>
      <c r="BL15" s="34">
        <f t="shared" si="18"/>
        <v>95.555555555555557</v>
      </c>
      <c r="BM15" s="34">
        <f t="shared" si="18"/>
        <v>95.555555555555557</v>
      </c>
      <c r="BN15" s="34">
        <f t="shared" si="18"/>
        <v>95.555555555555557</v>
      </c>
      <c r="BO15" s="34">
        <f t="shared" ref="BO15:DF15" si="19">BO4/$B$15*1000</f>
        <v>95.555555555555557</v>
      </c>
      <c r="BP15" s="34">
        <f t="shared" si="19"/>
        <v>95.555555555555557</v>
      </c>
      <c r="BQ15" s="34">
        <f t="shared" si="19"/>
        <v>95.555555555555557</v>
      </c>
      <c r="BR15" s="34">
        <f t="shared" si="19"/>
        <v>95.555555555555557</v>
      </c>
      <c r="BS15" s="34">
        <f t="shared" si="19"/>
        <v>95.555555555555557</v>
      </c>
      <c r="BT15" s="34">
        <f t="shared" si="19"/>
        <v>95.555555555555557</v>
      </c>
      <c r="BU15" s="34">
        <f t="shared" si="19"/>
        <v>95.555555555555557</v>
      </c>
      <c r="BV15" s="34">
        <f t="shared" si="19"/>
        <v>95.555555555555557</v>
      </c>
      <c r="BW15" s="34">
        <f t="shared" si="19"/>
        <v>95.555555555555557</v>
      </c>
      <c r="BX15" s="34">
        <f t="shared" si="19"/>
        <v>95.555555555555557</v>
      </c>
      <c r="BY15" s="34">
        <f t="shared" si="19"/>
        <v>95.555555555555557</v>
      </c>
      <c r="BZ15" s="34">
        <f t="shared" si="19"/>
        <v>95.555555555555557</v>
      </c>
      <c r="CA15" s="34">
        <f t="shared" si="19"/>
        <v>95.555555555555557</v>
      </c>
      <c r="CB15" s="34">
        <f t="shared" si="19"/>
        <v>95.555555555555557</v>
      </c>
      <c r="CC15" s="34">
        <f t="shared" si="19"/>
        <v>95.555555555555557</v>
      </c>
      <c r="CD15" s="34">
        <f t="shared" si="19"/>
        <v>95.555555555555557</v>
      </c>
      <c r="CE15" s="34">
        <f t="shared" si="19"/>
        <v>95.555555555555557</v>
      </c>
      <c r="CF15" s="34">
        <f t="shared" si="19"/>
        <v>96.666666666666671</v>
      </c>
      <c r="CG15" s="34">
        <f t="shared" si="19"/>
        <v>96.666666666666671</v>
      </c>
      <c r="CH15" s="34">
        <f t="shared" si="19"/>
        <v>96.666666666666671</v>
      </c>
      <c r="CI15" s="34">
        <f t="shared" si="19"/>
        <v>96.666666666666671</v>
      </c>
      <c r="CJ15" s="34">
        <f t="shared" si="19"/>
        <v>96.666666666666671</v>
      </c>
      <c r="CK15" s="34">
        <f t="shared" si="19"/>
        <v>96.666666666666671</v>
      </c>
      <c r="CL15" s="34">
        <f t="shared" si="19"/>
        <v>96.666666666666671</v>
      </c>
      <c r="CM15" s="34">
        <f t="shared" si="19"/>
        <v>96.666666666666671</v>
      </c>
      <c r="CN15" s="34">
        <f t="shared" si="19"/>
        <v>96.666666666666671</v>
      </c>
      <c r="CO15" s="34">
        <f t="shared" si="19"/>
        <v>96.666666666666671</v>
      </c>
      <c r="CP15" s="34">
        <f t="shared" si="19"/>
        <v>96.666666666666671</v>
      </c>
      <c r="CQ15" s="34">
        <f t="shared" si="19"/>
        <v>96.666666666666671</v>
      </c>
      <c r="CR15" s="34">
        <f t="shared" si="19"/>
        <v>96.666666666666671</v>
      </c>
      <c r="CS15" s="34">
        <f t="shared" si="19"/>
        <v>96.666666666666671</v>
      </c>
      <c r="CT15" s="34">
        <f t="shared" si="19"/>
        <v>96.666666666666671</v>
      </c>
      <c r="CU15" s="34">
        <f t="shared" si="19"/>
        <v>96.666666666666671</v>
      </c>
      <c r="CV15" s="34">
        <f t="shared" si="19"/>
        <v>96.666666666666671</v>
      </c>
      <c r="CW15" s="34">
        <f t="shared" si="19"/>
        <v>96.666666666666671</v>
      </c>
      <c r="CX15" s="34">
        <f t="shared" si="19"/>
        <v>96.666666666666671</v>
      </c>
      <c r="CY15" s="34">
        <f t="shared" si="19"/>
        <v>96.666666666666671</v>
      </c>
      <c r="CZ15" s="34">
        <f t="shared" si="19"/>
        <v>96.666666666666671</v>
      </c>
      <c r="DA15" s="34">
        <f t="shared" si="19"/>
        <v>96.666666666666671</v>
      </c>
      <c r="DB15" s="34">
        <f t="shared" si="19"/>
        <v>96.666666666666671</v>
      </c>
      <c r="DC15" s="34">
        <f t="shared" si="19"/>
        <v>96.666666666666671</v>
      </c>
      <c r="DD15" s="34">
        <f t="shared" si="19"/>
        <v>96.666666666666671</v>
      </c>
      <c r="DE15" s="34">
        <f t="shared" si="19"/>
        <v>96.666666666666671</v>
      </c>
      <c r="DF15" s="34">
        <f t="shared" si="19"/>
        <v>96.666666666666671</v>
      </c>
    </row>
    <row r="16" spans="1:110" ht="12" customHeight="1">
      <c r="A16" s="67" t="s">
        <v>219</v>
      </c>
      <c r="B16" s="72"/>
      <c r="C16" s="34">
        <f t="shared" ref="C16:BN16" si="20">C3*$B$15</f>
        <v>837000</v>
      </c>
      <c r="D16" s="34">
        <f t="shared" si="20"/>
        <v>864000</v>
      </c>
      <c r="E16" s="34">
        <f t="shared" si="20"/>
        <v>891000</v>
      </c>
      <c r="F16" s="34">
        <f t="shared" si="20"/>
        <v>904500</v>
      </c>
      <c r="G16" s="34">
        <f t="shared" si="20"/>
        <v>927000</v>
      </c>
      <c r="H16" s="34">
        <f t="shared" si="20"/>
        <v>949500</v>
      </c>
      <c r="I16" s="34">
        <f t="shared" si="20"/>
        <v>972000</v>
      </c>
      <c r="J16" s="34">
        <f t="shared" si="20"/>
        <v>994500</v>
      </c>
      <c r="K16" s="34">
        <f t="shared" si="20"/>
        <v>1017000</v>
      </c>
      <c r="L16" s="34">
        <f t="shared" si="20"/>
        <v>1039500</v>
      </c>
      <c r="M16" s="34">
        <f t="shared" si="20"/>
        <v>1062000</v>
      </c>
      <c r="N16" s="34">
        <f t="shared" si="20"/>
        <v>1084500</v>
      </c>
      <c r="O16" s="34">
        <f t="shared" si="20"/>
        <v>990000</v>
      </c>
      <c r="P16" s="34">
        <f t="shared" si="20"/>
        <v>999000</v>
      </c>
      <c r="Q16" s="34">
        <f t="shared" si="20"/>
        <v>1008000</v>
      </c>
      <c r="R16" s="34">
        <f t="shared" si="20"/>
        <v>1017000</v>
      </c>
      <c r="S16" s="34">
        <f t="shared" si="20"/>
        <v>1030500</v>
      </c>
      <c r="T16" s="34">
        <f t="shared" si="20"/>
        <v>1044000</v>
      </c>
      <c r="U16" s="34">
        <f t="shared" si="20"/>
        <v>1057500</v>
      </c>
      <c r="V16" s="34">
        <f t="shared" si="20"/>
        <v>1071000</v>
      </c>
      <c r="W16" s="34">
        <f t="shared" si="20"/>
        <v>1084500</v>
      </c>
      <c r="X16" s="34">
        <f t="shared" si="20"/>
        <v>1098000</v>
      </c>
      <c r="Y16" s="34">
        <f t="shared" si="20"/>
        <v>1120500</v>
      </c>
      <c r="Z16" s="34">
        <f t="shared" si="20"/>
        <v>1143000</v>
      </c>
      <c r="AA16" s="34">
        <f t="shared" si="20"/>
        <v>1111500</v>
      </c>
      <c r="AB16" s="34">
        <f t="shared" si="20"/>
        <v>1120500</v>
      </c>
      <c r="AC16" s="34">
        <f t="shared" si="20"/>
        <v>1134000</v>
      </c>
      <c r="AD16" s="34">
        <f t="shared" si="20"/>
        <v>1143000</v>
      </c>
      <c r="AE16" s="34">
        <f t="shared" si="20"/>
        <v>1152000</v>
      </c>
      <c r="AF16" s="34">
        <f t="shared" si="20"/>
        <v>1156500</v>
      </c>
      <c r="AG16" s="34">
        <f t="shared" si="20"/>
        <v>1161000</v>
      </c>
      <c r="AH16" s="34">
        <f t="shared" si="20"/>
        <v>1165500</v>
      </c>
      <c r="AI16" s="34">
        <f t="shared" si="20"/>
        <v>1170000</v>
      </c>
      <c r="AJ16" s="34">
        <f t="shared" si="20"/>
        <v>1174500</v>
      </c>
      <c r="AK16" s="34">
        <f t="shared" si="20"/>
        <v>1179000</v>
      </c>
      <c r="AL16" s="34">
        <f t="shared" si="20"/>
        <v>1183500</v>
      </c>
      <c r="AM16" s="34">
        <f t="shared" si="20"/>
        <v>1192500</v>
      </c>
      <c r="AN16" s="34">
        <f t="shared" si="20"/>
        <v>1201500</v>
      </c>
      <c r="AO16" s="34">
        <f t="shared" si="20"/>
        <v>1210500</v>
      </c>
      <c r="AP16" s="34">
        <f t="shared" si="20"/>
        <v>1219500</v>
      </c>
      <c r="AQ16" s="34">
        <f t="shared" si="20"/>
        <v>1228500</v>
      </c>
      <c r="AR16" s="34">
        <f t="shared" si="20"/>
        <v>1237500</v>
      </c>
      <c r="AS16" s="34">
        <f t="shared" si="20"/>
        <v>1246500</v>
      </c>
      <c r="AT16" s="34">
        <f t="shared" si="20"/>
        <v>1255500</v>
      </c>
      <c r="AU16" s="34">
        <f t="shared" si="20"/>
        <v>1264500</v>
      </c>
      <c r="AV16" s="34">
        <f t="shared" si="20"/>
        <v>1273500</v>
      </c>
      <c r="AW16" s="34">
        <f t="shared" si="20"/>
        <v>1282500</v>
      </c>
      <c r="AX16" s="34">
        <f t="shared" si="20"/>
        <v>1291500</v>
      </c>
      <c r="AY16" s="34">
        <f t="shared" si="20"/>
        <v>1296000</v>
      </c>
      <c r="AZ16" s="34">
        <f t="shared" si="20"/>
        <v>1300500</v>
      </c>
      <c r="BA16" s="34">
        <f t="shared" si="20"/>
        <v>1305000</v>
      </c>
      <c r="BB16" s="34">
        <f t="shared" si="20"/>
        <v>1309500</v>
      </c>
      <c r="BC16" s="34">
        <f t="shared" si="20"/>
        <v>1314000</v>
      </c>
      <c r="BD16" s="34">
        <f t="shared" si="20"/>
        <v>1318500</v>
      </c>
      <c r="BE16" s="34">
        <f t="shared" si="20"/>
        <v>1323000</v>
      </c>
      <c r="BF16" s="34">
        <f t="shared" si="20"/>
        <v>1327500</v>
      </c>
      <c r="BG16" s="34">
        <f t="shared" si="20"/>
        <v>1332000</v>
      </c>
      <c r="BH16" s="34">
        <f t="shared" si="20"/>
        <v>1336500</v>
      </c>
      <c r="BI16" s="34">
        <f t="shared" si="20"/>
        <v>1341000</v>
      </c>
      <c r="BJ16" s="34">
        <f t="shared" si="20"/>
        <v>1345500</v>
      </c>
      <c r="BK16" s="34">
        <f t="shared" si="20"/>
        <v>1347750</v>
      </c>
      <c r="BL16" s="34">
        <f t="shared" si="20"/>
        <v>1350000</v>
      </c>
      <c r="BM16" s="34">
        <f t="shared" si="20"/>
        <v>1352250</v>
      </c>
      <c r="BN16" s="34">
        <f t="shared" si="20"/>
        <v>1354500</v>
      </c>
      <c r="BO16" s="34">
        <f t="shared" ref="BO16:DF16" si="21">BO3*$B$15</f>
        <v>1356750</v>
      </c>
      <c r="BP16" s="34">
        <f t="shared" si="21"/>
        <v>1359000</v>
      </c>
      <c r="BQ16" s="34">
        <f t="shared" si="21"/>
        <v>1361250</v>
      </c>
      <c r="BR16" s="34">
        <f t="shared" si="21"/>
        <v>1363500</v>
      </c>
      <c r="BS16" s="34">
        <f t="shared" si="21"/>
        <v>1365750</v>
      </c>
      <c r="BT16" s="34">
        <f t="shared" si="21"/>
        <v>1368000</v>
      </c>
      <c r="BU16" s="34">
        <f t="shared" si="21"/>
        <v>1370250</v>
      </c>
      <c r="BV16" s="34">
        <f t="shared" si="21"/>
        <v>1372500</v>
      </c>
      <c r="BW16" s="34">
        <f t="shared" si="21"/>
        <v>1374750</v>
      </c>
      <c r="BX16" s="34">
        <f t="shared" si="21"/>
        <v>1377000</v>
      </c>
      <c r="BY16" s="34">
        <f t="shared" si="21"/>
        <v>1379250</v>
      </c>
      <c r="BZ16" s="34">
        <f t="shared" si="21"/>
        <v>1381500</v>
      </c>
      <c r="CA16" s="34">
        <f t="shared" si="21"/>
        <v>1383750</v>
      </c>
      <c r="CB16" s="34">
        <f t="shared" si="21"/>
        <v>1386000</v>
      </c>
      <c r="CC16" s="34">
        <f t="shared" si="21"/>
        <v>1388250</v>
      </c>
      <c r="CD16" s="34">
        <f t="shared" si="21"/>
        <v>1390500</v>
      </c>
      <c r="CE16" s="34">
        <f t="shared" si="21"/>
        <v>1392750</v>
      </c>
      <c r="CF16" s="34">
        <f t="shared" si="21"/>
        <v>1395000</v>
      </c>
      <c r="CG16" s="34">
        <f t="shared" si="21"/>
        <v>1397250</v>
      </c>
      <c r="CH16" s="34">
        <f t="shared" si="21"/>
        <v>1399500</v>
      </c>
      <c r="CI16" s="34">
        <f t="shared" si="21"/>
        <v>1401750</v>
      </c>
      <c r="CJ16" s="34">
        <f t="shared" si="21"/>
        <v>1404000</v>
      </c>
      <c r="CK16" s="34">
        <f t="shared" si="21"/>
        <v>1406250</v>
      </c>
      <c r="CL16" s="34">
        <f t="shared" si="21"/>
        <v>1408500</v>
      </c>
      <c r="CM16" s="34">
        <f t="shared" si="21"/>
        <v>1410750</v>
      </c>
      <c r="CN16" s="34">
        <f t="shared" si="21"/>
        <v>1413000</v>
      </c>
      <c r="CO16" s="34">
        <f t="shared" si="21"/>
        <v>1415250</v>
      </c>
      <c r="CP16" s="34">
        <f t="shared" si="21"/>
        <v>1417500</v>
      </c>
      <c r="CQ16" s="34">
        <f t="shared" si="21"/>
        <v>1419750</v>
      </c>
      <c r="CR16" s="34">
        <f t="shared" si="21"/>
        <v>1422000</v>
      </c>
      <c r="CS16" s="34">
        <f t="shared" si="21"/>
        <v>1424250</v>
      </c>
      <c r="CT16" s="34">
        <f t="shared" si="21"/>
        <v>1426500</v>
      </c>
      <c r="CU16" s="34">
        <f t="shared" si="21"/>
        <v>1428750</v>
      </c>
      <c r="CV16" s="34">
        <f t="shared" si="21"/>
        <v>1431000</v>
      </c>
      <c r="CW16" s="34">
        <f t="shared" si="21"/>
        <v>1433250</v>
      </c>
      <c r="CX16" s="34">
        <f t="shared" si="21"/>
        <v>1435500</v>
      </c>
      <c r="CY16" s="34">
        <f t="shared" si="21"/>
        <v>1437750</v>
      </c>
      <c r="CZ16" s="34">
        <f t="shared" si="21"/>
        <v>1440000</v>
      </c>
      <c r="DA16" s="34">
        <f t="shared" si="21"/>
        <v>1442250</v>
      </c>
      <c r="DB16" s="34">
        <f t="shared" si="21"/>
        <v>1444500</v>
      </c>
      <c r="DC16" s="34">
        <f t="shared" si="21"/>
        <v>1446750</v>
      </c>
      <c r="DD16" s="34">
        <f t="shared" si="21"/>
        <v>1449000</v>
      </c>
      <c r="DE16" s="34">
        <f t="shared" si="21"/>
        <v>1451250</v>
      </c>
      <c r="DF16" s="34">
        <f t="shared" si="21"/>
        <v>1453500</v>
      </c>
    </row>
    <row r="17" spans="1:110" ht="12" customHeight="1">
      <c r="A17" s="85" t="s">
        <v>255</v>
      </c>
      <c r="C17" s="87">
        <f t="shared" ref="C17:BN17" si="22">C5/4.545/1000</f>
        <v>18.006600660066006</v>
      </c>
      <c r="D17" s="87">
        <f t="shared" si="22"/>
        <v>18.587458745874589</v>
      </c>
      <c r="E17" s="87">
        <f t="shared" si="22"/>
        <v>19.168316831683168</v>
      </c>
      <c r="F17" s="87">
        <f t="shared" si="22"/>
        <v>19.458745874587457</v>
      </c>
      <c r="G17" s="87">
        <f t="shared" si="22"/>
        <v>19.942794279427943</v>
      </c>
      <c r="H17" s="87">
        <f t="shared" si="22"/>
        <v>20.426842684268429</v>
      </c>
      <c r="I17" s="87">
        <f t="shared" si="22"/>
        <v>20.910891089108912</v>
      </c>
      <c r="J17" s="87">
        <f t="shared" si="22"/>
        <v>21.394939493949394</v>
      </c>
      <c r="K17" s="87">
        <f t="shared" si="22"/>
        <v>21.87898789878988</v>
      </c>
      <c r="L17" s="87">
        <f t="shared" si="22"/>
        <v>22.363036303630363</v>
      </c>
      <c r="M17" s="87">
        <f t="shared" si="22"/>
        <v>22.847084708470849</v>
      </c>
      <c r="N17" s="87">
        <f t="shared" si="22"/>
        <v>23.331133113311331</v>
      </c>
      <c r="O17" s="87">
        <f t="shared" si="22"/>
        <v>18.393839383938392</v>
      </c>
      <c r="P17" s="87">
        <f t="shared" si="22"/>
        <v>18.561056105610561</v>
      </c>
      <c r="Q17" s="87">
        <f t="shared" si="22"/>
        <v>18.72827282728273</v>
      </c>
      <c r="R17" s="87">
        <f t="shared" si="22"/>
        <v>20.884488448844884</v>
      </c>
      <c r="S17" s="87">
        <f t="shared" si="22"/>
        <v>21.161716171617162</v>
      </c>
      <c r="T17" s="87">
        <f t="shared" si="22"/>
        <v>21.438943894389439</v>
      </c>
      <c r="U17" s="87">
        <f t="shared" si="22"/>
        <v>21.716171617161717</v>
      </c>
      <c r="V17" s="87">
        <f t="shared" si="22"/>
        <v>21.993399339933994</v>
      </c>
      <c r="W17" s="87">
        <f t="shared" si="22"/>
        <v>22.270627062706268</v>
      </c>
      <c r="X17" s="87">
        <f t="shared" si="22"/>
        <v>22.547854785478545</v>
      </c>
      <c r="Y17" s="87">
        <f t="shared" si="22"/>
        <v>23.009900990099009</v>
      </c>
      <c r="Z17" s="87">
        <f t="shared" si="22"/>
        <v>23.471947194719473</v>
      </c>
      <c r="AA17" s="87">
        <f t="shared" si="22"/>
        <v>21.738173817381735</v>
      </c>
      <c r="AB17" s="87">
        <f t="shared" si="22"/>
        <v>21.914191419141911</v>
      </c>
      <c r="AC17" s="87">
        <f t="shared" si="22"/>
        <v>22.178217821782173</v>
      </c>
      <c r="AD17" s="87">
        <f t="shared" si="22"/>
        <v>22.354235423542352</v>
      </c>
      <c r="AE17" s="87">
        <f t="shared" si="22"/>
        <v>22.530253025302528</v>
      </c>
      <c r="AF17" s="87">
        <f t="shared" si="22"/>
        <v>22.618261826182614</v>
      </c>
      <c r="AG17" s="87">
        <f t="shared" si="22"/>
        <v>22.706270627062704</v>
      </c>
      <c r="AH17" s="87">
        <f t="shared" si="22"/>
        <v>22.79427942794279</v>
      </c>
      <c r="AI17" s="87">
        <f t="shared" si="22"/>
        <v>22.88228822882288</v>
      </c>
      <c r="AJ17" s="87">
        <f t="shared" si="22"/>
        <v>22.970297029702969</v>
      </c>
      <c r="AK17" s="87">
        <f t="shared" si="22"/>
        <v>23.058305830583055</v>
      </c>
      <c r="AL17" s="87">
        <f t="shared" si="22"/>
        <v>23.146314631463145</v>
      </c>
      <c r="AM17" s="87">
        <f t="shared" si="22"/>
        <v>23.322332233223317</v>
      </c>
      <c r="AN17" s="87">
        <f t="shared" si="22"/>
        <v>23.498349834983497</v>
      </c>
      <c r="AO17" s="87">
        <f t="shared" si="22"/>
        <v>23.674367436743672</v>
      </c>
      <c r="AP17" s="87">
        <f t="shared" si="22"/>
        <v>23.850385038503845</v>
      </c>
      <c r="AQ17" s="87">
        <f t="shared" si="22"/>
        <v>24.026402640264024</v>
      </c>
      <c r="AR17" s="87">
        <f t="shared" si="22"/>
        <v>24.2024202420242</v>
      </c>
      <c r="AS17" s="87">
        <f t="shared" si="22"/>
        <v>24.378437843784376</v>
      </c>
      <c r="AT17" s="87">
        <f t="shared" si="22"/>
        <v>24.554455445544551</v>
      </c>
      <c r="AU17" s="87">
        <f t="shared" si="22"/>
        <v>24.730473047304727</v>
      </c>
      <c r="AV17" s="87">
        <f t="shared" si="22"/>
        <v>24.906490649064903</v>
      </c>
      <c r="AW17" s="87">
        <f t="shared" si="22"/>
        <v>25.082508250825079</v>
      </c>
      <c r="AX17" s="87">
        <f t="shared" si="22"/>
        <v>25.258525852585255</v>
      </c>
      <c r="AY17" s="87">
        <f t="shared" si="22"/>
        <v>27.247524752475247</v>
      </c>
      <c r="AZ17" s="87">
        <f t="shared" si="22"/>
        <v>27.342134213421343</v>
      </c>
      <c r="BA17" s="87">
        <f t="shared" si="22"/>
        <v>27.436743674367438</v>
      </c>
      <c r="BB17" s="87">
        <f t="shared" si="22"/>
        <v>27.531353135313534</v>
      </c>
      <c r="BC17" s="87">
        <f t="shared" si="22"/>
        <v>27.625962596259626</v>
      </c>
      <c r="BD17" s="87">
        <f t="shared" si="22"/>
        <v>27.720572057205722</v>
      </c>
      <c r="BE17" s="87">
        <f t="shared" si="22"/>
        <v>27.815181518151814</v>
      </c>
      <c r="BF17" s="87">
        <f t="shared" si="22"/>
        <v>27.90979097909791</v>
      </c>
      <c r="BG17" s="87">
        <f t="shared" si="22"/>
        <v>28.004400440044005</v>
      </c>
      <c r="BH17" s="87">
        <f t="shared" si="22"/>
        <v>28.099009900990097</v>
      </c>
      <c r="BI17" s="87">
        <f t="shared" si="22"/>
        <v>28.193619361936193</v>
      </c>
      <c r="BJ17" s="87">
        <f t="shared" si="22"/>
        <v>28.288228822882289</v>
      </c>
      <c r="BK17" s="87">
        <f t="shared" si="22"/>
        <v>28.335533553355337</v>
      </c>
      <c r="BL17" s="87">
        <f t="shared" si="22"/>
        <v>28.382838283828384</v>
      </c>
      <c r="BM17" s="87">
        <f t="shared" si="22"/>
        <v>28.430143014301429</v>
      </c>
      <c r="BN17" s="87">
        <f t="shared" si="22"/>
        <v>28.47744774477448</v>
      </c>
      <c r="BO17" s="87">
        <f t="shared" ref="BO17:DF17" si="23">BO5/4.545/1000</f>
        <v>28.524752475247524</v>
      </c>
      <c r="BP17" s="87">
        <f t="shared" si="23"/>
        <v>28.572057205720572</v>
      </c>
      <c r="BQ17" s="87">
        <f t="shared" si="23"/>
        <v>28.619361936193616</v>
      </c>
      <c r="BR17" s="87">
        <f t="shared" si="23"/>
        <v>28.666666666666668</v>
      </c>
      <c r="BS17" s="87">
        <f t="shared" si="23"/>
        <v>28.713971397139716</v>
      </c>
      <c r="BT17" s="87">
        <f t="shared" si="23"/>
        <v>28.76127612761276</v>
      </c>
      <c r="BU17" s="87">
        <f t="shared" si="23"/>
        <v>28.808580858085811</v>
      </c>
      <c r="BV17" s="87">
        <f t="shared" si="23"/>
        <v>28.855885588558856</v>
      </c>
      <c r="BW17" s="87">
        <f t="shared" si="23"/>
        <v>28.903190319031903</v>
      </c>
      <c r="BX17" s="87">
        <f t="shared" si="23"/>
        <v>28.950495049504951</v>
      </c>
      <c r="BY17" s="87">
        <f t="shared" si="23"/>
        <v>28.997799779977999</v>
      </c>
      <c r="BZ17" s="87">
        <f t="shared" si="23"/>
        <v>29.045104510451043</v>
      </c>
      <c r="CA17" s="87">
        <f t="shared" si="23"/>
        <v>29.092409240924091</v>
      </c>
      <c r="CB17" s="87">
        <f t="shared" si="23"/>
        <v>29.139713971397143</v>
      </c>
      <c r="CC17" s="87">
        <f t="shared" si="23"/>
        <v>29.187018701870187</v>
      </c>
      <c r="CD17" s="87">
        <f t="shared" si="23"/>
        <v>29.234323432343235</v>
      </c>
      <c r="CE17" s="87">
        <f t="shared" si="23"/>
        <v>29.281628162816283</v>
      </c>
      <c r="CF17" s="87">
        <f t="shared" si="23"/>
        <v>29.669966996699671</v>
      </c>
      <c r="CG17" s="87">
        <f t="shared" si="23"/>
        <v>29.71782178217822</v>
      </c>
      <c r="CH17" s="87">
        <f t="shared" si="23"/>
        <v>29.765676567656765</v>
      </c>
      <c r="CI17" s="87">
        <f t="shared" si="23"/>
        <v>29.813531353135314</v>
      </c>
      <c r="CJ17" s="87">
        <f t="shared" si="23"/>
        <v>29.861386138613863</v>
      </c>
      <c r="CK17" s="87">
        <f t="shared" si="23"/>
        <v>29.909240924092408</v>
      </c>
      <c r="CL17" s="87">
        <f t="shared" si="23"/>
        <v>29.957095709570957</v>
      </c>
      <c r="CM17" s="87">
        <f t="shared" si="23"/>
        <v>30.004950495049506</v>
      </c>
      <c r="CN17" s="87">
        <f t="shared" si="23"/>
        <v>30.052805280528052</v>
      </c>
      <c r="CO17" s="87">
        <f t="shared" si="23"/>
        <v>30.100660066006601</v>
      </c>
      <c r="CP17" s="87">
        <f t="shared" si="23"/>
        <v>30.14851485148515</v>
      </c>
      <c r="CQ17" s="87">
        <f t="shared" si="23"/>
        <v>30.196369636963695</v>
      </c>
      <c r="CR17" s="87">
        <f t="shared" si="23"/>
        <v>30.244224422442244</v>
      </c>
      <c r="CS17" s="87">
        <f t="shared" si="23"/>
        <v>30.292079207920793</v>
      </c>
      <c r="CT17" s="87">
        <f t="shared" si="23"/>
        <v>30.339933993399338</v>
      </c>
      <c r="CU17" s="87">
        <f t="shared" si="23"/>
        <v>30.387788778877891</v>
      </c>
      <c r="CV17" s="87">
        <f t="shared" si="23"/>
        <v>30.435643564356436</v>
      </c>
      <c r="CW17" s="87">
        <f t="shared" si="23"/>
        <v>30.483498349834981</v>
      </c>
      <c r="CX17" s="87">
        <f t="shared" si="23"/>
        <v>30.531353135313534</v>
      </c>
      <c r="CY17" s="87">
        <f t="shared" si="23"/>
        <v>30.579207920792079</v>
      </c>
      <c r="CZ17" s="87">
        <f t="shared" si="23"/>
        <v>30.627062706270625</v>
      </c>
      <c r="DA17" s="87">
        <f t="shared" si="23"/>
        <v>30.674917491749177</v>
      </c>
      <c r="DB17" s="87">
        <f t="shared" si="23"/>
        <v>30.722772277227723</v>
      </c>
      <c r="DC17" s="87">
        <f t="shared" si="23"/>
        <v>30.770627062706268</v>
      </c>
      <c r="DD17" s="87">
        <f t="shared" si="23"/>
        <v>30.81848184818482</v>
      </c>
      <c r="DE17" s="87">
        <f t="shared" si="23"/>
        <v>30.866336633663366</v>
      </c>
      <c r="DF17" s="87">
        <f t="shared" si="23"/>
        <v>30.914191419141915</v>
      </c>
    </row>
    <row r="18" spans="1:110" ht="12" customHeight="1">
      <c r="A18" s="85"/>
      <c r="C18" s="87"/>
      <c r="D18" s="87"/>
      <c r="E18" s="87"/>
      <c r="F18" s="87"/>
      <c r="G18" s="87"/>
      <c r="H18" s="87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</row>
    <row r="19" spans="1:110" ht="12" customHeight="1">
      <c r="A19" s="66" t="s">
        <v>256</v>
      </c>
      <c r="B19" s="85" t="s">
        <v>238</v>
      </c>
      <c r="C19" s="79">
        <f t="shared" ref="C19:BN19" si="24">C13-C20</f>
        <v>37731513.600000001</v>
      </c>
      <c r="D19" s="79">
        <f t="shared" si="24"/>
        <v>40246947.840000004</v>
      </c>
      <c r="E19" s="79">
        <f t="shared" si="24"/>
        <v>40165804.800000004</v>
      </c>
      <c r="F19" s="79">
        <f t="shared" si="24"/>
        <v>42133523.520000003</v>
      </c>
      <c r="G19" s="79">
        <f t="shared" si="24"/>
        <v>43181621.120000005</v>
      </c>
      <c r="H19" s="79">
        <f t="shared" si="24"/>
        <v>42802953.600000001</v>
      </c>
      <c r="I19" s="79">
        <f t="shared" si="24"/>
        <v>45277816.32</v>
      </c>
      <c r="J19" s="79">
        <f t="shared" si="24"/>
        <v>44831529.600000001</v>
      </c>
      <c r="K19" s="79">
        <f t="shared" si="24"/>
        <v>47374011.520000003</v>
      </c>
      <c r="L19" s="79">
        <f t="shared" si="24"/>
        <v>48422109.120000005</v>
      </c>
      <c r="M19" s="79">
        <f t="shared" si="24"/>
        <v>44682767.359999999</v>
      </c>
      <c r="N19" s="79">
        <f t="shared" si="24"/>
        <v>50518304.32</v>
      </c>
      <c r="O19" s="79">
        <f t="shared" si="24"/>
        <v>39205056</v>
      </c>
      <c r="P19" s="79">
        <f t="shared" si="24"/>
        <v>40880181.119999997</v>
      </c>
      <c r="Q19" s="79">
        <f t="shared" si="24"/>
        <v>39917875.199999996</v>
      </c>
      <c r="R19" s="79">
        <f t="shared" si="24"/>
        <v>45997472.640000001</v>
      </c>
      <c r="S19" s="79">
        <f t="shared" si="24"/>
        <v>46608058.559999995</v>
      </c>
      <c r="T19" s="79">
        <f t="shared" si="24"/>
        <v>45695462.399999999</v>
      </c>
      <c r="U19" s="79">
        <f t="shared" si="24"/>
        <v>47829230.399999999</v>
      </c>
      <c r="V19" s="79">
        <f t="shared" si="24"/>
        <v>46877241.600000001</v>
      </c>
      <c r="W19" s="79">
        <f t="shared" si="24"/>
        <v>49050402.239999995</v>
      </c>
      <c r="X19" s="79">
        <f t="shared" si="24"/>
        <v>49660988.159999996</v>
      </c>
      <c r="Y19" s="79">
        <f t="shared" si="24"/>
        <v>45774247.68</v>
      </c>
      <c r="Z19" s="79">
        <f t="shared" si="24"/>
        <v>51696274.559999995</v>
      </c>
      <c r="AA19" s="79">
        <f t="shared" si="24"/>
        <v>48186577.920000002</v>
      </c>
      <c r="AB19" s="79">
        <f t="shared" si="24"/>
        <v>50195977.728</v>
      </c>
      <c r="AC19" s="79">
        <f t="shared" si="24"/>
        <v>49162014.719999999</v>
      </c>
      <c r="AD19" s="79">
        <f t="shared" si="24"/>
        <v>51203929.088</v>
      </c>
      <c r="AE19" s="79">
        <f t="shared" si="24"/>
        <v>51607109.631999999</v>
      </c>
      <c r="AF19" s="79">
        <f t="shared" si="24"/>
        <v>50137451.520000003</v>
      </c>
      <c r="AG19" s="79">
        <f t="shared" si="24"/>
        <v>52010290.175999992</v>
      </c>
      <c r="AH19" s="79">
        <f t="shared" si="24"/>
        <v>50527626.240000002</v>
      </c>
      <c r="AI19" s="79">
        <f t="shared" si="24"/>
        <v>52413470.719999999</v>
      </c>
      <c r="AJ19" s="79">
        <f t="shared" si="24"/>
        <v>52615060.992000006</v>
      </c>
      <c r="AK19" s="79">
        <f t="shared" si="24"/>
        <v>47705362.431999996</v>
      </c>
      <c r="AL19" s="79">
        <f t="shared" si="24"/>
        <v>53018241.535999998</v>
      </c>
      <c r="AM19" s="79">
        <f t="shared" si="24"/>
        <v>53766076.416000009</v>
      </c>
      <c r="AN19" s="79">
        <f t="shared" si="24"/>
        <v>55977586.728960007</v>
      </c>
      <c r="AO19" s="79">
        <f t="shared" si="24"/>
        <v>54577639.8336</v>
      </c>
      <c r="AP19" s="79">
        <f t="shared" si="24"/>
        <v>56816202.260480009</v>
      </c>
      <c r="AQ19" s="79">
        <f t="shared" si="24"/>
        <v>57235510.026240006</v>
      </c>
      <c r="AR19" s="79">
        <f t="shared" si="24"/>
        <v>55794984.959999993</v>
      </c>
      <c r="AS19" s="79">
        <f t="shared" si="24"/>
        <v>58074125.55776</v>
      </c>
      <c r="AT19" s="79">
        <f t="shared" si="24"/>
        <v>56606548.377600014</v>
      </c>
      <c r="AU19" s="79">
        <f t="shared" si="24"/>
        <v>58912741.089280009</v>
      </c>
      <c r="AV19" s="79">
        <f t="shared" si="24"/>
        <v>59332048.855040006</v>
      </c>
      <c r="AW19" s="79">
        <f t="shared" si="24"/>
        <v>55896430.387200005</v>
      </c>
      <c r="AX19" s="79">
        <f t="shared" si="24"/>
        <v>60170664.386560008</v>
      </c>
      <c r="AY19" s="79">
        <f t="shared" si="24"/>
        <v>69410584.417075202</v>
      </c>
      <c r="AZ19" s="79">
        <f t="shared" si="24"/>
        <v>71973313.170437127</v>
      </c>
      <c r="BA19" s="79">
        <f t="shared" si="24"/>
        <v>69892602.364416003</v>
      </c>
      <c r="BB19" s="79">
        <f t="shared" si="24"/>
        <v>72471398.382689297</v>
      </c>
      <c r="BC19" s="79">
        <f t="shared" si="24"/>
        <v>72720440.988815367</v>
      </c>
      <c r="BD19" s="79">
        <f t="shared" si="24"/>
        <v>70615629.285427213</v>
      </c>
      <c r="BE19" s="79">
        <f t="shared" si="24"/>
        <v>73218526.201067537</v>
      </c>
      <c r="BF19" s="79">
        <f t="shared" si="24"/>
        <v>71097647.232768014</v>
      </c>
      <c r="BG19" s="79">
        <f t="shared" si="24"/>
        <v>73716611.413319677</v>
      </c>
      <c r="BH19" s="79">
        <f t="shared" si="24"/>
        <v>73965654.019445762</v>
      </c>
      <c r="BI19" s="79">
        <f t="shared" si="24"/>
        <v>67032629.210193932</v>
      </c>
      <c r="BJ19" s="79">
        <f t="shared" si="24"/>
        <v>74463739.231697917</v>
      </c>
      <c r="BK19" s="79">
        <f t="shared" si="24"/>
        <v>75069475.118856207</v>
      </c>
      <c r="BL19" s="79">
        <f t="shared" si="24"/>
        <v>77701293.111336961</v>
      </c>
      <c r="BM19" s="79">
        <f t="shared" si="24"/>
        <v>75320124.451473415</v>
      </c>
      <c r="BN19" s="79">
        <f t="shared" si="24"/>
        <v>77960297.421708092</v>
      </c>
      <c r="BO19" s="79">
        <f t="shared" ref="BO19:DF19" si="25">BO13-BO20</f>
        <v>78089799.576893672</v>
      </c>
      <c r="BP19" s="79">
        <f t="shared" si="25"/>
        <v>75696098.450399235</v>
      </c>
      <c r="BQ19" s="79">
        <f t="shared" si="25"/>
        <v>78348803.887264773</v>
      </c>
      <c r="BR19" s="79">
        <f t="shared" si="25"/>
        <v>75946747.783016458</v>
      </c>
      <c r="BS19" s="79">
        <f t="shared" si="25"/>
        <v>78607808.197635904</v>
      </c>
      <c r="BT19" s="79">
        <f t="shared" si="25"/>
        <v>78737310.352821454</v>
      </c>
      <c r="BU19" s="79">
        <f t="shared" si="25"/>
        <v>71234540.329812795</v>
      </c>
      <c r="BV19" s="79">
        <f t="shared" si="25"/>
        <v>78996314.663192585</v>
      </c>
      <c r="BW19" s="79">
        <f t="shared" si="25"/>
        <v>84320794.544973776</v>
      </c>
      <c r="BX19" s="79">
        <f t="shared" si="25"/>
        <v>87274092.42265369</v>
      </c>
      <c r="BY19" s="79">
        <f t="shared" si="25"/>
        <v>84596803.692420498</v>
      </c>
      <c r="BZ19" s="79">
        <f t="shared" si="25"/>
        <v>87559301.875015303</v>
      </c>
      <c r="CA19" s="79">
        <f t="shared" si="25"/>
        <v>87701906.60119611</v>
      </c>
      <c r="CB19" s="79">
        <f t="shared" si="25"/>
        <v>85010817.41359058</v>
      </c>
      <c r="CC19" s="79">
        <f t="shared" si="25"/>
        <v>87987116.053557724</v>
      </c>
      <c r="CD19" s="79">
        <f t="shared" si="25"/>
        <v>85286826.561037302</v>
      </c>
      <c r="CE19" s="79">
        <f t="shared" si="25"/>
        <v>88272325.505919352</v>
      </c>
      <c r="CF19" s="79">
        <f t="shared" si="25"/>
        <v>89443010.816194341</v>
      </c>
      <c r="CG19" s="79">
        <f t="shared" si="25"/>
        <v>80917537.568781853</v>
      </c>
      <c r="CH19" s="79">
        <f t="shared" si="25"/>
        <v>89731536.657536879</v>
      </c>
      <c r="CI19" s="79">
        <f t="shared" si="25"/>
        <v>90455643.446454674</v>
      </c>
      <c r="CJ19" s="79">
        <f t="shared" si="25"/>
        <v>93620864.99883464</v>
      </c>
      <c r="CK19" s="79">
        <f t="shared" si="25"/>
        <v>90746030.744838163</v>
      </c>
      <c r="CL19" s="79">
        <f t="shared" si="25"/>
        <v>93920931.873830914</v>
      </c>
      <c r="CM19" s="79">
        <f t="shared" si="25"/>
        <v>94070965.311329052</v>
      </c>
      <c r="CN19" s="79">
        <f t="shared" si="25"/>
        <v>91181611.69241339</v>
      </c>
      <c r="CO19" s="79">
        <f t="shared" si="25"/>
        <v>94371032.186325297</v>
      </c>
      <c r="CP19" s="79">
        <f t="shared" si="25"/>
        <v>91471998.990796879</v>
      </c>
      <c r="CQ19" s="79">
        <f t="shared" si="25"/>
        <v>94671099.061321571</v>
      </c>
      <c r="CR19" s="79">
        <f t="shared" si="25"/>
        <v>94821132.498819694</v>
      </c>
      <c r="CS19" s="79">
        <f t="shared" si="25"/>
        <v>88843993.94042635</v>
      </c>
      <c r="CT19" s="79">
        <f t="shared" si="25"/>
        <v>95121199.373815954</v>
      </c>
      <c r="CU19" s="79">
        <f t="shared" si="25"/>
        <v>95885885.926225811</v>
      </c>
      <c r="CV19" s="79">
        <f t="shared" si="25"/>
        <v>99238116.898764744</v>
      </c>
      <c r="CW19" s="79">
        <f t="shared" si="25"/>
        <v>96187888.716544643</v>
      </c>
      <c r="CX19" s="79">
        <f t="shared" si="25"/>
        <v>99550186.448760852</v>
      </c>
      <c r="CY19" s="79">
        <f t="shared" si="25"/>
        <v>99706221.223758906</v>
      </c>
      <c r="CZ19" s="79">
        <f t="shared" si="25"/>
        <v>96640892.902022853</v>
      </c>
      <c r="DA19" s="79">
        <f t="shared" si="25"/>
        <v>100018290.77375501</v>
      </c>
      <c r="DB19" s="79">
        <f t="shared" si="25"/>
        <v>96942895.6923417</v>
      </c>
      <c r="DC19" s="79">
        <f t="shared" si="25"/>
        <v>100330360.32375115</v>
      </c>
      <c r="DD19" s="79">
        <f t="shared" si="25"/>
        <v>100486395.09874919</v>
      </c>
      <c r="DE19" s="79">
        <f t="shared" si="25"/>
        <v>90902839.885965258</v>
      </c>
      <c r="DF19" s="79">
        <f t="shared" si="25"/>
        <v>100798464.64874531</v>
      </c>
    </row>
    <row r="20" spans="1:110" ht="12" customHeight="1">
      <c r="A20" s="66" t="s">
        <v>257</v>
      </c>
      <c r="B20" s="85" t="s">
        <v>238</v>
      </c>
      <c r="C20" s="79">
        <f t="shared" ref="C20:BN20" si="26">C13-C13*C12/C11</f>
        <v>491040</v>
      </c>
      <c r="D20" s="79">
        <f t="shared" si="26"/>
        <v>523776</v>
      </c>
      <c r="E20" s="79">
        <f t="shared" si="26"/>
        <v>522720</v>
      </c>
      <c r="F20" s="79">
        <f t="shared" si="26"/>
        <v>548328</v>
      </c>
      <c r="G20" s="79">
        <f t="shared" si="26"/>
        <v>561968</v>
      </c>
      <c r="H20" s="79">
        <f t="shared" si="26"/>
        <v>557040</v>
      </c>
      <c r="I20" s="79">
        <f t="shared" si="26"/>
        <v>589248</v>
      </c>
      <c r="J20" s="79">
        <f t="shared" si="26"/>
        <v>583440</v>
      </c>
      <c r="K20" s="79">
        <f t="shared" si="26"/>
        <v>616528</v>
      </c>
      <c r="L20" s="79">
        <f t="shared" si="26"/>
        <v>630168</v>
      </c>
      <c r="M20" s="79">
        <f t="shared" si="26"/>
        <v>581504</v>
      </c>
      <c r="N20" s="79">
        <f t="shared" si="26"/>
        <v>657448</v>
      </c>
      <c r="O20" s="79">
        <f t="shared" si="26"/>
        <v>501600</v>
      </c>
      <c r="P20" s="79">
        <f t="shared" si="26"/>
        <v>523032</v>
      </c>
      <c r="Q20" s="79">
        <f t="shared" si="26"/>
        <v>510720</v>
      </c>
      <c r="R20" s="79">
        <f t="shared" si="26"/>
        <v>588504</v>
      </c>
      <c r="S20" s="79">
        <f t="shared" si="26"/>
        <v>596316</v>
      </c>
      <c r="T20" s="79">
        <f t="shared" si="26"/>
        <v>584640</v>
      </c>
      <c r="U20" s="79">
        <f t="shared" si="26"/>
        <v>611940</v>
      </c>
      <c r="V20" s="79">
        <f t="shared" si="26"/>
        <v>599760</v>
      </c>
      <c r="W20" s="79">
        <f t="shared" si="26"/>
        <v>627564</v>
      </c>
      <c r="X20" s="79">
        <f t="shared" si="26"/>
        <v>635376</v>
      </c>
      <c r="Y20" s="79">
        <f t="shared" si="26"/>
        <v>585648</v>
      </c>
      <c r="Z20" s="79">
        <f t="shared" si="26"/>
        <v>661416</v>
      </c>
      <c r="AA20" s="79">
        <f t="shared" si="26"/>
        <v>1656046.0799999982</v>
      </c>
      <c r="AB20" s="79">
        <f t="shared" si="26"/>
        <v>1725103.8720000014</v>
      </c>
      <c r="AC20" s="79">
        <f t="shared" si="26"/>
        <v>1689569.2800000012</v>
      </c>
      <c r="AD20" s="79">
        <f t="shared" si="26"/>
        <v>1759744.512000002</v>
      </c>
      <c r="AE20" s="79">
        <f t="shared" si="26"/>
        <v>1773600.7679999992</v>
      </c>
      <c r="AF20" s="79">
        <f t="shared" si="26"/>
        <v>1723092.4799999967</v>
      </c>
      <c r="AG20" s="79">
        <f t="shared" si="26"/>
        <v>1787457.0240000039</v>
      </c>
      <c r="AH20" s="79">
        <f t="shared" si="26"/>
        <v>1736501.7599999979</v>
      </c>
      <c r="AI20" s="79">
        <f t="shared" si="26"/>
        <v>1801313.2800000012</v>
      </c>
      <c r="AJ20" s="79">
        <f t="shared" si="26"/>
        <v>1808241.4079999924</v>
      </c>
      <c r="AK20" s="79">
        <f t="shared" si="26"/>
        <v>1639507.9680000022</v>
      </c>
      <c r="AL20" s="79">
        <f t="shared" si="26"/>
        <v>1822097.6639999971</v>
      </c>
      <c r="AM20" s="79">
        <f t="shared" si="26"/>
        <v>1847798.7839999944</v>
      </c>
      <c r="AN20" s="79">
        <f t="shared" si="26"/>
        <v>1923802.583039999</v>
      </c>
      <c r="AO20" s="79">
        <f t="shared" si="26"/>
        <v>1875690.0864000022</v>
      </c>
      <c r="AP20" s="79">
        <f t="shared" si="26"/>
        <v>1952623.5955199972</v>
      </c>
      <c r="AQ20" s="79">
        <f t="shared" si="26"/>
        <v>1967034.10176</v>
      </c>
      <c r="AR20" s="79">
        <f t="shared" si="26"/>
        <v>1917527.0400000066</v>
      </c>
      <c r="AS20" s="79">
        <f t="shared" si="26"/>
        <v>1995855.1142400056</v>
      </c>
      <c r="AT20" s="79">
        <f t="shared" si="26"/>
        <v>1945418.342399992</v>
      </c>
      <c r="AU20" s="79">
        <f t="shared" si="26"/>
        <v>2024676.1267199963</v>
      </c>
      <c r="AV20" s="79">
        <f t="shared" si="26"/>
        <v>2039086.6329599991</v>
      </c>
      <c r="AW20" s="79">
        <f t="shared" si="26"/>
        <v>1921013.4527999982</v>
      </c>
      <c r="AX20" s="79">
        <f t="shared" si="26"/>
        <v>2067907.6454399973</v>
      </c>
      <c r="AY20" s="79">
        <f t="shared" si="26"/>
        <v>2385459.420364812</v>
      </c>
      <c r="AZ20" s="79">
        <f t="shared" si="26"/>
        <v>2473533.6744268835</v>
      </c>
      <c r="BA20" s="79">
        <f t="shared" si="26"/>
        <v>2402025.1107840091</v>
      </c>
      <c r="BB20" s="79">
        <f t="shared" si="26"/>
        <v>2490651.5545267165</v>
      </c>
      <c r="BC20" s="79">
        <f t="shared" si="26"/>
        <v>2499210.4945766479</v>
      </c>
      <c r="BD20" s="79">
        <f t="shared" si="26"/>
        <v>2426873.6464128047</v>
      </c>
      <c r="BE20" s="79">
        <f t="shared" si="26"/>
        <v>2516328.3746764809</v>
      </c>
      <c r="BF20" s="79">
        <f t="shared" si="26"/>
        <v>2443439.3368320018</v>
      </c>
      <c r="BG20" s="79">
        <f t="shared" si="26"/>
        <v>2533446.2547763288</v>
      </c>
      <c r="BH20" s="79">
        <f t="shared" si="26"/>
        <v>2542005.1948262453</v>
      </c>
      <c r="BI20" s="79">
        <f t="shared" si="26"/>
        <v>2303735.3476300836</v>
      </c>
      <c r="BJ20" s="79">
        <f t="shared" si="26"/>
        <v>2559123.0749260932</v>
      </c>
      <c r="BK20" s="79">
        <f t="shared" si="26"/>
        <v>2579940.6258862168</v>
      </c>
      <c r="BL20" s="79">
        <f t="shared" si="26"/>
        <v>2670389.2955750525</v>
      </c>
      <c r="BM20" s="79">
        <f t="shared" si="26"/>
        <v>2588554.7849041969</v>
      </c>
      <c r="BN20" s="79">
        <f t="shared" si="26"/>
        <v>2679290.5932269692</v>
      </c>
      <c r="BO20" s="79">
        <f t="shared" ref="BO20:DF20" si="27">BO13-BO13*BO12/BO11</f>
        <v>2683741.2420529127</v>
      </c>
      <c r="BP20" s="79">
        <f t="shared" si="27"/>
        <v>2601476.0234311819</v>
      </c>
      <c r="BQ20" s="79">
        <f t="shared" si="27"/>
        <v>2692642.5397048444</v>
      </c>
      <c r="BR20" s="79">
        <f t="shared" si="27"/>
        <v>2610090.182449162</v>
      </c>
      <c r="BS20" s="79">
        <f t="shared" si="27"/>
        <v>2701543.8373567611</v>
      </c>
      <c r="BT20" s="79">
        <f t="shared" si="27"/>
        <v>2705994.4861827195</v>
      </c>
      <c r="BU20" s="79">
        <f t="shared" si="27"/>
        <v>2448143.9929110557</v>
      </c>
      <c r="BV20" s="79">
        <f t="shared" si="27"/>
        <v>2714895.7838346362</v>
      </c>
      <c r="BW20" s="79">
        <f t="shared" si="27"/>
        <v>2897884.1680876315</v>
      </c>
      <c r="BX20" s="79">
        <f t="shared" si="27"/>
        <v>2999381.2567898929</v>
      </c>
      <c r="BY20" s="79">
        <f t="shared" si="27"/>
        <v>2907369.8773121387</v>
      </c>
      <c r="BZ20" s="79">
        <f t="shared" si="27"/>
        <v>3009183.1563218832</v>
      </c>
      <c r="CA20" s="79">
        <f t="shared" si="27"/>
        <v>3014084.1060878783</v>
      </c>
      <c r="CB20" s="79">
        <f t="shared" si="27"/>
        <v>2921598.4411489069</v>
      </c>
      <c r="CC20" s="79">
        <f t="shared" si="27"/>
        <v>3023886.0056198686</v>
      </c>
      <c r="CD20" s="79">
        <f t="shared" si="27"/>
        <v>2931084.1503734142</v>
      </c>
      <c r="CE20" s="79">
        <f t="shared" si="27"/>
        <v>3033687.9051518589</v>
      </c>
      <c r="CF20" s="79">
        <f t="shared" si="27"/>
        <v>3073921.2834634185</v>
      </c>
      <c r="CG20" s="79">
        <f t="shared" si="27"/>
        <v>2780923.1673705429</v>
      </c>
      <c r="CH20" s="79">
        <f t="shared" si="27"/>
        <v>3083837.1585713774</v>
      </c>
      <c r="CI20" s="79">
        <f t="shared" si="27"/>
        <v>3108722.8064229339</v>
      </c>
      <c r="CJ20" s="79">
        <f t="shared" si="27"/>
        <v>3217503.1550264955</v>
      </c>
      <c r="CK20" s="79">
        <f t="shared" si="27"/>
        <v>3118702.6549186707</v>
      </c>
      <c r="CL20" s="79">
        <f t="shared" si="27"/>
        <v>3227815.6651387513</v>
      </c>
      <c r="CM20" s="79">
        <f t="shared" si="27"/>
        <v>3232971.9201948792</v>
      </c>
      <c r="CN20" s="79">
        <f t="shared" si="27"/>
        <v>3133672.4276622832</v>
      </c>
      <c r="CO20" s="79">
        <f t="shared" si="27"/>
        <v>3243284.4303071499</v>
      </c>
      <c r="CP20" s="79">
        <f t="shared" si="27"/>
        <v>3143652.276158005</v>
      </c>
      <c r="CQ20" s="79">
        <f t="shared" si="27"/>
        <v>3253596.9404194057</v>
      </c>
      <c r="CR20" s="79">
        <f t="shared" si="27"/>
        <v>3258753.1954755485</v>
      </c>
      <c r="CS20" s="79">
        <f t="shared" si="27"/>
        <v>3053334.6472715735</v>
      </c>
      <c r="CT20" s="79">
        <f t="shared" si="27"/>
        <v>3269065.7055878192</v>
      </c>
      <c r="CU20" s="79">
        <f t="shared" si="27"/>
        <v>3295345.9732932448</v>
      </c>
      <c r="CV20" s="79">
        <f t="shared" si="27"/>
        <v>3410553.3443280607</v>
      </c>
      <c r="CW20" s="79">
        <f t="shared" si="27"/>
        <v>3305725.0157288164</v>
      </c>
      <c r="CX20" s="79">
        <f t="shared" si="27"/>
        <v>3421278.3548448235</v>
      </c>
      <c r="CY20" s="79">
        <f t="shared" si="27"/>
        <v>3426640.8601032048</v>
      </c>
      <c r="CZ20" s="79">
        <f t="shared" si="27"/>
        <v>3321293.5793821812</v>
      </c>
      <c r="DA20" s="79">
        <f t="shared" si="27"/>
        <v>3437365.8706199676</v>
      </c>
      <c r="DB20" s="79">
        <f t="shared" si="27"/>
        <v>3331672.6218177378</v>
      </c>
      <c r="DC20" s="79">
        <f t="shared" si="27"/>
        <v>3448090.8811367005</v>
      </c>
      <c r="DD20" s="79">
        <f t="shared" si="27"/>
        <v>3453453.3863950968</v>
      </c>
      <c r="DE20" s="79">
        <f t="shared" si="27"/>
        <v>3124091.7731063515</v>
      </c>
      <c r="DF20" s="79">
        <f t="shared" si="27"/>
        <v>3464178.3969118446</v>
      </c>
    </row>
    <row r="22" spans="1:110" s="80" customFormat="1" ht="12" customHeight="1">
      <c r="A22" s="66" t="s">
        <v>253</v>
      </c>
      <c r="B22" s="88"/>
      <c r="C22" s="89">
        <f>C13*2/3</f>
        <v>25481702.400000002</v>
      </c>
      <c r="D22" s="89">
        <f>D13+C13-C22</f>
        <v>53511575.039999992</v>
      </c>
      <c r="E22" s="89">
        <f>E13*2/3</f>
        <v>27125683.200000003</v>
      </c>
      <c r="F22" s="89">
        <f>F13+E13-E22</f>
        <v>56244693.120000005</v>
      </c>
      <c r="G22" s="89">
        <f>G13*2/3</f>
        <v>29162392.74666667</v>
      </c>
      <c r="H22" s="89">
        <f>H13+G13-G22</f>
        <v>57941189.973333329</v>
      </c>
      <c r="I22" s="89">
        <f>I13*2/3</f>
        <v>30578042.879999999</v>
      </c>
      <c r="J22" s="89">
        <f>J13+I13-I22</f>
        <v>60703991.040000007</v>
      </c>
      <c r="K22" s="89">
        <f>K13*2/3</f>
        <v>31993693.013333336</v>
      </c>
      <c r="L22" s="89">
        <f>L13+K13-K22</f>
        <v>65049123.62666668</v>
      </c>
      <c r="M22" s="89">
        <f>M13*2/3</f>
        <v>30176180.906666666</v>
      </c>
      <c r="N22" s="89">
        <f>N13+M13-M22</f>
        <v>66263842.773333341</v>
      </c>
      <c r="O22" s="89">
        <f>O13*2/3</f>
        <v>26471104</v>
      </c>
      <c r="P22" s="89">
        <f>P13+O13-O22</f>
        <v>54638765.120000005</v>
      </c>
      <c r="Q22" s="89">
        <f>Q13*2/3</f>
        <v>26952396.799999997</v>
      </c>
      <c r="R22" s="89">
        <f>R13+Q13-Q22</f>
        <v>60062175.040000007</v>
      </c>
      <c r="S22" s="89">
        <f>S13*2/3</f>
        <v>31469583.039999995</v>
      </c>
      <c r="T22" s="89">
        <f>T13+S13-S22</f>
        <v>62014893.920000002</v>
      </c>
      <c r="U22" s="89">
        <f>U13*2/3</f>
        <v>32294113.599999998</v>
      </c>
      <c r="V22" s="89">
        <f>V13+U13-U22</f>
        <v>63624058.400000006</v>
      </c>
      <c r="W22" s="89">
        <f>W13*2/3</f>
        <v>33118644.159999996</v>
      </c>
      <c r="X22" s="89">
        <f>X13+W13-W22</f>
        <v>66855686.239999995</v>
      </c>
      <c r="Y22" s="89">
        <f>Y13*2/3</f>
        <v>30906597.120000001</v>
      </c>
      <c r="Z22" s="89">
        <f>Z13+Y13-Y22</f>
        <v>67810989.11999999</v>
      </c>
      <c r="AA22" s="89">
        <f>AA13*2/3</f>
        <v>33228416</v>
      </c>
      <c r="AB22" s="89">
        <f>AB13+AA13-AA22</f>
        <v>68535289.599999994</v>
      </c>
      <c r="AC22" s="89">
        <f>AC13*2/3</f>
        <v>33901056</v>
      </c>
      <c r="AD22" s="89">
        <f>AD13+AC13-AC22</f>
        <v>69914201.599999994</v>
      </c>
      <c r="AE22" s="89">
        <f>AE13*2/3</f>
        <v>35587140.266666666</v>
      </c>
      <c r="AF22" s="89">
        <f>AF13+AE13-AE22</f>
        <v>69654114.13333334</v>
      </c>
      <c r="AG22" s="89">
        <f>AG13*2/3</f>
        <v>35865164.799999997</v>
      </c>
      <c r="AH22" s="89">
        <f>AH13+AG13-AG22</f>
        <v>70196710.399999991</v>
      </c>
      <c r="AI22" s="89">
        <f>AI13*2/3</f>
        <v>36143189.333333336</v>
      </c>
      <c r="AJ22" s="89">
        <f>AJ13+AI13-AI22</f>
        <v>72494897.066666663</v>
      </c>
      <c r="AK22" s="89">
        <f>AK13*2/3</f>
        <v>32896580.266666666</v>
      </c>
      <c r="AL22" s="89">
        <f>AL13+AK13-AK22</f>
        <v>71288629.333333328</v>
      </c>
      <c r="AM22" s="89">
        <f>AM13*2/3</f>
        <v>37075916.800000004</v>
      </c>
      <c r="AN22" s="89">
        <f>AN13+AM13-AM22</f>
        <v>76439347.712000012</v>
      </c>
      <c r="AO22" s="89">
        <f>AO13*2/3</f>
        <v>37635553.280000001</v>
      </c>
      <c r="AP22" s="89">
        <f>AP13+AO13-AO22</f>
        <v>77586602.496000007</v>
      </c>
      <c r="AQ22" s="89">
        <f>AQ13*2/3</f>
        <v>39468362.752000004</v>
      </c>
      <c r="AR22" s="89">
        <f>AR13+AQ13-AQ22</f>
        <v>77446693.376000002</v>
      </c>
      <c r="AS22" s="89">
        <f>AS13*2/3</f>
        <v>40046653.781333335</v>
      </c>
      <c r="AT22" s="89">
        <f>AT13+AS13-AS22</f>
        <v>78575293.610666692</v>
      </c>
      <c r="AU22" s="89">
        <f>AU13*2/3</f>
        <v>40624944.810666673</v>
      </c>
      <c r="AV22" s="89">
        <f>AV13+AU13-AU22</f>
        <v>81683607.893333346</v>
      </c>
      <c r="AW22" s="89">
        <f>AW13*2/3</f>
        <v>38544962.560000002</v>
      </c>
      <c r="AX22" s="89">
        <f>AX13+AW13-AW22</f>
        <v>81511053.312000006</v>
      </c>
      <c r="AY22" s="89">
        <f>AY13*2/3</f>
        <v>47864029.224960007</v>
      </c>
      <c r="AZ22" s="89">
        <f>AZ13+AY13-AY22</f>
        <v>98378861.457344025</v>
      </c>
      <c r="BA22" s="89">
        <f>BA13*2/3</f>
        <v>48196418.316800006</v>
      </c>
      <c r="BB22" s="89">
        <f>BB13+BA13-BA22</f>
        <v>99060259.095616043</v>
      </c>
      <c r="BC22" s="89">
        <f>BC13*2/3</f>
        <v>50146434.322261341</v>
      </c>
      <c r="BD22" s="89">
        <f>BD13+BC13-BC22</f>
        <v>98115720.092970699</v>
      </c>
      <c r="BE22" s="89">
        <f>BE13*2/3</f>
        <v>50489903.050496012</v>
      </c>
      <c r="BF22" s="89">
        <f>BF13+BE13-BE22</f>
        <v>98786038.094848007</v>
      </c>
      <c r="BG22" s="89">
        <f>BG13*2/3</f>
        <v>50833371.778730668</v>
      </c>
      <c r="BH22" s="89">
        <f>BH13+BG13-BG22</f>
        <v>101924345.10363737</v>
      </c>
      <c r="BI22" s="89">
        <f>BI13*2/3</f>
        <v>46224243.038549341</v>
      </c>
      <c r="BJ22" s="89">
        <f>BJ13+BI13-BI22</f>
        <v>100134983.82589868</v>
      </c>
      <c r="BK22" s="89">
        <f>BK13*2/3</f>
        <v>51766277.163161613</v>
      </c>
      <c r="BL22" s="89">
        <f>BL13+BK13-BK22</f>
        <v>106254820.98849282</v>
      </c>
      <c r="BM22" s="89">
        <f>BM13*2/3</f>
        <v>51939119.490918405</v>
      </c>
      <c r="BN22" s="89">
        <f>BN13+BM13-BM22</f>
        <v>106609147.76039428</v>
      </c>
      <c r="BO22" s="89">
        <f>BO13*2/3</f>
        <v>53849027.212631054</v>
      </c>
      <c r="BP22" s="89">
        <f>BP13+BO13-BO22</f>
        <v>105222088.08014596</v>
      </c>
      <c r="BQ22" s="89">
        <f>BQ13*2/3</f>
        <v>54027630.951313078</v>
      </c>
      <c r="BR22" s="89">
        <f>BR13+BQ13-BQ22</f>
        <v>105570653.44112217</v>
      </c>
      <c r="BS22" s="89">
        <f>BS13*2/3</f>
        <v>54206234.68999511</v>
      </c>
      <c r="BT22" s="89">
        <f>BT13+BS13-BS22</f>
        <v>108546422.18400174</v>
      </c>
      <c r="BU22" s="89">
        <f>BU13*2/3</f>
        <v>49121789.548482567</v>
      </c>
      <c r="BV22" s="89">
        <f>BV13+BU13-BU22</f>
        <v>106272105.2212685</v>
      </c>
      <c r="BW22" s="89">
        <f>BW13*2/3</f>
        <v>58145785.808707602</v>
      </c>
      <c r="BX22" s="89">
        <f>BX13+BW13-BW22</f>
        <v>119346366.5837974</v>
      </c>
      <c r="BY22" s="89">
        <f>BY13*2/3</f>
        <v>58336115.713155091</v>
      </c>
      <c r="BZ22" s="89">
        <f>BZ13+BY13-BY22</f>
        <v>119736542.88791472</v>
      </c>
      <c r="CA22" s="89">
        <f>CA13*2/3</f>
        <v>60477327.138189323</v>
      </c>
      <c r="CB22" s="89">
        <f>CB13+CA13-CA22</f>
        <v>118171079.42383415</v>
      </c>
      <c r="CC22" s="89">
        <f>CC13*2/3</f>
        <v>60674001.372785062</v>
      </c>
      <c r="CD22" s="89">
        <f>CD13+CC13-CC22</f>
        <v>118554911.39780325</v>
      </c>
      <c r="CE22" s="89">
        <f>CE13*2/3</f>
        <v>60870675.607380807</v>
      </c>
      <c r="CF22" s="89">
        <f>CF13+CE13-CE22</f>
        <v>122952269.90334815</v>
      </c>
      <c r="CG22" s="89">
        <f>CG13*2/3</f>
        <v>55798973.824101597</v>
      </c>
      <c r="CH22" s="89">
        <f>CH13+CG13-CG22</f>
        <v>120714860.72815904</v>
      </c>
      <c r="CI22" s="89">
        <f>CI13*2/3</f>
        <v>62376244.168585069</v>
      </c>
      <c r="CJ22" s="89">
        <f>CJ13+CI13-CI22</f>
        <v>128026490.2381537</v>
      </c>
      <c r="CK22" s="89">
        <f>CK13*2/3</f>
        <v>62576488.93317122</v>
      </c>
      <c r="CL22" s="89">
        <f>CL13+CK13-CK22</f>
        <v>128436992.00555527</v>
      </c>
      <c r="CM22" s="89">
        <f>CM13*2/3</f>
        <v>64869291.487682618</v>
      </c>
      <c r="CN22" s="89">
        <f>CN13+CM13-CM22</f>
        <v>126749929.86391699</v>
      </c>
      <c r="CO22" s="89">
        <f>CO13*2/3</f>
        <v>65076211.077754967</v>
      </c>
      <c r="CP22" s="89">
        <f>CP13+CO13-CO22</f>
        <v>127153756.80583236</v>
      </c>
      <c r="CQ22" s="89">
        <f>CQ13*2/3</f>
        <v>65283130.667827316</v>
      </c>
      <c r="CR22" s="89">
        <f>CR13+CQ13-CQ22</f>
        <v>130721451.02820891</v>
      </c>
      <c r="CS22" s="89">
        <f>CS13*2/3</f>
        <v>61264885.725131951</v>
      </c>
      <c r="CT22" s="89">
        <f>CT13+CS13-CS22</f>
        <v>129022707.94196972</v>
      </c>
      <c r="CU22" s="89">
        <f>CU13*2/3</f>
        <v>66120821.266346037</v>
      </c>
      <c r="CV22" s="89">
        <f>CV13+CU13-CU22</f>
        <v>135709080.87626582</v>
      </c>
      <c r="CW22" s="89">
        <f>CW13*2/3</f>
        <v>66329075.821515642</v>
      </c>
      <c r="CX22" s="89">
        <f>CX13+CW13-CW22</f>
        <v>136136002.71436349</v>
      </c>
      <c r="CY22" s="89">
        <f>CY13*2/3</f>
        <v>68755241.389241412</v>
      </c>
      <c r="CZ22" s="89">
        <f>CZ13+CY13-CY22</f>
        <v>134339807.17602575</v>
      </c>
      <c r="DA22" s="89">
        <f t="shared" ref="DA22:DF22" si="28">DA13+CZ13-CZ22</f>
        <v>69078035.949754268</v>
      </c>
      <c r="DB22" s="89">
        <f t="shared" si="28"/>
        <v>134652189.00878015</v>
      </c>
      <c r="DC22" s="89">
        <f t="shared" si="28"/>
        <v>69400830.510267138</v>
      </c>
      <c r="DD22" s="89">
        <f t="shared" si="28"/>
        <v>138317469.17976499</v>
      </c>
      <c r="DE22" s="89">
        <f t="shared" si="28"/>
        <v>59649310.964450896</v>
      </c>
      <c r="DF22" s="89">
        <f t="shared" si="28"/>
        <v>138640263.74027789</v>
      </c>
    </row>
    <row r="23" spans="1:110" ht="12" customHeight="1">
      <c r="AA23" s="199"/>
    </row>
  </sheetData>
  <autoFilter ref="A2:DF22" xr:uid="{00000000-0009-0000-0000-000013000000}"/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I12"/>
  <sheetViews>
    <sheetView workbookViewId="0">
      <selection activeCell="N16" sqref="N16"/>
    </sheetView>
  </sheetViews>
  <sheetFormatPr defaultColWidth="9" defaultRowHeight="12"/>
  <cols>
    <col min="1" max="1" width="19.33203125" bestFit="1" customWidth="1"/>
    <col min="2" max="9" width="12.1640625" bestFit="1" customWidth="1"/>
  </cols>
  <sheetData>
    <row r="1" spans="1:9">
      <c r="A1" s="13" t="s">
        <v>37</v>
      </c>
      <c r="B1" s="16" t="s">
        <v>46</v>
      </c>
      <c r="C1" s="16" t="s">
        <v>47</v>
      </c>
      <c r="D1" s="16" t="s">
        <v>48</v>
      </c>
      <c r="E1" s="16" t="s">
        <v>49</v>
      </c>
      <c r="F1" s="16" t="s">
        <v>50</v>
      </c>
      <c r="G1" s="16" t="s">
        <v>51</v>
      </c>
      <c r="H1" s="16" t="s">
        <v>52</v>
      </c>
      <c r="I1" s="16" t="s">
        <v>53</v>
      </c>
    </row>
    <row r="2" spans="1:9">
      <c r="A2" s="15" t="s">
        <v>105</v>
      </c>
      <c r="B2" s="19">
        <f>PL!J3</f>
        <v>57.39</v>
      </c>
      <c r="C2" s="19">
        <f>PL!K3</f>
        <v>62.970538879999992</v>
      </c>
      <c r="D2" s="19">
        <f>PL!L3</f>
        <v>70.663899238400006</v>
      </c>
      <c r="E2" s="19">
        <f>PL!M3</f>
        <v>89.015460740211225</v>
      </c>
      <c r="F2" s="19">
        <f>PL!N3</f>
        <v>95.338531673192719</v>
      </c>
      <c r="G2" s="19">
        <f>PL!O3</f>
        <v>107.3778910389176</v>
      </c>
      <c r="H2" s="19">
        <f>PL!P3</f>
        <v>115.15575799437903</v>
      </c>
      <c r="I2" s="19">
        <f>PL!Q3</f>
        <v>60.739002924375818</v>
      </c>
    </row>
    <row r="3" spans="1:9">
      <c r="A3" t="s">
        <v>258</v>
      </c>
      <c r="B3" s="11">
        <f>'NOR Revenue'!O11</f>
        <v>19.79</v>
      </c>
      <c r="C3" s="11">
        <f t="shared" ref="C3:I3" si="0">B3*104%</f>
        <v>20.581599999999998</v>
      </c>
      <c r="D3" s="11">
        <f t="shared" si="0"/>
        <v>21.404864</v>
      </c>
      <c r="E3" s="11">
        <f t="shared" si="0"/>
        <v>22.261058560000002</v>
      </c>
      <c r="F3" s="11">
        <f t="shared" si="0"/>
        <v>23.151500902400002</v>
      </c>
      <c r="G3" s="11">
        <f t="shared" si="0"/>
        <v>24.077560938496003</v>
      </c>
      <c r="H3" s="11">
        <f t="shared" si="0"/>
        <v>25.040663376035845</v>
      </c>
      <c r="I3" s="11">
        <f t="shared" si="0"/>
        <v>26.04228991107728</v>
      </c>
    </row>
    <row r="4" spans="1:9">
      <c r="A4" t="s">
        <v>232</v>
      </c>
      <c r="B4" s="9">
        <f>AVERAGEIF('Water Revenue'!$30:$30,B1,'Water Revenue'!$16:$16)</f>
        <v>80</v>
      </c>
      <c r="C4" s="9">
        <f>AVERAGEIF('Water Revenue'!$30:$30,C1,'Water Revenue'!$16:$16)</f>
        <v>80</v>
      </c>
      <c r="D4" s="9">
        <f>AVERAGEIF('Water Revenue'!$30:$30,D1,'Water Revenue'!$16:$16)</f>
        <v>80</v>
      </c>
      <c r="E4" s="9">
        <f>AVERAGEIF('Water Revenue'!$30:$30,E1,'Water Revenue'!$16:$16)</f>
        <v>85</v>
      </c>
      <c r="F4" s="9">
        <f>AVERAGEIF('Water Revenue'!$30:$30,F1,'Water Revenue'!$16:$16)</f>
        <v>85</v>
      </c>
      <c r="G4" s="9">
        <f>AVERAGEIF('Water Revenue'!$30:$30,G1,'Water Revenue'!$16:$16)</f>
        <v>90</v>
      </c>
      <c r="H4" s="9">
        <f>AVERAGEIF('Water Revenue'!$30:$30,H1,'Water Revenue'!$16:$16)</f>
        <v>90</v>
      </c>
      <c r="I4" s="9">
        <f>AVERAGEIF('Water Revenue'!$30:$30,I1,'Water Revenue'!$16:$16)</f>
        <v>90</v>
      </c>
    </row>
    <row r="5" spans="1:9">
      <c r="A5" t="s">
        <v>259</v>
      </c>
      <c r="B5" s="9">
        <f>AVERAGEIF('Water Revenue'!$30:$30,B1,'Water Revenue'!$9:$9)</f>
        <v>231500</v>
      </c>
      <c r="C5" s="9">
        <f>AVERAGEIF('Water Revenue'!$30:$30,C1,'Water Revenue'!$9:$9)</f>
        <v>255083.33333333334</v>
      </c>
      <c r="D5" s="9">
        <f>AVERAGEIF('Water Revenue'!$30:$30,D1,'Water Revenue'!$9:$9)</f>
        <v>274000</v>
      </c>
      <c r="E5" s="9">
        <f>AVERAGEIF('Water Revenue'!$30:$30,E1,'Water Revenue'!$9:$9)</f>
        <v>292500</v>
      </c>
      <c r="F5" s="9">
        <f>AVERAGEIF('Water Revenue'!$30:$30,F1,'Water Revenue'!$9:$9)</f>
        <v>301750</v>
      </c>
      <c r="G5" s="9">
        <f>AVERAGEIF('Water Revenue'!$30:$30,G1,'Water Revenue'!$9:$9)</f>
        <v>307750</v>
      </c>
      <c r="H5" s="9">
        <f>AVERAGEIF('Water Revenue'!$30:$30,H1,'Water Revenue'!$9:$9)</f>
        <v>313750</v>
      </c>
      <c r="I5" s="9">
        <f>AVERAGEIF('Water Revenue'!$30:$30,I1,'Water Revenue'!$9:$9)</f>
        <v>319750</v>
      </c>
    </row>
    <row r="6" spans="1:9">
      <c r="A6" t="s">
        <v>247</v>
      </c>
      <c r="B6" s="9">
        <f>AVERAGEIF('Water Revenue'!$30:$30,B1,'Water Revenue'!$13:$13)</f>
        <v>0.41</v>
      </c>
      <c r="C6" s="9">
        <f>AVERAGEIF('Water Revenue'!$30:$30,C1,'Water Revenue'!$13:$13)</f>
        <v>0.39999999999999997</v>
      </c>
      <c r="D6" s="9">
        <f>AVERAGEIF('Water Revenue'!$30:$30,D1,'Water Revenue'!$13:$13)</f>
        <v>0.39999999999999997</v>
      </c>
      <c r="E6" s="9">
        <f>AVERAGEIF('Water Revenue'!$30:$30,E1,'Water Revenue'!$13:$13)</f>
        <v>0.43</v>
      </c>
      <c r="F6" s="9">
        <f>AVERAGEIF('Water Revenue'!$30:$30,F1,'Water Revenue'!$13:$13)</f>
        <v>0.43</v>
      </c>
      <c r="G6" s="9">
        <f>AVERAGEIF('Water Revenue'!$30:$30,G1,'Water Revenue'!$13:$13)</f>
        <v>0.43124999999999997</v>
      </c>
      <c r="H6" s="9">
        <f>AVERAGEIF('Water Revenue'!$30:$30,H1,'Water Revenue'!$13:$13)</f>
        <v>0.43499999999999989</v>
      </c>
      <c r="I6" s="9">
        <f>AVERAGEIF('Water Revenue'!$30:$30,I1,'Water Revenue'!$13:$13)</f>
        <v>0.43499999999999989</v>
      </c>
    </row>
    <row r="8" spans="1:9">
      <c r="A8" s="7" t="s">
        <v>260</v>
      </c>
    </row>
    <row r="9" spans="1:9">
      <c r="A9" t="s">
        <v>258</v>
      </c>
      <c r="C9" s="11">
        <f t="shared" ref="C9:I12" si="1">(C3-B3)/B3%</f>
        <v>3.9999999999999951</v>
      </c>
      <c r="D9" s="11">
        <f t="shared" si="1"/>
        <v>4.0000000000000089</v>
      </c>
      <c r="E9" s="11">
        <f t="shared" si="1"/>
        <v>4.0000000000000107</v>
      </c>
      <c r="F9" s="11">
        <f t="shared" si="1"/>
        <v>4</v>
      </c>
      <c r="G9" s="11">
        <f t="shared" si="1"/>
        <v>4.0000000000000018</v>
      </c>
      <c r="H9" s="11">
        <f t="shared" si="1"/>
        <v>4.0000000000000071</v>
      </c>
      <c r="I9" s="11">
        <f t="shared" si="1"/>
        <v>4.0000000000000053</v>
      </c>
    </row>
    <row r="10" spans="1:9">
      <c r="A10" t="s">
        <v>232</v>
      </c>
      <c r="C10" s="11">
        <f t="shared" si="1"/>
        <v>0</v>
      </c>
      <c r="D10" s="11">
        <f t="shared" si="1"/>
        <v>0</v>
      </c>
      <c r="E10" s="11">
        <f t="shared" si="1"/>
        <v>6.25</v>
      </c>
      <c r="F10" s="11">
        <f t="shared" si="1"/>
        <v>0</v>
      </c>
      <c r="G10" s="11">
        <f t="shared" si="1"/>
        <v>5.882352941176471</v>
      </c>
      <c r="H10" s="11">
        <f t="shared" si="1"/>
        <v>0</v>
      </c>
      <c r="I10" s="11">
        <f t="shared" si="1"/>
        <v>0</v>
      </c>
    </row>
    <row r="11" spans="1:9">
      <c r="A11" t="s">
        <v>259</v>
      </c>
      <c r="C11" s="11">
        <f t="shared" si="1"/>
        <v>10.187185025197989</v>
      </c>
      <c r="D11" s="11">
        <f t="shared" si="1"/>
        <v>7.41587716432538</v>
      </c>
      <c r="E11" s="11">
        <f t="shared" si="1"/>
        <v>6.7518248175182478</v>
      </c>
      <c r="F11" s="11">
        <f t="shared" si="1"/>
        <v>3.1623931623931623</v>
      </c>
      <c r="G11" s="11">
        <f t="shared" si="1"/>
        <v>1.9884009942004972</v>
      </c>
      <c r="H11" s="11">
        <f t="shared" si="1"/>
        <v>1.949634443541836</v>
      </c>
      <c r="I11" s="11">
        <f t="shared" si="1"/>
        <v>1.9123505976095618</v>
      </c>
    </row>
    <row r="12" spans="1:9">
      <c r="A12" t="s">
        <v>247</v>
      </c>
      <c r="C12" s="11">
        <f t="shared" si="1"/>
        <v>-2.439024390243905</v>
      </c>
      <c r="D12" s="11">
        <f t="shared" si="1"/>
        <v>0</v>
      </c>
      <c r="E12" s="11">
        <f t="shared" si="1"/>
        <v>7.5000000000000062</v>
      </c>
      <c r="F12" s="11">
        <f t="shared" si="1"/>
        <v>0</v>
      </c>
      <c r="G12" s="11">
        <f t="shared" si="1"/>
        <v>0.29069767441859845</v>
      </c>
      <c r="H12" s="11">
        <f t="shared" si="1"/>
        <v>0.86956521739128589</v>
      </c>
      <c r="I12" s="11">
        <f t="shared" si="1"/>
        <v>0</v>
      </c>
    </row>
  </sheetData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CY25"/>
  <sheetViews>
    <sheetView zoomScaleNormal="100" workbookViewId="0"/>
  </sheetViews>
  <sheetFormatPr defaultColWidth="13" defaultRowHeight="12" customHeight="1"/>
  <cols>
    <col min="1" max="1" width="51.33203125" style="188" customWidth="1"/>
    <col min="2" max="25" width="13.1640625" style="25" hidden="1" customWidth="1"/>
    <col min="26" max="37" width="13.1640625" style="25" bestFit="1" customWidth="1"/>
    <col min="38" max="38" width="14.83203125" style="25" bestFit="1" customWidth="1"/>
    <col min="39" max="44" width="13.1640625" style="25" bestFit="1" customWidth="1"/>
    <col min="45" max="45" width="14.1640625" style="25" bestFit="1" customWidth="1"/>
    <col min="46" max="46" width="13.1640625" style="25" bestFit="1" customWidth="1"/>
    <col min="47" max="67" width="14.1640625" style="25" bestFit="1" customWidth="1"/>
    <col min="68" max="73" width="13.1640625" style="25" bestFit="1" customWidth="1"/>
    <col min="74" max="74" width="14.1640625" style="25" bestFit="1" customWidth="1"/>
    <col min="75" max="79" width="13.1640625" style="25" bestFit="1" customWidth="1"/>
    <col min="80" max="80" width="14.33203125" style="25" bestFit="1" customWidth="1"/>
    <col min="81" max="85" width="13.33203125" style="25" bestFit="1" customWidth="1"/>
    <col min="86" max="86" width="14.33203125" style="25" bestFit="1" customWidth="1"/>
    <col min="87" max="91" width="13.33203125" style="25" bestFit="1" customWidth="1"/>
    <col min="92" max="92" width="14.33203125" style="25" bestFit="1" customWidth="1"/>
    <col min="93" max="97" width="13.33203125" style="25" bestFit="1" customWidth="1"/>
    <col min="98" max="103" width="13.1640625" style="25" bestFit="1" customWidth="1"/>
    <col min="104" max="16384" width="13" style="25"/>
  </cols>
  <sheetData>
    <row r="1" spans="1:103" s="181" customFormat="1" ht="12" customHeight="1">
      <c r="A1" s="186" t="s">
        <v>37</v>
      </c>
      <c r="B1" s="187">
        <v>43951</v>
      </c>
      <c r="C1" s="187">
        <v>43982</v>
      </c>
      <c r="D1" s="187">
        <v>44012</v>
      </c>
      <c r="E1" s="187">
        <v>44043</v>
      </c>
      <c r="F1" s="187">
        <v>44074</v>
      </c>
      <c r="G1" s="187">
        <v>44104</v>
      </c>
      <c r="H1" s="187">
        <v>44135</v>
      </c>
      <c r="I1" s="187">
        <v>44165</v>
      </c>
      <c r="J1" s="187">
        <v>44196</v>
      </c>
      <c r="K1" s="187">
        <v>44227</v>
      </c>
      <c r="L1" s="187">
        <v>44255</v>
      </c>
      <c r="M1" s="187">
        <v>44286</v>
      </c>
      <c r="N1" s="187">
        <v>44316</v>
      </c>
      <c r="O1" s="187">
        <v>44347</v>
      </c>
      <c r="P1" s="187">
        <v>44377</v>
      </c>
      <c r="Q1" s="187">
        <v>44408</v>
      </c>
      <c r="R1" s="187">
        <v>44439</v>
      </c>
      <c r="S1" s="187">
        <v>44469</v>
      </c>
      <c r="T1" s="187">
        <v>44500</v>
      </c>
      <c r="U1" s="187">
        <v>44530</v>
      </c>
      <c r="V1" s="187">
        <v>44561</v>
      </c>
      <c r="W1" s="187">
        <v>44592</v>
      </c>
      <c r="X1" s="187">
        <v>44620</v>
      </c>
      <c r="Y1" s="187">
        <v>44651</v>
      </c>
      <c r="Z1" s="187">
        <v>44681</v>
      </c>
      <c r="AA1" s="187">
        <v>44712</v>
      </c>
      <c r="AB1" s="187">
        <v>44742</v>
      </c>
      <c r="AC1" s="187">
        <v>44773</v>
      </c>
      <c r="AD1" s="187">
        <v>44804</v>
      </c>
      <c r="AE1" s="187">
        <v>44834</v>
      </c>
      <c r="AF1" s="187">
        <v>44865</v>
      </c>
      <c r="AG1" s="187">
        <v>44895</v>
      </c>
      <c r="AH1" s="187">
        <v>44926</v>
      </c>
      <c r="AI1" s="187">
        <v>44957</v>
      </c>
      <c r="AJ1" s="187">
        <v>44985</v>
      </c>
      <c r="AK1" s="187">
        <v>45016</v>
      </c>
      <c r="AL1" s="187">
        <v>45046</v>
      </c>
      <c r="AM1" s="187">
        <v>45077</v>
      </c>
      <c r="AN1" s="187">
        <v>45107</v>
      </c>
      <c r="AO1" s="187">
        <v>45138</v>
      </c>
      <c r="AP1" s="187">
        <v>45169</v>
      </c>
      <c r="AQ1" s="187">
        <v>45199</v>
      </c>
      <c r="AR1" s="187">
        <v>45230</v>
      </c>
      <c r="AS1" s="187">
        <v>45260</v>
      </c>
      <c r="AT1" s="187">
        <v>45291</v>
      </c>
      <c r="AU1" s="187">
        <v>45322</v>
      </c>
      <c r="AV1" s="187">
        <v>45351</v>
      </c>
      <c r="AW1" s="187">
        <v>45382</v>
      </c>
      <c r="AX1" s="187">
        <v>45412</v>
      </c>
      <c r="AY1" s="187">
        <v>45443</v>
      </c>
      <c r="AZ1" s="187">
        <v>45473</v>
      </c>
      <c r="BA1" s="187">
        <v>45504</v>
      </c>
      <c r="BB1" s="187">
        <v>45535</v>
      </c>
      <c r="BC1" s="187">
        <v>45565</v>
      </c>
      <c r="BD1" s="187">
        <v>45596</v>
      </c>
      <c r="BE1" s="187">
        <v>45626</v>
      </c>
      <c r="BF1" s="187">
        <v>45657</v>
      </c>
      <c r="BG1" s="187">
        <v>45688</v>
      </c>
      <c r="BH1" s="187">
        <v>45716</v>
      </c>
      <c r="BI1" s="187">
        <v>45747</v>
      </c>
      <c r="BJ1" s="187">
        <v>45777</v>
      </c>
      <c r="BK1" s="187">
        <v>45808</v>
      </c>
      <c r="BL1" s="187">
        <v>45838</v>
      </c>
      <c r="BM1" s="187">
        <v>45869</v>
      </c>
      <c r="BN1" s="187">
        <v>45900</v>
      </c>
      <c r="BO1" s="187">
        <v>45930</v>
      </c>
      <c r="BP1" s="187">
        <v>45961</v>
      </c>
      <c r="BQ1" s="187">
        <v>45991</v>
      </c>
      <c r="BR1" s="187">
        <v>46022</v>
      </c>
      <c r="BS1" s="187">
        <v>46053</v>
      </c>
      <c r="BT1" s="187">
        <v>46081</v>
      </c>
      <c r="BU1" s="187">
        <v>46112</v>
      </c>
      <c r="BV1" s="187">
        <v>46142</v>
      </c>
      <c r="BW1" s="187">
        <v>46173</v>
      </c>
      <c r="BX1" s="187">
        <v>46203</v>
      </c>
      <c r="BY1" s="187">
        <v>46234</v>
      </c>
      <c r="BZ1" s="187">
        <v>46265</v>
      </c>
      <c r="CA1" s="187">
        <v>46295</v>
      </c>
      <c r="CB1" s="187">
        <v>46326</v>
      </c>
      <c r="CC1" s="187">
        <v>46356</v>
      </c>
      <c r="CD1" s="187">
        <v>46387</v>
      </c>
      <c r="CE1" s="187">
        <v>46418</v>
      </c>
      <c r="CF1" s="187">
        <v>46446</v>
      </c>
      <c r="CG1" s="187">
        <v>46477</v>
      </c>
      <c r="CH1" s="187">
        <v>46507</v>
      </c>
      <c r="CI1" s="187">
        <v>46538</v>
      </c>
      <c r="CJ1" s="187">
        <v>46568</v>
      </c>
      <c r="CK1" s="187">
        <v>46599</v>
      </c>
      <c r="CL1" s="187">
        <v>46630</v>
      </c>
      <c r="CM1" s="187">
        <v>46660</v>
      </c>
      <c r="CN1" s="187">
        <v>46691</v>
      </c>
      <c r="CO1" s="187">
        <v>46721</v>
      </c>
      <c r="CP1" s="187">
        <v>46752</v>
      </c>
      <c r="CQ1" s="187">
        <v>46783</v>
      </c>
      <c r="CR1" s="187">
        <v>46812</v>
      </c>
      <c r="CS1" s="187">
        <v>46843</v>
      </c>
      <c r="CT1" s="187">
        <v>46873</v>
      </c>
      <c r="CU1" s="187">
        <v>46904</v>
      </c>
      <c r="CV1" s="187">
        <v>46934</v>
      </c>
      <c r="CW1" s="187">
        <v>46965</v>
      </c>
      <c r="CX1" s="187">
        <v>46996</v>
      </c>
      <c r="CY1" s="187">
        <v>47026</v>
      </c>
    </row>
    <row r="2" spans="1:103" ht="12" customHeight="1">
      <c r="A2" s="25" t="s">
        <v>443</v>
      </c>
      <c r="B2" s="152">
        <v>52000</v>
      </c>
      <c r="C2" s="152">
        <v>52000</v>
      </c>
      <c r="D2" s="152">
        <v>52000</v>
      </c>
      <c r="E2" s="152">
        <v>52000</v>
      </c>
      <c r="F2" s="152">
        <v>52000</v>
      </c>
      <c r="G2" s="152">
        <v>52000</v>
      </c>
      <c r="H2" s="152">
        <v>52000</v>
      </c>
      <c r="I2" s="152">
        <v>52000</v>
      </c>
      <c r="J2" s="152">
        <v>52000</v>
      </c>
      <c r="K2" s="152">
        <v>52000</v>
      </c>
      <c r="L2" s="152">
        <v>52000</v>
      </c>
      <c r="M2" s="152">
        <v>52000</v>
      </c>
      <c r="N2" s="152">
        <v>27040</v>
      </c>
      <c r="O2" s="152">
        <v>27040</v>
      </c>
      <c r="P2" s="152">
        <v>27040</v>
      </c>
      <c r="Q2" s="152">
        <v>27040</v>
      </c>
      <c r="R2" s="152">
        <v>27040</v>
      </c>
      <c r="S2" s="152">
        <v>27040</v>
      </c>
      <c r="T2" s="152">
        <v>27040</v>
      </c>
      <c r="U2" s="152">
        <v>27040</v>
      </c>
      <c r="V2" s="152">
        <v>27040</v>
      </c>
      <c r="W2" s="152">
        <v>27040</v>
      </c>
      <c r="X2" s="152">
        <v>27040</v>
      </c>
      <c r="Y2" s="152">
        <v>27040</v>
      </c>
      <c r="Z2" s="152">
        <v>28121.600000000002</v>
      </c>
      <c r="AA2" s="152">
        <v>28121.600000000002</v>
      </c>
      <c r="AB2" s="152">
        <v>28121.600000000002</v>
      </c>
      <c r="AC2" s="152">
        <v>28121.600000000002</v>
      </c>
      <c r="AD2" s="152">
        <v>28121.600000000002</v>
      </c>
      <c r="AE2" s="152">
        <v>28121.600000000002</v>
      </c>
      <c r="AF2" s="152">
        <v>28121.600000000002</v>
      </c>
      <c r="AG2" s="152">
        <v>28121.600000000002</v>
      </c>
      <c r="AH2" s="152">
        <v>28121.600000000002</v>
      </c>
      <c r="AI2" s="152">
        <v>28121.600000000002</v>
      </c>
      <c r="AJ2" s="152">
        <v>28121.600000000002</v>
      </c>
      <c r="AK2" s="152">
        <v>28121.600000000002</v>
      </c>
      <c r="AL2" s="152">
        <v>29246.464000000004</v>
      </c>
      <c r="AM2" s="152">
        <v>29246.464000000004</v>
      </c>
      <c r="AN2" s="152">
        <v>29246.464000000004</v>
      </c>
      <c r="AO2" s="152">
        <v>29246.464000000004</v>
      </c>
      <c r="AP2" s="152">
        <v>29246.464000000004</v>
      </c>
      <c r="AQ2" s="152">
        <v>29246.464000000004</v>
      </c>
      <c r="AR2" s="152">
        <v>29246.464000000004</v>
      </c>
      <c r="AS2" s="152">
        <v>29246.464000000004</v>
      </c>
      <c r="AT2" s="152">
        <v>29246.464000000004</v>
      </c>
      <c r="AU2" s="152">
        <v>29246.464000000004</v>
      </c>
      <c r="AV2" s="152">
        <v>29246.464000000004</v>
      </c>
      <c r="AW2" s="152">
        <v>29246.464000000004</v>
      </c>
      <c r="AX2" s="152">
        <v>30416.322560000004</v>
      </c>
      <c r="AY2" s="152">
        <v>30416.322560000004</v>
      </c>
      <c r="AZ2" s="152">
        <v>30416.322560000004</v>
      </c>
      <c r="BA2" s="152">
        <v>30416.322560000004</v>
      </c>
      <c r="BB2" s="152">
        <v>30416.322560000004</v>
      </c>
      <c r="BC2" s="152">
        <v>30416.322560000004</v>
      </c>
      <c r="BD2" s="152">
        <v>30416.322560000004</v>
      </c>
      <c r="BE2" s="152">
        <v>30416.322560000004</v>
      </c>
      <c r="BF2" s="152">
        <v>30416.322560000004</v>
      </c>
      <c r="BG2" s="152">
        <v>30416.322560000004</v>
      </c>
      <c r="BH2" s="152">
        <v>30416.322560000004</v>
      </c>
      <c r="BI2" s="152">
        <v>30416.322560000004</v>
      </c>
      <c r="BJ2" s="152">
        <v>31632.975462400005</v>
      </c>
      <c r="BK2" s="152">
        <v>31632.975462400005</v>
      </c>
      <c r="BL2" s="152">
        <v>31632.975462400005</v>
      </c>
      <c r="BM2" s="152">
        <v>31632.975462400005</v>
      </c>
      <c r="BN2" s="152">
        <v>31632.975462400005</v>
      </c>
      <c r="BO2" s="152">
        <v>31632.975462400005</v>
      </c>
      <c r="BP2" s="152">
        <v>31632.975462400005</v>
      </c>
      <c r="BQ2" s="152">
        <v>31632.975462400005</v>
      </c>
      <c r="BR2" s="152">
        <v>31632.975462400005</v>
      </c>
      <c r="BS2" s="152">
        <v>31632.975462400005</v>
      </c>
      <c r="BT2" s="152">
        <v>31632.975462400005</v>
      </c>
      <c r="BU2" s="152">
        <v>31632.975462400005</v>
      </c>
      <c r="BV2" s="152">
        <v>32898.294480896009</v>
      </c>
      <c r="BW2" s="152">
        <v>32898.294480896009</v>
      </c>
      <c r="BX2" s="152">
        <v>32898.294480896009</v>
      </c>
      <c r="BY2" s="152">
        <v>32898.294480896009</v>
      </c>
      <c r="BZ2" s="152">
        <v>32898.294480896009</v>
      </c>
      <c r="CA2" s="152">
        <v>32898.294480896009</v>
      </c>
      <c r="CB2" s="152">
        <v>32898.294480896009</v>
      </c>
      <c r="CC2" s="152">
        <v>32898.294480896009</v>
      </c>
      <c r="CD2" s="152">
        <v>32898.294480896009</v>
      </c>
      <c r="CE2" s="152">
        <v>32898.294480896009</v>
      </c>
      <c r="CF2" s="152">
        <v>32898.294480896009</v>
      </c>
      <c r="CG2" s="152">
        <v>32898.294480896009</v>
      </c>
      <c r="CH2" s="152">
        <v>34214.226260131851</v>
      </c>
      <c r="CI2" s="152">
        <v>34214.226260131851</v>
      </c>
      <c r="CJ2" s="152">
        <v>34214.226260131851</v>
      </c>
      <c r="CK2" s="152">
        <v>34214.226260131851</v>
      </c>
      <c r="CL2" s="152">
        <v>34214.226260131851</v>
      </c>
      <c r="CM2" s="152">
        <v>34214.226260131851</v>
      </c>
      <c r="CN2" s="152">
        <v>34214.226260131851</v>
      </c>
      <c r="CO2" s="152">
        <v>34214.226260131851</v>
      </c>
      <c r="CP2" s="152">
        <v>34214.226260131851</v>
      </c>
      <c r="CQ2" s="152">
        <v>34214.226260131851</v>
      </c>
      <c r="CR2" s="152">
        <v>34214.226260131851</v>
      </c>
      <c r="CS2" s="152">
        <v>34214.226260131851</v>
      </c>
      <c r="CT2" s="152">
        <v>35582.795310537127</v>
      </c>
      <c r="CU2" s="152">
        <v>35582.795310537127</v>
      </c>
      <c r="CV2" s="152">
        <v>35582.795310537127</v>
      </c>
      <c r="CW2" s="152">
        <v>35582.795310537127</v>
      </c>
      <c r="CX2" s="152">
        <v>35582.795310537127</v>
      </c>
      <c r="CY2" s="152">
        <v>35582.795310537127</v>
      </c>
    </row>
    <row r="3" spans="1:103" ht="12" customHeight="1">
      <c r="A3" s="25" t="s">
        <v>444</v>
      </c>
      <c r="B3" s="152">
        <v>124069.42833333332</v>
      </c>
      <c r="C3" s="152">
        <v>124758.45</v>
      </c>
      <c r="D3" s="152">
        <v>125449.34</v>
      </c>
      <c r="E3" s="152">
        <v>126140.77083333331</v>
      </c>
      <c r="F3" s="152">
        <v>126831.5625</v>
      </c>
      <c r="G3" s="152">
        <v>127522.20666666667</v>
      </c>
      <c r="H3" s="152">
        <v>128211.62166666666</v>
      </c>
      <c r="I3" s="152">
        <v>128899.95499999999</v>
      </c>
      <c r="J3" s="152">
        <v>129588.28833333332</v>
      </c>
      <c r="K3" s="152">
        <v>130276.62166666666</v>
      </c>
      <c r="L3" s="152">
        <v>130964.95499999999</v>
      </c>
      <c r="M3" s="152">
        <v>131653.28833333333</v>
      </c>
      <c r="N3" s="152">
        <v>131948.28833333333</v>
      </c>
      <c r="O3" s="152">
        <v>132243.28833333333</v>
      </c>
      <c r="P3" s="152">
        <v>132538.28833333333</v>
      </c>
      <c r="Q3" s="152">
        <v>132833.28833333333</v>
      </c>
      <c r="R3" s="152">
        <v>133128.28833333333</v>
      </c>
      <c r="S3" s="152">
        <v>133423.28833333333</v>
      </c>
      <c r="T3" s="152">
        <v>133718.28833333333</v>
      </c>
      <c r="U3" s="152">
        <v>134013.28833333333</v>
      </c>
      <c r="V3" s="152">
        <v>134308.28833333333</v>
      </c>
      <c r="W3" s="152">
        <v>134603.28833333333</v>
      </c>
      <c r="X3" s="152">
        <v>134898.28833333333</v>
      </c>
      <c r="Y3" s="152">
        <v>135193.28833333333</v>
      </c>
      <c r="Z3" s="152">
        <v>135340.78833333333</v>
      </c>
      <c r="AA3" s="152">
        <v>135488.28833333333</v>
      </c>
      <c r="AB3" s="152">
        <v>135635.78833333333</v>
      </c>
      <c r="AC3" s="152">
        <v>135783.28833333333</v>
      </c>
      <c r="AD3" s="152">
        <v>135930.78833333333</v>
      </c>
      <c r="AE3" s="152">
        <v>136078.28833333333</v>
      </c>
      <c r="AF3" s="152">
        <v>136225.78833333333</v>
      </c>
      <c r="AG3" s="152">
        <v>136373.28833333333</v>
      </c>
      <c r="AH3" s="152">
        <v>136520.78833333333</v>
      </c>
      <c r="AI3" s="152">
        <v>136668.28833333333</v>
      </c>
      <c r="AJ3" s="152">
        <v>136815.78833333333</v>
      </c>
      <c r="AK3" s="152">
        <v>136963.28833333333</v>
      </c>
      <c r="AL3" s="152">
        <v>137061.62166666667</v>
      </c>
      <c r="AM3" s="152">
        <v>137159.95499999999</v>
      </c>
      <c r="AN3" s="152">
        <v>137258.28833333333</v>
      </c>
      <c r="AO3" s="152">
        <v>137356.62166666667</v>
      </c>
      <c r="AP3" s="152">
        <v>137454.95499999999</v>
      </c>
      <c r="AQ3" s="152">
        <v>137553.28833333333</v>
      </c>
      <c r="AR3" s="152">
        <v>137651.62166666667</v>
      </c>
      <c r="AS3" s="152">
        <v>137749.95499999999</v>
      </c>
      <c r="AT3" s="152">
        <v>137848.28833333333</v>
      </c>
      <c r="AU3" s="152">
        <v>137946.62166666667</v>
      </c>
      <c r="AV3" s="152">
        <v>138044.95499999999</v>
      </c>
      <c r="AW3" s="152">
        <v>138143.28833333333</v>
      </c>
      <c r="AX3" s="152">
        <v>138192.45499999999</v>
      </c>
      <c r="AY3" s="152">
        <v>138241.62166666667</v>
      </c>
      <c r="AZ3" s="152">
        <v>138290.78833333333</v>
      </c>
      <c r="BA3" s="152">
        <v>138339.95499999999</v>
      </c>
      <c r="BB3" s="152">
        <v>138389.12166666667</v>
      </c>
      <c r="BC3" s="152">
        <v>138438.28833333333</v>
      </c>
      <c r="BD3" s="152">
        <v>138487.45499999999</v>
      </c>
      <c r="BE3" s="152">
        <v>138536.62166666667</v>
      </c>
      <c r="BF3" s="152">
        <v>138585.78833333333</v>
      </c>
      <c r="BG3" s="152">
        <v>138634.95499999999</v>
      </c>
      <c r="BH3" s="152">
        <v>138684.12166666667</v>
      </c>
      <c r="BI3" s="152">
        <v>138733.28833333333</v>
      </c>
      <c r="BJ3" s="152">
        <v>138782.45499999999</v>
      </c>
      <c r="BK3" s="152">
        <v>138831.62166666667</v>
      </c>
      <c r="BL3" s="152">
        <v>138880.78833333333</v>
      </c>
      <c r="BM3" s="152">
        <v>138929.95499999999</v>
      </c>
      <c r="BN3" s="152">
        <v>138979.12166666667</v>
      </c>
      <c r="BO3" s="152">
        <v>139028.28833333333</v>
      </c>
      <c r="BP3" s="152">
        <v>139077.45499999999</v>
      </c>
      <c r="BQ3" s="152">
        <v>139126.62166666667</v>
      </c>
      <c r="BR3" s="152">
        <v>139175.78833333333</v>
      </c>
      <c r="BS3" s="152">
        <v>139224.95499999999</v>
      </c>
      <c r="BT3" s="152">
        <v>139274.12166666667</v>
      </c>
      <c r="BU3" s="152">
        <v>139323.28833333333</v>
      </c>
      <c r="BV3" s="152">
        <v>139372.45499999999</v>
      </c>
      <c r="BW3" s="152">
        <v>139421.62166666667</v>
      </c>
      <c r="BX3" s="152">
        <v>139470.78833333333</v>
      </c>
      <c r="BY3" s="152">
        <v>139519.95499999999</v>
      </c>
      <c r="BZ3" s="152">
        <v>139569.12166666667</v>
      </c>
      <c r="CA3" s="152">
        <v>139618.28833333333</v>
      </c>
      <c r="CB3" s="152">
        <v>139667.45499999999</v>
      </c>
      <c r="CC3" s="152">
        <v>139716.62166666667</v>
      </c>
      <c r="CD3" s="152">
        <v>139765.78833333333</v>
      </c>
      <c r="CE3" s="152">
        <v>139814.95499999999</v>
      </c>
      <c r="CF3" s="152">
        <v>139864.12166666667</v>
      </c>
      <c r="CG3" s="152">
        <v>139913.28833333333</v>
      </c>
      <c r="CH3" s="152">
        <v>139962.45499999999</v>
      </c>
      <c r="CI3" s="152">
        <v>140011.62166666667</v>
      </c>
      <c r="CJ3" s="152">
        <v>140060.78833333333</v>
      </c>
      <c r="CK3" s="152">
        <v>140109.95499999999</v>
      </c>
      <c r="CL3" s="152">
        <v>140159.12166666667</v>
      </c>
      <c r="CM3" s="152">
        <v>140208.28833333333</v>
      </c>
      <c r="CN3" s="152">
        <v>140257.45499999999</v>
      </c>
      <c r="CO3" s="152">
        <v>140306.62166666667</v>
      </c>
      <c r="CP3" s="152">
        <v>140355.78833333333</v>
      </c>
      <c r="CQ3" s="152">
        <v>140404.95499999999</v>
      </c>
      <c r="CR3" s="152">
        <v>140454.12166666667</v>
      </c>
      <c r="CS3" s="152">
        <v>140503.28833333333</v>
      </c>
      <c r="CT3" s="152">
        <v>140552.45499999999</v>
      </c>
      <c r="CU3" s="152">
        <v>140601.62166666667</v>
      </c>
      <c r="CV3" s="152">
        <v>140650.78833333333</v>
      </c>
      <c r="CW3" s="152">
        <v>140699.95499999999</v>
      </c>
      <c r="CX3" s="152">
        <v>140749.12166666667</v>
      </c>
      <c r="CY3" s="152">
        <v>140813.33333333331</v>
      </c>
    </row>
    <row r="4" spans="1:103" ht="12" customHeight="1">
      <c r="A4" s="25" t="s">
        <v>445</v>
      </c>
      <c r="B4" s="152">
        <v>94793.333333333343</v>
      </c>
      <c r="C4" s="152">
        <v>95188.305555555562</v>
      </c>
      <c r="D4" s="152">
        <v>95584.923495370371</v>
      </c>
      <c r="E4" s="152">
        <v>95983.194009934421</v>
      </c>
      <c r="F4" s="152">
        <v>96383.123984975799</v>
      </c>
      <c r="G4" s="152">
        <v>96784.720334913203</v>
      </c>
      <c r="H4" s="152">
        <v>97187.990002975333</v>
      </c>
      <c r="I4" s="152">
        <v>97592.93996132107</v>
      </c>
      <c r="J4" s="152">
        <v>97999.577211159907</v>
      </c>
      <c r="K4" s="152">
        <v>98407.90878287307</v>
      </c>
      <c r="L4" s="152">
        <v>98817.941736135035</v>
      </c>
      <c r="M4" s="152">
        <v>99229.683160035594</v>
      </c>
      <c r="N4" s="152">
        <v>99643.14017320241</v>
      </c>
      <c r="O4" s="152">
        <v>100058.31992392409</v>
      </c>
      <c r="P4" s="152">
        <v>100475.22959027377</v>
      </c>
      <c r="Q4" s="152">
        <v>100893.87638023324</v>
      </c>
      <c r="R4" s="152">
        <v>101314.26753181755</v>
      </c>
      <c r="S4" s="152">
        <v>101736.4103132001</v>
      </c>
      <c r="T4" s="152">
        <v>102160.31202283845</v>
      </c>
      <c r="U4" s="152">
        <v>102585.97998960027</v>
      </c>
      <c r="V4" s="152">
        <v>103013.42157289026</v>
      </c>
      <c r="W4" s="152">
        <v>103442.6441627773</v>
      </c>
      <c r="X4" s="152">
        <v>103873.65518012221</v>
      </c>
      <c r="Y4" s="152">
        <v>104306.46207670606</v>
      </c>
      <c r="Z4" s="152">
        <v>104741.072335359</v>
      </c>
      <c r="AA4" s="152">
        <v>105177.49347008966</v>
      </c>
      <c r="AB4" s="152">
        <v>105615.73302621502</v>
      </c>
      <c r="AC4" s="152">
        <v>106055.79858049093</v>
      </c>
      <c r="AD4" s="152">
        <v>106497.69774124297</v>
      </c>
      <c r="AE4" s="152">
        <v>106941.43814849814</v>
      </c>
      <c r="AF4" s="152">
        <v>107387.02747411688</v>
      </c>
      <c r="AG4" s="152">
        <v>107834.47342192571</v>
      </c>
      <c r="AH4" s="152">
        <v>108283.7837278504</v>
      </c>
      <c r="AI4" s="152">
        <v>108734.96616004978</v>
      </c>
      <c r="AJ4" s="152">
        <v>109188.02851904999</v>
      </c>
      <c r="AK4" s="152">
        <v>109642.97863787937</v>
      </c>
      <c r="AL4" s="152">
        <v>110099.82438220386</v>
      </c>
      <c r="AM4" s="152">
        <v>110558.57365046305</v>
      </c>
      <c r="AN4" s="152">
        <v>111019.23437400663</v>
      </c>
      <c r="AO4" s="152">
        <v>111481.81451723166</v>
      </c>
      <c r="AP4" s="152">
        <v>111946.32207772013</v>
      </c>
      <c r="AQ4" s="152">
        <v>112412.7650863773</v>
      </c>
      <c r="AR4" s="152">
        <v>112881.15160757054</v>
      </c>
      <c r="AS4" s="152">
        <v>113351.48973926874</v>
      </c>
      <c r="AT4" s="152">
        <v>113823.78761318236</v>
      </c>
      <c r="AU4" s="152">
        <v>114298.05339490395</v>
      </c>
      <c r="AV4" s="152">
        <v>114774.29528404938</v>
      </c>
      <c r="AW4" s="152">
        <v>115252.52151439959</v>
      </c>
      <c r="AX4" s="152">
        <v>115732.74035404292</v>
      </c>
      <c r="AY4" s="152">
        <v>116214.9601055181</v>
      </c>
      <c r="AZ4" s="152">
        <v>116699.18910595775</v>
      </c>
      <c r="BA4" s="152">
        <v>117185.43572723259</v>
      </c>
      <c r="BB4" s="152">
        <v>117673.70837609605</v>
      </c>
      <c r="BC4" s="152">
        <v>118164.0154943298</v>
      </c>
      <c r="BD4" s="152">
        <v>118656.36555888949</v>
      </c>
      <c r="BE4" s="152">
        <v>119150.76708205152</v>
      </c>
      <c r="BF4" s="152">
        <v>119647.22861156006</v>
      </c>
      <c r="BG4" s="152">
        <v>120145.75873077489</v>
      </c>
      <c r="BH4" s="152">
        <v>120646.3660588198</v>
      </c>
      <c r="BI4" s="152">
        <v>121149.05925073155</v>
      </c>
      <c r="BJ4" s="152">
        <v>121653.84699760958</v>
      </c>
      <c r="BK4" s="152">
        <v>122160.73802676628</v>
      </c>
      <c r="BL4" s="152">
        <v>122669.74110187779</v>
      </c>
      <c r="BM4" s="152">
        <v>123180.86502313562</v>
      </c>
      <c r="BN4" s="152">
        <v>123694.11862739868</v>
      </c>
      <c r="BO4" s="152">
        <v>124209.51078834616</v>
      </c>
      <c r="BP4" s="152">
        <v>124727.05041663093</v>
      </c>
      <c r="BQ4" s="152">
        <v>125246.74646003357</v>
      </c>
      <c r="BR4" s="152">
        <v>125768.60790361704</v>
      </c>
      <c r="BS4" s="152">
        <v>126292.64376988211</v>
      </c>
      <c r="BT4" s="152">
        <v>126818.86311892327</v>
      </c>
      <c r="BU4" s="152">
        <v>127347.27504858545</v>
      </c>
      <c r="BV4" s="152">
        <v>127877.88869462123</v>
      </c>
      <c r="BW4" s="152">
        <v>128410.71323084884</v>
      </c>
      <c r="BX4" s="152">
        <v>128945.75786931071</v>
      </c>
      <c r="BY4" s="152">
        <v>129483.03186043282</v>
      </c>
      <c r="BZ4" s="152">
        <v>130022.54449318461</v>
      </c>
      <c r="CA4" s="152">
        <v>130564.30509523954</v>
      </c>
      <c r="CB4" s="152">
        <v>131108.32303313637</v>
      </c>
      <c r="CC4" s="152">
        <v>131654.60771244109</v>
      </c>
      <c r="CD4" s="152">
        <v>132203.16857790962</v>
      </c>
      <c r="CE4" s="152">
        <v>132754.01511365091</v>
      </c>
      <c r="CF4" s="152">
        <v>133307.1568432911</v>
      </c>
      <c r="CG4" s="152">
        <v>133862.60333013814</v>
      </c>
      <c r="CH4" s="152">
        <v>134420.36417734704</v>
      </c>
      <c r="CI4" s="152">
        <v>134980.449028086</v>
      </c>
      <c r="CJ4" s="152">
        <v>135542.86756570303</v>
      </c>
      <c r="CK4" s="152">
        <v>136107.62951389345</v>
      </c>
      <c r="CL4" s="152">
        <v>136674.74463686798</v>
      </c>
      <c r="CM4" s="152">
        <v>137244.22273952162</v>
      </c>
      <c r="CN4" s="152">
        <v>137816.07366760293</v>
      </c>
      <c r="CO4" s="152">
        <v>138390.30730788462</v>
      </c>
      <c r="CP4" s="152">
        <v>138966.93358833413</v>
      </c>
      <c r="CQ4" s="152">
        <v>139545.96247828551</v>
      </c>
      <c r="CR4" s="152">
        <v>140127.40398861171</v>
      </c>
      <c r="CS4" s="152">
        <v>140711.26817189759</v>
      </c>
      <c r="CT4" s="152">
        <v>141297.56512261383</v>
      </c>
      <c r="CU4" s="152">
        <v>141886.30497729138</v>
      </c>
      <c r="CV4" s="152">
        <v>142477.49791469678</v>
      </c>
      <c r="CW4" s="152">
        <v>143071.15415600801</v>
      </c>
      <c r="CX4" s="152">
        <v>143667.28396499137</v>
      </c>
      <c r="CY4" s="152">
        <v>144265.89764817883</v>
      </c>
    </row>
    <row r="5" spans="1:103" ht="12" customHeight="1">
      <c r="A5" s="25" t="s">
        <v>446</v>
      </c>
      <c r="B5" s="152">
        <v>346666.66666666669</v>
      </c>
      <c r="C5" s="152">
        <v>346666.66666666669</v>
      </c>
      <c r="D5" s="152">
        <v>346666.66666666669</v>
      </c>
      <c r="E5" s="152">
        <v>208000</v>
      </c>
      <c r="F5" s="152">
        <v>208000</v>
      </c>
      <c r="G5" s="152">
        <v>208000</v>
      </c>
      <c r="H5" s="152">
        <v>208000</v>
      </c>
      <c r="I5" s="152">
        <v>208000</v>
      </c>
      <c r="J5" s="152">
        <v>208000</v>
      </c>
      <c r="K5" s="152">
        <v>208000</v>
      </c>
      <c r="L5" s="152">
        <v>208000</v>
      </c>
      <c r="M5" s="152">
        <v>208000</v>
      </c>
      <c r="N5" s="152">
        <v>0</v>
      </c>
      <c r="O5" s="152">
        <v>0</v>
      </c>
      <c r="P5" s="152">
        <v>0</v>
      </c>
      <c r="Q5" s="152">
        <v>0</v>
      </c>
      <c r="R5" s="152">
        <v>0</v>
      </c>
      <c r="S5" s="152">
        <v>0</v>
      </c>
      <c r="T5" s="152">
        <v>0</v>
      </c>
      <c r="U5" s="152">
        <v>0</v>
      </c>
      <c r="V5" s="152">
        <v>0</v>
      </c>
      <c r="W5" s="152">
        <v>0</v>
      </c>
      <c r="X5" s="152">
        <v>0</v>
      </c>
      <c r="Y5" s="152">
        <v>0</v>
      </c>
      <c r="Z5" s="152">
        <v>0</v>
      </c>
      <c r="AA5" s="152">
        <v>0</v>
      </c>
      <c r="AB5" s="152">
        <v>0</v>
      </c>
      <c r="AC5" s="152">
        <v>0</v>
      </c>
      <c r="AD5" s="152">
        <v>0</v>
      </c>
      <c r="AE5" s="152">
        <v>0</v>
      </c>
      <c r="AF5" s="152">
        <v>0</v>
      </c>
      <c r="AG5" s="152">
        <v>0</v>
      </c>
      <c r="AH5" s="152">
        <v>0</v>
      </c>
      <c r="AI5" s="152">
        <v>0</v>
      </c>
      <c r="AJ5" s="152">
        <v>0</v>
      </c>
      <c r="AK5" s="152">
        <v>0</v>
      </c>
      <c r="AL5" s="152">
        <v>0</v>
      </c>
      <c r="AM5" s="152">
        <v>0</v>
      </c>
      <c r="AN5" s="152">
        <v>0</v>
      </c>
      <c r="AO5" s="152">
        <v>0</v>
      </c>
      <c r="AP5" s="152">
        <v>0</v>
      </c>
      <c r="AQ5" s="152">
        <v>0</v>
      </c>
      <c r="AR5" s="152">
        <v>0</v>
      </c>
      <c r="AS5" s="152">
        <v>0</v>
      </c>
      <c r="AT5" s="152">
        <v>0</v>
      </c>
      <c r="AU5" s="152">
        <v>0</v>
      </c>
      <c r="AV5" s="152">
        <v>0</v>
      </c>
      <c r="AW5" s="152">
        <v>0</v>
      </c>
      <c r="AX5" s="152">
        <v>0</v>
      </c>
      <c r="AY5" s="152">
        <v>0</v>
      </c>
      <c r="AZ5" s="152">
        <v>0</v>
      </c>
      <c r="BA5" s="152">
        <v>0</v>
      </c>
      <c r="BB5" s="152">
        <v>0</v>
      </c>
      <c r="BC5" s="152">
        <v>0</v>
      </c>
      <c r="BD5" s="152">
        <v>0</v>
      </c>
      <c r="BE5" s="152">
        <v>0</v>
      </c>
      <c r="BF5" s="152">
        <v>0</v>
      </c>
      <c r="BG5" s="152">
        <v>0</v>
      </c>
      <c r="BH5" s="152">
        <v>0</v>
      </c>
      <c r="BI5" s="152">
        <v>0</v>
      </c>
      <c r="BJ5" s="152">
        <v>0</v>
      </c>
      <c r="BK5" s="152">
        <v>0</v>
      </c>
      <c r="BL5" s="152">
        <v>0</v>
      </c>
      <c r="BM5" s="152">
        <v>0</v>
      </c>
      <c r="BN5" s="152">
        <v>0</v>
      </c>
      <c r="BO5" s="152">
        <v>0</v>
      </c>
      <c r="BP5" s="152">
        <v>0</v>
      </c>
      <c r="BQ5" s="152">
        <v>0</v>
      </c>
      <c r="BR5" s="152">
        <v>0</v>
      </c>
      <c r="BS5" s="152">
        <v>0</v>
      </c>
      <c r="BT5" s="152">
        <v>0</v>
      </c>
      <c r="BU5" s="152">
        <v>0</v>
      </c>
      <c r="BV5" s="152">
        <v>0</v>
      </c>
      <c r="BW5" s="152">
        <v>0</v>
      </c>
      <c r="BX5" s="152">
        <v>0</v>
      </c>
      <c r="BY5" s="152">
        <v>0</v>
      </c>
      <c r="BZ5" s="152">
        <v>0</v>
      </c>
      <c r="CA5" s="152">
        <v>0</v>
      </c>
      <c r="CB5" s="152">
        <v>0</v>
      </c>
      <c r="CC5" s="152">
        <v>0</v>
      </c>
      <c r="CD5" s="152">
        <v>0</v>
      </c>
      <c r="CE5" s="152">
        <v>0</v>
      </c>
      <c r="CF5" s="152">
        <v>0</v>
      </c>
      <c r="CG5" s="152">
        <v>0</v>
      </c>
      <c r="CH5" s="152">
        <v>0</v>
      </c>
      <c r="CI5" s="152">
        <v>0</v>
      </c>
      <c r="CJ5" s="152">
        <v>0</v>
      </c>
      <c r="CK5" s="152">
        <v>0</v>
      </c>
      <c r="CL5" s="152">
        <v>0</v>
      </c>
      <c r="CM5" s="152">
        <v>0</v>
      </c>
      <c r="CN5" s="152">
        <v>0</v>
      </c>
      <c r="CO5" s="152">
        <v>0</v>
      </c>
      <c r="CP5" s="152">
        <v>0</v>
      </c>
      <c r="CQ5" s="152">
        <v>0</v>
      </c>
      <c r="CR5" s="152">
        <v>0</v>
      </c>
      <c r="CS5" s="152">
        <v>0</v>
      </c>
      <c r="CT5" s="152">
        <v>0</v>
      </c>
      <c r="CU5" s="152">
        <v>0</v>
      </c>
      <c r="CV5" s="152">
        <v>0</v>
      </c>
      <c r="CW5" s="152">
        <v>0</v>
      </c>
      <c r="CX5" s="152">
        <v>0</v>
      </c>
      <c r="CY5" s="152">
        <v>0</v>
      </c>
    </row>
    <row r="6" spans="1:103" ht="12" customHeight="1">
      <c r="A6" s="25" t="s">
        <v>447</v>
      </c>
      <c r="B6" s="152">
        <v>571875.19999999995</v>
      </c>
      <c r="C6" s="152">
        <v>571875.19999999995</v>
      </c>
      <c r="D6" s="152">
        <v>571875.19999999995</v>
      </c>
      <c r="E6" s="152">
        <v>571875.19999999995</v>
      </c>
      <c r="F6" s="152">
        <v>571875.19999999995</v>
      </c>
      <c r="G6" s="152">
        <v>571875.19999999995</v>
      </c>
      <c r="H6" s="152">
        <v>571875.19999999995</v>
      </c>
      <c r="I6" s="152">
        <v>571875.19999999995</v>
      </c>
      <c r="J6" s="152">
        <v>571875.19999999995</v>
      </c>
      <c r="K6" s="152">
        <v>571875.19999999995</v>
      </c>
      <c r="L6" s="152">
        <v>571875.19999999995</v>
      </c>
      <c r="M6" s="152">
        <v>571875.19999999995</v>
      </c>
      <c r="N6" s="152">
        <v>413517.31200000003</v>
      </c>
      <c r="O6" s="152">
        <v>413517.31200000003</v>
      </c>
      <c r="P6" s="152">
        <v>413517.31200000003</v>
      </c>
      <c r="Q6" s="152">
        <v>413517.31200000003</v>
      </c>
      <c r="R6" s="152">
        <v>413517.31200000003</v>
      </c>
      <c r="S6" s="152">
        <v>413517.31200000003</v>
      </c>
      <c r="T6" s="152">
        <v>413517.31200000003</v>
      </c>
      <c r="U6" s="152">
        <v>413517.31200000003</v>
      </c>
      <c r="V6" s="152">
        <v>413517.31200000003</v>
      </c>
      <c r="W6" s="152">
        <v>413517.31200000003</v>
      </c>
      <c r="X6" s="152">
        <v>413517.31200000003</v>
      </c>
      <c r="Y6" s="152">
        <v>413517.31200000003</v>
      </c>
      <c r="Z6" s="152">
        <v>430058.00448</v>
      </c>
      <c r="AA6" s="152">
        <v>430058.00448</v>
      </c>
      <c r="AB6" s="152">
        <v>430058.00448</v>
      </c>
      <c r="AC6" s="152">
        <v>430058.00448</v>
      </c>
      <c r="AD6" s="152">
        <v>430058.00448</v>
      </c>
      <c r="AE6" s="152">
        <v>430058.00448</v>
      </c>
      <c r="AF6" s="152">
        <v>430058.00448</v>
      </c>
      <c r="AG6" s="152">
        <v>430058.00448</v>
      </c>
      <c r="AH6" s="152">
        <v>430058.00448</v>
      </c>
      <c r="AI6" s="152">
        <v>430058.00448</v>
      </c>
      <c r="AJ6" s="152">
        <v>430058.00448</v>
      </c>
      <c r="AK6" s="152">
        <v>430058.00448</v>
      </c>
      <c r="AL6" s="152">
        <v>447260.32465920004</v>
      </c>
      <c r="AM6" s="152">
        <v>447260.32465920004</v>
      </c>
      <c r="AN6" s="152">
        <v>447260.32465920004</v>
      </c>
      <c r="AO6" s="152">
        <v>447260.32465920004</v>
      </c>
      <c r="AP6" s="152">
        <v>447260.32465920004</v>
      </c>
      <c r="AQ6" s="152">
        <v>447260.32465920004</v>
      </c>
      <c r="AR6" s="152">
        <v>447260.32465920004</v>
      </c>
      <c r="AS6" s="152">
        <v>447260.32465920004</v>
      </c>
      <c r="AT6" s="152">
        <v>447260.32465920004</v>
      </c>
      <c r="AU6" s="152">
        <v>447260.32465920004</v>
      </c>
      <c r="AV6" s="152">
        <v>447260.32465920004</v>
      </c>
      <c r="AW6" s="152">
        <v>447260.32465920004</v>
      </c>
      <c r="AX6" s="152">
        <v>465150.73764556798</v>
      </c>
      <c r="AY6" s="152">
        <v>465150.73764556798</v>
      </c>
      <c r="AZ6" s="152">
        <v>465150.73764556798</v>
      </c>
      <c r="BA6" s="152">
        <v>465150.73764556798</v>
      </c>
      <c r="BB6" s="152">
        <v>465150.73764556798</v>
      </c>
      <c r="BC6" s="152">
        <v>465150.73764556798</v>
      </c>
      <c r="BD6" s="152">
        <v>465150.73764556798</v>
      </c>
      <c r="BE6" s="152">
        <v>465150.73764556798</v>
      </c>
      <c r="BF6" s="152">
        <v>465150.73764556798</v>
      </c>
      <c r="BG6" s="152">
        <v>465150.73764556798</v>
      </c>
      <c r="BH6" s="152">
        <v>465150.73764556798</v>
      </c>
      <c r="BI6" s="152">
        <v>465150.73764556798</v>
      </c>
      <c r="BJ6" s="152">
        <v>483756.76715139073</v>
      </c>
      <c r="BK6" s="152">
        <v>483756.76715139073</v>
      </c>
      <c r="BL6" s="152">
        <v>483756.76715139073</v>
      </c>
      <c r="BM6" s="152">
        <v>483756.76715139073</v>
      </c>
      <c r="BN6" s="152">
        <v>483756.76715139073</v>
      </c>
      <c r="BO6" s="152">
        <v>483756.76715139073</v>
      </c>
      <c r="BP6" s="152">
        <v>483756.76715139073</v>
      </c>
      <c r="BQ6" s="152">
        <v>483756.76715139073</v>
      </c>
      <c r="BR6" s="152">
        <v>483756.76715139073</v>
      </c>
      <c r="BS6" s="152">
        <v>483756.76715139073</v>
      </c>
      <c r="BT6" s="152">
        <v>483756.76715139073</v>
      </c>
      <c r="BU6" s="152">
        <v>483756.76715139073</v>
      </c>
      <c r="BV6" s="152">
        <v>503107.03783744638</v>
      </c>
      <c r="BW6" s="152">
        <v>503107.03783744638</v>
      </c>
      <c r="BX6" s="152">
        <v>503107.03783744638</v>
      </c>
      <c r="BY6" s="152">
        <v>503107.03783744638</v>
      </c>
      <c r="BZ6" s="152">
        <v>503107.03783744638</v>
      </c>
      <c r="CA6" s="152">
        <v>503107.03783744638</v>
      </c>
      <c r="CB6" s="152">
        <v>503107.03783744638</v>
      </c>
      <c r="CC6" s="152">
        <v>503107.03783744638</v>
      </c>
      <c r="CD6" s="152">
        <v>503107.03783744638</v>
      </c>
      <c r="CE6" s="152">
        <v>503107.03783744638</v>
      </c>
      <c r="CF6" s="152">
        <v>503107.03783744638</v>
      </c>
      <c r="CG6" s="152">
        <v>503107.03783744638</v>
      </c>
      <c r="CH6" s="152">
        <v>523231.31935094425</v>
      </c>
      <c r="CI6" s="152">
        <v>523231.31935094425</v>
      </c>
      <c r="CJ6" s="152">
        <v>523231.31935094425</v>
      </c>
      <c r="CK6" s="152">
        <v>523231.31935094425</v>
      </c>
      <c r="CL6" s="152">
        <v>523231.31935094425</v>
      </c>
      <c r="CM6" s="152">
        <v>523231.31935094425</v>
      </c>
      <c r="CN6" s="152">
        <v>523231.31935094425</v>
      </c>
      <c r="CO6" s="152">
        <v>523231.31935094425</v>
      </c>
      <c r="CP6" s="152">
        <v>523231.31935094425</v>
      </c>
      <c r="CQ6" s="152">
        <v>523231.31935094425</v>
      </c>
      <c r="CR6" s="152">
        <v>523231.31935094425</v>
      </c>
      <c r="CS6" s="152">
        <v>523231.31935094425</v>
      </c>
      <c r="CT6" s="152">
        <v>544160.57212498202</v>
      </c>
      <c r="CU6" s="152">
        <v>544160.57212498202</v>
      </c>
      <c r="CV6" s="152">
        <v>544160.57212498202</v>
      </c>
      <c r="CW6" s="152">
        <v>544160.57212498202</v>
      </c>
      <c r="CX6" s="152">
        <v>544160.57212498202</v>
      </c>
      <c r="CY6" s="152">
        <v>544160.57212498202</v>
      </c>
    </row>
    <row r="7" spans="1:103" ht="12" customHeight="1">
      <c r="A7" s="25" t="s">
        <v>448</v>
      </c>
      <c r="B7" s="152">
        <v>46800</v>
      </c>
      <c r="C7" s="152">
        <v>46800</v>
      </c>
      <c r="D7" s="152">
        <v>46800</v>
      </c>
      <c r="E7" s="152">
        <v>46800</v>
      </c>
      <c r="F7" s="152">
        <v>46800</v>
      </c>
      <c r="G7" s="152">
        <v>46800</v>
      </c>
      <c r="H7" s="152">
        <v>46800</v>
      </c>
      <c r="I7" s="152">
        <v>46800</v>
      </c>
      <c r="J7" s="152">
        <v>46800</v>
      </c>
      <c r="K7" s="152">
        <v>46800</v>
      </c>
      <c r="L7" s="152">
        <v>46800</v>
      </c>
      <c r="M7" s="152">
        <v>46800</v>
      </c>
      <c r="N7" s="152">
        <v>48672</v>
      </c>
      <c r="O7" s="152">
        <v>48672</v>
      </c>
      <c r="P7" s="152">
        <v>48672</v>
      </c>
      <c r="Q7" s="152">
        <v>48672</v>
      </c>
      <c r="R7" s="152">
        <v>48672</v>
      </c>
      <c r="S7" s="152">
        <v>48672</v>
      </c>
      <c r="T7" s="152">
        <v>48672</v>
      </c>
      <c r="U7" s="152">
        <v>48672</v>
      </c>
      <c r="V7" s="152">
        <v>48672</v>
      </c>
      <c r="W7" s="152">
        <v>48672</v>
      </c>
      <c r="X7" s="152">
        <v>48672</v>
      </c>
      <c r="Y7" s="152">
        <v>48672</v>
      </c>
      <c r="Z7" s="152">
        <v>50618.880000000005</v>
      </c>
      <c r="AA7" s="152">
        <v>50618.880000000005</v>
      </c>
      <c r="AB7" s="152">
        <v>50618.880000000005</v>
      </c>
      <c r="AC7" s="152">
        <v>50618.880000000005</v>
      </c>
      <c r="AD7" s="152">
        <v>50618.880000000005</v>
      </c>
      <c r="AE7" s="152">
        <v>50618.880000000005</v>
      </c>
      <c r="AF7" s="152">
        <v>50618.880000000005</v>
      </c>
      <c r="AG7" s="152">
        <v>50618.880000000005</v>
      </c>
      <c r="AH7" s="152">
        <v>50618.880000000005</v>
      </c>
      <c r="AI7" s="152">
        <v>50618.880000000005</v>
      </c>
      <c r="AJ7" s="152">
        <v>50618.880000000005</v>
      </c>
      <c r="AK7" s="152">
        <v>50618.880000000005</v>
      </c>
      <c r="AL7" s="152">
        <v>52643.635200000004</v>
      </c>
      <c r="AM7" s="152">
        <v>52643.635200000004</v>
      </c>
      <c r="AN7" s="152">
        <v>52643.635200000004</v>
      </c>
      <c r="AO7" s="152">
        <v>52643.635200000004</v>
      </c>
      <c r="AP7" s="152">
        <v>52643.635200000004</v>
      </c>
      <c r="AQ7" s="152">
        <v>52643.635200000004</v>
      </c>
      <c r="AR7" s="152">
        <v>52643.635200000004</v>
      </c>
      <c r="AS7" s="152">
        <v>52643.635200000004</v>
      </c>
      <c r="AT7" s="152">
        <v>52643.635200000004</v>
      </c>
      <c r="AU7" s="152">
        <v>52643.635200000004</v>
      </c>
      <c r="AV7" s="152">
        <v>52643.635200000004</v>
      </c>
      <c r="AW7" s="152">
        <v>52643.635200000004</v>
      </c>
      <c r="AX7" s="152">
        <v>54749.380608000007</v>
      </c>
      <c r="AY7" s="152">
        <v>54749.380608000007</v>
      </c>
      <c r="AZ7" s="152">
        <v>54749.380608000007</v>
      </c>
      <c r="BA7" s="152">
        <v>54749.380608000007</v>
      </c>
      <c r="BB7" s="152">
        <v>54749.380608000007</v>
      </c>
      <c r="BC7" s="152">
        <v>54749.380608000007</v>
      </c>
      <c r="BD7" s="152">
        <v>54749.380608000007</v>
      </c>
      <c r="BE7" s="152">
        <v>54749.380608000007</v>
      </c>
      <c r="BF7" s="152">
        <v>54749.380608000007</v>
      </c>
      <c r="BG7" s="152">
        <v>54749.380608000007</v>
      </c>
      <c r="BH7" s="152">
        <v>54749.380608000007</v>
      </c>
      <c r="BI7" s="152">
        <v>54749.380608000007</v>
      </c>
      <c r="BJ7" s="152">
        <v>56939.355832320012</v>
      </c>
      <c r="BK7" s="152">
        <v>56939.355832320012</v>
      </c>
      <c r="BL7" s="152">
        <v>56939.355832320012</v>
      </c>
      <c r="BM7" s="152">
        <v>56939.355832320012</v>
      </c>
      <c r="BN7" s="152">
        <v>56939.355832320012</v>
      </c>
      <c r="BO7" s="152">
        <v>56939.355832320012</v>
      </c>
      <c r="BP7" s="152">
        <v>56939.355832320012</v>
      </c>
      <c r="BQ7" s="152">
        <v>56939.355832320012</v>
      </c>
      <c r="BR7" s="152">
        <v>56939.355832320012</v>
      </c>
      <c r="BS7" s="152">
        <v>56939.355832320012</v>
      </c>
      <c r="BT7" s="152">
        <v>56939.355832320012</v>
      </c>
      <c r="BU7" s="152">
        <v>56939.355832320012</v>
      </c>
      <c r="BV7" s="152">
        <v>59216.930065612818</v>
      </c>
      <c r="BW7" s="152">
        <v>59216.930065612818</v>
      </c>
      <c r="BX7" s="152">
        <v>59216.930065612818</v>
      </c>
      <c r="BY7" s="152">
        <v>59216.930065612818</v>
      </c>
      <c r="BZ7" s="152">
        <v>59216.930065612818</v>
      </c>
      <c r="CA7" s="152">
        <v>59216.930065612818</v>
      </c>
      <c r="CB7" s="152">
        <v>59216.930065612818</v>
      </c>
      <c r="CC7" s="152">
        <v>59216.930065612818</v>
      </c>
      <c r="CD7" s="152">
        <v>59216.930065612818</v>
      </c>
      <c r="CE7" s="152">
        <v>59216.930065612818</v>
      </c>
      <c r="CF7" s="152">
        <v>59216.930065612818</v>
      </c>
      <c r="CG7" s="152">
        <v>59216.930065612818</v>
      </c>
      <c r="CH7" s="152">
        <v>61585.607268237334</v>
      </c>
      <c r="CI7" s="152">
        <v>61585.607268237334</v>
      </c>
      <c r="CJ7" s="152">
        <v>61585.607268237334</v>
      </c>
      <c r="CK7" s="152">
        <v>61585.607268237334</v>
      </c>
      <c r="CL7" s="152">
        <v>61585.607268237334</v>
      </c>
      <c r="CM7" s="152">
        <v>61585.607268237334</v>
      </c>
      <c r="CN7" s="152">
        <v>61585.607268237334</v>
      </c>
      <c r="CO7" s="152">
        <v>61585.607268237334</v>
      </c>
      <c r="CP7" s="152">
        <v>61585.607268237334</v>
      </c>
      <c r="CQ7" s="152">
        <v>61585.607268237334</v>
      </c>
      <c r="CR7" s="152">
        <v>61585.607268237334</v>
      </c>
      <c r="CS7" s="152">
        <v>61585.607268237334</v>
      </c>
      <c r="CT7" s="152">
        <v>64049.031558966832</v>
      </c>
      <c r="CU7" s="152">
        <v>64049.031558966832</v>
      </c>
      <c r="CV7" s="152">
        <v>64049.031558966832</v>
      </c>
      <c r="CW7" s="152">
        <v>64049.031558966832</v>
      </c>
      <c r="CX7" s="152">
        <v>64049.031558966832</v>
      </c>
      <c r="CY7" s="152">
        <v>64049.031558966832</v>
      </c>
    </row>
    <row r="8" spans="1:103" ht="12" customHeight="1">
      <c r="A8" s="25" t="s">
        <v>449</v>
      </c>
      <c r="B8" s="152">
        <v>364000</v>
      </c>
      <c r="C8" s="152">
        <v>364000</v>
      </c>
      <c r="D8" s="152">
        <v>364000</v>
      </c>
      <c r="E8" s="152">
        <v>364000</v>
      </c>
      <c r="F8" s="152">
        <v>364000</v>
      </c>
      <c r="G8" s="152">
        <v>364000</v>
      </c>
      <c r="H8" s="152">
        <v>364000</v>
      </c>
      <c r="I8" s="152">
        <v>364000</v>
      </c>
      <c r="J8" s="152">
        <v>364000</v>
      </c>
      <c r="K8" s="152">
        <v>364000</v>
      </c>
      <c r="L8" s="152">
        <v>364000</v>
      </c>
      <c r="M8" s="152">
        <v>364000</v>
      </c>
      <c r="N8" s="152">
        <v>378560</v>
      </c>
      <c r="O8" s="152">
        <v>378560</v>
      </c>
      <c r="P8" s="152">
        <v>378560</v>
      </c>
      <c r="Q8" s="152">
        <v>378560</v>
      </c>
      <c r="R8" s="152">
        <v>378560</v>
      </c>
      <c r="S8" s="152">
        <v>378560</v>
      </c>
      <c r="T8" s="152">
        <v>378560</v>
      </c>
      <c r="U8" s="152">
        <v>378560</v>
      </c>
      <c r="V8" s="152">
        <v>378560</v>
      </c>
      <c r="W8" s="152">
        <v>378560</v>
      </c>
      <c r="X8" s="152">
        <v>378560</v>
      </c>
      <c r="Y8" s="152">
        <v>378560</v>
      </c>
      <c r="Z8" s="152">
        <v>393702.40000000002</v>
      </c>
      <c r="AA8" s="152">
        <v>393702.40000000002</v>
      </c>
      <c r="AB8" s="152">
        <v>393702.40000000002</v>
      </c>
      <c r="AC8" s="152">
        <v>393702.40000000002</v>
      </c>
      <c r="AD8" s="152">
        <v>393702.40000000002</v>
      </c>
      <c r="AE8" s="152">
        <v>393702.40000000002</v>
      </c>
      <c r="AF8" s="152">
        <v>393702.40000000002</v>
      </c>
      <c r="AG8" s="152">
        <v>393702.40000000002</v>
      </c>
      <c r="AH8" s="152">
        <v>393702.40000000002</v>
      </c>
      <c r="AI8" s="152">
        <v>393702.40000000002</v>
      </c>
      <c r="AJ8" s="152">
        <v>393702.40000000002</v>
      </c>
      <c r="AK8" s="152">
        <v>393702.40000000002</v>
      </c>
      <c r="AL8" s="152">
        <v>409450.49600000004</v>
      </c>
      <c r="AM8" s="152">
        <v>409450.49600000004</v>
      </c>
      <c r="AN8" s="152">
        <v>409450.49600000004</v>
      </c>
      <c r="AO8" s="152">
        <v>409450.49600000004</v>
      </c>
      <c r="AP8" s="152">
        <v>409450.49600000004</v>
      </c>
      <c r="AQ8" s="152">
        <v>409450.49600000004</v>
      </c>
      <c r="AR8" s="152">
        <v>409450.49600000004</v>
      </c>
      <c r="AS8" s="152">
        <v>409450.49600000004</v>
      </c>
      <c r="AT8" s="152">
        <v>409450.49600000004</v>
      </c>
      <c r="AU8" s="152">
        <v>409450.49600000004</v>
      </c>
      <c r="AV8" s="152">
        <v>409450.49600000004</v>
      </c>
      <c r="AW8" s="152">
        <v>409450.49600000004</v>
      </c>
      <c r="AX8" s="152">
        <v>425828.51584000007</v>
      </c>
      <c r="AY8" s="152">
        <v>425828.51584000007</v>
      </c>
      <c r="AZ8" s="152">
        <v>425828.51584000007</v>
      </c>
      <c r="BA8" s="152">
        <v>425828.51584000007</v>
      </c>
      <c r="BB8" s="152">
        <v>425828.51584000007</v>
      </c>
      <c r="BC8" s="152">
        <v>425828.51584000007</v>
      </c>
      <c r="BD8" s="152">
        <v>425828.51584000007</v>
      </c>
      <c r="BE8" s="152">
        <v>425828.51584000007</v>
      </c>
      <c r="BF8" s="152">
        <v>425828.51584000007</v>
      </c>
      <c r="BG8" s="152">
        <v>425828.51584000007</v>
      </c>
      <c r="BH8" s="152">
        <v>425828.51584000007</v>
      </c>
      <c r="BI8" s="152">
        <v>425828.51584000007</v>
      </c>
      <c r="BJ8" s="152">
        <v>442861.65647360007</v>
      </c>
      <c r="BK8" s="152">
        <v>442861.65647360007</v>
      </c>
      <c r="BL8" s="152">
        <v>442861.65647360007</v>
      </c>
      <c r="BM8" s="152">
        <v>442861.65647360007</v>
      </c>
      <c r="BN8" s="152">
        <v>442861.65647360007</v>
      </c>
      <c r="BO8" s="152">
        <v>442861.65647360007</v>
      </c>
      <c r="BP8" s="152">
        <v>442861.65647360007</v>
      </c>
      <c r="BQ8" s="152">
        <v>442861.65647360007</v>
      </c>
      <c r="BR8" s="152">
        <v>442861.65647360007</v>
      </c>
      <c r="BS8" s="152">
        <v>442861.65647360007</v>
      </c>
      <c r="BT8" s="152">
        <v>442861.65647360007</v>
      </c>
      <c r="BU8" s="152">
        <v>442861.65647360007</v>
      </c>
      <c r="BV8" s="152">
        <v>460576.12273254409</v>
      </c>
      <c r="BW8" s="152">
        <v>460576.12273254409</v>
      </c>
      <c r="BX8" s="152">
        <v>460576.12273254409</v>
      </c>
      <c r="BY8" s="152">
        <v>460576.12273254409</v>
      </c>
      <c r="BZ8" s="152">
        <v>460576.12273254409</v>
      </c>
      <c r="CA8" s="152">
        <v>460576.12273254409</v>
      </c>
      <c r="CB8" s="152">
        <v>460576.12273254409</v>
      </c>
      <c r="CC8" s="152">
        <v>460576.12273254409</v>
      </c>
      <c r="CD8" s="152">
        <v>460576.12273254409</v>
      </c>
      <c r="CE8" s="152">
        <v>460576.12273254409</v>
      </c>
      <c r="CF8" s="152">
        <v>460576.12273254409</v>
      </c>
      <c r="CG8" s="152">
        <v>460576.12273254409</v>
      </c>
      <c r="CH8" s="152">
        <v>478999.16764184588</v>
      </c>
      <c r="CI8" s="152">
        <v>478999.16764184588</v>
      </c>
      <c r="CJ8" s="152">
        <v>478999.16764184588</v>
      </c>
      <c r="CK8" s="152">
        <v>478999.16764184588</v>
      </c>
      <c r="CL8" s="152">
        <v>478999.16764184588</v>
      </c>
      <c r="CM8" s="152">
        <v>478999.16764184588</v>
      </c>
      <c r="CN8" s="152">
        <v>478999.16764184588</v>
      </c>
      <c r="CO8" s="152">
        <v>478999.16764184588</v>
      </c>
      <c r="CP8" s="152">
        <v>478999.16764184588</v>
      </c>
      <c r="CQ8" s="152">
        <v>478999.16764184588</v>
      </c>
      <c r="CR8" s="152">
        <v>478999.16764184588</v>
      </c>
      <c r="CS8" s="152">
        <v>478999.16764184588</v>
      </c>
      <c r="CT8" s="152">
        <v>498159.13434751972</v>
      </c>
      <c r="CU8" s="152">
        <v>498159.13434751972</v>
      </c>
      <c r="CV8" s="152">
        <v>498159.13434751972</v>
      </c>
      <c r="CW8" s="152">
        <v>498159.13434751972</v>
      </c>
      <c r="CX8" s="152">
        <v>498159.13434751972</v>
      </c>
      <c r="CY8" s="152">
        <v>498159.13434751972</v>
      </c>
    </row>
    <row r="9" spans="1:103" ht="12" customHeight="1">
      <c r="A9" s="25" t="s">
        <v>450</v>
      </c>
      <c r="B9" s="152">
        <v>0</v>
      </c>
      <c r="C9" s="152">
        <v>0</v>
      </c>
      <c r="D9" s="152">
        <v>0</v>
      </c>
      <c r="E9" s="152">
        <v>0</v>
      </c>
      <c r="F9" s="152">
        <v>0</v>
      </c>
      <c r="G9" s="152">
        <v>0</v>
      </c>
      <c r="H9" s="152">
        <v>0</v>
      </c>
      <c r="I9" s="152">
        <v>0</v>
      </c>
      <c r="J9" s="152">
        <v>0</v>
      </c>
      <c r="K9" s="152">
        <v>0</v>
      </c>
      <c r="L9" s="152">
        <v>0</v>
      </c>
      <c r="M9" s="152">
        <v>0</v>
      </c>
      <c r="N9" s="152">
        <v>500000</v>
      </c>
      <c r="O9" s="152">
        <v>500000</v>
      </c>
      <c r="P9" s="152">
        <v>500000</v>
      </c>
      <c r="Q9" s="152">
        <v>500000</v>
      </c>
      <c r="R9" s="152">
        <v>500000</v>
      </c>
      <c r="S9" s="152">
        <v>500000</v>
      </c>
      <c r="T9" s="152">
        <v>500000</v>
      </c>
      <c r="U9" s="152">
        <v>500000</v>
      </c>
      <c r="V9" s="152">
        <v>500000</v>
      </c>
      <c r="W9" s="152">
        <v>500000</v>
      </c>
      <c r="X9" s="152">
        <v>500000</v>
      </c>
      <c r="Y9" s="152">
        <v>500000</v>
      </c>
      <c r="Z9" s="152">
        <v>3000000</v>
      </c>
      <c r="AA9" s="152">
        <f>Z9</f>
        <v>3000000</v>
      </c>
      <c r="AB9" s="152">
        <f t="shared" ref="AB9:CM9" si="0">AA9</f>
        <v>3000000</v>
      </c>
      <c r="AC9" s="152">
        <f t="shared" si="0"/>
        <v>3000000</v>
      </c>
      <c r="AD9" s="152">
        <f t="shared" si="0"/>
        <v>3000000</v>
      </c>
      <c r="AE9" s="152">
        <f t="shared" si="0"/>
        <v>3000000</v>
      </c>
      <c r="AF9" s="152">
        <f t="shared" si="0"/>
        <v>3000000</v>
      </c>
      <c r="AG9" s="152">
        <f t="shared" si="0"/>
        <v>3000000</v>
      </c>
      <c r="AH9" s="152">
        <f t="shared" si="0"/>
        <v>3000000</v>
      </c>
      <c r="AI9" s="152">
        <f t="shared" si="0"/>
        <v>3000000</v>
      </c>
      <c r="AJ9" s="152">
        <f t="shared" si="0"/>
        <v>3000000</v>
      </c>
      <c r="AK9" s="152">
        <f t="shared" si="0"/>
        <v>3000000</v>
      </c>
      <c r="AL9" s="152">
        <f t="shared" si="0"/>
        <v>3000000</v>
      </c>
      <c r="AM9" s="152">
        <f t="shared" si="0"/>
        <v>3000000</v>
      </c>
      <c r="AN9" s="152">
        <f t="shared" si="0"/>
        <v>3000000</v>
      </c>
      <c r="AO9" s="152">
        <f t="shared" si="0"/>
        <v>3000000</v>
      </c>
      <c r="AP9" s="152">
        <f t="shared" si="0"/>
        <v>3000000</v>
      </c>
      <c r="AQ9" s="152">
        <f t="shared" si="0"/>
        <v>3000000</v>
      </c>
      <c r="AR9" s="152">
        <f t="shared" si="0"/>
        <v>3000000</v>
      </c>
      <c r="AS9" s="152">
        <f t="shared" si="0"/>
        <v>3000000</v>
      </c>
      <c r="AT9" s="152">
        <f t="shared" si="0"/>
        <v>3000000</v>
      </c>
      <c r="AU9" s="152">
        <f t="shared" si="0"/>
        <v>3000000</v>
      </c>
      <c r="AV9" s="152">
        <f t="shared" si="0"/>
        <v>3000000</v>
      </c>
      <c r="AW9" s="152">
        <f t="shared" si="0"/>
        <v>3000000</v>
      </c>
      <c r="AX9" s="152">
        <f t="shared" si="0"/>
        <v>3000000</v>
      </c>
      <c r="AY9" s="152">
        <f t="shared" si="0"/>
        <v>3000000</v>
      </c>
      <c r="AZ9" s="152">
        <f t="shared" si="0"/>
        <v>3000000</v>
      </c>
      <c r="BA9" s="152">
        <f t="shared" si="0"/>
        <v>3000000</v>
      </c>
      <c r="BB9" s="152">
        <f t="shared" si="0"/>
        <v>3000000</v>
      </c>
      <c r="BC9" s="152">
        <f t="shared" si="0"/>
        <v>3000000</v>
      </c>
      <c r="BD9" s="152">
        <f t="shared" si="0"/>
        <v>3000000</v>
      </c>
      <c r="BE9" s="152">
        <f t="shared" si="0"/>
        <v>3000000</v>
      </c>
      <c r="BF9" s="152">
        <f t="shared" si="0"/>
        <v>3000000</v>
      </c>
      <c r="BG9" s="152">
        <f t="shared" si="0"/>
        <v>3000000</v>
      </c>
      <c r="BH9" s="152">
        <f t="shared" si="0"/>
        <v>3000000</v>
      </c>
      <c r="BI9" s="152">
        <f t="shared" si="0"/>
        <v>3000000</v>
      </c>
      <c r="BJ9" s="152">
        <f t="shared" si="0"/>
        <v>3000000</v>
      </c>
      <c r="BK9" s="152">
        <f t="shared" si="0"/>
        <v>3000000</v>
      </c>
      <c r="BL9" s="152">
        <f t="shared" si="0"/>
        <v>3000000</v>
      </c>
      <c r="BM9" s="152">
        <f t="shared" si="0"/>
        <v>3000000</v>
      </c>
      <c r="BN9" s="152">
        <f t="shared" si="0"/>
        <v>3000000</v>
      </c>
      <c r="BO9" s="152">
        <f t="shared" si="0"/>
        <v>3000000</v>
      </c>
      <c r="BP9" s="152">
        <f t="shared" si="0"/>
        <v>3000000</v>
      </c>
      <c r="BQ9" s="152">
        <f t="shared" si="0"/>
        <v>3000000</v>
      </c>
      <c r="BR9" s="152">
        <f t="shared" si="0"/>
        <v>3000000</v>
      </c>
      <c r="BS9" s="152">
        <f t="shared" si="0"/>
        <v>3000000</v>
      </c>
      <c r="BT9" s="152">
        <f t="shared" si="0"/>
        <v>3000000</v>
      </c>
      <c r="BU9" s="152">
        <f t="shared" si="0"/>
        <v>3000000</v>
      </c>
      <c r="BV9" s="152">
        <f t="shared" si="0"/>
        <v>3000000</v>
      </c>
      <c r="BW9" s="152">
        <f t="shared" si="0"/>
        <v>3000000</v>
      </c>
      <c r="BX9" s="152">
        <f t="shared" si="0"/>
        <v>3000000</v>
      </c>
      <c r="BY9" s="152">
        <f t="shared" si="0"/>
        <v>3000000</v>
      </c>
      <c r="BZ9" s="152">
        <f t="shared" si="0"/>
        <v>3000000</v>
      </c>
      <c r="CA9" s="152">
        <f t="shared" si="0"/>
        <v>3000000</v>
      </c>
      <c r="CB9" s="152">
        <f t="shared" si="0"/>
        <v>3000000</v>
      </c>
      <c r="CC9" s="152">
        <f t="shared" si="0"/>
        <v>3000000</v>
      </c>
      <c r="CD9" s="152">
        <f t="shared" si="0"/>
        <v>3000000</v>
      </c>
      <c r="CE9" s="152">
        <f t="shared" si="0"/>
        <v>3000000</v>
      </c>
      <c r="CF9" s="152">
        <f t="shared" si="0"/>
        <v>3000000</v>
      </c>
      <c r="CG9" s="152">
        <f t="shared" si="0"/>
        <v>3000000</v>
      </c>
      <c r="CH9" s="152">
        <f t="shared" si="0"/>
        <v>3000000</v>
      </c>
      <c r="CI9" s="152">
        <f t="shared" si="0"/>
        <v>3000000</v>
      </c>
      <c r="CJ9" s="152">
        <f t="shared" si="0"/>
        <v>3000000</v>
      </c>
      <c r="CK9" s="152">
        <f t="shared" si="0"/>
        <v>3000000</v>
      </c>
      <c r="CL9" s="152">
        <f t="shared" si="0"/>
        <v>3000000</v>
      </c>
      <c r="CM9" s="152">
        <f t="shared" si="0"/>
        <v>3000000</v>
      </c>
      <c r="CN9" s="152">
        <f t="shared" ref="CN9:CY9" si="1">CM9</f>
        <v>3000000</v>
      </c>
      <c r="CO9" s="152">
        <f t="shared" si="1"/>
        <v>3000000</v>
      </c>
      <c r="CP9" s="152">
        <f t="shared" si="1"/>
        <v>3000000</v>
      </c>
      <c r="CQ9" s="152">
        <f t="shared" si="1"/>
        <v>3000000</v>
      </c>
      <c r="CR9" s="152">
        <f t="shared" si="1"/>
        <v>3000000</v>
      </c>
      <c r="CS9" s="152">
        <f t="shared" si="1"/>
        <v>3000000</v>
      </c>
      <c r="CT9" s="152">
        <f t="shared" si="1"/>
        <v>3000000</v>
      </c>
      <c r="CU9" s="152">
        <f t="shared" si="1"/>
        <v>3000000</v>
      </c>
      <c r="CV9" s="152">
        <f t="shared" si="1"/>
        <v>3000000</v>
      </c>
      <c r="CW9" s="152">
        <f t="shared" si="1"/>
        <v>3000000</v>
      </c>
      <c r="CX9" s="152">
        <f t="shared" si="1"/>
        <v>3000000</v>
      </c>
      <c r="CY9" s="152">
        <f t="shared" si="1"/>
        <v>3000000</v>
      </c>
    </row>
    <row r="10" spans="1:103" ht="12" customHeight="1">
      <c r="A10" s="25" t="s">
        <v>451</v>
      </c>
      <c r="B10" s="152">
        <v>28080</v>
      </c>
      <c r="C10" s="152">
        <v>28080</v>
      </c>
      <c r="D10" s="152">
        <v>28080</v>
      </c>
      <c r="E10" s="152">
        <v>28080</v>
      </c>
      <c r="F10" s="152">
        <v>28080</v>
      </c>
      <c r="G10" s="152">
        <v>28080</v>
      </c>
      <c r="H10" s="152">
        <v>28080</v>
      </c>
      <c r="I10" s="152">
        <v>28080</v>
      </c>
      <c r="J10" s="152">
        <v>28080</v>
      </c>
      <c r="K10" s="152">
        <v>28080</v>
      </c>
      <c r="L10" s="152">
        <v>28080</v>
      </c>
      <c r="M10" s="152">
        <v>28080</v>
      </c>
      <c r="N10" s="152">
        <v>29203.200000000001</v>
      </c>
      <c r="O10" s="152">
        <v>29203.200000000001</v>
      </c>
      <c r="P10" s="152">
        <v>29203.200000000001</v>
      </c>
      <c r="Q10" s="152">
        <v>29203.200000000001</v>
      </c>
      <c r="R10" s="152">
        <v>29203.200000000001</v>
      </c>
      <c r="S10" s="152">
        <v>29203.200000000001</v>
      </c>
      <c r="T10" s="152">
        <v>29203.200000000001</v>
      </c>
      <c r="U10" s="152">
        <v>29203.200000000001</v>
      </c>
      <c r="V10" s="152">
        <v>29203.200000000001</v>
      </c>
      <c r="W10" s="152">
        <v>29203.200000000001</v>
      </c>
      <c r="X10" s="152">
        <v>29203.200000000001</v>
      </c>
      <c r="Y10" s="152">
        <v>29203.200000000001</v>
      </c>
      <c r="Z10" s="152">
        <v>30371.328000000001</v>
      </c>
      <c r="AA10" s="152">
        <v>30371.328000000001</v>
      </c>
      <c r="AB10" s="152">
        <v>30371.328000000001</v>
      </c>
      <c r="AC10" s="152">
        <v>30371.328000000001</v>
      </c>
      <c r="AD10" s="152">
        <v>30371.328000000001</v>
      </c>
      <c r="AE10" s="152">
        <v>30371.328000000001</v>
      </c>
      <c r="AF10" s="152">
        <v>30371.328000000001</v>
      </c>
      <c r="AG10" s="152">
        <v>30371.328000000001</v>
      </c>
      <c r="AH10" s="152">
        <v>30371.328000000001</v>
      </c>
      <c r="AI10" s="152">
        <v>30371.328000000001</v>
      </c>
      <c r="AJ10" s="152">
        <v>30371.328000000001</v>
      </c>
      <c r="AK10" s="152">
        <v>30371.328000000001</v>
      </c>
      <c r="AL10" s="152">
        <v>31586.181120000001</v>
      </c>
      <c r="AM10" s="152">
        <v>31586.181120000001</v>
      </c>
      <c r="AN10" s="152">
        <v>31586.181120000001</v>
      </c>
      <c r="AO10" s="152">
        <v>31586.181120000001</v>
      </c>
      <c r="AP10" s="152">
        <v>31586.181120000001</v>
      </c>
      <c r="AQ10" s="152">
        <v>31586.181120000001</v>
      </c>
      <c r="AR10" s="152">
        <v>31586.181120000001</v>
      </c>
      <c r="AS10" s="152">
        <v>31586.181120000001</v>
      </c>
      <c r="AT10" s="152">
        <v>31586.181120000001</v>
      </c>
      <c r="AU10" s="152">
        <v>31586.181120000001</v>
      </c>
      <c r="AV10" s="152">
        <v>31586.181120000001</v>
      </c>
      <c r="AW10" s="152">
        <v>31586.181120000001</v>
      </c>
      <c r="AX10" s="152">
        <v>32849.628364800003</v>
      </c>
      <c r="AY10" s="152">
        <v>32849.628364800003</v>
      </c>
      <c r="AZ10" s="152">
        <v>32849.628364800003</v>
      </c>
      <c r="BA10" s="152">
        <v>32849.628364800003</v>
      </c>
      <c r="BB10" s="152">
        <v>32849.628364800003</v>
      </c>
      <c r="BC10" s="152">
        <v>32849.628364800003</v>
      </c>
      <c r="BD10" s="152">
        <v>32849.628364800003</v>
      </c>
      <c r="BE10" s="152">
        <v>32849.628364800003</v>
      </c>
      <c r="BF10" s="152">
        <v>32849.628364800003</v>
      </c>
      <c r="BG10" s="152">
        <v>32849.628364800003</v>
      </c>
      <c r="BH10" s="152">
        <v>32849.628364800003</v>
      </c>
      <c r="BI10" s="152">
        <v>32849.628364800003</v>
      </c>
      <c r="BJ10" s="152">
        <v>34163.613499392006</v>
      </c>
      <c r="BK10" s="152">
        <v>34163.613499392006</v>
      </c>
      <c r="BL10" s="152">
        <v>34163.613499392006</v>
      </c>
      <c r="BM10" s="152">
        <v>34163.613499392006</v>
      </c>
      <c r="BN10" s="152">
        <v>34163.613499392006</v>
      </c>
      <c r="BO10" s="152">
        <v>34163.613499392006</v>
      </c>
      <c r="BP10" s="152">
        <v>34163.613499392006</v>
      </c>
      <c r="BQ10" s="152">
        <v>34163.613499392006</v>
      </c>
      <c r="BR10" s="152">
        <v>34163.613499392006</v>
      </c>
      <c r="BS10" s="152">
        <v>34163.613499392006</v>
      </c>
      <c r="BT10" s="152">
        <v>34163.613499392006</v>
      </c>
      <c r="BU10" s="152">
        <v>34163.613499392006</v>
      </c>
      <c r="BV10" s="152">
        <v>35530.158039367685</v>
      </c>
      <c r="BW10" s="152">
        <v>35530.158039367685</v>
      </c>
      <c r="BX10" s="152">
        <v>35530.158039367685</v>
      </c>
      <c r="BY10" s="152">
        <v>35530.158039367685</v>
      </c>
      <c r="BZ10" s="152">
        <v>35530.158039367685</v>
      </c>
      <c r="CA10" s="152">
        <v>35530.158039367685</v>
      </c>
      <c r="CB10" s="152">
        <v>35530.158039367685</v>
      </c>
      <c r="CC10" s="152">
        <v>35530.158039367685</v>
      </c>
      <c r="CD10" s="152">
        <v>35530.158039367685</v>
      </c>
      <c r="CE10" s="152">
        <v>35530.158039367685</v>
      </c>
      <c r="CF10" s="152">
        <v>35530.158039367685</v>
      </c>
      <c r="CG10" s="152">
        <v>35530.158039367685</v>
      </c>
      <c r="CH10" s="152">
        <v>36951.364360942396</v>
      </c>
      <c r="CI10" s="152">
        <v>36951.364360942396</v>
      </c>
      <c r="CJ10" s="152">
        <v>36951.364360942396</v>
      </c>
      <c r="CK10" s="152">
        <v>36951.364360942396</v>
      </c>
      <c r="CL10" s="152">
        <v>36951.364360942396</v>
      </c>
      <c r="CM10" s="152">
        <v>36951.364360942396</v>
      </c>
      <c r="CN10" s="152">
        <v>36951.364360942396</v>
      </c>
      <c r="CO10" s="152">
        <v>36951.364360942396</v>
      </c>
      <c r="CP10" s="152">
        <v>36951.364360942396</v>
      </c>
      <c r="CQ10" s="152">
        <v>36951.364360942396</v>
      </c>
      <c r="CR10" s="152">
        <v>36951.364360942396</v>
      </c>
      <c r="CS10" s="152">
        <v>36951.364360942396</v>
      </c>
      <c r="CT10" s="152">
        <v>38429.41893538009</v>
      </c>
      <c r="CU10" s="152">
        <v>38429.41893538009</v>
      </c>
      <c r="CV10" s="152">
        <v>38429.41893538009</v>
      </c>
      <c r="CW10" s="152">
        <v>38429.41893538009</v>
      </c>
      <c r="CX10" s="152">
        <v>38429.41893538009</v>
      </c>
      <c r="CY10" s="152">
        <v>38429.41893538009</v>
      </c>
    </row>
    <row r="11" spans="1:103" ht="12" customHeight="1">
      <c r="A11" s="25" t="s">
        <v>452</v>
      </c>
      <c r="B11" s="152">
        <v>16640</v>
      </c>
      <c r="C11" s="152">
        <v>16640</v>
      </c>
      <c r="D11" s="152">
        <v>16640</v>
      </c>
      <c r="E11" s="152">
        <v>16640</v>
      </c>
      <c r="F11" s="152">
        <v>16640</v>
      </c>
      <c r="G11" s="152">
        <v>16640</v>
      </c>
      <c r="H11" s="152">
        <v>16640</v>
      </c>
      <c r="I11" s="152">
        <v>16640</v>
      </c>
      <c r="J11" s="152">
        <v>16640</v>
      </c>
      <c r="K11" s="152">
        <v>16640</v>
      </c>
      <c r="L11" s="152">
        <v>16640</v>
      </c>
      <c r="M11" s="152">
        <v>16640</v>
      </c>
      <c r="N11" s="152">
        <v>17305.600000000002</v>
      </c>
      <c r="O11" s="152">
        <v>17305.600000000002</v>
      </c>
      <c r="P11" s="152">
        <v>17305.600000000002</v>
      </c>
      <c r="Q11" s="152">
        <v>17305.600000000002</v>
      </c>
      <c r="R11" s="152">
        <v>17305.600000000002</v>
      </c>
      <c r="S11" s="152">
        <v>17305.600000000002</v>
      </c>
      <c r="T11" s="152">
        <v>17305.600000000002</v>
      </c>
      <c r="U11" s="152">
        <v>17305.600000000002</v>
      </c>
      <c r="V11" s="152">
        <v>17305.600000000002</v>
      </c>
      <c r="W11" s="152">
        <v>17305.600000000002</v>
      </c>
      <c r="X11" s="152">
        <v>17305.600000000002</v>
      </c>
      <c r="Y11" s="152">
        <v>17305.600000000002</v>
      </c>
      <c r="Z11" s="152">
        <v>17997.824000000004</v>
      </c>
      <c r="AA11" s="152">
        <v>17997.824000000004</v>
      </c>
      <c r="AB11" s="152">
        <v>17997.824000000004</v>
      </c>
      <c r="AC11" s="152">
        <v>17997.824000000004</v>
      </c>
      <c r="AD11" s="152">
        <v>17997.824000000004</v>
      </c>
      <c r="AE11" s="152">
        <v>17997.824000000004</v>
      </c>
      <c r="AF11" s="152">
        <v>17997.824000000004</v>
      </c>
      <c r="AG11" s="152">
        <v>17997.824000000004</v>
      </c>
      <c r="AH11" s="152">
        <v>17997.824000000004</v>
      </c>
      <c r="AI11" s="152">
        <v>17997.824000000004</v>
      </c>
      <c r="AJ11" s="152">
        <v>17997.824000000004</v>
      </c>
      <c r="AK11" s="152">
        <v>17997.824000000004</v>
      </c>
      <c r="AL11" s="152">
        <v>18717.736960000006</v>
      </c>
      <c r="AM11" s="152">
        <v>18717.736960000006</v>
      </c>
      <c r="AN11" s="152">
        <v>18717.736960000006</v>
      </c>
      <c r="AO11" s="152">
        <v>18717.736960000006</v>
      </c>
      <c r="AP11" s="152">
        <v>18717.736960000006</v>
      </c>
      <c r="AQ11" s="152">
        <v>18717.736960000006</v>
      </c>
      <c r="AR11" s="152">
        <v>18717.736960000006</v>
      </c>
      <c r="AS11" s="152">
        <v>18717.736960000006</v>
      </c>
      <c r="AT11" s="152">
        <v>18717.736960000006</v>
      </c>
      <c r="AU11" s="152">
        <v>18717.736960000006</v>
      </c>
      <c r="AV11" s="152">
        <v>18717.736960000006</v>
      </c>
      <c r="AW11" s="152">
        <v>18717.736960000006</v>
      </c>
      <c r="AX11" s="152">
        <v>19466.446438400006</v>
      </c>
      <c r="AY11" s="152">
        <v>19466.446438400006</v>
      </c>
      <c r="AZ11" s="152">
        <v>19466.446438400006</v>
      </c>
      <c r="BA11" s="152">
        <v>19466.446438400006</v>
      </c>
      <c r="BB11" s="152">
        <v>19466.446438400006</v>
      </c>
      <c r="BC11" s="152">
        <v>19466.446438400006</v>
      </c>
      <c r="BD11" s="152">
        <v>19466.446438400006</v>
      </c>
      <c r="BE11" s="152">
        <v>19466.446438400006</v>
      </c>
      <c r="BF11" s="152">
        <v>19466.446438400006</v>
      </c>
      <c r="BG11" s="152">
        <v>19466.446438400006</v>
      </c>
      <c r="BH11" s="152">
        <v>19466.446438400006</v>
      </c>
      <c r="BI11" s="152">
        <v>19466.446438400006</v>
      </c>
      <c r="BJ11" s="152">
        <v>20245.104295936006</v>
      </c>
      <c r="BK11" s="152">
        <v>20245.104295936006</v>
      </c>
      <c r="BL11" s="152">
        <v>20245.104295936006</v>
      </c>
      <c r="BM11" s="152">
        <v>20245.104295936006</v>
      </c>
      <c r="BN11" s="152">
        <v>20245.104295936006</v>
      </c>
      <c r="BO11" s="152">
        <v>20245.104295936006</v>
      </c>
      <c r="BP11" s="152">
        <v>20245.104295936006</v>
      </c>
      <c r="BQ11" s="152">
        <v>20245.104295936006</v>
      </c>
      <c r="BR11" s="152">
        <v>20245.104295936006</v>
      </c>
      <c r="BS11" s="152">
        <v>20245.104295936006</v>
      </c>
      <c r="BT11" s="152">
        <v>20245.104295936006</v>
      </c>
      <c r="BU11" s="152">
        <v>20245.104295936006</v>
      </c>
      <c r="BV11" s="152">
        <v>21054.908467773446</v>
      </c>
      <c r="BW11" s="152">
        <v>21054.908467773446</v>
      </c>
      <c r="BX11" s="152">
        <v>21054.908467773446</v>
      </c>
      <c r="BY11" s="152">
        <v>21054.908467773446</v>
      </c>
      <c r="BZ11" s="152">
        <v>21054.908467773446</v>
      </c>
      <c r="CA11" s="152">
        <v>21054.908467773446</v>
      </c>
      <c r="CB11" s="152">
        <v>21054.908467773446</v>
      </c>
      <c r="CC11" s="152">
        <v>21054.908467773446</v>
      </c>
      <c r="CD11" s="152">
        <v>21054.908467773446</v>
      </c>
      <c r="CE11" s="152">
        <v>21054.908467773446</v>
      </c>
      <c r="CF11" s="152">
        <v>21054.908467773446</v>
      </c>
      <c r="CG11" s="152">
        <v>21054.908467773446</v>
      </c>
      <c r="CH11" s="152">
        <v>21897.104806484385</v>
      </c>
      <c r="CI11" s="152">
        <v>21897.104806484385</v>
      </c>
      <c r="CJ11" s="152">
        <v>21897.104806484385</v>
      </c>
      <c r="CK11" s="152">
        <v>21897.104806484385</v>
      </c>
      <c r="CL11" s="152">
        <v>21897.104806484385</v>
      </c>
      <c r="CM11" s="152">
        <v>21897.104806484385</v>
      </c>
      <c r="CN11" s="152">
        <v>21897.104806484385</v>
      </c>
      <c r="CO11" s="152">
        <v>21897.104806484385</v>
      </c>
      <c r="CP11" s="152">
        <v>21897.104806484385</v>
      </c>
      <c r="CQ11" s="152">
        <v>21897.104806484385</v>
      </c>
      <c r="CR11" s="152">
        <v>21897.104806484385</v>
      </c>
      <c r="CS11" s="152">
        <v>21897.104806484385</v>
      </c>
      <c r="CT11" s="152">
        <v>22772.98899874376</v>
      </c>
      <c r="CU11" s="152">
        <v>22772.98899874376</v>
      </c>
      <c r="CV11" s="152">
        <v>22772.98899874376</v>
      </c>
      <c r="CW11" s="152">
        <v>22772.98899874376</v>
      </c>
      <c r="CX11" s="152">
        <v>22772.98899874376</v>
      </c>
      <c r="CY11" s="152">
        <v>22772.98899874376</v>
      </c>
    </row>
    <row r="12" spans="1:103" ht="12" customHeight="1">
      <c r="A12" s="25" t="s">
        <v>453</v>
      </c>
      <c r="B12" s="152">
        <v>416000</v>
      </c>
      <c r="C12" s="152">
        <v>416000</v>
      </c>
      <c r="D12" s="152">
        <v>416000</v>
      </c>
      <c r="E12" s="152">
        <v>416000</v>
      </c>
      <c r="F12" s="152">
        <v>416000</v>
      </c>
      <c r="G12" s="152">
        <v>416000</v>
      </c>
      <c r="H12" s="152">
        <v>416000</v>
      </c>
      <c r="I12" s="152">
        <v>416000</v>
      </c>
      <c r="J12" s="152">
        <v>416000</v>
      </c>
      <c r="K12" s="152">
        <v>416000</v>
      </c>
      <c r="L12" s="152">
        <v>416000</v>
      </c>
      <c r="M12" s="152">
        <v>416000</v>
      </c>
      <c r="N12" s="152">
        <v>432640</v>
      </c>
      <c r="O12" s="152">
        <v>432640</v>
      </c>
      <c r="P12" s="152">
        <v>432640</v>
      </c>
      <c r="Q12" s="152">
        <v>432640</v>
      </c>
      <c r="R12" s="152">
        <v>432640</v>
      </c>
      <c r="S12" s="152">
        <v>432640</v>
      </c>
      <c r="T12" s="152">
        <v>432640</v>
      </c>
      <c r="U12" s="152">
        <v>432640</v>
      </c>
      <c r="V12" s="152">
        <v>432640</v>
      </c>
      <c r="W12" s="152">
        <v>432640</v>
      </c>
      <c r="X12" s="152">
        <v>432640</v>
      </c>
      <c r="Y12" s="152">
        <v>432640</v>
      </c>
      <c r="Z12" s="152">
        <v>449945.60000000003</v>
      </c>
      <c r="AA12" s="152">
        <v>449945.60000000003</v>
      </c>
      <c r="AB12" s="152">
        <v>449945.60000000003</v>
      </c>
      <c r="AC12" s="152">
        <v>449945.60000000003</v>
      </c>
      <c r="AD12" s="152">
        <v>449945.60000000003</v>
      </c>
      <c r="AE12" s="152">
        <v>449945.60000000003</v>
      </c>
      <c r="AF12" s="152">
        <v>449945.60000000003</v>
      </c>
      <c r="AG12" s="152">
        <v>449945.60000000003</v>
      </c>
      <c r="AH12" s="152">
        <v>449945.60000000003</v>
      </c>
      <c r="AI12" s="152">
        <v>449945.60000000003</v>
      </c>
      <c r="AJ12" s="152">
        <v>449945.60000000003</v>
      </c>
      <c r="AK12" s="152">
        <v>449945.60000000003</v>
      </c>
      <c r="AL12" s="152">
        <v>467943.42400000006</v>
      </c>
      <c r="AM12" s="152">
        <v>467943.42400000006</v>
      </c>
      <c r="AN12" s="152">
        <v>467943.42400000006</v>
      </c>
      <c r="AO12" s="152">
        <v>467943.42400000006</v>
      </c>
      <c r="AP12" s="152">
        <v>467943.42400000006</v>
      </c>
      <c r="AQ12" s="152">
        <v>467943.42400000006</v>
      </c>
      <c r="AR12" s="152">
        <v>467943.42400000006</v>
      </c>
      <c r="AS12" s="152">
        <v>467943.42400000006</v>
      </c>
      <c r="AT12" s="152">
        <v>467943.42400000006</v>
      </c>
      <c r="AU12" s="152">
        <v>467943.42400000006</v>
      </c>
      <c r="AV12" s="152">
        <v>467943.42400000006</v>
      </c>
      <c r="AW12" s="152">
        <v>467943.42400000006</v>
      </c>
      <c r="AX12" s="152">
        <v>486661.16096000007</v>
      </c>
      <c r="AY12" s="152">
        <v>486661.16096000007</v>
      </c>
      <c r="AZ12" s="152">
        <v>486661.16096000007</v>
      </c>
      <c r="BA12" s="152">
        <v>486661.16096000007</v>
      </c>
      <c r="BB12" s="152">
        <v>486661.16096000007</v>
      </c>
      <c r="BC12" s="152">
        <v>486661.16096000007</v>
      </c>
      <c r="BD12" s="152">
        <v>486661.16096000007</v>
      </c>
      <c r="BE12" s="152">
        <v>486661.16096000007</v>
      </c>
      <c r="BF12" s="152">
        <v>486661.16096000007</v>
      </c>
      <c r="BG12" s="152">
        <v>486661.16096000007</v>
      </c>
      <c r="BH12" s="152">
        <v>486661.16096000007</v>
      </c>
      <c r="BI12" s="152">
        <v>486661.16096000007</v>
      </c>
      <c r="BJ12" s="152">
        <v>506127.60739840008</v>
      </c>
      <c r="BK12" s="152">
        <v>506127.60739840008</v>
      </c>
      <c r="BL12" s="152">
        <v>506127.60739840008</v>
      </c>
      <c r="BM12" s="152">
        <v>506127.60739840008</v>
      </c>
      <c r="BN12" s="152">
        <v>506127.60739840008</v>
      </c>
      <c r="BO12" s="152">
        <v>506127.60739840008</v>
      </c>
      <c r="BP12" s="152">
        <v>506127.60739840008</v>
      </c>
      <c r="BQ12" s="152">
        <v>506127.60739840008</v>
      </c>
      <c r="BR12" s="152">
        <v>506127.60739840008</v>
      </c>
      <c r="BS12" s="152">
        <v>506127.60739840008</v>
      </c>
      <c r="BT12" s="152">
        <v>506127.60739840008</v>
      </c>
      <c r="BU12" s="152">
        <v>506127.60739840008</v>
      </c>
      <c r="BV12" s="152">
        <v>526372.71169433615</v>
      </c>
      <c r="BW12" s="152">
        <v>526372.71169433615</v>
      </c>
      <c r="BX12" s="152">
        <v>526372.71169433615</v>
      </c>
      <c r="BY12" s="152">
        <v>526372.71169433615</v>
      </c>
      <c r="BZ12" s="152">
        <v>526372.71169433615</v>
      </c>
      <c r="CA12" s="152">
        <v>526372.71169433615</v>
      </c>
      <c r="CB12" s="152">
        <v>526372.71169433615</v>
      </c>
      <c r="CC12" s="152">
        <v>526372.71169433615</v>
      </c>
      <c r="CD12" s="152">
        <v>526372.71169433615</v>
      </c>
      <c r="CE12" s="152">
        <v>526372.71169433615</v>
      </c>
      <c r="CF12" s="152">
        <v>526372.71169433615</v>
      </c>
      <c r="CG12" s="152">
        <v>526372.71169433615</v>
      </c>
      <c r="CH12" s="152">
        <v>547427.62016210961</v>
      </c>
      <c r="CI12" s="152">
        <v>547427.62016210961</v>
      </c>
      <c r="CJ12" s="152">
        <v>547427.62016210961</v>
      </c>
      <c r="CK12" s="152">
        <v>547427.62016210961</v>
      </c>
      <c r="CL12" s="152">
        <v>547427.62016210961</v>
      </c>
      <c r="CM12" s="152">
        <v>547427.62016210961</v>
      </c>
      <c r="CN12" s="152">
        <v>547427.62016210961</v>
      </c>
      <c r="CO12" s="152">
        <v>547427.62016210961</v>
      </c>
      <c r="CP12" s="152">
        <v>547427.62016210961</v>
      </c>
      <c r="CQ12" s="152">
        <v>547427.62016210961</v>
      </c>
      <c r="CR12" s="152">
        <v>547427.62016210961</v>
      </c>
      <c r="CS12" s="152">
        <v>547427.62016210961</v>
      </c>
      <c r="CT12" s="152">
        <v>569324.72496859403</v>
      </c>
      <c r="CU12" s="152">
        <v>569324.72496859403</v>
      </c>
      <c r="CV12" s="152">
        <v>569324.72496859403</v>
      </c>
      <c r="CW12" s="152">
        <v>569324.72496859403</v>
      </c>
      <c r="CX12" s="152">
        <v>569324.72496859403</v>
      </c>
      <c r="CY12" s="152">
        <v>569324.72496859403</v>
      </c>
    </row>
    <row r="13" spans="1:103" ht="12" customHeight="1">
      <c r="A13" s="25" t="s">
        <v>454</v>
      </c>
      <c r="B13" s="152">
        <v>312000</v>
      </c>
      <c r="C13" s="152">
        <v>312000</v>
      </c>
      <c r="D13" s="152">
        <v>312000</v>
      </c>
      <c r="E13" s="152">
        <v>312000</v>
      </c>
      <c r="F13" s="152">
        <v>312000</v>
      </c>
      <c r="G13" s="152">
        <v>312000</v>
      </c>
      <c r="H13" s="152">
        <v>312000</v>
      </c>
      <c r="I13" s="152">
        <v>312000</v>
      </c>
      <c r="J13" s="152">
        <v>312000</v>
      </c>
      <c r="K13" s="152">
        <v>312000</v>
      </c>
      <c r="L13" s="152">
        <v>312000</v>
      </c>
      <c r="M13" s="152">
        <v>312000</v>
      </c>
      <c r="N13" s="152">
        <v>0</v>
      </c>
      <c r="O13" s="152">
        <v>0</v>
      </c>
      <c r="P13" s="152">
        <v>0</v>
      </c>
      <c r="Q13" s="152">
        <v>0</v>
      </c>
      <c r="R13" s="152">
        <v>0</v>
      </c>
      <c r="S13" s="152">
        <v>0</v>
      </c>
      <c r="T13" s="152">
        <v>0</v>
      </c>
      <c r="U13" s="152">
        <v>0</v>
      </c>
      <c r="V13" s="152">
        <v>0</v>
      </c>
      <c r="W13" s="152">
        <v>0</v>
      </c>
      <c r="X13" s="152">
        <v>0</v>
      </c>
      <c r="Y13" s="152">
        <v>0</v>
      </c>
      <c r="Z13" s="152">
        <v>0</v>
      </c>
      <c r="AA13" s="152">
        <v>0</v>
      </c>
      <c r="AB13" s="152">
        <v>0</v>
      </c>
      <c r="AC13" s="152">
        <v>0</v>
      </c>
      <c r="AD13" s="152">
        <v>0</v>
      </c>
      <c r="AE13" s="152">
        <v>0</v>
      </c>
      <c r="AF13" s="152">
        <v>0</v>
      </c>
      <c r="AG13" s="152">
        <v>0</v>
      </c>
      <c r="AH13" s="152">
        <v>0</v>
      </c>
      <c r="AI13" s="152">
        <v>0</v>
      </c>
      <c r="AJ13" s="152">
        <v>0</v>
      </c>
      <c r="AK13" s="152">
        <v>0</v>
      </c>
      <c r="AL13" s="152">
        <v>0</v>
      </c>
      <c r="AM13" s="152">
        <v>0</v>
      </c>
      <c r="AN13" s="152">
        <v>0</v>
      </c>
      <c r="AO13" s="152">
        <v>0</v>
      </c>
      <c r="AP13" s="152">
        <v>0</v>
      </c>
      <c r="AQ13" s="152">
        <v>0</v>
      </c>
      <c r="AR13" s="152">
        <v>0</v>
      </c>
      <c r="AS13" s="152">
        <v>0</v>
      </c>
      <c r="AT13" s="152">
        <v>0</v>
      </c>
      <c r="AU13" s="152">
        <v>0</v>
      </c>
      <c r="AV13" s="152">
        <v>0</v>
      </c>
      <c r="AW13" s="152">
        <v>0</v>
      </c>
      <c r="AX13" s="152">
        <v>0</v>
      </c>
      <c r="AY13" s="152">
        <v>0</v>
      </c>
      <c r="AZ13" s="152">
        <v>0</v>
      </c>
      <c r="BA13" s="152">
        <v>0</v>
      </c>
      <c r="BB13" s="152">
        <v>0</v>
      </c>
      <c r="BC13" s="152">
        <v>0</v>
      </c>
      <c r="BD13" s="152">
        <v>0</v>
      </c>
      <c r="BE13" s="152">
        <v>0</v>
      </c>
      <c r="BF13" s="152">
        <v>0</v>
      </c>
      <c r="BG13" s="152">
        <v>0</v>
      </c>
      <c r="BH13" s="152">
        <v>0</v>
      </c>
      <c r="BI13" s="152">
        <v>0</v>
      </c>
      <c r="BJ13" s="152">
        <v>0</v>
      </c>
      <c r="BK13" s="152">
        <v>0</v>
      </c>
      <c r="BL13" s="152">
        <v>0</v>
      </c>
      <c r="BM13" s="152">
        <v>0</v>
      </c>
      <c r="BN13" s="152">
        <v>0</v>
      </c>
      <c r="BO13" s="152">
        <v>0</v>
      </c>
      <c r="BP13" s="152">
        <v>0</v>
      </c>
      <c r="BQ13" s="152">
        <v>0</v>
      </c>
      <c r="BR13" s="152">
        <v>0</v>
      </c>
      <c r="BS13" s="152">
        <v>0</v>
      </c>
      <c r="BT13" s="152">
        <v>0</v>
      </c>
      <c r="BU13" s="152">
        <v>0</v>
      </c>
      <c r="BV13" s="152">
        <v>0</v>
      </c>
      <c r="BW13" s="152">
        <v>0</v>
      </c>
      <c r="BX13" s="152">
        <v>0</v>
      </c>
      <c r="BY13" s="152">
        <v>0</v>
      </c>
      <c r="BZ13" s="152">
        <v>0</v>
      </c>
      <c r="CA13" s="152">
        <v>0</v>
      </c>
      <c r="CB13" s="152">
        <v>0</v>
      </c>
      <c r="CC13" s="152">
        <v>0</v>
      </c>
      <c r="CD13" s="152">
        <v>0</v>
      </c>
      <c r="CE13" s="152">
        <v>0</v>
      </c>
      <c r="CF13" s="152">
        <v>0</v>
      </c>
      <c r="CG13" s="152">
        <v>0</v>
      </c>
      <c r="CH13" s="152">
        <v>0</v>
      </c>
      <c r="CI13" s="152">
        <v>0</v>
      </c>
      <c r="CJ13" s="152">
        <v>0</v>
      </c>
      <c r="CK13" s="152">
        <v>0</v>
      </c>
      <c r="CL13" s="152">
        <v>0</v>
      </c>
      <c r="CM13" s="152">
        <v>0</v>
      </c>
      <c r="CN13" s="152">
        <v>0</v>
      </c>
      <c r="CO13" s="152">
        <v>0</v>
      </c>
      <c r="CP13" s="152">
        <v>0</v>
      </c>
      <c r="CQ13" s="152">
        <v>0</v>
      </c>
      <c r="CR13" s="152">
        <v>0</v>
      </c>
      <c r="CS13" s="152">
        <v>0</v>
      </c>
      <c r="CT13" s="152">
        <v>0</v>
      </c>
      <c r="CU13" s="152">
        <v>0</v>
      </c>
      <c r="CV13" s="152">
        <v>0</v>
      </c>
      <c r="CW13" s="152">
        <v>0</v>
      </c>
      <c r="CX13" s="152">
        <v>0</v>
      </c>
      <c r="CY13" s="152">
        <v>0</v>
      </c>
    </row>
    <row r="14" spans="1:103" ht="12" customHeight="1">
      <c r="A14" s="25" t="s">
        <v>455</v>
      </c>
      <c r="B14" s="152">
        <v>1560000</v>
      </c>
      <c r="C14" s="152">
        <v>1560000</v>
      </c>
      <c r="D14" s="152">
        <v>1560000</v>
      </c>
      <c r="E14" s="152">
        <v>1560000</v>
      </c>
      <c r="F14" s="152">
        <v>1560000</v>
      </c>
      <c r="G14" s="152">
        <v>1560000</v>
      </c>
      <c r="H14" s="152">
        <v>1560000</v>
      </c>
      <c r="I14" s="152">
        <v>1560000</v>
      </c>
      <c r="J14" s="152">
        <v>1560000</v>
      </c>
      <c r="K14" s="152">
        <v>1560000</v>
      </c>
      <c r="L14" s="152">
        <v>1560000</v>
      </c>
      <c r="M14" s="152">
        <v>1560000</v>
      </c>
      <c r="N14" s="152">
        <v>1622400</v>
      </c>
      <c r="O14" s="152">
        <v>1622400</v>
      </c>
      <c r="P14" s="152">
        <v>1622400</v>
      </c>
      <c r="Q14" s="152">
        <v>1622400</v>
      </c>
      <c r="R14" s="152">
        <v>1622400</v>
      </c>
      <c r="S14" s="152">
        <v>1622400</v>
      </c>
      <c r="T14" s="152">
        <v>1622400</v>
      </c>
      <c r="U14" s="152">
        <v>1622400</v>
      </c>
      <c r="V14" s="152">
        <v>1622400</v>
      </c>
      <c r="W14" s="152">
        <v>1622400</v>
      </c>
      <c r="X14" s="152">
        <v>1622400</v>
      </c>
      <c r="Y14" s="152">
        <v>1622400</v>
      </c>
      <c r="Z14" s="152">
        <v>1687296</v>
      </c>
      <c r="AA14" s="152">
        <v>1687296</v>
      </c>
      <c r="AB14" s="152">
        <v>1687296</v>
      </c>
      <c r="AC14" s="152">
        <v>1687296</v>
      </c>
      <c r="AD14" s="152">
        <v>1687296</v>
      </c>
      <c r="AE14" s="152">
        <v>1687296</v>
      </c>
      <c r="AF14" s="152">
        <v>1687296</v>
      </c>
      <c r="AG14" s="152">
        <v>1687296</v>
      </c>
      <c r="AH14" s="152">
        <v>1687296</v>
      </c>
      <c r="AI14" s="152">
        <v>1687296</v>
      </c>
      <c r="AJ14" s="152">
        <v>1687296</v>
      </c>
      <c r="AK14" s="152">
        <v>1687296</v>
      </c>
      <c r="AL14" s="152">
        <v>1754787.8400000001</v>
      </c>
      <c r="AM14" s="152">
        <v>1754787.8400000001</v>
      </c>
      <c r="AN14" s="152">
        <v>1754787.8400000001</v>
      </c>
      <c r="AO14" s="152">
        <v>1754787.8400000001</v>
      </c>
      <c r="AP14" s="152">
        <v>1754787.8400000001</v>
      </c>
      <c r="AQ14" s="152">
        <v>1754787.8400000001</v>
      </c>
      <c r="AR14" s="152">
        <v>1754787.8400000001</v>
      </c>
      <c r="AS14" s="152">
        <v>1754787.8400000001</v>
      </c>
      <c r="AT14" s="152">
        <v>1754787.8400000001</v>
      </c>
      <c r="AU14" s="152">
        <v>1754787.8400000001</v>
      </c>
      <c r="AV14" s="152">
        <v>1754787.8400000001</v>
      </c>
      <c r="AW14" s="152">
        <v>1754787.8400000001</v>
      </c>
      <c r="AX14" s="152">
        <v>1824979.3536000003</v>
      </c>
      <c r="AY14" s="152">
        <v>1824979.3536000003</v>
      </c>
      <c r="AZ14" s="152">
        <v>1824979.3536000003</v>
      </c>
      <c r="BA14" s="152">
        <v>1824979.3536000003</v>
      </c>
      <c r="BB14" s="152">
        <v>1824979.3536000003</v>
      </c>
      <c r="BC14" s="152">
        <v>1824979.3536000003</v>
      </c>
      <c r="BD14" s="152">
        <v>1824979.3536000003</v>
      </c>
      <c r="BE14" s="152">
        <v>1824979.3536000003</v>
      </c>
      <c r="BF14" s="152">
        <v>1824979.3536000003</v>
      </c>
      <c r="BG14" s="152">
        <v>1824979.3536000003</v>
      </c>
      <c r="BH14" s="152">
        <v>1824979.3536000003</v>
      </c>
      <c r="BI14" s="152">
        <v>1824979.3536000003</v>
      </c>
      <c r="BJ14" s="152">
        <v>1897978.5277440003</v>
      </c>
      <c r="BK14" s="152">
        <v>1897978.5277440003</v>
      </c>
      <c r="BL14" s="152">
        <v>1897978.5277440003</v>
      </c>
      <c r="BM14" s="152">
        <v>1897978.5277440003</v>
      </c>
      <c r="BN14" s="152">
        <v>1897978.5277440003</v>
      </c>
      <c r="BO14" s="152">
        <v>1897978.5277440003</v>
      </c>
      <c r="BP14" s="152">
        <v>1897978.5277440003</v>
      </c>
      <c r="BQ14" s="152">
        <v>1897978.5277440003</v>
      </c>
      <c r="BR14" s="152">
        <v>1897978.5277440003</v>
      </c>
      <c r="BS14" s="152">
        <v>1897978.5277440003</v>
      </c>
      <c r="BT14" s="152">
        <v>1897978.5277440003</v>
      </c>
      <c r="BU14" s="152">
        <v>1897978.5277440003</v>
      </c>
      <c r="BV14" s="152">
        <v>1973897.6688537605</v>
      </c>
      <c r="BW14" s="152">
        <v>1973897.6688537605</v>
      </c>
      <c r="BX14" s="152">
        <v>1973897.6688537605</v>
      </c>
      <c r="BY14" s="152">
        <v>1973897.6688537605</v>
      </c>
      <c r="BZ14" s="152">
        <v>1973897.6688537605</v>
      </c>
      <c r="CA14" s="152">
        <v>1973897.6688537605</v>
      </c>
      <c r="CB14" s="152">
        <v>1973897.6688537605</v>
      </c>
      <c r="CC14" s="152">
        <v>1973897.6688537605</v>
      </c>
      <c r="CD14" s="152">
        <v>1973897.6688537605</v>
      </c>
      <c r="CE14" s="152">
        <v>1973897.6688537605</v>
      </c>
      <c r="CF14" s="152">
        <v>1973897.6688537605</v>
      </c>
      <c r="CG14" s="152">
        <v>1973897.6688537605</v>
      </c>
      <c r="CH14" s="152">
        <v>2052853.575607911</v>
      </c>
      <c r="CI14" s="152">
        <v>2052853.575607911</v>
      </c>
      <c r="CJ14" s="152">
        <v>2052853.575607911</v>
      </c>
      <c r="CK14" s="152">
        <v>2052853.575607911</v>
      </c>
      <c r="CL14" s="152">
        <v>2052853.575607911</v>
      </c>
      <c r="CM14" s="152">
        <v>2052853.575607911</v>
      </c>
      <c r="CN14" s="152">
        <v>2052853.575607911</v>
      </c>
      <c r="CO14" s="152">
        <v>2052853.575607911</v>
      </c>
      <c r="CP14" s="152">
        <v>2052853.575607911</v>
      </c>
      <c r="CQ14" s="152">
        <v>2052853.575607911</v>
      </c>
      <c r="CR14" s="152">
        <v>2052853.575607911</v>
      </c>
      <c r="CS14" s="152">
        <v>2052853.575607911</v>
      </c>
      <c r="CT14" s="152">
        <v>2134967.7186322273</v>
      </c>
      <c r="CU14" s="152">
        <v>2134967.7186322273</v>
      </c>
      <c r="CV14" s="152">
        <v>2134967.7186322273</v>
      </c>
      <c r="CW14" s="152">
        <v>2134967.7186322273</v>
      </c>
      <c r="CX14" s="152">
        <v>2134967.7186322273</v>
      </c>
      <c r="CY14" s="152">
        <v>2134967.7186322273</v>
      </c>
    </row>
    <row r="15" spans="1:103" ht="12" customHeight="1">
      <c r="A15" s="25" t="s">
        <v>531</v>
      </c>
      <c r="B15" s="152">
        <f t="shared" ref="B15:AG15" si="2">B23</f>
        <v>5070000</v>
      </c>
      <c r="C15" s="152">
        <f t="shared" si="2"/>
        <v>5070000</v>
      </c>
      <c r="D15" s="152">
        <f t="shared" si="2"/>
        <v>5928000</v>
      </c>
      <c r="E15" s="152">
        <f t="shared" si="2"/>
        <v>5928000</v>
      </c>
      <c r="F15" s="152">
        <f t="shared" si="2"/>
        <v>5928000</v>
      </c>
      <c r="G15" s="152">
        <f t="shared" si="2"/>
        <v>5928000</v>
      </c>
      <c r="H15" s="152">
        <f t="shared" si="2"/>
        <v>5928000</v>
      </c>
      <c r="I15" s="152">
        <f t="shared" si="2"/>
        <v>5928000</v>
      </c>
      <c r="J15" s="152">
        <f t="shared" si="2"/>
        <v>5928000</v>
      </c>
      <c r="K15" s="152">
        <f t="shared" si="2"/>
        <v>5070000</v>
      </c>
      <c r="L15" s="152">
        <f t="shared" si="2"/>
        <v>5070000</v>
      </c>
      <c r="M15" s="152">
        <f t="shared" si="2"/>
        <v>5070000</v>
      </c>
      <c r="N15" s="152">
        <f t="shared" si="2"/>
        <v>5272800</v>
      </c>
      <c r="O15" s="152">
        <f t="shared" si="2"/>
        <v>5272800</v>
      </c>
      <c r="P15" s="152">
        <f t="shared" si="2"/>
        <v>5272800</v>
      </c>
      <c r="Q15" s="152">
        <f t="shared" si="2"/>
        <v>5272800</v>
      </c>
      <c r="R15" s="152">
        <f t="shared" si="2"/>
        <v>5272800</v>
      </c>
      <c r="S15" s="152">
        <f t="shared" si="2"/>
        <v>5272800</v>
      </c>
      <c r="T15" s="152">
        <f t="shared" si="2"/>
        <v>4056000</v>
      </c>
      <c r="U15" s="152">
        <f t="shared" si="2"/>
        <v>4056000</v>
      </c>
      <c r="V15" s="152">
        <f t="shared" si="2"/>
        <v>3244800</v>
      </c>
      <c r="W15" s="152">
        <f t="shared" si="2"/>
        <v>3244800</v>
      </c>
      <c r="X15" s="152">
        <f t="shared" si="2"/>
        <v>3244800</v>
      </c>
      <c r="Y15" s="152">
        <f t="shared" si="2"/>
        <v>3244800</v>
      </c>
      <c r="Z15" s="152">
        <f t="shared" si="2"/>
        <v>3374592</v>
      </c>
      <c r="AA15" s="152">
        <f t="shared" si="2"/>
        <v>3374592</v>
      </c>
      <c r="AB15" s="152">
        <f t="shared" si="2"/>
        <v>3374592</v>
      </c>
      <c r="AC15" s="152">
        <f t="shared" si="2"/>
        <v>3374592</v>
      </c>
      <c r="AD15" s="152">
        <f t="shared" si="2"/>
        <v>3374592</v>
      </c>
      <c r="AE15" s="152">
        <f t="shared" si="2"/>
        <v>3374592</v>
      </c>
      <c r="AF15" s="152">
        <f t="shared" si="2"/>
        <v>3374592</v>
      </c>
      <c r="AG15" s="152">
        <f t="shared" si="2"/>
        <v>2530944</v>
      </c>
      <c r="AH15" s="152">
        <f t="shared" ref="AH15:BM15" si="3">AH23</f>
        <v>2530944</v>
      </c>
      <c r="AI15" s="152">
        <f t="shared" si="3"/>
        <v>2530944</v>
      </c>
      <c r="AJ15" s="152">
        <f t="shared" si="3"/>
        <v>2530944</v>
      </c>
      <c r="AK15" s="152">
        <f t="shared" si="3"/>
        <v>2530944</v>
      </c>
      <c r="AL15" s="152">
        <f t="shared" si="3"/>
        <v>2632181.7600000002</v>
      </c>
      <c r="AM15" s="152">
        <f t="shared" si="3"/>
        <v>2632181.7600000002</v>
      </c>
      <c r="AN15" s="152">
        <f t="shared" si="3"/>
        <v>2632181.7600000002</v>
      </c>
      <c r="AO15" s="152">
        <f t="shared" si="3"/>
        <v>2632181.7600000002</v>
      </c>
      <c r="AP15" s="152">
        <f t="shared" si="3"/>
        <v>2632181.7600000002</v>
      </c>
      <c r="AQ15" s="152">
        <f t="shared" si="3"/>
        <v>2632181.7600000002</v>
      </c>
      <c r="AR15" s="152">
        <f t="shared" si="3"/>
        <v>1754787.8400000001</v>
      </c>
      <c r="AS15" s="152">
        <f t="shared" si="3"/>
        <v>1754787.8400000001</v>
      </c>
      <c r="AT15" s="152">
        <f t="shared" si="3"/>
        <v>1754787.8400000001</v>
      </c>
      <c r="AU15" s="152">
        <f t="shared" si="3"/>
        <v>1754787.8400000001</v>
      </c>
      <c r="AV15" s="152">
        <f t="shared" si="3"/>
        <v>1754787.8400000001</v>
      </c>
      <c r="AW15" s="152">
        <f t="shared" si="3"/>
        <v>1754787.8400000001</v>
      </c>
      <c r="AX15" s="152">
        <f t="shared" si="3"/>
        <v>1824979.3536000003</v>
      </c>
      <c r="AY15" s="152">
        <f t="shared" si="3"/>
        <v>1824979.3536000003</v>
      </c>
      <c r="AZ15" s="152">
        <f t="shared" si="3"/>
        <v>1824979.3536000003</v>
      </c>
      <c r="BA15" s="152">
        <f t="shared" si="3"/>
        <v>1824979.3536000003</v>
      </c>
      <c r="BB15" s="152">
        <f t="shared" si="3"/>
        <v>1824979.3536000003</v>
      </c>
      <c r="BC15" s="152">
        <f t="shared" si="3"/>
        <v>1824979.3536000003</v>
      </c>
      <c r="BD15" s="152">
        <f t="shared" si="3"/>
        <v>1824979.3536000003</v>
      </c>
      <c r="BE15" s="152">
        <f t="shared" si="3"/>
        <v>1824979.3536000003</v>
      </c>
      <c r="BF15" s="152">
        <f t="shared" si="3"/>
        <v>1824979.3536000003</v>
      </c>
      <c r="BG15" s="152">
        <f t="shared" si="3"/>
        <v>1824979.3536000003</v>
      </c>
      <c r="BH15" s="152">
        <f t="shared" si="3"/>
        <v>1824979.3536000003</v>
      </c>
      <c r="BI15" s="152">
        <f t="shared" si="3"/>
        <v>1824979.3536000003</v>
      </c>
      <c r="BJ15" s="152">
        <f t="shared" si="3"/>
        <v>1897978.5277440003</v>
      </c>
      <c r="BK15" s="152">
        <f t="shared" si="3"/>
        <v>1897978.5277440003</v>
      </c>
      <c r="BL15" s="152">
        <f t="shared" si="3"/>
        <v>1897978.5277440003</v>
      </c>
      <c r="BM15" s="152">
        <f t="shared" si="3"/>
        <v>1897978.5277440003</v>
      </c>
      <c r="BN15" s="152">
        <f t="shared" ref="BN15:CS15" si="4">BN23</f>
        <v>1897978.5277440003</v>
      </c>
      <c r="BO15" s="152">
        <f t="shared" si="4"/>
        <v>1897978.5277440003</v>
      </c>
      <c r="BP15" s="152">
        <f t="shared" si="4"/>
        <v>1897978.5277440003</v>
      </c>
      <c r="BQ15" s="152">
        <f t="shared" si="4"/>
        <v>1897978.5277440003</v>
      </c>
      <c r="BR15" s="152">
        <f t="shared" si="4"/>
        <v>1897978.5277440003</v>
      </c>
      <c r="BS15" s="152">
        <f t="shared" si="4"/>
        <v>1897978.5277440003</v>
      </c>
      <c r="BT15" s="152">
        <f t="shared" si="4"/>
        <v>1897978.5277440003</v>
      </c>
      <c r="BU15" s="152">
        <f t="shared" si="4"/>
        <v>1897978.5277440003</v>
      </c>
      <c r="BV15" s="152">
        <f t="shared" si="4"/>
        <v>1973897.6688537605</v>
      </c>
      <c r="BW15" s="152">
        <f t="shared" si="4"/>
        <v>1973897.6688537605</v>
      </c>
      <c r="BX15" s="152">
        <f t="shared" si="4"/>
        <v>1973897.6688537605</v>
      </c>
      <c r="BY15" s="152">
        <f t="shared" si="4"/>
        <v>1973897.6688537605</v>
      </c>
      <c r="BZ15" s="152">
        <f t="shared" si="4"/>
        <v>1973897.6688537605</v>
      </c>
      <c r="CA15" s="152">
        <f t="shared" si="4"/>
        <v>1973897.6688537605</v>
      </c>
      <c r="CB15" s="152">
        <f t="shared" si="4"/>
        <v>1973897.6688537605</v>
      </c>
      <c r="CC15" s="152">
        <f t="shared" si="4"/>
        <v>1973897.6688537605</v>
      </c>
      <c r="CD15" s="152">
        <f t="shared" si="4"/>
        <v>1973897.6688537605</v>
      </c>
      <c r="CE15" s="152">
        <f t="shared" si="4"/>
        <v>1579118.1350830083</v>
      </c>
      <c r="CF15" s="152">
        <f t="shared" si="4"/>
        <v>1579118.1350830083</v>
      </c>
      <c r="CG15" s="152">
        <f t="shared" si="4"/>
        <v>1579118.1350830083</v>
      </c>
      <c r="CH15" s="152">
        <f t="shared" si="4"/>
        <v>1642282.8604863286</v>
      </c>
      <c r="CI15" s="152">
        <f t="shared" si="4"/>
        <v>1642282.8604863286</v>
      </c>
      <c r="CJ15" s="152">
        <f t="shared" si="4"/>
        <v>1642282.8604863286</v>
      </c>
      <c r="CK15" s="152">
        <f t="shared" si="4"/>
        <v>1642282.8604863286</v>
      </c>
      <c r="CL15" s="152">
        <f t="shared" si="4"/>
        <v>1642282.8604863286</v>
      </c>
      <c r="CM15" s="152">
        <f t="shared" si="4"/>
        <v>1642282.8604863286</v>
      </c>
      <c r="CN15" s="152">
        <f t="shared" si="4"/>
        <v>1642282.8604863286</v>
      </c>
      <c r="CO15" s="152">
        <f t="shared" si="4"/>
        <v>1642282.8604863286</v>
      </c>
      <c r="CP15" s="152">
        <f t="shared" si="4"/>
        <v>1642282.8604863286</v>
      </c>
      <c r="CQ15" s="152">
        <f t="shared" si="4"/>
        <v>1642282.8604863286</v>
      </c>
      <c r="CR15" s="152">
        <f t="shared" si="4"/>
        <v>1642282.8604863286</v>
      </c>
      <c r="CS15" s="152">
        <f t="shared" si="4"/>
        <v>1642282.8604863286</v>
      </c>
      <c r="CT15" s="152">
        <f t="shared" ref="CT15:CY15" si="5">CT23</f>
        <v>1707974.1749057819</v>
      </c>
      <c r="CU15" s="152">
        <f t="shared" si="5"/>
        <v>1707974.1749057819</v>
      </c>
      <c r="CV15" s="152">
        <f t="shared" si="5"/>
        <v>1707974.1749057819</v>
      </c>
      <c r="CW15" s="152">
        <f t="shared" si="5"/>
        <v>1707974.1749057819</v>
      </c>
      <c r="CX15" s="152">
        <f t="shared" si="5"/>
        <v>1707974.1749057819</v>
      </c>
      <c r="CY15" s="152">
        <f t="shared" si="5"/>
        <v>1707974.1749057819</v>
      </c>
    </row>
    <row r="16" spans="1:103" ht="12" customHeight="1">
      <c r="A16" s="25" t="s">
        <v>336</v>
      </c>
      <c r="B16" s="152">
        <v>0</v>
      </c>
      <c r="C16" s="152">
        <v>0</v>
      </c>
      <c r="D16" s="152">
        <v>0</v>
      </c>
      <c r="E16" s="152">
        <v>0</v>
      </c>
      <c r="F16" s="152">
        <v>0</v>
      </c>
      <c r="G16" s="152">
        <v>0</v>
      </c>
      <c r="H16" s="152">
        <v>0</v>
      </c>
      <c r="I16" s="152">
        <v>0</v>
      </c>
      <c r="J16" s="152">
        <v>0</v>
      </c>
      <c r="K16" s="152">
        <v>0</v>
      </c>
      <c r="L16" s="152">
        <v>0</v>
      </c>
      <c r="M16" s="152">
        <v>0</v>
      </c>
      <c r="N16" s="152">
        <v>2608390.8975600004</v>
      </c>
      <c r="O16" s="152">
        <v>2608390.8975600004</v>
      </c>
      <c r="P16" s="152">
        <v>2608390.8975600004</v>
      </c>
      <c r="Q16" s="152">
        <v>2608390.8975600004</v>
      </c>
      <c r="R16" s="152">
        <v>2608390.8975600004</v>
      </c>
      <c r="S16" s="152">
        <v>2608390.8975600004</v>
      </c>
      <c r="T16" s="152">
        <v>2608390.8975600004</v>
      </c>
      <c r="U16" s="152">
        <v>2608390.8975600004</v>
      </c>
      <c r="V16" s="152">
        <v>2608390.8975600004</v>
      </c>
      <c r="W16" s="152">
        <v>2608390.8975600004</v>
      </c>
      <c r="X16" s="152">
        <v>2608390.8975600004</v>
      </c>
      <c r="Y16" s="152">
        <v>2608390.8975600004</v>
      </c>
      <c r="Z16" s="152">
        <f>Z18*Z19</f>
        <v>4725000</v>
      </c>
      <c r="AA16" s="152">
        <f t="shared" ref="AA16:CL16" si="6">AA18*AA19</f>
        <v>4725000</v>
      </c>
      <c r="AB16" s="152">
        <f t="shared" si="6"/>
        <v>4725000</v>
      </c>
      <c r="AC16" s="152">
        <f t="shared" si="6"/>
        <v>4725000</v>
      </c>
      <c r="AD16" s="152">
        <f t="shared" si="6"/>
        <v>4725000</v>
      </c>
      <c r="AE16" s="152">
        <f t="shared" si="6"/>
        <v>4725000</v>
      </c>
      <c r="AF16" s="152">
        <f t="shared" si="6"/>
        <v>4725000</v>
      </c>
      <c r="AG16" s="152">
        <f t="shared" si="6"/>
        <v>4725000</v>
      </c>
      <c r="AH16" s="152">
        <f t="shared" si="6"/>
        <v>4725000</v>
      </c>
      <c r="AI16" s="152">
        <f t="shared" si="6"/>
        <v>4725000</v>
      </c>
      <c r="AJ16" s="152">
        <f t="shared" si="6"/>
        <v>4725000</v>
      </c>
      <c r="AK16" s="152">
        <f t="shared" si="6"/>
        <v>4725000</v>
      </c>
      <c r="AL16" s="152">
        <f t="shared" si="6"/>
        <v>4725000</v>
      </c>
      <c r="AM16" s="152">
        <f t="shared" si="6"/>
        <v>4725000</v>
      </c>
      <c r="AN16" s="152">
        <f t="shared" si="6"/>
        <v>4725000</v>
      </c>
      <c r="AO16" s="152">
        <f t="shared" si="6"/>
        <v>4725000</v>
      </c>
      <c r="AP16" s="152">
        <f t="shared" si="6"/>
        <v>4725000</v>
      </c>
      <c r="AQ16" s="152">
        <f t="shared" si="6"/>
        <v>4725000</v>
      </c>
      <c r="AR16" s="152">
        <f t="shared" si="6"/>
        <v>4725000</v>
      </c>
      <c r="AS16" s="152">
        <f t="shared" si="6"/>
        <v>4725000</v>
      </c>
      <c r="AT16" s="152">
        <f t="shared" si="6"/>
        <v>4725000</v>
      </c>
      <c r="AU16" s="152">
        <f t="shared" si="6"/>
        <v>4725000</v>
      </c>
      <c r="AV16" s="152">
        <f t="shared" si="6"/>
        <v>4725000</v>
      </c>
      <c r="AW16" s="152">
        <f t="shared" si="6"/>
        <v>4725000</v>
      </c>
      <c r="AX16" s="152">
        <f t="shared" si="6"/>
        <v>4725000</v>
      </c>
      <c r="AY16" s="152">
        <f t="shared" si="6"/>
        <v>4725000</v>
      </c>
      <c r="AZ16" s="152">
        <f t="shared" si="6"/>
        <v>4725000</v>
      </c>
      <c r="BA16" s="152">
        <f t="shared" si="6"/>
        <v>4725000</v>
      </c>
      <c r="BB16" s="152">
        <f t="shared" si="6"/>
        <v>4725000</v>
      </c>
      <c r="BC16" s="152">
        <f t="shared" si="6"/>
        <v>4725000</v>
      </c>
      <c r="BD16" s="152">
        <f t="shared" si="6"/>
        <v>4725000</v>
      </c>
      <c r="BE16" s="152">
        <f t="shared" si="6"/>
        <v>4725000</v>
      </c>
      <c r="BF16" s="152">
        <f t="shared" si="6"/>
        <v>4725000</v>
      </c>
      <c r="BG16" s="152">
        <f t="shared" si="6"/>
        <v>4725000</v>
      </c>
      <c r="BH16" s="152">
        <f t="shared" si="6"/>
        <v>4725000</v>
      </c>
      <c r="BI16" s="152">
        <f t="shared" si="6"/>
        <v>4725000</v>
      </c>
      <c r="BJ16" s="152">
        <f t="shared" si="6"/>
        <v>4725000</v>
      </c>
      <c r="BK16" s="152">
        <f t="shared" si="6"/>
        <v>4725000</v>
      </c>
      <c r="BL16" s="152">
        <f t="shared" si="6"/>
        <v>4725000</v>
      </c>
      <c r="BM16" s="152">
        <f t="shared" si="6"/>
        <v>2099999.9999999995</v>
      </c>
      <c r="BN16" s="152">
        <f t="shared" si="6"/>
        <v>2099999.9999999995</v>
      </c>
      <c r="BO16" s="152">
        <f t="shared" si="6"/>
        <v>2099999.9999999995</v>
      </c>
      <c r="BP16" s="152">
        <f t="shared" si="6"/>
        <v>3150000</v>
      </c>
      <c r="BQ16" s="152">
        <f t="shared" si="6"/>
        <v>3150000</v>
      </c>
      <c r="BR16" s="152">
        <f t="shared" si="6"/>
        <v>3150000</v>
      </c>
      <c r="BS16" s="152">
        <f t="shared" si="6"/>
        <v>3150000</v>
      </c>
      <c r="BT16" s="152">
        <f t="shared" si="6"/>
        <v>24360000</v>
      </c>
      <c r="BU16" s="152">
        <f t="shared" si="6"/>
        <v>5250000</v>
      </c>
      <c r="BV16" s="152">
        <f t="shared" si="6"/>
        <v>12075000</v>
      </c>
      <c r="BW16" s="152">
        <f t="shared" si="6"/>
        <v>14700000.000000002</v>
      </c>
      <c r="BX16" s="152">
        <f t="shared" si="6"/>
        <v>14700000.000000002</v>
      </c>
      <c r="BY16" s="152">
        <f t="shared" si="6"/>
        <v>14714700</v>
      </c>
      <c r="BZ16" s="152">
        <f t="shared" si="6"/>
        <v>14754600</v>
      </c>
      <c r="CA16" s="152">
        <f t="shared" si="6"/>
        <v>14766150</v>
      </c>
      <c r="CB16" s="152">
        <f t="shared" si="6"/>
        <v>14752500</v>
      </c>
      <c r="CC16" s="152">
        <f t="shared" si="6"/>
        <v>14749350</v>
      </c>
      <c r="CD16" s="152">
        <f t="shared" si="6"/>
        <v>14723100</v>
      </c>
      <c r="CE16" s="152">
        <f t="shared" si="6"/>
        <v>14700000.000000002</v>
      </c>
      <c r="CF16" s="152">
        <f t="shared" si="6"/>
        <v>14700000.000000002</v>
      </c>
      <c r="CG16" s="152">
        <f t="shared" si="6"/>
        <v>14700000.000000002</v>
      </c>
      <c r="CH16" s="152">
        <f t="shared" si="6"/>
        <v>14700000</v>
      </c>
      <c r="CI16" s="152">
        <f t="shared" si="6"/>
        <v>14700000</v>
      </c>
      <c r="CJ16" s="152">
        <f t="shared" si="6"/>
        <v>6300000</v>
      </c>
      <c r="CK16" s="152">
        <f t="shared" si="6"/>
        <v>6300000</v>
      </c>
      <c r="CL16" s="152">
        <f t="shared" si="6"/>
        <v>6300000</v>
      </c>
      <c r="CM16" s="152">
        <f t="shared" ref="CM16:CY16" si="7">CM18*CM19</f>
        <v>6300000</v>
      </c>
      <c r="CN16" s="152">
        <f t="shared" si="7"/>
        <v>6300000</v>
      </c>
      <c r="CO16" s="152">
        <f t="shared" si="7"/>
        <v>6300000</v>
      </c>
      <c r="CP16" s="152">
        <f t="shared" si="7"/>
        <v>6300000</v>
      </c>
      <c r="CQ16" s="152">
        <f t="shared" si="7"/>
        <v>6300000</v>
      </c>
      <c r="CR16" s="152">
        <f t="shared" si="7"/>
        <v>6300000</v>
      </c>
      <c r="CS16" s="152">
        <f t="shared" si="7"/>
        <v>6300000</v>
      </c>
      <c r="CT16" s="152">
        <f t="shared" si="7"/>
        <v>6300000</v>
      </c>
      <c r="CU16" s="152">
        <f t="shared" si="7"/>
        <v>6300000</v>
      </c>
      <c r="CV16" s="152">
        <f t="shared" si="7"/>
        <v>3150000</v>
      </c>
      <c r="CW16" s="152">
        <f t="shared" si="7"/>
        <v>3150000</v>
      </c>
      <c r="CX16" s="152">
        <f t="shared" si="7"/>
        <v>3150000</v>
      </c>
      <c r="CY16" s="152">
        <f t="shared" si="7"/>
        <v>3150000</v>
      </c>
    </row>
    <row r="17" spans="1:103" ht="12" customHeight="1" thickBot="1">
      <c r="A17" s="37" t="s">
        <v>530</v>
      </c>
      <c r="B17" s="154">
        <f t="shared" ref="B17:AG17" si="8">SUM(B2:B16)</f>
        <v>9002924.6283333339</v>
      </c>
      <c r="C17" s="154">
        <f t="shared" si="8"/>
        <v>9004008.6222222224</v>
      </c>
      <c r="D17" s="154">
        <f t="shared" si="8"/>
        <v>9863096.1301620379</v>
      </c>
      <c r="E17" s="154">
        <f t="shared" si="8"/>
        <v>9725519.1648432687</v>
      </c>
      <c r="F17" s="154">
        <f t="shared" si="8"/>
        <v>9726609.8864849769</v>
      </c>
      <c r="G17" s="154">
        <f t="shared" si="8"/>
        <v>9727702.1270015799</v>
      </c>
      <c r="H17" s="154">
        <f t="shared" si="8"/>
        <v>9728794.8116696421</v>
      </c>
      <c r="I17" s="154">
        <f t="shared" si="8"/>
        <v>9729888.094961321</v>
      </c>
      <c r="J17" s="154">
        <f t="shared" si="8"/>
        <v>9730983.0655444935</v>
      </c>
      <c r="K17" s="154">
        <f t="shared" si="8"/>
        <v>8874079.7304495387</v>
      </c>
      <c r="L17" s="154">
        <f t="shared" si="8"/>
        <v>8875178.096736135</v>
      </c>
      <c r="M17" s="154">
        <f t="shared" si="8"/>
        <v>8876278.1714933701</v>
      </c>
      <c r="N17" s="154">
        <f t="shared" si="8"/>
        <v>11582120.438066537</v>
      </c>
      <c r="O17" s="154">
        <f t="shared" si="8"/>
        <v>11582830.617817258</v>
      </c>
      <c r="P17" s="154">
        <f t="shared" si="8"/>
        <v>11583542.527483609</v>
      </c>
      <c r="Q17" s="154">
        <f t="shared" si="8"/>
        <v>11584256.174273567</v>
      </c>
      <c r="R17" s="154">
        <f t="shared" si="8"/>
        <v>11584971.56542515</v>
      </c>
      <c r="S17" s="154">
        <f t="shared" si="8"/>
        <v>11585688.708206534</v>
      </c>
      <c r="T17" s="154">
        <f t="shared" si="8"/>
        <v>10369607.609916173</v>
      </c>
      <c r="U17" s="154">
        <f t="shared" si="8"/>
        <v>10370328.277882934</v>
      </c>
      <c r="V17" s="154">
        <f t="shared" si="8"/>
        <v>9559850.7194662243</v>
      </c>
      <c r="W17" s="154">
        <f t="shared" si="8"/>
        <v>9560574.942056112</v>
      </c>
      <c r="X17" s="154">
        <f t="shared" si="8"/>
        <v>9561300.9530734569</v>
      </c>
      <c r="Y17" s="154">
        <f t="shared" si="8"/>
        <v>9562028.7599700391</v>
      </c>
      <c r="Z17" s="154">
        <f t="shared" si="8"/>
        <v>14427785.497148693</v>
      </c>
      <c r="AA17" s="154">
        <f t="shared" si="8"/>
        <v>14428369.418283423</v>
      </c>
      <c r="AB17" s="154">
        <f t="shared" si="8"/>
        <v>14428955.157839548</v>
      </c>
      <c r="AC17" s="154">
        <f t="shared" si="8"/>
        <v>14429542.723393824</v>
      </c>
      <c r="AD17" s="154">
        <f t="shared" si="8"/>
        <v>14430132.122554578</v>
      </c>
      <c r="AE17" s="154">
        <f t="shared" si="8"/>
        <v>14430723.362961832</v>
      </c>
      <c r="AF17" s="154">
        <f t="shared" si="8"/>
        <v>14431316.45228745</v>
      </c>
      <c r="AG17" s="154">
        <f t="shared" si="8"/>
        <v>13588263.398235258</v>
      </c>
      <c r="AH17" s="154">
        <f t="shared" ref="AH17:BM17" si="9">SUM(AH2:AH16)</f>
        <v>13588860.208541185</v>
      </c>
      <c r="AI17" s="154">
        <f t="shared" si="9"/>
        <v>13589458.890973382</v>
      </c>
      <c r="AJ17" s="154">
        <f t="shared" si="9"/>
        <v>13590059.453332383</v>
      </c>
      <c r="AK17" s="154">
        <f t="shared" si="9"/>
        <v>13590661.903451212</v>
      </c>
      <c r="AL17" s="154">
        <f t="shared" si="9"/>
        <v>13815979.30798807</v>
      </c>
      <c r="AM17" s="154">
        <f t="shared" si="9"/>
        <v>13816536.390589664</v>
      </c>
      <c r="AN17" s="154">
        <f t="shared" si="9"/>
        <v>13817095.384646541</v>
      </c>
      <c r="AO17" s="154">
        <f t="shared" si="9"/>
        <v>13817656.298123099</v>
      </c>
      <c r="AP17" s="154">
        <f t="shared" si="9"/>
        <v>13818219.139016921</v>
      </c>
      <c r="AQ17" s="154">
        <f t="shared" si="9"/>
        <v>13818783.91535891</v>
      </c>
      <c r="AR17" s="154">
        <f t="shared" si="9"/>
        <v>12941956.715213437</v>
      </c>
      <c r="AS17" s="154">
        <f t="shared" si="9"/>
        <v>12942525.386678468</v>
      </c>
      <c r="AT17" s="154">
        <f t="shared" si="9"/>
        <v>12943096.017885715</v>
      </c>
      <c r="AU17" s="154">
        <f t="shared" si="9"/>
        <v>12943668.61700077</v>
      </c>
      <c r="AV17" s="154">
        <f t="shared" si="9"/>
        <v>12944243.192223249</v>
      </c>
      <c r="AW17" s="154">
        <f t="shared" si="9"/>
        <v>12944819.751786932</v>
      </c>
      <c r="AX17" s="154">
        <f t="shared" si="9"/>
        <v>13144006.094970811</v>
      </c>
      <c r="AY17" s="154">
        <f t="shared" si="9"/>
        <v>13144537.481388953</v>
      </c>
      <c r="AZ17" s="154">
        <f t="shared" si="9"/>
        <v>13145070.877056058</v>
      </c>
      <c r="BA17" s="154">
        <f t="shared" si="9"/>
        <v>13145606.290344</v>
      </c>
      <c r="BB17" s="154">
        <f t="shared" si="9"/>
        <v>13146143.729659531</v>
      </c>
      <c r="BC17" s="154">
        <f t="shared" si="9"/>
        <v>13146683.203444431</v>
      </c>
      <c r="BD17" s="154">
        <f t="shared" si="9"/>
        <v>13147224.720175657</v>
      </c>
      <c r="BE17" s="154">
        <f t="shared" si="9"/>
        <v>13147768.288365487</v>
      </c>
      <c r="BF17" s="154">
        <f t="shared" si="9"/>
        <v>13148313.916561661</v>
      </c>
      <c r="BG17" s="154">
        <f t="shared" si="9"/>
        <v>13148861.613347543</v>
      </c>
      <c r="BH17" s="154">
        <f t="shared" si="9"/>
        <v>13149411.387342254</v>
      </c>
      <c r="BI17" s="154">
        <f t="shared" si="9"/>
        <v>13149963.247200834</v>
      </c>
      <c r="BJ17" s="154">
        <f t="shared" si="9"/>
        <v>13357120.43759905</v>
      </c>
      <c r="BK17" s="154">
        <f t="shared" si="9"/>
        <v>13357676.495294873</v>
      </c>
      <c r="BL17" s="154">
        <f t="shared" si="9"/>
        <v>13358234.66503665</v>
      </c>
      <c r="BM17" s="154">
        <f t="shared" si="9"/>
        <v>10733794.955624575</v>
      </c>
      <c r="BN17" s="154">
        <f t="shared" ref="BN17:CS17" si="10">SUM(BN2:BN16)</f>
        <v>10734357.375895506</v>
      </c>
      <c r="BO17" s="154">
        <f t="shared" si="10"/>
        <v>10734921.93472312</v>
      </c>
      <c r="BP17" s="154">
        <f t="shared" si="10"/>
        <v>11785488.64101807</v>
      </c>
      <c r="BQ17" s="154">
        <f t="shared" si="10"/>
        <v>11786057.50372814</v>
      </c>
      <c r="BR17" s="154">
        <f t="shared" si="10"/>
        <v>11786628.531838391</v>
      </c>
      <c r="BS17" s="154">
        <f t="shared" si="10"/>
        <v>11787201.734371321</v>
      </c>
      <c r="BT17" s="154">
        <f t="shared" si="10"/>
        <v>32997777.120387033</v>
      </c>
      <c r="BU17" s="154">
        <f t="shared" si="10"/>
        <v>13888354.698983358</v>
      </c>
      <c r="BV17" s="154">
        <f t="shared" si="10"/>
        <v>20928801.844720118</v>
      </c>
      <c r="BW17" s="154">
        <f t="shared" si="10"/>
        <v>23554383.835923016</v>
      </c>
      <c r="BX17" s="154">
        <f t="shared" si="10"/>
        <v>23554968.047228143</v>
      </c>
      <c r="BY17" s="154">
        <f t="shared" si="10"/>
        <v>23570254.48788593</v>
      </c>
      <c r="BZ17" s="154">
        <f t="shared" si="10"/>
        <v>23610743.167185351</v>
      </c>
      <c r="CA17" s="154">
        <f t="shared" si="10"/>
        <v>23622884.094454072</v>
      </c>
      <c r="CB17" s="154">
        <f t="shared" si="10"/>
        <v>23609827.279058635</v>
      </c>
      <c r="CC17" s="154">
        <f t="shared" si="10"/>
        <v>23607272.730404608</v>
      </c>
      <c r="CD17" s="154">
        <f t="shared" si="10"/>
        <v>23581620.457936741</v>
      </c>
      <c r="CE17" s="154">
        <f t="shared" si="10"/>
        <v>23164340.9373684</v>
      </c>
      <c r="CF17" s="154">
        <f t="shared" si="10"/>
        <v>23164943.245764703</v>
      </c>
      <c r="CG17" s="154">
        <f t="shared" si="10"/>
        <v>23165547.85891822</v>
      </c>
      <c r="CH17" s="154">
        <f t="shared" si="10"/>
        <v>23373825.665122282</v>
      </c>
      <c r="CI17" s="154">
        <f t="shared" si="10"/>
        <v>23374434.916639689</v>
      </c>
      <c r="CJ17" s="154">
        <f t="shared" si="10"/>
        <v>14975046.501843972</v>
      </c>
      <c r="CK17" s="154">
        <f t="shared" si="10"/>
        <v>14975660.430458829</v>
      </c>
      <c r="CL17" s="154">
        <f t="shared" si="10"/>
        <v>14976276.712248471</v>
      </c>
      <c r="CM17" s="154">
        <f t="shared" si="10"/>
        <v>14976895.357017791</v>
      </c>
      <c r="CN17" s="154">
        <f t="shared" si="10"/>
        <v>14977516.374612538</v>
      </c>
      <c r="CO17" s="154">
        <f t="shared" si="10"/>
        <v>14978139.774919488</v>
      </c>
      <c r="CP17" s="154">
        <f t="shared" si="10"/>
        <v>14978765.567866603</v>
      </c>
      <c r="CQ17" s="154">
        <f t="shared" si="10"/>
        <v>14979393.763423221</v>
      </c>
      <c r="CR17" s="154">
        <f t="shared" si="10"/>
        <v>14980024.371600214</v>
      </c>
      <c r="CS17" s="154">
        <f t="shared" si="10"/>
        <v>14980657.402450167</v>
      </c>
      <c r="CT17" s="154">
        <f t="shared" ref="CT17:CY17" si="11">SUM(CT2:CT16)</f>
        <v>15197270.579905346</v>
      </c>
      <c r="CU17" s="154">
        <f t="shared" si="11"/>
        <v>15197908.486426691</v>
      </c>
      <c r="CV17" s="154">
        <f t="shared" si="11"/>
        <v>12048548.846030762</v>
      </c>
      <c r="CW17" s="154">
        <f t="shared" si="11"/>
        <v>12049191.668938741</v>
      </c>
      <c r="CX17" s="154">
        <f t="shared" si="11"/>
        <v>12049836.96541439</v>
      </c>
      <c r="CY17" s="154">
        <f t="shared" si="11"/>
        <v>12050499.790764244</v>
      </c>
    </row>
    <row r="18" spans="1:103" s="188" customFormat="1" ht="12" customHeight="1" thickTop="1">
      <c r="A18" s="25" t="s">
        <v>529</v>
      </c>
      <c r="B18" s="153">
        <v>1136.5537680000002</v>
      </c>
      <c r="C18" s="153">
        <v>1136.5537680000002</v>
      </c>
      <c r="D18" s="153">
        <v>1136.5537680000002</v>
      </c>
      <c r="E18" s="153">
        <v>1136.5537680000002</v>
      </c>
      <c r="F18" s="153">
        <v>1136.5537680000002</v>
      </c>
      <c r="G18" s="153">
        <v>1136.5537680000002</v>
      </c>
      <c r="H18" s="153">
        <v>1136.5537680000002</v>
      </c>
      <c r="I18" s="153">
        <v>1136.5537680000002</v>
      </c>
      <c r="J18" s="153">
        <v>1136.5537680000002</v>
      </c>
      <c r="K18" s="153">
        <v>1136.5537680000002</v>
      </c>
      <c r="L18" s="153">
        <v>1136.5537680000002</v>
      </c>
      <c r="M18" s="153">
        <v>1136.5537680000002</v>
      </c>
      <c r="N18" s="153">
        <v>1159.2848433600002</v>
      </c>
      <c r="O18" s="153">
        <v>1159.2848433600002</v>
      </c>
      <c r="P18" s="153">
        <v>1159.2848433600002</v>
      </c>
      <c r="Q18" s="153">
        <v>1159.2848433600002</v>
      </c>
      <c r="R18" s="153">
        <v>1159.2848433600002</v>
      </c>
      <c r="S18" s="153">
        <v>1159.2848433600002</v>
      </c>
      <c r="T18" s="153">
        <v>1159.2848433600002</v>
      </c>
      <c r="U18" s="153">
        <v>1159.2848433600002</v>
      </c>
      <c r="V18" s="153">
        <v>1159.2848433600002</v>
      </c>
      <c r="W18" s="153">
        <v>1159.2848433600002</v>
      </c>
      <c r="X18" s="153">
        <v>1159.2848433600002</v>
      </c>
      <c r="Y18" s="153">
        <v>1159.2848433600002</v>
      </c>
      <c r="Z18" s="153">
        <v>2100</v>
      </c>
      <c r="AA18" s="153">
        <v>2100</v>
      </c>
      <c r="AB18" s="153">
        <v>2100</v>
      </c>
      <c r="AC18" s="153">
        <v>2100</v>
      </c>
      <c r="AD18" s="153">
        <v>2100</v>
      </c>
      <c r="AE18" s="153">
        <v>2100</v>
      </c>
      <c r="AF18" s="153">
        <v>2100</v>
      </c>
      <c r="AG18" s="153">
        <v>2100</v>
      </c>
      <c r="AH18" s="153">
        <v>2100</v>
      </c>
      <c r="AI18" s="153">
        <v>2100</v>
      </c>
      <c r="AJ18" s="153">
        <v>2100</v>
      </c>
      <c r="AK18" s="153">
        <v>2100</v>
      </c>
      <c r="AL18" s="153">
        <v>2100</v>
      </c>
      <c r="AM18" s="153">
        <v>2100</v>
      </c>
      <c r="AN18" s="153">
        <v>2100</v>
      </c>
      <c r="AO18" s="153">
        <v>2100</v>
      </c>
      <c r="AP18" s="153">
        <v>2100</v>
      </c>
      <c r="AQ18" s="153">
        <v>2100</v>
      </c>
      <c r="AR18" s="153">
        <v>2100</v>
      </c>
      <c r="AS18" s="153">
        <v>2100</v>
      </c>
      <c r="AT18" s="153">
        <v>2100</v>
      </c>
      <c r="AU18" s="153">
        <v>2100</v>
      </c>
      <c r="AV18" s="153">
        <v>2100</v>
      </c>
      <c r="AW18" s="153">
        <v>2100</v>
      </c>
      <c r="AX18" s="153">
        <v>2100</v>
      </c>
      <c r="AY18" s="153">
        <v>2100</v>
      </c>
      <c r="AZ18" s="153">
        <v>2100</v>
      </c>
      <c r="BA18" s="153">
        <v>2100</v>
      </c>
      <c r="BB18" s="153">
        <v>2100</v>
      </c>
      <c r="BC18" s="153">
        <v>2100</v>
      </c>
      <c r="BD18" s="153">
        <v>2100</v>
      </c>
      <c r="BE18" s="153">
        <v>2100</v>
      </c>
      <c r="BF18" s="153">
        <v>2100</v>
      </c>
      <c r="BG18" s="153">
        <v>2100</v>
      </c>
      <c r="BH18" s="153">
        <v>2100</v>
      </c>
      <c r="BI18" s="153">
        <v>2100</v>
      </c>
      <c r="BJ18" s="153">
        <v>2100</v>
      </c>
      <c r="BK18" s="153">
        <v>2100</v>
      </c>
      <c r="BL18" s="153">
        <v>2100</v>
      </c>
      <c r="BM18" s="153">
        <v>2100</v>
      </c>
      <c r="BN18" s="153">
        <v>2100</v>
      </c>
      <c r="BO18" s="153">
        <v>2100</v>
      </c>
      <c r="BP18" s="153">
        <v>2100</v>
      </c>
      <c r="BQ18" s="153">
        <v>2100</v>
      </c>
      <c r="BR18" s="153">
        <v>2100</v>
      </c>
      <c r="BS18" s="153">
        <v>2100</v>
      </c>
      <c r="BT18" s="153">
        <v>2100</v>
      </c>
      <c r="BU18" s="153">
        <v>2100</v>
      </c>
      <c r="BV18" s="153">
        <v>2100</v>
      </c>
      <c r="BW18" s="153">
        <v>2100</v>
      </c>
      <c r="BX18" s="153">
        <v>2100</v>
      </c>
      <c r="BY18" s="153">
        <v>2100</v>
      </c>
      <c r="BZ18" s="153">
        <v>2100</v>
      </c>
      <c r="CA18" s="153">
        <v>2100</v>
      </c>
      <c r="CB18" s="153">
        <v>2100</v>
      </c>
      <c r="CC18" s="153">
        <v>2100</v>
      </c>
      <c r="CD18" s="153">
        <v>2100</v>
      </c>
      <c r="CE18" s="153">
        <v>2100</v>
      </c>
      <c r="CF18" s="153">
        <v>2100</v>
      </c>
      <c r="CG18" s="153">
        <v>2100</v>
      </c>
      <c r="CH18" s="153">
        <v>2100</v>
      </c>
      <c r="CI18" s="153">
        <v>2100</v>
      </c>
      <c r="CJ18" s="153">
        <v>2100</v>
      </c>
      <c r="CK18" s="153">
        <v>2100</v>
      </c>
      <c r="CL18" s="153">
        <v>2100</v>
      </c>
      <c r="CM18" s="153">
        <v>2100</v>
      </c>
      <c r="CN18" s="153">
        <v>2100</v>
      </c>
      <c r="CO18" s="153">
        <v>2100</v>
      </c>
      <c r="CP18" s="153">
        <v>2100</v>
      </c>
      <c r="CQ18" s="153">
        <v>2100</v>
      </c>
      <c r="CR18" s="153">
        <v>2100</v>
      </c>
      <c r="CS18" s="153">
        <v>2100</v>
      </c>
      <c r="CT18" s="153">
        <v>2100</v>
      </c>
      <c r="CU18" s="153">
        <v>2100</v>
      </c>
      <c r="CV18" s="153">
        <v>2100</v>
      </c>
      <c r="CW18" s="153">
        <v>2100</v>
      </c>
      <c r="CX18" s="153">
        <v>2100</v>
      </c>
      <c r="CY18" s="153">
        <v>2100</v>
      </c>
    </row>
    <row r="19" spans="1:103" s="188" customFormat="1" ht="12" customHeight="1">
      <c r="A19" s="37"/>
      <c r="B19" s="153"/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153"/>
      <c r="N19" s="153">
        <v>2250</v>
      </c>
      <c r="O19" s="153">
        <v>2250</v>
      </c>
      <c r="P19" s="153">
        <v>2250</v>
      </c>
      <c r="Q19" s="153">
        <v>2250</v>
      </c>
      <c r="R19" s="153">
        <v>2250</v>
      </c>
      <c r="S19" s="153">
        <v>2250</v>
      </c>
      <c r="T19" s="153">
        <v>2250</v>
      </c>
      <c r="U19" s="153">
        <v>2250</v>
      </c>
      <c r="V19" s="153">
        <v>2250</v>
      </c>
      <c r="W19" s="153">
        <v>2250</v>
      </c>
      <c r="X19" s="153">
        <v>2250</v>
      </c>
      <c r="Y19" s="153">
        <v>2250</v>
      </c>
      <c r="Z19" s="153">
        <v>2250</v>
      </c>
      <c r="AA19" s="153">
        <v>2250</v>
      </c>
      <c r="AB19" s="153">
        <v>2250</v>
      </c>
      <c r="AC19" s="153">
        <v>2250</v>
      </c>
      <c r="AD19" s="153">
        <v>2250</v>
      </c>
      <c r="AE19" s="153">
        <v>2250</v>
      </c>
      <c r="AF19" s="153">
        <v>2250</v>
      </c>
      <c r="AG19" s="153">
        <v>2250</v>
      </c>
      <c r="AH19" s="153">
        <v>2250</v>
      </c>
      <c r="AI19" s="153">
        <v>2250</v>
      </c>
      <c r="AJ19" s="153">
        <v>2250</v>
      </c>
      <c r="AK19" s="153">
        <v>2250</v>
      </c>
      <c r="AL19" s="153">
        <v>2250</v>
      </c>
      <c r="AM19" s="153">
        <v>2250</v>
      </c>
      <c r="AN19" s="153">
        <v>2250</v>
      </c>
      <c r="AO19" s="153">
        <v>2250</v>
      </c>
      <c r="AP19" s="153">
        <v>2250</v>
      </c>
      <c r="AQ19" s="153">
        <v>2250</v>
      </c>
      <c r="AR19" s="153">
        <v>2250</v>
      </c>
      <c r="AS19" s="153">
        <v>2250</v>
      </c>
      <c r="AT19" s="153">
        <v>2250</v>
      </c>
      <c r="AU19" s="153">
        <v>2250</v>
      </c>
      <c r="AV19" s="153">
        <v>2250</v>
      </c>
      <c r="AW19" s="153">
        <v>2250</v>
      </c>
      <c r="AX19" s="153">
        <v>2250</v>
      </c>
      <c r="AY19" s="153">
        <v>2250</v>
      </c>
      <c r="AZ19" s="153">
        <v>2250</v>
      </c>
      <c r="BA19" s="153">
        <v>2250</v>
      </c>
      <c r="BB19" s="153">
        <v>2250</v>
      </c>
      <c r="BC19" s="153">
        <v>2250</v>
      </c>
      <c r="BD19" s="153">
        <v>2250</v>
      </c>
      <c r="BE19" s="153">
        <v>2250</v>
      </c>
      <c r="BF19" s="153">
        <v>2250</v>
      </c>
      <c r="BG19" s="153">
        <v>2250</v>
      </c>
      <c r="BH19" s="153">
        <v>2250</v>
      </c>
      <c r="BI19" s="153">
        <v>2250</v>
      </c>
      <c r="BJ19" s="153">
        <v>2250</v>
      </c>
      <c r="BK19" s="153">
        <v>2250</v>
      </c>
      <c r="BL19" s="153">
        <v>2250</v>
      </c>
      <c r="BM19" s="153">
        <v>999.99999999999989</v>
      </c>
      <c r="BN19" s="153">
        <v>999.99999999999989</v>
      </c>
      <c r="BO19" s="153">
        <v>999.99999999999989</v>
      </c>
      <c r="BP19" s="153">
        <v>1500</v>
      </c>
      <c r="BQ19" s="153">
        <v>1500</v>
      </c>
      <c r="BR19" s="153">
        <v>1500</v>
      </c>
      <c r="BS19" s="153">
        <v>1500</v>
      </c>
      <c r="BT19" s="153">
        <v>11600</v>
      </c>
      <c r="BU19" s="153">
        <v>2500</v>
      </c>
      <c r="BV19" s="153">
        <v>5750</v>
      </c>
      <c r="BW19" s="153">
        <v>7000.0000000000009</v>
      </c>
      <c r="BX19" s="153">
        <v>7000.0000000000009</v>
      </c>
      <c r="BY19" s="153">
        <v>7007</v>
      </c>
      <c r="BZ19" s="153">
        <v>7026</v>
      </c>
      <c r="CA19" s="153">
        <v>7031.5</v>
      </c>
      <c r="CB19" s="153">
        <v>7025</v>
      </c>
      <c r="CC19" s="153">
        <v>7023.5</v>
      </c>
      <c r="CD19" s="153">
        <v>7011</v>
      </c>
      <c r="CE19" s="153">
        <v>7000.0000000000009</v>
      </c>
      <c r="CF19" s="153">
        <v>7000.0000000000009</v>
      </c>
      <c r="CG19" s="153">
        <v>7000.0000000000009</v>
      </c>
      <c r="CH19" s="153">
        <v>7000</v>
      </c>
      <c r="CI19" s="153">
        <v>7000</v>
      </c>
      <c r="CJ19" s="153">
        <v>3000</v>
      </c>
      <c r="CK19" s="153">
        <v>3000</v>
      </c>
      <c r="CL19" s="153">
        <v>3000</v>
      </c>
      <c r="CM19" s="153">
        <v>3000</v>
      </c>
      <c r="CN19" s="153">
        <v>3000</v>
      </c>
      <c r="CO19" s="153">
        <v>3000</v>
      </c>
      <c r="CP19" s="153">
        <v>3000</v>
      </c>
      <c r="CQ19" s="153">
        <v>3000</v>
      </c>
      <c r="CR19" s="153">
        <v>3000</v>
      </c>
      <c r="CS19" s="153">
        <v>3000</v>
      </c>
      <c r="CT19" s="153">
        <v>3000</v>
      </c>
      <c r="CU19" s="153">
        <v>3000</v>
      </c>
      <c r="CV19" s="153">
        <v>1500</v>
      </c>
      <c r="CW19" s="153">
        <v>1500</v>
      </c>
      <c r="CX19" s="153">
        <v>1500</v>
      </c>
      <c r="CY19" s="153">
        <v>1500</v>
      </c>
    </row>
    <row r="20" spans="1:103" s="188" customFormat="1" ht="12" customHeight="1">
      <c r="A20" s="37"/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53"/>
      <c r="Y20" s="153"/>
      <c r="Z20" s="153"/>
      <c r="AA20" s="153"/>
      <c r="AB20" s="153"/>
      <c r="AC20" s="153"/>
      <c r="AD20" s="153"/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  <c r="BJ20" s="153"/>
      <c r="BK20" s="153"/>
      <c r="BL20" s="153"/>
      <c r="BM20" s="153"/>
      <c r="BN20" s="153"/>
      <c r="BO20" s="153"/>
      <c r="BP20" s="153"/>
      <c r="BQ20" s="153"/>
      <c r="BR20" s="153"/>
      <c r="BS20" s="153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153"/>
      <c r="CF20" s="153"/>
      <c r="CG20" s="153"/>
      <c r="CH20" s="153"/>
      <c r="CI20" s="153"/>
      <c r="CJ20" s="153"/>
      <c r="CK20" s="153"/>
      <c r="CL20" s="153"/>
      <c r="CM20" s="153"/>
      <c r="CN20" s="153"/>
      <c r="CO20" s="153"/>
      <c r="CP20" s="153"/>
      <c r="CQ20" s="153"/>
      <c r="CR20" s="153"/>
      <c r="CS20" s="153"/>
      <c r="CT20" s="153"/>
      <c r="CU20" s="153"/>
      <c r="CV20" s="153"/>
      <c r="CW20" s="153"/>
      <c r="CX20" s="153"/>
      <c r="CY20" s="153"/>
    </row>
    <row r="21" spans="1:103" ht="12" customHeight="1">
      <c r="A21" s="188" t="s">
        <v>528</v>
      </c>
      <c r="B21" s="152">
        <v>65</v>
      </c>
      <c r="C21" s="152">
        <v>65</v>
      </c>
      <c r="D21" s="152">
        <v>76</v>
      </c>
      <c r="E21" s="152">
        <v>76</v>
      </c>
      <c r="F21" s="152">
        <v>76</v>
      </c>
      <c r="G21" s="152">
        <v>76</v>
      </c>
      <c r="H21" s="152">
        <v>76</v>
      </c>
      <c r="I21" s="152">
        <v>76</v>
      </c>
      <c r="J21" s="152">
        <v>76</v>
      </c>
      <c r="K21" s="152">
        <v>65</v>
      </c>
      <c r="L21" s="152">
        <v>65</v>
      </c>
      <c r="M21" s="152">
        <v>65</v>
      </c>
      <c r="N21" s="152">
        <v>65</v>
      </c>
      <c r="O21" s="152">
        <v>65</v>
      </c>
      <c r="P21" s="152">
        <v>65</v>
      </c>
      <c r="Q21" s="152">
        <v>65</v>
      </c>
      <c r="R21" s="152">
        <v>65</v>
      </c>
      <c r="S21" s="152">
        <v>65</v>
      </c>
      <c r="T21" s="152">
        <v>50</v>
      </c>
      <c r="U21" s="152">
        <v>50</v>
      </c>
      <c r="V21" s="152">
        <v>40</v>
      </c>
      <c r="W21" s="152">
        <v>40</v>
      </c>
      <c r="X21" s="152">
        <v>40</v>
      </c>
      <c r="Y21" s="152">
        <v>40</v>
      </c>
      <c r="Z21" s="152">
        <v>40</v>
      </c>
      <c r="AA21" s="152">
        <v>40</v>
      </c>
      <c r="AB21" s="152">
        <v>40</v>
      </c>
      <c r="AC21" s="152">
        <v>40</v>
      </c>
      <c r="AD21" s="152">
        <v>40</v>
      </c>
      <c r="AE21" s="152">
        <v>40</v>
      </c>
      <c r="AF21" s="152">
        <v>40</v>
      </c>
      <c r="AG21" s="152">
        <v>30</v>
      </c>
      <c r="AH21" s="152">
        <v>30</v>
      </c>
      <c r="AI21" s="152">
        <v>30</v>
      </c>
      <c r="AJ21" s="152">
        <v>30</v>
      </c>
      <c r="AK21" s="152">
        <v>30</v>
      </c>
      <c r="AL21" s="152">
        <v>30</v>
      </c>
      <c r="AM21" s="152">
        <v>30</v>
      </c>
      <c r="AN21" s="152">
        <v>30</v>
      </c>
      <c r="AO21" s="152">
        <v>30</v>
      </c>
      <c r="AP21" s="152">
        <v>30</v>
      </c>
      <c r="AQ21" s="152">
        <v>30</v>
      </c>
      <c r="AR21" s="152">
        <v>20</v>
      </c>
      <c r="AS21" s="152">
        <v>20</v>
      </c>
      <c r="AT21" s="152">
        <v>20</v>
      </c>
      <c r="AU21" s="152">
        <v>20</v>
      </c>
      <c r="AV21" s="152">
        <v>20</v>
      </c>
      <c r="AW21" s="152">
        <v>20</v>
      </c>
      <c r="AX21" s="152">
        <v>20</v>
      </c>
      <c r="AY21" s="152">
        <v>20</v>
      </c>
      <c r="AZ21" s="152">
        <v>20</v>
      </c>
      <c r="BA21" s="152">
        <v>20</v>
      </c>
      <c r="BB21" s="152">
        <v>20</v>
      </c>
      <c r="BC21" s="152">
        <v>20</v>
      </c>
      <c r="BD21" s="152">
        <v>20</v>
      </c>
      <c r="BE21" s="152">
        <v>20</v>
      </c>
      <c r="BF21" s="152">
        <v>20</v>
      </c>
      <c r="BG21" s="152">
        <v>20</v>
      </c>
      <c r="BH21" s="152">
        <v>20</v>
      </c>
      <c r="BI21" s="152">
        <v>20</v>
      </c>
      <c r="BJ21" s="152">
        <v>20</v>
      </c>
      <c r="BK21" s="152">
        <v>20</v>
      </c>
      <c r="BL21" s="152">
        <v>20</v>
      </c>
      <c r="BM21" s="152">
        <v>20</v>
      </c>
      <c r="BN21" s="152">
        <v>20</v>
      </c>
      <c r="BO21" s="152">
        <v>20</v>
      </c>
      <c r="BP21" s="152">
        <v>20</v>
      </c>
      <c r="BQ21" s="152">
        <v>20</v>
      </c>
      <c r="BR21" s="152">
        <v>20</v>
      </c>
      <c r="BS21" s="152">
        <v>20</v>
      </c>
      <c r="BT21" s="152">
        <v>20</v>
      </c>
      <c r="BU21" s="152">
        <v>20</v>
      </c>
      <c r="BV21" s="152">
        <v>20</v>
      </c>
      <c r="BW21" s="152">
        <v>20</v>
      </c>
      <c r="BX21" s="152">
        <v>20</v>
      </c>
      <c r="BY21" s="152">
        <v>20</v>
      </c>
      <c r="BZ21" s="152">
        <v>20</v>
      </c>
      <c r="CA21" s="152">
        <v>20</v>
      </c>
      <c r="CB21" s="152">
        <v>20</v>
      </c>
      <c r="CC21" s="152">
        <v>20</v>
      </c>
      <c r="CD21" s="152">
        <v>20</v>
      </c>
      <c r="CE21" s="152">
        <v>16</v>
      </c>
      <c r="CF21" s="152">
        <v>16</v>
      </c>
      <c r="CG21" s="152">
        <v>16</v>
      </c>
      <c r="CH21" s="152">
        <v>16</v>
      </c>
      <c r="CI21" s="152">
        <v>16</v>
      </c>
      <c r="CJ21" s="152">
        <v>16</v>
      </c>
      <c r="CK21" s="152">
        <v>16</v>
      </c>
      <c r="CL21" s="152">
        <v>16</v>
      </c>
      <c r="CM21" s="152">
        <v>16</v>
      </c>
      <c r="CN21" s="152">
        <v>16</v>
      </c>
      <c r="CO21" s="152">
        <v>16</v>
      </c>
      <c r="CP21" s="152">
        <v>16</v>
      </c>
      <c r="CQ21" s="152">
        <v>16</v>
      </c>
      <c r="CR21" s="152">
        <v>16</v>
      </c>
      <c r="CS21" s="152">
        <v>16</v>
      </c>
      <c r="CT21" s="152">
        <v>16</v>
      </c>
      <c r="CU21" s="152">
        <v>16</v>
      </c>
      <c r="CV21" s="152">
        <v>16</v>
      </c>
      <c r="CW21" s="152">
        <v>16</v>
      </c>
      <c r="CX21" s="152">
        <v>16</v>
      </c>
      <c r="CY21" s="152">
        <v>16</v>
      </c>
    </row>
    <row r="22" spans="1:103" ht="12" customHeight="1">
      <c r="A22" s="188" t="s">
        <v>527</v>
      </c>
      <c r="B22" s="152">
        <v>78000</v>
      </c>
      <c r="C22" s="152">
        <v>78000</v>
      </c>
      <c r="D22" s="152">
        <v>78000</v>
      </c>
      <c r="E22" s="152">
        <v>78000</v>
      </c>
      <c r="F22" s="152">
        <v>78000</v>
      </c>
      <c r="G22" s="152">
        <v>78000</v>
      </c>
      <c r="H22" s="152">
        <v>78000</v>
      </c>
      <c r="I22" s="152">
        <v>78000</v>
      </c>
      <c r="J22" s="152">
        <v>78000</v>
      </c>
      <c r="K22" s="152">
        <v>78000</v>
      </c>
      <c r="L22" s="152">
        <v>78000</v>
      </c>
      <c r="M22" s="152">
        <v>78000</v>
      </c>
      <c r="N22" s="152">
        <v>81120</v>
      </c>
      <c r="O22" s="152">
        <v>81120</v>
      </c>
      <c r="P22" s="152">
        <v>81120</v>
      </c>
      <c r="Q22" s="152">
        <v>81120</v>
      </c>
      <c r="R22" s="152">
        <v>81120</v>
      </c>
      <c r="S22" s="152">
        <v>81120</v>
      </c>
      <c r="T22" s="152">
        <v>81120</v>
      </c>
      <c r="U22" s="152">
        <v>81120</v>
      </c>
      <c r="V22" s="152">
        <v>81120</v>
      </c>
      <c r="W22" s="152">
        <v>81120</v>
      </c>
      <c r="X22" s="152">
        <v>81120</v>
      </c>
      <c r="Y22" s="152">
        <v>81120</v>
      </c>
      <c r="Z22" s="152">
        <v>84364.800000000003</v>
      </c>
      <c r="AA22" s="152">
        <v>84364.800000000003</v>
      </c>
      <c r="AB22" s="152">
        <v>84364.800000000003</v>
      </c>
      <c r="AC22" s="152">
        <v>84364.800000000003</v>
      </c>
      <c r="AD22" s="152">
        <v>84364.800000000003</v>
      </c>
      <c r="AE22" s="152">
        <v>84364.800000000003</v>
      </c>
      <c r="AF22" s="152">
        <v>84364.800000000003</v>
      </c>
      <c r="AG22" s="152">
        <v>84364.800000000003</v>
      </c>
      <c r="AH22" s="152">
        <v>84364.800000000003</v>
      </c>
      <c r="AI22" s="152">
        <v>84364.800000000003</v>
      </c>
      <c r="AJ22" s="152">
        <v>84364.800000000003</v>
      </c>
      <c r="AK22" s="152">
        <v>84364.800000000003</v>
      </c>
      <c r="AL22" s="152">
        <v>87739.392000000007</v>
      </c>
      <c r="AM22" s="152">
        <v>87739.392000000007</v>
      </c>
      <c r="AN22" s="152">
        <v>87739.392000000007</v>
      </c>
      <c r="AO22" s="152">
        <v>87739.392000000007</v>
      </c>
      <c r="AP22" s="152">
        <v>87739.392000000007</v>
      </c>
      <c r="AQ22" s="152">
        <v>87739.392000000007</v>
      </c>
      <c r="AR22" s="152">
        <v>87739.392000000007</v>
      </c>
      <c r="AS22" s="152">
        <v>87739.392000000007</v>
      </c>
      <c r="AT22" s="152">
        <v>87739.392000000007</v>
      </c>
      <c r="AU22" s="152">
        <v>87739.392000000007</v>
      </c>
      <c r="AV22" s="152">
        <v>87739.392000000007</v>
      </c>
      <c r="AW22" s="152">
        <v>87739.392000000007</v>
      </c>
      <c r="AX22" s="152">
        <v>91248.967680000016</v>
      </c>
      <c r="AY22" s="152">
        <v>91248.967680000016</v>
      </c>
      <c r="AZ22" s="152">
        <v>91248.967680000016</v>
      </c>
      <c r="BA22" s="152">
        <v>91248.967680000016</v>
      </c>
      <c r="BB22" s="152">
        <v>91248.967680000016</v>
      </c>
      <c r="BC22" s="152">
        <v>91248.967680000016</v>
      </c>
      <c r="BD22" s="152">
        <v>91248.967680000016</v>
      </c>
      <c r="BE22" s="152">
        <v>91248.967680000016</v>
      </c>
      <c r="BF22" s="152">
        <v>91248.967680000016</v>
      </c>
      <c r="BG22" s="152">
        <v>91248.967680000016</v>
      </c>
      <c r="BH22" s="152">
        <v>91248.967680000016</v>
      </c>
      <c r="BI22" s="152">
        <v>91248.967680000016</v>
      </c>
      <c r="BJ22" s="152">
        <v>94898.926387200016</v>
      </c>
      <c r="BK22" s="152">
        <v>94898.926387200016</v>
      </c>
      <c r="BL22" s="152">
        <v>94898.926387200016</v>
      </c>
      <c r="BM22" s="152">
        <v>94898.926387200016</v>
      </c>
      <c r="BN22" s="152">
        <v>94898.926387200016</v>
      </c>
      <c r="BO22" s="152">
        <v>94898.926387200016</v>
      </c>
      <c r="BP22" s="152">
        <v>94898.926387200016</v>
      </c>
      <c r="BQ22" s="152">
        <v>94898.926387200016</v>
      </c>
      <c r="BR22" s="152">
        <v>94898.926387200016</v>
      </c>
      <c r="BS22" s="152">
        <v>94898.926387200016</v>
      </c>
      <c r="BT22" s="152">
        <v>94898.926387200016</v>
      </c>
      <c r="BU22" s="152">
        <v>94898.926387200016</v>
      </c>
      <c r="BV22" s="152">
        <v>98694.88344268802</v>
      </c>
      <c r="BW22" s="152">
        <v>98694.88344268802</v>
      </c>
      <c r="BX22" s="152">
        <v>98694.88344268802</v>
      </c>
      <c r="BY22" s="152">
        <v>98694.88344268802</v>
      </c>
      <c r="BZ22" s="152">
        <v>98694.88344268802</v>
      </c>
      <c r="CA22" s="152">
        <v>98694.88344268802</v>
      </c>
      <c r="CB22" s="152">
        <v>98694.88344268802</v>
      </c>
      <c r="CC22" s="152">
        <v>98694.88344268802</v>
      </c>
      <c r="CD22" s="152">
        <v>98694.88344268802</v>
      </c>
      <c r="CE22" s="152">
        <v>98694.88344268802</v>
      </c>
      <c r="CF22" s="152">
        <v>98694.88344268802</v>
      </c>
      <c r="CG22" s="152">
        <v>98694.88344268802</v>
      </c>
      <c r="CH22" s="152">
        <v>102642.67878039554</v>
      </c>
      <c r="CI22" s="152">
        <v>102642.67878039554</v>
      </c>
      <c r="CJ22" s="152">
        <v>102642.67878039554</v>
      </c>
      <c r="CK22" s="152">
        <v>102642.67878039554</v>
      </c>
      <c r="CL22" s="152">
        <v>102642.67878039554</v>
      </c>
      <c r="CM22" s="152">
        <v>102642.67878039554</v>
      </c>
      <c r="CN22" s="152">
        <v>102642.67878039554</v>
      </c>
      <c r="CO22" s="152">
        <v>102642.67878039554</v>
      </c>
      <c r="CP22" s="152">
        <v>102642.67878039554</v>
      </c>
      <c r="CQ22" s="152">
        <v>102642.67878039554</v>
      </c>
      <c r="CR22" s="152">
        <v>102642.67878039554</v>
      </c>
      <c r="CS22" s="152">
        <v>102642.67878039554</v>
      </c>
      <c r="CT22" s="152">
        <v>106748.38593161137</v>
      </c>
      <c r="CU22" s="152">
        <v>106748.38593161137</v>
      </c>
      <c r="CV22" s="152">
        <v>106748.38593161137</v>
      </c>
      <c r="CW22" s="152">
        <v>106748.38593161137</v>
      </c>
      <c r="CX22" s="152">
        <v>106748.38593161137</v>
      </c>
      <c r="CY22" s="152">
        <v>106748.38593161137</v>
      </c>
    </row>
    <row r="23" spans="1:103" ht="12" customHeight="1">
      <c r="A23" s="188" t="s">
        <v>526</v>
      </c>
      <c r="B23" s="152">
        <f t="shared" ref="B23:AG23" si="12">B21*B22</f>
        <v>5070000</v>
      </c>
      <c r="C23" s="152">
        <f t="shared" si="12"/>
        <v>5070000</v>
      </c>
      <c r="D23" s="152">
        <f t="shared" si="12"/>
        <v>5928000</v>
      </c>
      <c r="E23" s="152">
        <f t="shared" si="12"/>
        <v>5928000</v>
      </c>
      <c r="F23" s="152">
        <f t="shared" si="12"/>
        <v>5928000</v>
      </c>
      <c r="G23" s="152">
        <f t="shared" si="12"/>
        <v>5928000</v>
      </c>
      <c r="H23" s="152">
        <f t="shared" si="12"/>
        <v>5928000</v>
      </c>
      <c r="I23" s="152">
        <f t="shared" si="12"/>
        <v>5928000</v>
      </c>
      <c r="J23" s="152">
        <f t="shared" si="12"/>
        <v>5928000</v>
      </c>
      <c r="K23" s="152">
        <f t="shared" si="12"/>
        <v>5070000</v>
      </c>
      <c r="L23" s="152">
        <f t="shared" si="12"/>
        <v>5070000</v>
      </c>
      <c r="M23" s="152">
        <f t="shared" si="12"/>
        <v>5070000</v>
      </c>
      <c r="N23" s="152">
        <f t="shared" si="12"/>
        <v>5272800</v>
      </c>
      <c r="O23" s="152">
        <f t="shared" si="12"/>
        <v>5272800</v>
      </c>
      <c r="P23" s="152">
        <f t="shared" si="12"/>
        <v>5272800</v>
      </c>
      <c r="Q23" s="152">
        <f t="shared" si="12"/>
        <v>5272800</v>
      </c>
      <c r="R23" s="152">
        <f t="shared" si="12"/>
        <v>5272800</v>
      </c>
      <c r="S23" s="152">
        <f t="shared" si="12"/>
        <v>5272800</v>
      </c>
      <c r="T23" s="152">
        <f t="shared" si="12"/>
        <v>4056000</v>
      </c>
      <c r="U23" s="152">
        <f t="shared" si="12"/>
        <v>4056000</v>
      </c>
      <c r="V23" s="152">
        <f t="shared" si="12"/>
        <v>3244800</v>
      </c>
      <c r="W23" s="152">
        <f t="shared" si="12"/>
        <v>3244800</v>
      </c>
      <c r="X23" s="152">
        <f t="shared" si="12"/>
        <v>3244800</v>
      </c>
      <c r="Y23" s="152">
        <f t="shared" si="12"/>
        <v>3244800</v>
      </c>
      <c r="Z23" s="152">
        <f t="shared" si="12"/>
        <v>3374592</v>
      </c>
      <c r="AA23" s="152">
        <f t="shared" si="12"/>
        <v>3374592</v>
      </c>
      <c r="AB23" s="152">
        <f t="shared" si="12"/>
        <v>3374592</v>
      </c>
      <c r="AC23" s="152">
        <f t="shared" si="12"/>
        <v>3374592</v>
      </c>
      <c r="AD23" s="152">
        <f t="shared" si="12"/>
        <v>3374592</v>
      </c>
      <c r="AE23" s="152">
        <f t="shared" si="12"/>
        <v>3374592</v>
      </c>
      <c r="AF23" s="152">
        <f t="shared" si="12"/>
        <v>3374592</v>
      </c>
      <c r="AG23" s="152">
        <f t="shared" si="12"/>
        <v>2530944</v>
      </c>
      <c r="AH23" s="152">
        <f t="shared" ref="AH23:BM23" si="13">AH21*AH22</f>
        <v>2530944</v>
      </c>
      <c r="AI23" s="152">
        <f t="shared" si="13"/>
        <v>2530944</v>
      </c>
      <c r="AJ23" s="152">
        <f t="shared" si="13"/>
        <v>2530944</v>
      </c>
      <c r="AK23" s="152">
        <f t="shared" si="13"/>
        <v>2530944</v>
      </c>
      <c r="AL23" s="152">
        <f t="shared" si="13"/>
        <v>2632181.7600000002</v>
      </c>
      <c r="AM23" s="152">
        <f t="shared" si="13"/>
        <v>2632181.7600000002</v>
      </c>
      <c r="AN23" s="152">
        <f t="shared" si="13"/>
        <v>2632181.7600000002</v>
      </c>
      <c r="AO23" s="152">
        <f t="shared" si="13"/>
        <v>2632181.7600000002</v>
      </c>
      <c r="AP23" s="152">
        <f t="shared" si="13"/>
        <v>2632181.7600000002</v>
      </c>
      <c r="AQ23" s="152">
        <f t="shared" si="13"/>
        <v>2632181.7600000002</v>
      </c>
      <c r="AR23" s="152">
        <f t="shared" si="13"/>
        <v>1754787.8400000001</v>
      </c>
      <c r="AS23" s="152">
        <f t="shared" si="13"/>
        <v>1754787.8400000001</v>
      </c>
      <c r="AT23" s="152">
        <f t="shared" si="13"/>
        <v>1754787.8400000001</v>
      </c>
      <c r="AU23" s="152">
        <f t="shared" si="13"/>
        <v>1754787.8400000001</v>
      </c>
      <c r="AV23" s="152">
        <f t="shared" si="13"/>
        <v>1754787.8400000001</v>
      </c>
      <c r="AW23" s="152">
        <f t="shared" si="13"/>
        <v>1754787.8400000001</v>
      </c>
      <c r="AX23" s="152">
        <f t="shared" si="13"/>
        <v>1824979.3536000003</v>
      </c>
      <c r="AY23" s="152">
        <f t="shared" si="13"/>
        <v>1824979.3536000003</v>
      </c>
      <c r="AZ23" s="152">
        <f t="shared" si="13"/>
        <v>1824979.3536000003</v>
      </c>
      <c r="BA23" s="152">
        <f t="shared" si="13"/>
        <v>1824979.3536000003</v>
      </c>
      <c r="BB23" s="152">
        <f t="shared" si="13"/>
        <v>1824979.3536000003</v>
      </c>
      <c r="BC23" s="152">
        <f t="shared" si="13"/>
        <v>1824979.3536000003</v>
      </c>
      <c r="BD23" s="152">
        <f t="shared" si="13"/>
        <v>1824979.3536000003</v>
      </c>
      <c r="BE23" s="152">
        <f t="shared" si="13"/>
        <v>1824979.3536000003</v>
      </c>
      <c r="BF23" s="152">
        <f t="shared" si="13"/>
        <v>1824979.3536000003</v>
      </c>
      <c r="BG23" s="152">
        <f t="shared" si="13"/>
        <v>1824979.3536000003</v>
      </c>
      <c r="BH23" s="152">
        <f t="shared" si="13"/>
        <v>1824979.3536000003</v>
      </c>
      <c r="BI23" s="152">
        <f t="shared" si="13"/>
        <v>1824979.3536000003</v>
      </c>
      <c r="BJ23" s="152">
        <f t="shared" si="13"/>
        <v>1897978.5277440003</v>
      </c>
      <c r="BK23" s="152">
        <f t="shared" si="13"/>
        <v>1897978.5277440003</v>
      </c>
      <c r="BL23" s="152">
        <f t="shared" si="13"/>
        <v>1897978.5277440003</v>
      </c>
      <c r="BM23" s="152">
        <f t="shared" si="13"/>
        <v>1897978.5277440003</v>
      </c>
      <c r="BN23" s="152">
        <f t="shared" ref="BN23:CS23" si="14">BN21*BN22</f>
        <v>1897978.5277440003</v>
      </c>
      <c r="BO23" s="152">
        <f t="shared" si="14"/>
        <v>1897978.5277440003</v>
      </c>
      <c r="BP23" s="152">
        <f t="shared" si="14"/>
        <v>1897978.5277440003</v>
      </c>
      <c r="BQ23" s="152">
        <f t="shared" si="14"/>
        <v>1897978.5277440003</v>
      </c>
      <c r="BR23" s="152">
        <f t="shared" si="14"/>
        <v>1897978.5277440003</v>
      </c>
      <c r="BS23" s="152">
        <f t="shared" si="14"/>
        <v>1897978.5277440003</v>
      </c>
      <c r="BT23" s="152">
        <f t="shared" si="14"/>
        <v>1897978.5277440003</v>
      </c>
      <c r="BU23" s="152">
        <f t="shared" si="14"/>
        <v>1897978.5277440003</v>
      </c>
      <c r="BV23" s="152">
        <f t="shared" si="14"/>
        <v>1973897.6688537605</v>
      </c>
      <c r="BW23" s="152">
        <f t="shared" si="14"/>
        <v>1973897.6688537605</v>
      </c>
      <c r="BX23" s="152">
        <f t="shared" si="14"/>
        <v>1973897.6688537605</v>
      </c>
      <c r="BY23" s="152">
        <f t="shared" si="14"/>
        <v>1973897.6688537605</v>
      </c>
      <c r="BZ23" s="152">
        <f t="shared" si="14"/>
        <v>1973897.6688537605</v>
      </c>
      <c r="CA23" s="152">
        <f t="shared" si="14"/>
        <v>1973897.6688537605</v>
      </c>
      <c r="CB23" s="152">
        <f t="shared" si="14"/>
        <v>1973897.6688537605</v>
      </c>
      <c r="CC23" s="152">
        <f t="shared" si="14"/>
        <v>1973897.6688537605</v>
      </c>
      <c r="CD23" s="152">
        <f t="shared" si="14"/>
        <v>1973897.6688537605</v>
      </c>
      <c r="CE23" s="152">
        <f t="shared" si="14"/>
        <v>1579118.1350830083</v>
      </c>
      <c r="CF23" s="152">
        <f t="shared" si="14"/>
        <v>1579118.1350830083</v>
      </c>
      <c r="CG23" s="152">
        <f t="shared" si="14"/>
        <v>1579118.1350830083</v>
      </c>
      <c r="CH23" s="152">
        <f t="shared" si="14"/>
        <v>1642282.8604863286</v>
      </c>
      <c r="CI23" s="152">
        <f t="shared" si="14"/>
        <v>1642282.8604863286</v>
      </c>
      <c r="CJ23" s="152">
        <f t="shared" si="14"/>
        <v>1642282.8604863286</v>
      </c>
      <c r="CK23" s="152">
        <f t="shared" si="14"/>
        <v>1642282.8604863286</v>
      </c>
      <c r="CL23" s="152">
        <f t="shared" si="14"/>
        <v>1642282.8604863286</v>
      </c>
      <c r="CM23" s="152">
        <f t="shared" si="14"/>
        <v>1642282.8604863286</v>
      </c>
      <c r="CN23" s="152">
        <f t="shared" si="14"/>
        <v>1642282.8604863286</v>
      </c>
      <c r="CO23" s="152">
        <f t="shared" si="14"/>
        <v>1642282.8604863286</v>
      </c>
      <c r="CP23" s="152">
        <f t="shared" si="14"/>
        <v>1642282.8604863286</v>
      </c>
      <c r="CQ23" s="152">
        <f t="shared" si="14"/>
        <v>1642282.8604863286</v>
      </c>
      <c r="CR23" s="152">
        <f t="shared" si="14"/>
        <v>1642282.8604863286</v>
      </c>
      <c r="CS23" s="152">
        <f t="shared" si="14"/>
        <v>1642282.8604863286</v>
      </c>
      <c r="CT23" s="152">
        <f t="shared" ref="CT23:CY23" si="15">CT21*CT22</f>
        <v>1707974.1749057819</v>
      </c>
      <c r="CU23" s="152">
        <f t="shared" si="15"/>
        <v>1707974.1749057819</v>
      </c>
      <c r="CV23" s="152">
        <f t="shared" si="15"/>
        <v>1707974.1749057819</v>
      </c>
      <c r="CW23" s="152">
        <f t="shared" si="15"/>
        <v>1707974.1749057819</v>
      </c>
      <c r="CX23" s="152">
        <f t="shared" si="15"/>
        <v>1707974.1749057819</v>
      </c>
      <c r="CY23" s="152">
        <f t="shared" si="15"/>
        <v>1707974.1749057819</v>
      </c>
    </row>
    <row r="24" spans="1:103" ht="12" customHeight="1">
      <c r="A24" s="188" t="s">
        <v>525</v>
      </c>
      <c r="B24" s="152">
        <f t="shared" ref="B24:AG24" si="16">IF(B21&gt;=22,22,B21)</f>
        <v>22</v>
      </c>
      <c r="C24" s="152">
        <f t="shared" si="16"/>
        <v>22</v>
      </c>
      <c r="D24" s="152">
        <f t="shared" si="16"/>
        <v>22</v>
      </c>
      <c r="E24" s="152">
        <f t="shared" si="16"/>
        <v>22</v>
      </c>
      <c r="F24" s="152">
        <f t="shared" si="16"/>
        <v>22</v>
      </c>
      <c r="G24" s="152">
        <f t="shared" si="16"/>
        <v>22</v>
      </c>
      <c r="H24" s="152">
        <f t="shared" si="16"/>
        <v>22</v>
      </c>
      <c r="I24" s="152">
        <f t="shared" si="16"/>
        <v>22</v>
      </c>
      <c r="J24" s="152">
        <f t="shared" si="16"/>
        <v>22</v>
      </c>
      <c r="K24" s="152">
        <f t="shared" si="16"/>
        <v>22</v>
      </c>
      <c r="L24" s="152">
        <f t="shared" si="16"/>
        <v>22</v>
      </c>
      <c r="M24" s="152">
        <f t="shared" si="16"/>
        <v>22</v>
      </c>
      <c r="N24" s="152">
        <f t="shared" si="16"/>
        <v>22</v>
      </c>
      <c r="O24" s="152">
        <f t="shared" si="16"/>
        <v>22</v>
      </c>
      <c r="P24" s="152">
        <f t="shared" si="16"/>
        <v>22</v>
      </c>
      <c r="Q24" s="152">
        <f t="shared" si="16"/>
        <v>22</v>
      </c>
      <c r="R24" s="152">
        <f t="shared" si="16"/>
        <v>22</v>
      </c>
      <c r="S24" s="152">
        <f t="shared" si="16"/>
        <v>22</v>
      </c>
      <c r="T24" s="152">
        <f t="shared" si="16"/>
        <v>22</v>
      </c>
      <c r="U24" s="152">
        <f t="shared" si="16"/>
        <v>22</v>
      </c>
      <c r="V24" s="152">
        <f t="shared" si="16"/>
        <v>22</v>
      </c>
      <c r="W24" s="152">
        <f t="shared" si="16"/>
        <v>22</v>
      </c>
      <c r="X24" s="152">
        <f t="shared" si="16"/>
        <v>22</v>
      </c>
      <c r="Y24" s="152">
        <f t="shared" si="16"/>
        <v>22</v>
      </c>
      <c r="Z24" s="152">
        <f t="shared" si="16"/>
        <v>22</v>
      </c>
      <c r="AA24" s="152">
        <f t="shared" si="16"/>
        <v>22</v>
      </c>
      <c r="AB24" s="152">
        <f t="shared" si="16"/>
        <v>22</v>
      </c>
      <c r="AC24" s="152">
        <f t="shared" si="16"/>
        <v>22</v>
      </c>
      <c r="AD24" s="152">
        <f t="shared" si="16"/>
        <v>22</v>
      </c>
      <c r="AE24" s="152">
        <f t="shared" si="16"/>
        <v>22</v>
      </c>
      <c r="AF24" s="152">
        <f t="shared" si="16"/>
        <v>22</v>
      </c>
      <c r="AG24" s="152">
        <f t="shared" si="16"/>
        <v>22</v>
      </c>
      <c r="AH24" s="152">
        <f t="shared" ref="AH24:BM24" si="17">IF(AH21&gt;=22,22,AH21)</f>
        <v>22</v>
      </c>
      <c r="AI24" s="152">
        <f t="shared" si="17"/>
        <v>22</v>
      </c>
      <c r="AJ24" s="152">
        <f t="shared" si="17"/>
        <v>22</v>
      </c>
      <c r="AK24" s="152">
        <f t="shared" si="17"/>
        <v>22</v>
      </c>
      <c r="AL24" s="152">
        <f t="shared" si="17"/>
        <v>22</v>
      </c>
      <c r="AM24" s="152">
        <f t="shared" si="17"/>
        <v>22</v>
      </c>
      <c r="AN24" s="152">
        <f t="shared" si="17"/>
        <v>22</v>
      </c>
      <c r="AO24" s="152">
        <f t="shared" si="17"/>
        <v>22</v>
      </c>
      <c r="AP24" s="152">
        <f t="shared" si="17"/>
        <v>22</v>
      </c>
      <c r="AQ24" s="152">
        <f t="shared" si="17"/>
        <v>22</v>
      </c>
      <c r="AR24" s="152">
        <f t="shared" si="17"/>
        <v>20</v>
      </c>
      <c r="AS24" s="152">
        <f t="shared" si="17"/>
        <v>20</v>
      </c>
      <c r="AT24" s="152">
        <f t="shared" si="17"/>
        <v>20</v>
      </c>
      <c r="AU24" s="152">
        <f t="shared" si="17"/>
        <v>20</v>
      </c>
      <c r="AV24" s="152">
        <f t="shared" si="17"/>
        <v>20</v>
      </c>
      <c r="AW24" s="152">
        <f t="shared" si="17"/>
        <v>20</v>
      </c>
      <c r="AX24" s="152">
        <f t="shared" si="17"/>
        <v>20</v>
      </c>
      <c r="AY24" s="152">
        <f t="shared" si="17"/>
        <v>20</v>
      </c>
      <c r="AZ24" s="152">
        <f t="shared" si="17"/>
        <v>20</v>
      </c>
      <c r="BA24" s="152">
        <f t="shared" si="17"/>
        <v>20</v>
      </c>
      <c r="BB24" s="152">
        <f t="shared" si="17"/>
        <v>20</v>
      </c>
      <c r="BC24" s="152">
        <f t="shared" si="17"/>
        <v>20</v>
      </c>
      <c r="BD24" s="152">
        <f t="shared" si="17"/>
        <v>20</v>
      </c>
      <c r="BE24" s="152">
        <f t="shared" si="17"/>
        <v>20</v>
      </c>
      <c r="BF24" s="152">
        <f t="shared" si="17"/>
        <v>20</v>
      </c>
      <c r="BG24" s="152">
        <f t="shared" si="17"/>
        <v>20</v>
      </c>
      <c r="BH24" s="152">
        <f t="shared" si="17"/>
        <v>20</v>
      </c>
      <c r="BI24" s="152">
        <f t="shared" si="17"/>
        <v>20</v>
      </c>
      <c r="BJ24" s="152">
        <f t="shared" si="17"/>
        <v>20</v>
      </c>
      <c r="BK24" s="152">
        <f t="shared" si="17"/>
        <v>20</v>
      </c>
      <c r="BL24" s="152">
        <f t="shared" si="17"/>
        <v>20</v>
      </c>
      <c r="BM24" s="152">
        <f t="shared" si="17"/>
        <v>20</v>
      </c>
      <c r="BN24" s="152">
        <f t="shared" ref="BN24:CS24" si="18">IF(BN21&gt;=22,22,BN21)</f>
        <v>20</v>
      </c>
      <c r="BO24" s="152">
        <f t="shared" si="18"/>
        <v>20</v>
      </c>
      <c r="BP24" s="152">
        <f t="shared" si="18"/>
        <v>20</v>
      </c>
      <c r="BQ24" s="152">
        <f t="shared" si="18"/>
        <v>20</v>
      </c>
      <c r="BR24" s="152">
        <f t="shared" si="18"/>
        <v>20</v>
      </c>
      <c r="BS24" s="152">
        <f t="shared" si="18"/>
        <v>20</v>
      </c>
      <c r="BT24" s="152">
        <f t="shared" si="18"/>
        <v>20</v>
      </c>
      <c r="BU24" s="152">
        <f t="shared" si="18"/>
        <v>20</v>
      </c>
      <c r="BV24" s="152">
        <f t="shared" si="18"/>
        <v>20</v>
      </c>
      <c r="BW24" s="152">
        <f t="shared" si="18"/>
        <v>20</v>
      </c>
      <c r="BX24" s="152">
        <f t="shared" si="18"/>
        <v>20</v>
      </c>
      <c r="BY24" s="152">
        <f t="shared" si="18"/>
        <v>20</v>
      </c>
      <c r="BZ24" s="152">
        <f t="shared" si="18"/>
        <v>20</v>
      </c>
      <c r="CA24" s="152">
        <f t="shared" si="18"/>
        <v>20</v>
      </c>
      <c r="CB24" s="152">
        <f t="shared" si="18"/>
        <v>20</v>
      </c>
      <c r="CC24" s="152">
        <f t="shared" si="18"/>
        <v>20</v>
      </c>
      <c r="CD24" s="152">
        <f t="shared" si="18"/>
        <v>20</v>
      </c>
      <c r="CE24" s="152">
        <f t="shared" si="18"/>
        <v>16</v>
      </c>
      <c r="CF24" s="152">
        <f t="shared" si="18"/>
        <v>16</v>
      </c>
      <c r="CG24" s="152">
        <f t="shared" si="18"/>
        <v>16</v>
      </c>
      <c r="CH24" s="152">
        <f t="shared" si="18"/>
        <v>16</v>
      </c>
      <c r="CI24" s="152">
        <f t="shared" si="18"/>
        <v>16</v>
      </c>
      <c r="CJ24" s="152">
        <f t="shared" si="18"/>
        <v>16</v>
      </c>
      <c r="CK24" s="152">
        <f t="shared" si="18"/>
        <v>16</v>
      </c>
      <c r="CL24" s="152">
        <f t="shared" si="18"/>
        <v>16</v>
      </c>
      <c r="CM24" s="152">
        <f t="shared" si="18"/>
        <v>16</v>
      </c>
      <c r="CN24" s="152">
        <f t="shared" si="18"/>
        <v>16</v>
      </c>
      <c r="CO24" s="152">
        <f t="shared" si="18"/>
        <v>16</v>
      </c>
      <c r="CP24" s="152">
        <f t="shared" si="18"/>
        <v>16</v>
      </c>
      <c r="CQ24" s="152">
        <f t="shared" si="18"/>
        <v>16</v>
      </c>
      <c r="CR24" s="152">
        <f t="shared" si="18"/>
        <v>16</v>
      </c>
      <c r="CS24" s="152">
        <f t="shared" si="18"/>
        <v>16</v>
      </c>
      <c r="CT24" s="152">
        <f t="shared" ref="CT24:CY24" si="19">IF(CT21&gt;=22,22,CT21)</f>
        <v>16</v>
      </c>
      <c r="CU24" s="152">
        <f t="shared" si="19"/>
        <v>16</v>
      </c>
      <c r="CV24" s="152">
        <f t="shared" si="19"/>
        <v>16</v>
      </c>
      <c r="CW24" s="152">
        <f t="shared" si="19"/>
        <v>16</v>
      </c>
      <c r="CX24" s="152">
        <f t="shared" si="19"/>
        <v>16</v>
      </c>
      <c r="CY24" s="152">
        <f t="shared" si="19"/>
        <v>16</v>
      </c>
    </row>
    <row r="25" spans="1:103" ht="12" customHeight="1">
      <c r="A25" s="188" t="s">
        <v>524</v>
      </c>
      <c r="B25" s="184">
        <f t="shared" ref="B25:AG25" si="20">(B21-B24)*B22</f>
        <v>3354000</v>
      </c>
      <c r="C25" s="184">
        <f t="shared" si="20"/>
        <v>3354000</v>
      </c>
      <c r="D25" s="184">
        <f t="shared" si="20"/>
        <v>4212000</v>
      </c>
      <c r="E25" s="184">
        <f t="shared" si="20"/>
        <v>4212000</v>
      </c>
      <c r="F25" s="184">
        <f t="shared" si="20"/>
        <v>4212000</v>
      </c>
      <c r="G25" s="184">
        <f t="shared" si="20"/>
        <v>4212000</v>
      </c>
      <c r="H25" s="184">
        <f t="shared" si="20"/>
        <v>4212000</v>
      </c>
      <c r="I25" s="184">
        <f t="shared" si="20"/>
        <v>4212000</v>
      </c>
      <c r="J25" s="184">
        <f t="shared" si="20"/>
        <v>4212000</v>
      </c>
      <c r="K25" s="184">
        <f t="shared" si="20"/>
        <v>3354000</v>
      </c>
      <c r="L25" s="184">
        <f t="shared" si="20"/>
        <v>3354000</v>
      </c>
      <c r="M25" s="184">
        <f t="shared" si="20"/>
        <v>3354000</v>
      </c>
      <c r="N25" s="184">
        <f t="shared" si="20"/>
        <v>3488160</v>
      </c>
      <c r="O25" s="184">
        <f t="shared" si="20"/>
        <v>3488160</v>
      </c>
      <c r="P25" s="184">
        <f t="shared" si="20"/>
        <v>3488160</v>
      </c>
      <c r="Q25" s="184">
        <f t="shared" si="20"/>
        <v>3488160</v>
      </c>
      <c r="R25" s="184">
        <f t="shared" si="20"/>
        <v>3488160</v>
      </c>
      <c r="S25" s="184">
        <f t="shared" si="20"/>
        <v>3488160</v>
      </c>
      <c r="T25" s="184">
        <f t="shared" si="20"/>
        <v>2271360</v>
      </c>
      <c r="U25" s="184">
        <f t="shared" si="20"/>
        <v>2271360</v>
      </c>
      <c r="V25" s="184">
        <f t="shared" si="20"/>
        <v>1460160</v>
      </c>
      <c r="W25" s="184">
        <f t="shared" si="20"/>
        <v>1460160</v>
      </c>
      <c r="X25" s="184">
        <f t="shared" si="20"/>
        <v>1460160</v>
      </c>
      <c r="Y25" s="184">
        <f t="shared" si="20"/>
        <v>1460160</v>
      </c>
      <c r="Z25" s="184">
        <f t="shared" si="20"/>
        <v>1518566.4000000001</v>
      </c>
      <c r="AA25" s="184">
        <f t="shared" si="20"/>
        <v>1518566.4000000001</v>
      </c>
      <c r="AB25" s="184">
        <f t="shared" si="20"/>
        <v>1518566.4000000001</v>
      </c>
      <c r="AC25" s="184">
        <f t="shared" si="20"/>
        <v>1518566.4000000001</v>
      </c>
      <c r="AD25" s="184">
        <f t="shared" si="20"/>
        <v>1518566.4000000001</v>
      </c>
      <c r="AE25" s="184">
        <f t="shared" si="20"/>
        <v>1518566.4000000001</v>
      </c>
      <c r="AF25" s="184">
        <f t="shared" si="20"/>
        <v>1518566.4000000001</v>
      </c>
      <c r="AG25" s="184">
        <f t="shared" si="20"/>
        <v>674918.40000000002</v>
      </c>
      <c r="AH25" s="184">
        <f t="shared" ref="AH25:BM25" si="21">(AH21-AH24)*AH22</f>
        <v>674918.40000000002</v>
      </c>
      <c r="AI25" s="184">
        <f t="shared" si="21"/>
        <v>674918.40000000002</v>
      </c>
      <c r="AJ25" s="184">
        <f t="shared" si="21"/>
        <v>674918.40000000002</v>
      </c>
      <c r="AK25" s="184">
        <f t="shared" si="21"/>
        <v>674918.40000000002</v>
      </c>
      <c r="AL25" s="184">
        <f t="shared" si="21"/>
        <v>701915.13600000006</v>
      </c>
      <c r="AM25" s="184">
        <f t="shared" si="21"/>
        <v>701915.13600000006</v>
      </c>
      <c r="AN25" s="184">
        <f t="shared" si="21"/>
        <v>701915.13600000006</v>
      </c>
      <c r="AO25" s="184">
        <f t="shared" si="21"/>
        <v>701915.13600000006</v>
      </c>
      <c r="AP25" s="184">
        <f t="shared" si="21"/>
        <v>701915.13600000006</v>
      </c>
      <c r="AQ25" s="184">
        <f t="shared" si="21"/>
        <v>701915.13600000006</v>
      </c>
      <c r="AR25" s="184">
        <f t="shared" si="21"/>
        <v>0</v>
      </c>
      <c r="AS25" s="184">
        <f t="shared" si="21"/>
        <v>0</v>
      </c>
      <c r="AT25" s="184">
        <f t="shared" si="21"/>
        <v>0</v>
      </c>
      <c r="AU25" s="184">
        <f t="shared" si="21"/>
        <v>0</v>
      </c>
      <c r="AV25" s="184">
        <f t="shared" si="21"/>
        <v>0</v>
      </c>
      <c r="AW25" s="184">
        <f t="shared" si="21"/>
        <v>0</v>
      </c>
      <c r="AX25" s="184">
        <f t="shared" si="21"/>
        <v>0</v>
      </c>
      <c r="AY25" s="184">
        <f t="shared" si="21"/>
        <v>0</v>
      </c>
      <c r="AZ25" s="184">
        <f t="shared" si="21"/>
        <v>0</v>
      </c>
      <c r="BA25" s="184">
        <f t="shared" si="21"/>
        <v>0</v>
      </c>
      <c r="BB25" s="184">
        <f t="shared" si="21"/>
        <v>0</v>
      </c>
      <c r="BC25" s="184">
        <f t="shared" si="21"/>
        <v>0</v>
      </c>
      <c r="BD25" s="184">
        <f t="shared" si="21"/>
        <v>0</v>
      </c>
      <c r="BE25" s="184">
        <f t="shared" si="21"/>
        <v>0</v>
      </c>
      <c r="BF25" s="184">
        <f t="shared" si="21"/>
        <v>0</v>
      </c>
      <c r="BG25" s="184">
        <f t="shared" si="21"/>
        <v>0</v>
      </c>
      <c r="BH25" s="184">
        <f t="shared" si="21"/>
        <v>0</v>
      </c>
      <c r="BI25" s="184">
        <f t="shared" si="21"/>
        <v>0</v>
      </c>
      <c r="BJ25" s="184">
        <f t="shared" si="21"/>
        <v>0</v>
      </c>
      <c r="BK25" s="184">
        <f t="shared" si="21"/>
        <v>0</v>
      </c>
      <c r="BL25" s="184">
        <f t="shared" si="21"/>
        <v>0</v>
      </c>
      <c r="BM25" s="184">
        <f t="shared" si="21"/>
        <v>0</v>
      </c>
      <c r="BN25" s="184">
        <f t="shared" ref="BN25:CS25" si="22">(BN21-BN24)*BN22</f>
        <v>0</v>
      </c>
      <c r="BO25" s="184">
        <f t="shared" si="22"/>
        <v>0</v>
      </c>
      <c r="BP25" s="184">
        <f t="shared" si="22"/>
        <v>0</v>
      </c>
      <c r="BQ25" s="184">
        <f t="shared" si="22"/>
        <v>0</v>
      </c>
      <c r="BR25" s="184">
        <f t="shared" si="22"/>
        <v>0</v>
      </c>
      <c r="BS25" s="184">
        <f t="shared" si="22"/>
        <v>0</v>
      </c>
      <c r="BT25" s="184">
        <f t="shared" si="22"/>
        <v>0</v>
      </c>
      <c r="BU25" s="184">
        <f t="shared" si="22"/>
        <v>0</v>
      </c>
      <c r="BV25" s="184">
        <f t="shared" si="22"/>
        <v>0</v>
      </c>
      <c r="BW25" s="184">
        <f t="shared" si="22"/>
        <v>0</v>
      </c>
      <c r="BX25" s="184">
        <f t="shared" si="22"/>
        <v>0</v>
      </c>
      <c r="BY25" s="184">
        <f t="shared" si="22"/>
        <v>0</v>
      </c>
      <c r="BZ25" s="184">
        <f t="shared" si="22"/>
        <v>0</v>
      </c>
      <c r="CA25" s="184">
        <f t="shared" si="22"/>
        <v>0</v>
      </c>
      <c r="CB25" s="184">
        <f t="shared" si="22"/>
        <v>0</v>
      </c>
      <c r="CC25" s="184">
        <f t="shared" si="22"/>
        <v>0</v>
      </c>
      <c r="CD25" s="184">
        <f t="shared" si="22"/>
        <v>0</v>
      </c>
      <c r="CE25" s="184">
        <f t="shared" si="22"/>
        <v>0</v>
      </c>
      <c r="CF25" s="184">
        <f t="shared" si="22"/>
        <v>0</v>
      </c>
      <c r="CG25" s="184">
        <f t="shared" si="22"/>
        <v>0</v>
      </c>
      <c r="CH25" s="184">
        <f t="shared" si="22"/>
        <v>0</v>
      </c>
      <c r="CI25" s="184">
        <f t="shared" si="22"/>
        <v>0</v>
      </c>
      <c r="CJ25" s="184">
        <f t="shared" si="22"/>
        <v>0</v>
      </c>
      <c r="CK25" s="184">
        <f t="shared" si="22"/>
        <v>0</v>
      </c>
      <c r="CL25" s="184">
        <f t="shared" si="22"/>
        <v>0</v>
      </c>
      <c r="CM25" s="184">
        <f t="shared" si="22"/>
        <v>0</v>
      </c>
      <c r="CN25" s="184">
        <f t="shared" si="22"/>
        <v>0</v>
      </c>
      <c r="CO25" s="184">
        <f t="shared" si="22"/>
        <v>0</v>
      </c>
      <c r="CP25" s="184">
        <f t="shared" si="22"/>
        <v>0</v>
      </c>
      <c r="CQ25" s="184">
        <f t="shared" si="22"/>
        <v>0</v>
      </c>
      <c r="CR25" s="184">
        <f t="shared" si="22"/>
        <v>0</v>
      </c>
      <c r="CS25" s="184">
        <f t="shared" si="22"/>
        <v>0</v>
      </c>
      <c r="CT25" s="184">
        <f t="shared" ref="CT25:CY25" si="23">(CT21-CT24)*CT22</f>
        <v>0</v>
      </c>
      <c r="CU25" s="184">
        <f t="shared" si="23"/>
        <v>0</v>
      </c>
      <c r="CV25" s="184">
        <f t="shared" si="23"/>
        <v>0</v>
      </c>
      <c r="CW25" s="184">
        <f t="shared" si="23"/>
        <v>0</v>
      </c>
      <c r="CX25" s="184">
        <f t="shared" si="23"/>
        <v>0</v>
      </c>
      <c r="CY25" s="184">
        <f t="shared" si="23"/>
        <v>0</v>
      </c>
    </row>
  </sheetData>
  <pageMargins left="0.7" right="0.7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E8"/>
  <sheetViews>
    <sheetView workbookViewId="0">
      <pane xSplit="1" ySplit="2" topLeftCell="Z3" activePane="bottomRight" state="frozen"/>
      <selection activeCell="N6" sqref="N6"/>
      <selection pane="topRight" activeCell="N6" sqref="N6"/>
      <selection pane="bottomLeft" activeCell="N6" sqref="N6"/>
      <selection pane="bottomRight"/>
    </sheetView>
  </sheetViews>
  <sheetFormatPr defaultColWidth="9.33203125" defaultRowHeight="12" customHeight="1"/>
  <cols>
    <col min="1" max="1" width="25.33203125" style="144" customWidth="1"/>
    <col min="2" max="2" width="6.6640625" style="144" hidden="1" customWidth="1"/>
    <col min="3" max="3" width="7.33203125" style="144" hidden="1" customWidth="1"/>
    <col min="4" max="4" width="6.33203125" style="144" hidden="1" customWidth="1"/>
    <col min="5" max="5" width="6" style="144" hidden="1" customWidth="1"/>
    <col min="6" max="6" width="7" style="144" hidden="1" customWidth="1"/>
    <col min="7" max="7" width="6.83203125" style="144" hidden="1" customWidth="1"/>
    <col min="8" max="8" width="6.6640625" style="144" hidden="1" customWidth="1"/>
    <col min="9" max="9" width="7.1640625" style="144" hidden="1" customWidth="1"/>
    <col min="10" max="10" width="7" style="144" hidden="1" customWidth="1"/>
    <col min="11" max="11" width="6.33203125" style="144" hidden="1" customWidth="1"/>
    <col min="12" max="12" width="6.83203125" style="144" hidden="1" customWidth="1"/>
    <col min="13" max="13" width="7.1640625" style="144" hidden="1" customWidth="1"/>
    <col min="14" max="14" width="6.6640625" style="144" hidden="1" customWidth="1"/>
    <col min="15" max="15" width="7.33203125" style="144" hidden="1" customWidth="1"/>
    <col min="16" max="16" width="6.33203125" style="144" hidden="1" customWidth="1"/>
    <col min="17" max="17" width="6" style="144" hidden="1" customWidth="1"/>
    <col min="18" max="18" width="7" style="144" hidden="1" customWidth="1"/>
    <col min="19" max="19" width="6.83203125" style="144" hidden="1" customWidth="1"/>
    <col min="20" max="20" width="6.6640625" style="144" hidden="1" customWidth="1"/>
    <col min="21" max="21" width="7.1640625" style="144" hidden="1" customWidth="1"/>
    <col min="22" max="22" width="7" style="144" hidden="1" customWidth="1"/>
    <col min="23" max="23" width="6.33203125" style="144" hidden="1" customWidth="1"/>
    <col min="24" max="24" width="6.83203125" style="144" hidden="1" customWidth="1"/>
    <col min="25" max="25" width="7.1640625" style="144" hidden="1" customWidth="1"/>
    <col min="26" max="26" width="6.6640625" style="144" customWidth="1"/>
    <col min="27" max="27" width="7.33203125" style="144" customWidth="1"/>
    <col min="28" max="28" width="6.33203125" style="144" customWidth="1"/>
    <col min="29" max="29" width="6" style="144" customWidth="1"/>
    <col min="30" max="30" width="7" style="144" customWidth="1"/>
    <col min="31" max="31" width="6.83203125" style="144" customWidth="1"/>
    <col min="32" max="32" width="6.6640625" style="144" customWidth="1"/>
    <col min="33" max="33" width="7.1640625" style="144" customWidth="1"/>
    <col min="34" max="34" width="7" style="144" customWidth="1"/>
    <col min="35" max="35" width="6.33203125" style="144" customWidth="1"/>
    <col min="36" max="36" width="6.83203125" style="144" customWidth="1"/>
    <col min="37" max="37" width="7.1640625" style="144" customWidth="1"/>
    <col min="38" max="38" width="6.6640625" style="144" customWidth="1"/>
    <col min="39" max="39" width="7.33203125" style="144" customWidth="1"/>
    <col min="40" max="40" width="6.33203125" style="144" customWidth="1"/>
    <col min="41" max="41" width="6" style="144" customWidth="1"/>
    <col min="42" max="42" width="7" style="144" customWidth="1"/>
    <col min="43" max="43" width="6.83203125" style="144" customWidth="1"/>
    <col min="44" max="44" width="6.6640625" style="144" customWidth="1"/>
    <col min="45" max="45" width="7.1640625" style="144" customWidth="1"/>
    <col min="46" max="46" width="7" style="144" customWidth="1"/>
    <col min="47" max="47" width="6.33203125" style="144" customWidth="1"/>
    <col min="48" max="48" width="6.83203125" style="144" customWidth="1"/>
    <col min="49" max="49" width="7.1640625" style="144" customWidth="1"/>
    <col min="50" max="50" width="6.6640625" style="144" customWidth="1"/>
    <col min="51" max="51" width="7.33203125" style="144" customWidth="1"/>
    <col min="52" max="52" width="6.33203125" style="144" customWidth="1"/>
    <col min="53" max="53" width="6" style="144" customWidth="1"/>
    <col min="54" max="54" width="7" style="144" customWidth="1"/>
    <col min="55" max="55" width="6.83203125" style="144" customWidth="1"/>
    <col min="56" max="56" width="6.6640625" style="144" customWidth="1"/>
    <col min="57" max="57" width="7.1640625" style="144" customWidth="1"/>
    <col min="58" max="58" width="7" style="144" customWidth="1"/>
    <col min="59" max="59" width="6.33203125" style="144" customWidth="1"/>
    <col min="60" max="60" width="6.83203125" style="144" customWidth="1"/>
    <col min="61" max="61" width="7.1640625" style="144" customWidth="1"/>
    <col min="62" max="62" width="6.6640625" style="144" customWidth="1"/>
    <col min="63" max="63" width="7.33203125" style="144" customWidth="1"/>
    <col min="64" max="64" width="6.33203125" style="144" customWidth="1"/>
    <col min="65" max="65" width="6" style="144" customWidth="1"/>
    <col min="66" max="66" width="7" style="144" customWidth="1"/>
    <col min="67" max="67" width="6.83203125" style="144" customWidth="1"/>
    <col min="68" max="68" width="6.6640625" style="144" customWidth="1"/>
    <col min="69" max="69" width="7.1640625" style="144" customWidth="1"/>
    <col min="70" max="70" width="7" style="144" customWidth="1"/>
    <col min="71" max="71" width="6.33203125" style="144" customWidth="1"/>
    <col min="72" max="72" width="6.83203125" style="144" customWidth="1"/>
    <col min="73" max="73" width="7.1640625" style="144" customWidth="1"/>
    <col min="74" max="74" width="6.6640625" style="144" customWidth="1"/>
    <col min="75" max="75" width="7.33203125" style="144" customWidth="1"/>
    <col min="76" max="76" width="6.33203125" style="144" customWidth="1"/>
    <col min="77" max="77" width="6" style="144" customWidth="1"/>
    <col min="78" max="78" width="7" style="144" customWidth="1"/>
    <col min="79" max="79" width="6.83203125" style="144" customWidth="1"/>
    <col min="80" max="80" width="6.6640625" style="144" customWidth="1"/>
    <col min="81" max="81" width="7.1640625" style="144" customWidth="1"/>
    <col min="82" max="82" width="7" style="144" customWidth="1"/>
    <col min="83" max="83" width="6.33203125" style="144" customWidth="1"/>
    <col min="84" max="84" width="6.83203125" style="144" customWidth="1"/>
    <col min="85" max="85" width="7.1640625" style="144" customWidth="1"/>
    <col min="86" max="86" width="6.6640625" style="144" customWidth="1"/>
    <col min="87" max="87" width="7.33203125" style="144" customWidth="1"/>
    <col min="88" max="88" width="6.33203125" style="144" customWidth="1"/>
    <col min="89" max="89" width="6" style="144" customWidth="1"/>
    <col min="90" max="90" width="7" style="144" customWidth="1"/>
    <col min="91" max="91" width="6.83203125" style="144" customWidth="1"/>
    <col min="92" max="92" width="6.6640625" style="144" customWidth="1"/>
    <col min="93" max="93" width="7.1640625" style="144" customWidth="1"/>
    <col min="94" max="94" width="7" style="144" customWidth="1"/>
    <col min="95" max="95" width="6.33203125" style="144" customWidth="1"/>
    <col min="96" max="96" width="6.83203125" style="144" customWidth="1"/>
    <col min="97" max="97" width="7.1640625" style="144" customWidth="1"/>
    <col min="98" max="98" width="6.6640625" style="144" customWidth="1"/>
    <col min="99" max="99" width="7.33203125" style="144" customWidth="1"/>
    <col min="100" max="100" width="6.33203125" style="144" customWidth="1"/>
    <col min="101" max="101" width="6" style="144" customWidth="1"/>
    <col min="102" max="102" width="7" style="144" customWidth="1"/>
    <col min="103" max="109" width="6.83203125" style="144" customWidth="1"/>
    <col min="110" max="16384" width="9.33203125" style="144"/>
  </cols>
  <sheetData>
    <row r="1" spans="1:109" ht="12" customHeight="1">
      <c r="A1" s="148"/>
      <c r="B1" s="146"/>
      <c r="C1" s="146"/>
      <c r="D1" s="146" t="s">
        <v>45</v>
      </c>
      <c r="E1" s="146" t="s">
        <v>45</v>
      </c>
      <c r="F1" s="146" t="s">
        <v>45</v>
      </c>
      <c r="G1" s="146" t="s">
        <v>45</v>
      </c>
      <c r="H1" s="146" t="s">
        <v>45</v>
      </c>
      <c r="I1" s="146" t="s">
        <v>45</v>
      </c>
      <c r="J1" s="146" t="s">
        <v>45</v>
      </c>
      <c r="K1" s="146" t="s">
        <v>45</v>
      </c>
      <c r="L1" s="146" t="s">
        <v>45</v>
      </c>
      <c r="M1" s="146" t="s">
        <v>45</v>
      </c>
      <c r="N1" s="146" t="s">
        <v>46</v>
      </c>
      <c r="O1" s="146" t="s">
        <v>46</v>
      </c>
      <c r="P1" s="146" t="s">
        <v>46</v>
      </c>
      <c r="Q1" s="146" t="s">
        <v>46</v>
      </c>
      <c r="R1" s="146" t="s">
        <v>46</v>
      </c>
      <c r="S1" s="146" t="s">
        <v>46</v>
      </c>
      <c r="T1" s="146" t="s">
        <v>46</v>
      </c>
      <c r="U1" s="146" t="s">
        <v>46</v>
      </c>
      <c r="V1" s="146" t="s">
        <v>46</v>
      </c>
      <c r="W1" s="146" t="s">
        <v>46</v>
      </c>
      <c r="X1" s="146" t="s">
        <v>46</v>
      </c>
      <c r="Y1" s="146" t="s">
        <v>46</v>
      </c>
      <c r="Z1" s="146" t="s">
        <v>47</v>
      </c>
      <c r="AA1" s="146" t="s">
        <v>47</v>
      </c>
      <c r="AB1" s="146" t="s">
        <v>47</v>
      </c>
      <c r="AC1" s="146" t="s">
        <v>47</v>
      </c>
      <c r="AD1" s="146" t="s">
        <v>47</v>
      </c>
      <c r="AE1" s="146" t="s">
        <v>47</v>
      </c>
      <c r="AF1" s="146" t="s">
        <v>47</v>
      </c>
      <c r="AG1" s="146" t="s">
        <v>47</v>
      </c>
      <c r="AH1" s="146" t="s">
        <v>47</v>
      </c>
      <c r="AI1" s="146" t="s">
        <v>47</v>
      </c>
      <c r="AJ1" s="146" t="s">
        <v>47</v>
      </c>
      <c r="AK1" s="146" t="s">
        <v>47</v>
      </c>
      <c r="AL1" s="146" t="s">
        <v>48</v>
      </c>
      <c r="AM1" s="146" t="s">
        <v>48</v>
      </c>
      <c r="AN1" s="146" t="s">
        <v>48</v>
      </c>
      <c r="AO1" s="146" t="s">
        <v>48</v>
      </c>
      <c r="AP1" s="146" t="s">
        <v>48</v>
      </c>
      <c r="AQ1" s="146" t="s">
        <v>48</v>
      </c>
      <c r="AR1" s="146" t="s">
        <v>48</v>
      </c>
      <c r="AS1" s="146" t="s">
        <v>48</v>
      </c>
      <c r="AT1" s="146" t="s">
        <v>48</v>
      </c>
      <c r="AU1" s="146" t="s">
        <v>48</v>
      </c>
      <c r="AV1" s="146" t="s">
        <v>48</v>
      </c>
      <c r="AW1" s="146" t="s">
        <v>48</v>
      </c>
      <c r="AX1" s="146" t="s">
        <v>49</v>
      </c>
      <c r="AY1" s="146" t="s">
        <v>49</v>
      </c>
      <c r="AZ1" s="146" t="s">
        <v>49</v>
      </c>
      <c r="BA1" s="146" t="s">
        <v>49</v>
      </c>
      <c r="BB1" s="146" t="s">
        <v>49</v>
      </c>
      <c r="BC1" s="146" t="s">
        <v>49</v>
      </c>
      <c r="BD1" s="146" t="s">
        <v>49</v>
      </c>
      <c r="BE1" s="146" t="s">
        <v>49</v>
      </c>
      <c r="BF1" s="146" t="s">
        <v>49</v>
      </c>
      <c r="BG1" s="146" t="s">
        <v>49</v>
      </c>
      <c r="BH1" s="146" t="s">
        <v>49</v>
      </c>
      <c r="BI1" s="146" t="s">
        <v>49</v>
      </c>
      <c r="BJ1" s="146" t="s">
        <v>50</v>
      </c>
      <c r="BK1" s="146" t="s">
        <v>50</v>
      </c>
      <c r="BL1" s="146" t="s">
        <v>50</v>
      </c>
      <c r="BM1" s="146" t="s">
        <v>50</v>
      </c>
      <c r="BN1" s="146" t="s">
        <v>50</v>
      </c>
      <c r="BO1" s="146" t="s">
        <v>50</v>
      </c>
      <c r="BP1" s="146" t="s">
        <v>50</v>
      </c>
      <c r="BQ1" s="146" t="s">
        <v>50</v>
      </c>
      <c r="BR1" s="146" t="s">
        <v>50</v>
      </c>
      <c r="BS1" s="146" t="s">
        <v>50</v>
      </c>
      <c r="BT1" s="146" t="s">
        <v>50</v>
      </c>
      <c r="BU1" s="146" t="s">
        <v>50</v>
      </c>
      <c r="BV1" s="146" t="s">
        <v>51</v>
      </c>
      <c r="BW1" s="146" t="s">
        <v>51</v>
      </c>
      <c r="BX1" s="146" t="s">
        <v>51</v>
      </c>
      <c r="BY1" s="146" t="s">
        <v>51</v>
      </c>
      <c r="BZ1" s="146" t="s">
        <v>51</v>
      </c>
      <c r="CA1" s="146" t="s">
        <v>51</v>
      </c>
      <c r="CB1" s="146" t="s">
        <v>51</v>
      </c>
      <c r="CC1" s="146" t="s">
        <v>51</v>
      </c>
      <c r="CD1" s="146" t="s">
        <v>51</v>
      </c>
      <c r="CE1" s="146" t="s">
        <v>51</v>
      </c>
      <c r="CF1" s="146" t="s">
        <v>51</v>
      </c>
      <c r="CG1" s="146" t="s">
        <v>51</v>
      </c>
      <c r="CH1" s="146" t="s">
        <v>52</v>
      </c>
      <c r="CI1" s="146" t="s">
        <v>52</v>
      </c>
      <c r="CJ1" s="146" t="s">
        <v>52</v>
      </c>
      <c r="CK1" s="146" t="s">
        <v>52</v>
      </c>
      <c r="CL1" s="146" t="s">
        <v>52</v>
      </c>
      <c r="CM1" s="146" t="s">
        <v>52</v>
      </c>
      <c r="CN1" s="146" t="s">
        <v>52</v>
      </c>
      <c r="CO1" s="146" t="s">
        <v>52</v>
      </c>
      <c r="CP1" s="146" t="s">
        <v>52</v>
      </c>
      <c r="CQ1" s="146" t="s">
        <v>52</v>
      </c>
      <c r="CR1" s="146" t="s">
        <v>52</v>
      </c>
      <c r="CS1" s="146" t="s">
        <v>52</v>
      </c>
      <c r="CT1" s="146" t="s">
        <v>53</v>
      </c>
      <c r="CU1" s="146" t="s">
        <v>53</v>
      </c>
      <c r="CV1" s="146" t="s">
        <v>53</v>
      </c>
      <c r="CW1" s="146" t="s">
        <v>53</v>
      </c>
      <c r="CX1" s="146" t="s">
        <v>53</v>
      </c>
      <c r="CY1" s="146" t="s">
        <v>53</v>
      </c>
      <c r="CZ1" s="146" t="s">
        <v>53</v>
      </c>
      <c r="DA1" s="146" t="s">
        <v>53</v>
      </c>
      <c r="DB1" s="146" t="s">
        <v>53</v>
      </c>
      <c r="DC1" s="146" t="s">
        <v>53</v>
      </c>
      <c r="DD1" s="146" t="s">
        <v>53</v>
      </c>
      <c r="DE1" s="146" t="s">
        <v>53</v>
      </c>
    </row>
    <row r="2" spans="1:109" ht="12" customHeight="1">
      <c r="A2" s="146" t="s">
        <v>37</v>
      </c>
      <c r="B2" s="8">
        <v>43951</v>
      </c>
      <c r="C2" s="8">
        <v>43982</v>
      </c>
      <c r="D2" s="8">
        <v>44012</v>
      </c>
      <c r="E2" s="8">
        <v>44043</v>
      </c>
      <c r="F2" s="8">
        <v>44074</v>
      </c>
      <c r="G2" s="8">
        <v>44104</v>
      </c>
      <c r="H2" s="8">
        <v>44135</v>
      </c>
      <c r="I2" s="8">
        <v>44165</v>
      </c>
      <c r="J2" s="8">
        <v>44196</v>
      </c>
      <c r="K2" s="8">
        <v>44227</v>
      </c>
      <c r="L2" s="8">
        <v>44255</v>
      </c>
      <c r="M2" s="8">
        <v>44286</v>
      </c>
      <c r="N2" s="8">
        <v>44316</v>
      </c>
      <c r="O2" s="8">
        <v>44347</v>
      </c>
      <c r="P2" s="8">
        <v>44377</v>
      </c>
      <c r="Q2" s="8">
        <v>44408</v>
      </c>
      <c r="R2" s="8">
        <v>44439</v>
      </c>
      <c r="S2" s="8">
        <v>44469</v>
      </c>
      <c r="T2" s="8">
        <v>44500</v>
      </c>
      <c r="U2" s="8">
        <v>44530</v>
      </c>
      <c r="V2" s="8">
        <v>44561</v>
      </c>
      <c r="W2" s="8">
        <v>44592</v>
      </c>
      <c r="X2" s="8">
        <v>44620</v>
      </c>
      <c r="Y2" s="8">
        <v>44651</v>
      </c>
      <c r="Z2" s="8">
        <v>44681</v>
      </c>
      <c r="AA2" s="8">
        <v>44712</v>
      </c>
      <c r="AB2" s="8">
        <v>44742</v>
      </c>
      <c r="AC2" s="8">
        <v>44773</v>
      </c>
      <c r="AD2" s="8">
        <v>44804</v>
      </c>
      <c r="AE2" s="8">
        <v>44834</v>
      </c>
      <c r="AF2" s="8">
        <v>44865</v>
      </c>
      <c r="AG2" s="8">
        <v>44895</v>
      </c>
      <c r="AH2" s="8">
        <v>44926</v>
      </c>
      <c r="AI2" s="8">
        <v>44957</v>
      </c>
      <c r="AJ2" s="8">
        <v>44985</v>
      </c>
      <c r="AK2" s="8">
        <v>45016</v>
      </c>
      <c r="AL2" s="8">
        <v>45046</v>
      </c>
      <c r="AM2" s="8">
        <v>45077</v>
      </c>
      <c r="AN2" s="8">
        <v>45107</v>
      </c>
      <c r="AO2" s="8">
        <v>45138</v>
      </c>
      <c r="AP2" s="8">
        <v>45169</v>
      </c>
      <c r="AQ2" s="8">
        <v>45199</v>
      </c>
      <c r="AR2" s="8">
        <v>45230</v>
      </c>
      <c r="AS2" s="8">
        <v>45260</v>
      </c>
      <c r="AT2" s="8">
        <v>45291</v>
      </c>
      <c r="AU2" s="8">
        <v>45322</v>
      </c>
      <c r="AV2" s="8">
        <v>45351</v>
      </c>
      <c r="AW2" s="8">
        <v>45382</v>
      </c>
      <c r="AX2" s="8">
        <v>45412</v>
      </c>
      <c r="AY2" s="8">
        <v>45443</v>
      </c>
      <c r="AZ2" s="8">
        <v>45473</v>
      </c>
      <c r="BA2" s="8">
        <v>45504</v>
      </c>
      <c r="BB2" s="8">
        <v>45535</v>
      </c>
      <c r="BC2" s="8">
        <v>45565</v>
      </c>
      <c r="BD2" s="8">
        <v>45596</v>
      </c>
      <c r="BE2" s="8">
        <v>45626</v>
      </c>
      <c r="BF2" s="8">
        <v>45657</v>
      </c>
      <c r="BG2" s="8">
        <v>45688</v>
      </c>
      <c r="BH2" s="8">
        <v>45716</v>
      </c>
      <c r="BI2" s="8">
        <v>45747</v>
      </c>
      <c r="BJ2" s="8">
        <v>45777</v>
      </c>
      <c r="BK2" s="8">
        <v>45808</v>
      </c>
      <c r="BL2" s="8">
        <v>45838</v>
      </c>
      <c r="BM2" s="8">
        <v>45869</v>
      </c>
      <c r="BN2" s="8">
        <v>45900</v>
      </c>
      <c r="BO2" s="8">
        <v>45930</v>
      </c>
      <c r="BP2" s="8">
        <v>45961</v>
      </c>
      <c r="BQ2" s="8">
        <v>45991</v>
      </c>
      <c r="BR2" s="8">
        <v>46022</v>
      </c>
      <c r="BS2" s="8">
        <v>46053</v>
      </c>
      <c r="BT2" s="8">
        <v>46081</v>
      </c>
      <c r="BU2" s="8">
        <v>46112</v>
      </c>
      <c r="BV2" s="8">
        <v>46142</v>
      </c>
      <c r="BW2" s="8">
        <v>46173</v>
      </c>
      <c r="BX2" s="8">
        <v>46203</v>
      </c>
      <c r="BY2" s="8">
        <v>46234</v>
      </c>
      <c r="BZ2" s="8">
        <v>46265</v>
      </c>
      <c r="CA2" s="8">
        <v>46295</v>
      </c>
      <c r="CB2" s="8">
        <v>46326</v>
      </c>
      <c r="CC2" s="8">
        <v>46356</v>
      </c>
      <c r="CD2" s="8">
        <v>46387</v>
      </c>
      <c r="CE2" s="8">
        <v>46418</v>
      </c>
      <c r="CF2" s="8">
        <v>46446</v>
      </c>
      <c r="CG2" s="8">
        <v>46477</v>
      </c>
      <c r="CH2" s="8">
        <v>46507</v>
      </c>
      <c r="CI2" s="8">
        <v>46538</v>
      </c>
      <c r="CJ2" s="8">
        <v>46568</v>
      </c>
      <c r="CK2" s="8">
        <v>46599</v>
      </c>
      <c r="CL2" s="8">
        <v>46630</v>
      </c>
      <c r="CM2" s="8">
        <v>46660</v>
      </c>
      <c r="CN2" s="8">
        <v>46691</v>
      </c>
      <c r="CO2" s="8">
        <v>46721</v>
      </c>
      <c r="CP2" s="8">
        <v>46752</v>
      </c>
      <c r="CQ2" s="8">
        <v>46783</v>
      </c>
      <c r="CR2" s="8">
        <v>46812</v>
      </c>
      <c r="CS2" s="8">
        <v>46843</v>
      </c>
      <c r="CT2" s="8">
        <v>46873</v>
      </c>
      <c r="CU2" s="8">
        <v>46904</v>
      </c>
      <c r="CV2" s="8">
        <v>46934</v>
      </c>
      <c r="CW2" s="8">
        <v>46965</v>
      </c>
      <c r="CX2" s="8">
        <v>46996</v>
      </c>
      <c r="CY2" s="8">
        <v>47026</v>
      </c>
      <c r="CZ2" s="8">
        <v>47056</v>
      </c>
      <c r="DA2" s="8">
        <v>47087</v>
      </c>
      <c r="DB2" s="8">
        <v>47117</v>
      </c>
      <c r="DC2" s="8">
        <v>47148</v>
      </c>
      <c r="DD2" s="8">
        <v>47177</v>
      </c>
      <c r="DE2" s="8">
        <v>47207</v>
      </c>
    </row>
    <row r="3" spans="1:109" ht="12" customHeight="1">
      <c r="A3" s="144" t="s">
        <v>469</v>
      </c>
      <c r="B3" s="147">
        <f>'G&amp;A'!B42/10000000</f>
        <v>0.401696</v>
      </c>
      <c r="C3" s="147">
        <f>'G&amp;A'!C42/10000000</f>
        <v>0.401696</v>
      </c>
      <c r="D3" s="147">
        <f>'G&amp;A'!D42/10000000</f>
        <v>0.404196</v>
      </c>
      <c r="E3" s="147">
        <f>'G&amp;A'!E42/10000000</f>
        <v>0.39784599999999998</v>
      </c>
      <c r="F3" s="147">
        <f>'G&amp;A'!F42/10000000</f>
        <v>0.39784599999999998</v>
      </c>
      <c r="G3" s="147">
        <f>'G&amp;A'!G42/10000000</f>
        <v>0.48005599999999998</v>
      </c>
      <c r="H3" s="147">
        <f>'G&amp;A'!H42/10000000</f>
        <v>0.51015600000000005</v>
      </c>
      <c r="I3" s="147">
        <f>'G&amp;A'!I42/10000000</f>
        <v>0.40015600000000001</v>
      </c>
      <c r="J3" s="147">
        <f>'G&amp;A'!J42/10000000</f>
        <v>0.827156</v>
      </c>
      <c r="K3" s="147">
        <f>'G&amp;A'!K42/10000000</f>
        <v>0.38944400000000001</v>
      </c>
      <c r="L3" s="147">
        <f>'G&amp;A'!L42/10000000</f>
        <v>0.38944400000000001</v>
      </c>
      <c r="M3" s="147">
        <f>'G&amp;A'!M42/10000000</f>
        <v>0.39944400000000002</v>
      </c>
      <c r="N3" s="147">
        <f>'G&amp;A'!N42/10000000</f>
        <v>0.335241872</v>
      </c>
      <c r="O3" s="147">
        <f>'G&amp;A'!O42/10000000</f>
        <v>0.335241872</v>
      </c>
      <c r="P3" s="147">
        <f>'G&amp;A'!P42/10000000</f>
        <v>0.337741872</v>
      </c>
      <c r="Q3" s="147">
        <f>'G&amp;A'!Q42/10000000</f>
        <v>0.335241872</v>
      </c>
      <c r="R3" s="147">
        <f>'G&amp;A'!R42/10000000</f>
        <v>0.335241872</v>
      </c>
      <c r="S3" s="147">
        <f>'G&amp;A'!S42/10000000</f>
        <v>0.42017887199999998</v>
      </c>
      <c r="T3" s="147">
        <f>'G&amp;A'!T42/10000000</f>
        <v>0.447315672</v>
      </c>
      <c r="U3" s="147">
        <f>'G&amp;A'!U42/10000000</f>
        <v>0.332915672</v>
      </c>
      <c r="V3" s="147">
        <f>'G&amp;A'!V42/10000000</f>
        <v>0.65991567200000001</v>
      </c>
      <c r="W3" s="147">
        <f>'G&amp;A'!W42/10000000</f>
        <v>0.332915672</v>
      </c>
      <c r="X3" s="147">
        <f>'G&amp;A'!X42/10000000</f>
        <v>0.332915672</v>
      </c>
      <c r="Y3" s="147">
        <f>'G&amp;A'!Y42/10000000</f>
        <v>0.34291567199999995</v>
      </c>
      <c r="Z3" s="147">
        <f>'G&amp;A'!Z42/10000000</f>
        <v>0.34747463008000012</v>
      </c>
      <c r="AA3" s="147">
        <f>'G&amp;A'!AA42/10000000</f>
        <v>0.34747463008000012</v>
      </c>
      <c r="AB3" s="147">
        <f>'G&amp;A'!AB42/10000000</f>
        <v>0.34997463008000013</v>
      </c>
      <c r="AC3" s="147">
        <f>'G&amp;A'!AC42/10000000</f>
        <v>0.34747463008000012</v>
      </c>
      <c r="AD3" s="147">
        <f>'G&amp;A'!AD42/10000000</f>
        <v>0.34747463008000012</v>
      </c>
      <c r="AE3" s="147">
        <f>'G&amp;A'!AE42/10000000</f>
        <v>0.43526157008000016</v>
      </c>
      <c r="AF3" s="147">
        <f>'G&amp;A'!AF42/10000000</f>
        <v>0.46924573008000015</v>
      </c>
      <c r="AG3" s="147">
        <f>'G&amp;A'!AG42/10000000</f>
        <v>0.35026973008000012</v>
      </c>
      <c r="AH3" s="147">
        <f>'G&amp;A'!AH42/10000000</f>
        <v>0.67726973008000013</v>
      </c>
      <c r="AI3" s="147">
        <f>'G&amp;A'!AI42/10000000</f>
        <v>0.35026973008000012</v>
      </c>
      <c r="AJ3" s="147">
        <f>'G&amp;A'!AJ42/10000000</f>
        <v>0.35026973008000012</v>
      </c>
      <c r="AK3" s="147">
        <f>'G&amp;A'!AK42/10000000</f>
        <v>0.36026973008000013</v>
      </c>
      <c r="AL3" s="147">
        <f>'G&amp;A'!AL42/10000000</f>
        <v>0.36564708360319992</v>
      </c>
      <c r="AM3" s="147">
        <f>'G&amp;A'!AM42/10000000</f>
        <v>0.36564708360319992</v>
      </c>
      <c r="AN3" s="147">
        <f>'G&amp;A'!AN42/10000000</f>
        <v>0.36814708360319992</v>
      </c>
      <c r="AO3" s="147">
        <f>'G&amp;A'!AO42/10000000</f>
        <v>0.36564708360319992</v>
      </c>
      <c r="AP3" s="147">
        <f>'G&amp;A'!AP42/10000000</f>
        <v>0.36564708360319992</v>
      </c>
      <c r="AQ3" s="147">
        <f>'G&amp;A'!AQ42/10000000</f>
        <v>0.4564132072032</v>
      </c>
      <c r="AR3" s="147">
        <f>'G&amp;A'!AR42/10000000</f>
        <v>0.49245673360319997</v>
      </c>
      <c r="AS3" s="147">
        <f>'G&amp;A'!AS42/10000000</f>
        <v>0.36872169360319995</v>
      </c>
      <c r="AT3" s="147">
        <f>'G&amp;A'!AT42/10000000</f>
        <v>0.69572169360319991</v>
      </c>
      <c r="AU3" s="147">
        <f>'G&amp;A'!AU42/10000000</f>
        <v>0.36872169360319995</v>
      </c>
      <c r="AV3" s="147">
        <f>'G&amp;A'!AV42/10000000</f>
        <v>0.36872169360319995</v>
      </c>
      <c r="AW3" s="147">
        <f>'G&amp;A'!AW42/10000000</f>
        <v>0.37872169360319996</v>
      </c>
      <c r="AX3" s="147">
        <f>'G&amp;A'!AX42/10000000</f>
        <v>0.38497378209932803</v>
      </c>
      <c r="AY3" s="147">
        <f>'G&amp;A'!AY42/10000000</f>
        <v>0.38497378209932803</v>
      </c>
      <c r="AZ3" s="147">
        <f>'G&amp;A'!AZ42/10000000</f>
        <v>0.38747378209932803</v>
      </c>
      <c r="BA3" s="147">
        <f>'G&amp;A'!BA42/10000000</f>
        <v>0.38497378209932803</v>
      </c>
      <c r="BB3" s="147">
        <f>'G&amp;A'!BB42/10000000</f>
        <v>0.38497378209932803</v>
      </c>
      <c r="BC3" s="147">
        <f>'G&amp;A'!BC42/10000000</f>
        <v>0.47885502724332807</v>
      </c>
      <c r="BD3" s="147">
        <f>'G&amp;A'!BD42/10000000</f>
        <v>0.517040294699328</v>
      </c>
      <c r="BE3" s="147">
        <f>'G&amp;A'!BE42/10000000</f>
        <v>0.38835585309932807</v>
      </c>
      <c r="BF3" s="147">
        <f>'G&amp;A'!BF42/10000000</f>
        <v>0.71535585309932814</v>
      </c>
      <c r="BG3" s="147">
        <f>'G&amp;A'!BG42/10000000</f>
        <v>0.38835585309932807</v>
      </c>
      <c r="BH3" s="147">
        <f>'G&amp;A'!BH42/10000000</f>
        <v>0.38835585309932807</v>
      </c>
      <c r="BI3" s="147">
        <f>'G&amp;A'!BI42/10000000</f>
        <v>0.39835585309932803</v>
      </c>
      <c r="BJ3" s="147">
        <f>'G&amp;A'!BJ42/10000000</f>
        <v>0.40554363005050131</v>
      </c>
      <c r="BK3" s="147">
        <f>'G&amp;A'!BK42/10000000</f>
        <v>0.40554363005050131</v>
      </c>
      <c r="BL3" s="147">
        <f>'G&amp;A'!BL42/10000000</f>
        <v>0.40804363005050132</v>
      </c>
      <c r="BM3" s="147">
        <f>'G&amp;A'!BM42/10000000</f>
        <v>0.40554363005050131</v>
      </c>
      <c r="BN3" s="147">
        <f>'G&amp;A'!BN42/10000000</f>
        <v>0.40554363005050131</v>
      </c>
      <c r="BO3" s="147">
        <f>'G&amp;A'!BO42/10000000</f>
        <v>0.50268304926026142</v>
      </c>
      <c r="BP3" s="147">
        <f>'G&amp;A'!BP42/10000000</f>
        <v>0.54309572741450141</v>
      </c>
      <c r="BQ3" s="147">
        <f>'G&amp;A'!BQ42/10000000</f>
        <v>0.40926390815050134</v>
      </c>
      <c r="BR3" s="147">
        <f>'G&amp;A'!BR42/10000000</f>
        <v>0.73626390815050136</v>
      </c>
      <c r="BS3" s="147">
        <f>'G&amp;A'!BS42/10000000</f>
        <v>0.40926390815050134</v>
      </c>
      <c r="BT3" s="147">
        <f>'G&amp;A'!BT42/10000000</f>
        <v>0.40926390815050134</v>
      </c>
      <c r="BU3" s="147">
        <f>'G&amp;A'!BU42/10000000</f>
        <v>0.41926390815050135</v>
      </c>
      <c r="BV3" s="147">
        <f>'G&amp;A'!BV42/10000000</f>
        <v>0.42745336158644148</v>
      </c>
      <c r="BW3" s="147">
        <f>'G&amp;A'!BW42/10000000</f>
        <v>0.42745336158644148</v>
      </c>
      <c r="BX3" s="147">
        <f>'G&amp;A'!BX42/10000000</f>
        <v>0.42995336158644148</v>
      </c>
      <c r="BY3" s="147">
        <f>'G&amp;A'!BY42/10000000</f>
        <v>0.42745336158644148</v>
      </c>
      <c r="BZ3" s="147">
        <f>'G&amp;A'!BZ42/10000000</f>
        <v>0.42745336158644148</v>
      </c>
      <c r="CA3" s="147">
        <f>'G&amp;A'!CA42/10000000</f>
        <v>0.52800157425059191</v>
      </c>
      <c r="CB3" s="147">
        <f>'G&amp;A'!CB42/10000000</f>
        <v>0.57073075953100161</v>
      </c>
      <c r="CC3" s="147">
        <f>'G&amp;A'!CC42/10000000</f>
        <v>0.43154566749644147</v>
      </c>
      <c r="CD3" s="147">
        <f>'G&amp;A'!CD42/10000000</f>
        <v>0.75854566749644148</v>
      </c>
      <c r="CE3" s="147">
        <f>'G&amp;A'!CE42/10000000</f>
        <v>0.43154566749644147</v>
      </c>
      <c r="CF3" s="147">
        <f>'G&amp;A'!CF42/10000000</f>
        <v>0.43154566749644147</v>
      </c>
      <c r="CG3" s="147">
        <f>'G&amp;A'!CG42/10000000</f>
        <v>0.44154566749644147</v>
      </c>
      <c r="CH3" s="147">
        <f>'G&amp;A'!CH42/10000000</f>
        <v>0.45080828101721099</v>
      </c>
      <c r="CI3" s="147">
        <f>'G&amp;A'!CI42/10000000</f>
        <v>0.45080828101721099</v>
      </c>
      <c r="CJ3" s="147">
        <f>'G&amp;A'!CJ42/10000000</f>
        <v>0.45330828101721099</v>
      </c>
      <c r="CK3" s="147">
        <f>'G&amp;A'!CK42/10000000</f>
        <v>0.45080828101721099</v>
      </c>
      <c r="CL3" s="147">
        <f>'G&amp;A'!CL42/10000000</f>
        <v>0.45080828101721099</v>
      </c>
      <c r="CM3" s="147">
        <f>'G&amp;A'!CM42/10000000</f>
        <v>0.55492396054252757</v>
      </c>
      <c r="CN3" s="147">
        <f>'G&amp;A'!CN42/10000000</f>
        <v>0.6000623132341536</v>
      </c>
      <c r="CO3" s="147">
        <f>'G&amp;A'!CO42/10000000</f>
        <v>0.45530981751821115</v>
      </c>
      <c r="CP3" s="147">
        <f>'G&amp;A'!CP42/10000000</f>
        <v>0.78230981751821116</v>
      </c>
      <c r="CQ3" s="147">
        <f>'G&amp;A'!CQ42/10000000</f>
        <v>0.45530981751821115</v>
      </c>
      <c r="CR3" s="147">
        <f>'G&amp;A'!CR42/10000000</f>
        <v>0.45530981751821115</v>
      </c>
      <c r="CS3" s="147">
        <f>'G&amp;A'!CS42/10000000</f>
        <v>0.46530981751821116</v>
      </c>
      <c r="CT3" s="147">
        <f>'G&amp;A'!CT42/10000000</f>
        <v>0.47572307572194283</v>
      </c>
      <c r="CU3" s="147">
        <f>'G&amp;A'!CU42/10000000</f>
        <v>0.47572307572194283</v>
      </c>
      <c r="CV3" s="147">
        <f>'G&amp;A'!CV42/10000000</f>
        <v>0.47822307572194284</v>
      </c>
      <c r="CW3" s="147">
        <f>'G&amp;A'!CW42/10000000</f>
        <v>0.47572307572194283</v>
      </c>
      <c r="CX3" s="147">
        <f>'G&amp;A'!CX42/10000000</f>
        <v>0.47572307572194283</v>
      </c>
      <c r="CY3" s="147">
        <f>'G&amp;A'!CY42/10000000</f>
        <v>0.49817476587304277</v>
      </c>
      <c r="CZ3" s="147">
        <f t="shared" ref="CZ3:DE6" si="0">CY3</f>
        <v>0.49817476587304277</v>
      </c>
      <c r="DA3" s="147">
        <f t="shared" si="0"/>
        <v>0.49817476587304277</v>
      </c>
      <c r="DB3" s="147">
        <f t="shared" si="0"/>
        <v>0.49817476587304277</v>
      </c>
      <c r="DC3" s="147">
        <f t="shared" si="0"/>
        <v>0.49817476587304277</v>
      </c>
      <c r="DD3" s="147">
        <f t="shared" si="0"/>
        <v>0.49817476587304277</v>
      </c>
      <c r="DE3" s="147">
        <f t="shared" si="0"/>
        <v>0.49817476587304277</v>
      </c>
    </row>
    <row r="4" spans="1:109" ht="12" customHeight="1">
      <c r="A4" s="144" t="s">
        <v>321</v>
      </c>
      <c r="B4" s="50">
        <f>'F&amp;A'!B14/10000000</f>
        <v>2.2860167768409441</v>
      </c>
      <c r="C4" s="50">
        <f>'F&amp;A'!C14/10000000</f>
        <v>3.059212E-2</v>
      </c>
      <c r="D4" s="50">
        <f>'F&amp;A'!D14/10000000</f>
        <v>0.20262959999999999</v>
      </c>
      <c r="E4" s="50">
        <f>'F&amp;A'!E14/10000000</f>
        <v>3.2998899999999998E-2</v>
      </c>
      <c r="F4" s="50">
        <f>'F&amp;A'!F14/10000000</f>
        <v>1.5198400000000001E-2</v>
      </c>
      <c r="G4" s="50">
        <f>'F&amp;A'!G14/10000000</f>
        <v>7.4953599999999995E-2</v>
      </c>
      <c r="H4" s="50">
        <f>'F&amp;A'!H14/10000000</f>
        <v>0.1612413</v>
      </c>
      <c r="I4" s="50">
        <f>'F&amp;A'!I14/10000000</f>
        <v>0.4022384</v>
      </c>
      <c r="J4" s="50">
        <f>'F&amp;A'!J14/10000000</f>
        <v>3.3653599999999999E-2</v>
      </c>
      <c r="K4" s="50">
        <f>'F&amp;A'!K14/10000000</f>
        <v>3.2998899999999998E-2</v>
      </c>
      <c r="L4" s="50">
        <f>'F&amp;A'!L14/10000000</f>
        <v>3.6202400000000003E-2</v>
      </c>
      <c r="M4" s="50">
        <f>'F&amp;A'!M14/10000000</f>
        <v>1.0159536</v>
      </c>
      <c r="N4" s="50">
        <f>'F&amp;A'!N14/10000000</f>
        <v>8.1128136000000003E-2</v>
      </c>
      <c r="O4" s="50">
        <f>'F&amp;A'!O14/10000000</f>
        <v>0.45661580480000002</v>
      </c>
      <c r="P4" s="50">
        <f>'F&amp;A'!P14/10000000</f>
        <v>0.20719478400000002</v>
      </c>
      <c r="Q4" s="50">
        <f>'F&amp;A'!Q14/10000000</f>
        <v>3.1128135999999997E-2</v>
      </c>
      <c r="R4" s="50">
        <f>'F&amp;A'!R14/10000000</f>
        <v>1.5664735999999999E-2</v>
      </c>
      <c r="S4" s="50">
        <f>'F&amp;A'!S14/10000000</f>
        <v>7.5591743999999989E-2</v>
      </c>
      <c r="T4" s="50">
        <f>'F&amp;A'!T14/10000000</f>
        <v>0.164500232</v>
      </c>
      <c r="U4" s="50">
        <f>'F&amp;A'!U14/10000000</f>
        <v>1.3351935999999998E-2</v>
      </c>
      <c r="V4" s="50">
        <f>'F&amp;A'!V14/10000000</f>
        <v>3.4999743999999999E-2</v>
      </c>
      <c r="W4" s="50">
        <f>'F&amp;A'!W14/10000000</f>
        <v>3.1128135999999997E-2</v>
      </c>
      <c r="X4" s="50">
        <f>'F&amp;A'!X14/10000000</f>
        <v>3.7650496000000006E-2</v>
      </c>
      <c r="Y4" s="50">
        <f>'F&amp;A'!Y14/10000000</f>
        <v>1.6591744000000002E-2</v>
      </c>
      <c r="Z4" s="50">
        <f>'F&amp;A'!Z14/10000000</f>
        <v>8.2373261439999998E-2</v>
      </c>
      <c r="AA4" s="50">
        <f>'F&amp;A'!AA14/10000000</f>
        <v>0.45788843699200005</v>
      </c>
      <c r="AB4" s="50">
        <f>'F&amp;A'!AB14/10000000</f>
        <v>0.21194257536</v>
      </c>
      <c r="AC4" s="50">
        <f>'F&amp;A'!AC14/10000000</f>
        <v>3.2373261440000002E-2</v>
      </c>
      <c r="AD4" s="50">
        <f>'F&amp;A'!AD14/10000000</f>
        <v>1.6149725440000002E-2</v>
      </c>
      <c r="AE4" s="50">
        <f>'F&amp;A'!AE14/10000000</f>
        <v>7.6255413760000001E-2</v>
      </c>
      <c r="AF4" s="50">
        <f>'F&amp;A'!AF14/10000000</f>
        <v>0.17108024128000002</v>
      </c>
      <c r="AG4" s="50">
        <f>'F&amp;A'!AG14/10000000</f>
        <v>1.3886013440000001E-2</v>
      </c>
      <c r="AH4" s="50">
        <f>'F&amp;A'!AH14/10000000</f>
        <v>3.6399733760000004E-2</v>
      </c>
      <c r="AI4" s="50">
        <f>'F&amp;A'!AI14/10000000</f>
        <v>3.2373261440000002E-2</v>
      </c>
      <c r="AJ4" s="50">
        <f>'F&amp;A'!AJ14/10000000</f>
        <v>3.915651584000001E-2</v>
      </c>
      <c r="AK4" s="50">
        <f>'F&amp;A'!AK14/10000000</f>
        <v>1.7255413760000001E-2</v>
      </c>
      <c r="AL4" s="50">
        <f>'F&amp;A'!AL14/10000000</f>
        <v>8.3668191897600011E-2</v>
      </c>
      <c r="AM4" s="50">
        <f>'F&amp;A'!AM14/10000000</f>
        <v>0.45921197447168005</v>
      </c>
      <c r="AN4" s="50">
        <f>'F&amp;A'!AN14/10000000</f>
        <v>0.21688027837439999</v>
      </c>
      <c r="AO4" s="50">
        <f>'F&amp;A'!AO14/10000000</f>
        <v>3.3668191897600001E-2</v>
      </c>
      <c r="AP4" s="50">
        <f>'F&amp;A'!AP14/10000000</f>
        <v>1.6654114457600001E-2</v>
      </c>
      <c r="AQ4" s="50">
        <f>'F&amp;A'!AQ14/10000000</f>
        <v>7.6945630310400012E-2</v>
      </c>
      <c r="AR4" s="50">
        <f>'F&amp;A'!AR14/10000000</f>
        <v>0.17792345093120002</v>
      </c>
      <c r="AS4" s="50">
        <f>'F&amp;A'!AS14/10000000</f>
        <v>1.4441453977600003E-2</v>
      </c>
      <c r="AT4" s="50">
        <f>'F&amp;A'!AT14/10000000</f>
        <v>3.7855723110400002E-2</v>
      </c>
      <c r="AU4" s="50">
        <f>'F&amp;A'!AU14/10000000</f>
        <v>3.3668191897600001E-2</v>
      </c>
      <c r="AV4" s="50">
        <f>'F&amp;A'!AV14/10000000</f>
        <v>4.0722776473600002E-2</v>
      </c>
      <c r="AW4" s="50">
        <f>'F&amp;A'!AW14/10000000</f>
        <v>1.7945630310399998E-2</v>
      </c>
      <c r="AX4" s="50">
        <f>'F&amp;A'!AX14/10000000</f>
        <v>8.5014919573504016E-2</v>
      </c>
      <c r="AY4" s="50">
        <f>'F&amp;A'!AY14/10000000</f>
        <v>0.46058845345054716</v>
      </c>
      <c r="AZ4" s="50">
        <f>'F&amp;A'!AZ14/10000000</f>
        <v>0.222015489509376</v>
      </c>
      <c r="BA4" s="50">
        <f>'F&amp;A'!BA14/10000000</f>
        <v>3.5014919573504007E-2</v>
      </c>
      <c r="BB4" s="50">
        <f>'F&amp;A'!BB14/10000000</f>
        <v>1.7178679035904001E-2</v>
      </c>
      <c r="BC4" s="50">
        <f>'F&amp;A'!BC14/10000000</f>
        <v>7.7663455522815991E-2</v>
      </c>
      <c r="BD4" s="50">
        <f>'F&amp;A'!BD14/10000000</f>
        <v>0.18504038896844802</v>
      </c>
      <c r="BE4" s="50">
        <f>'F&amp;A'!BE14/10000000</f>
        <v>1.5019112136704003E-2</v>
      </c>
      <c r="BF4" s="50">
        <f>'F&amp;A'!BF14/10000000</f>
        <v>3.9369952034816004E-2</v>
      </c>
      <c r="BG4" s="50">
        <f>'F&amp;A'!BG14/10000000</f>
        <v>3.5014919573504007E-2</v>
      </c>
      <c r="BH4" s="50">
        <f>'F&amp;A'!BH14/10000000</f>
        <v>4.2351687532544008E-2</v>
      </c>
      <c r="BI4" s="50">
        <f>'F&amp;A'!BI14/10000000</f>
        <v>1.8663455522816005E-2</v>
      </c>
      <c r="BJ4" s="50">
        <f>'F&amp;A'!BJ14/10000000</f>
        <v>8.6415516356444178E-2</v>
      </c>
      <c r="BK4" s="50">
        <f>'F&amp;A'!BK14/10000000</f>
        <v>0.46201999158856905</v>
      </c>
      <c r="BL4" s="50">
        <f>'F&amp;A'!BL14/10000000</f>
        <v>0.22735610908975104</v>
      </c>
      <c r="BM4" s="50">
        <f>'F&amp;A'!BM14/10000000</f>
        <v>3.6415516356444168E-2</v>
      </c>
      <c r="BN4" s="50">
        <f>'F&amp;A'!BN14/10000000</f>
        <v>1.7724226197340161E-2</v>
      </c>
      <c r="BO4" s="50">
        <f>'F&amp;A'!BO14/10000000</f>
        <v>7.8409993743728632E-2</v>
      </c>
      <c r="BP4" s="50">
        <f>'F&amp;A'!BP14/10000000</f>
        <v>0.19244200452718596</v>
      </c>
      <c r="BQ4" s="50">
        <f>'F&amp;A'!BQ14/10000000</f>
        <v>1.5619876622172162E-2</v>
      </c>
      <c r="BR4" s="50">
        <f>'F&amp;A'!BR14/10000000</f>
        <v>4.0944750116208635E-2</v>
      </c>
      <c r="BS4" s="50">
        <f>'F&amp;A'!BS14/10000000</f>
        <v>3.6415516356444168E-2</v>
      </c>
      <c r="BT4" s="50">
        <f>'F&amp;A'!BT14/10000000</f>
        <v>4.4045755033845765E-2</v>
      </c>
      <c r="BU4" s="50">
        <f>'F&amp;A'!BU14/10000000</f>
        <v>1.9409993743728642E-2</v>
      </c>
      <c r="BV4" s="50">
        <f>'F&amp;A'!BV14/10000000</f>
        <v>8.7872137010701928E-2</v>
      </c>
      <c r="BW4" s="50">
        <f>'F&amp;A'!BW14/10000000</f>
        <v>0.46350879125211181</v>
      </c>
      <c r="BX4" s="50">
        <f>'F&amp;A'!BX14/10000000</f>
        <v>0.23291035345334107</v>
      </c>
      <c r="BY4" s="50">
        <f>'F&amp;A'!BY14/10000000</f>
        <v>3.7872137010701933E-2</v>
      </c>
      <c r="BZ4" s="50">
        <f>'F&amp;A'!BZ14/10000000</f>
        <v>1.8291595245233768E-2</v>
      </c>
      <c r="CA4" s="50">
        <f>'F&amp;A'!CA14/10000000</f>
        <v>7.9186393493477794E-2</v>
      </c>
      <c r="CB4" s="50">
        <f>'F&amp;A'!CB14/10000000</f>
        <v>0.2001396847082734</v>
      </c>
      <c r="CC4" s="50">
        <f>'F&amp;A'!CC14/10000000</f>
        <v>1.6244671687059051E-2</v>
      </c>
      <c r="CD4" s="50">
        <f>'F&amp;A'!CD14/10000000</f>
        <v>4.2582540120856993E-2</v>
      </c>
      <c r="CE4" s="50">
        <f>'F&amp;A'!CE14/10000000</f>
        <v>3.7872137010701933E-2</v>
      </c>
      <c r="CF4" s="50">
        <f>'F&amp;A'!CF14/10000000</f>
        <v>4.5807585235199594E-2</v>
      </c>
      <c r="CG4" s="50">
        <f>'F&amp;A'!CG14/10000000</f>
        <v>1.8633593993979496E-2</v>
      </c>
      <c r="CH4" s="50">
        <f>'F&amp;A'!CH14/10000000</f>
        <v>8.9387022491130008E-2</v>
      </c>
      <c r="CI4" s="50">
        <f>'F&amp;A'!CI14/10000000</f>
        <v>0.4650571429021963</v>
      </c>
      <c r="CJ4" s="50">
        <f>'F&amp;A'!CJ14/10000000</f>
        <v>0.23707185611199652</v>
      </c>
      <c r="CK4" s="50">
        <f>'F&amp;A'!CK14/10000000</f>
        <v>3.9387022491130012E-2</v>
      </c>
      <c r="CL4" s="50">
        <f>'F&amp;A'!CL14/10000000</f>
        <v>1.8881659055043118E-2</v>
      </c>
      <c r="CM4" s="50">
        <f>'F&amp;A'!CM14/10000000</f>
        <v>7.8378937753738678E-2</v>
      </c>
      <c r="CN4" s="50">
        <f>'F&amp;A'!CN14/10000000</f>
        <v>0.20814527209660433</v>
      </c>
      <c r="CO4" s="50">
        <f>'F&amp;A'!CO14/10000000</f>
        <v>1.689445855454141E-2</v>
      </c>
      <c r="CP4" s="50">
        <f>'F&amp;A'!CP14/10000000</f>
        <v>4.2670930246213046E-2</v>
      </c>
      <c r="CQ4" s="50">
        <f>'F&amp;A'!CQ14/10000000</f>
        <v>3.9387022491130012E-2</v>
      </c>
      <c r="CR4" s="50">
        <f>'F&amp;A'!CR14/10000000</f>
        <v>4.7639888644607581E-2</v>
      </c>
      <c r="CS4" s="50">
        <f>'F&amp;A'!CS14/10000000</f>
        <v>1.9378937753738678E-2</v>
      </c>
      <c r="CT4" s="50">
        <f>'F&amp;A'!CT14/10000000</f>
        <v>9.0962503390775218E-2</v>
      </c>
      <c r="CU4" s="50">
        <f>'F&amp;A'!CU14/10000000</f>
        <v>0.25426742861828422</v>
      </c>
      <c r="CV4" s="50">
        <f>'F&amp;A'!CV14/10000000</f>
        <v>0.15451473035647642</v>
      </c>
      <c r="CW4" s="50">
        <f>'F&amp;A'!CW14/10000000</f>
        <v>4.0962503390775215E-2</v>
      </c>
      <c r="CX4" s="50">
        <f>'F&amp;A'!CX14/10000000</f>
        <v>1.9495325417244844E-2</v>
      </c>
      <c r="CY4" s="50">
        <f>'F&amp;A'!CY14/10000000</f>
        <v>7.9154095263888224E-2</v>
      </c>
      <c r="CZ4" s="147">
        <f t="shared" si="0"/>
        <v>7.9154095263888224E-2</v>
      </c>
      <c r="DA4" s="147">
        <f t="shared" si="0"/>
        <v>7.9154095263888224E-2</v>
      </c>
      <c r="DB4" s="147">
        <f t="shared" si="0"/>
        <v>7.9154095263888224E-2</v>
      </c>
      <c r="DC4" s="147">
        <f t="shared" si="0"/>
        <v>7.9154095263888224E-2</v>
      </c>
      <c r="DD4" s="147">
        <f t="shared" si="0"/>
        <v>7.9154095263888224E-2</v>
      </c>
      <c r="DE4" s="147">
        <f t="shared" si="0"/>
        <v>7.9154095263888224E-2</v>
      </c>
    </row>
    <row r="5" spans="1:109" ht="12" customHeight="1">
      <c r="A5" s="144" t="s">
        <v>338</v>
      </c>
      <c r="B5" s="50">
        <f>IT!E36/10000000</f>
        <v>9.3089306666666663E-3</v>
      </c>
      <c r="C5" s="50">
        <f>IT!F36/10000000</f>
        <v>9.3089306666666663E-3</v>
      </c>
      <c r="D5" s="50">
        <f>IT!G36/10000000</f>
        <v>9.3089306666666663E-3</v>
      </c>
      <c r="E5" s="50">
        <f>IT!H36/10000000</f>
        <v>9.3089306666666663E-3</v>
      </c>
      <c r="F5" s="50">
        <f>IT!I36/10000000</f>
        <v>9.3089306666666663E-3</v>
      </c>
      <c r="G5" s="50">
        <f>IT!J36/10000000</f>
        <v>3.6556930666666661E-2</v>
      </c>
      <c r="H5" s="50">
        <f>IT!K36/10000000</f>
        <v>9.3089306666666663E-3</v>
      </c>
      <c r="I5" s="50">
        <f>IT!L36/10000000</f>
        <v>9.3089306666666663E-3</v>
      </c>
      <c r="J5" s="50">
        <f>IT!M36/10000000</f>
        <v>1.2990530666666666E-2</v>
      </c>
      <c r="K5" s="50">
        <f>IT!N36/10000000</f>
        <v>9.3089306666666663E-3</v>
      </c>
      <c r="L5" s="50">
        <f>IT!O36/10000000</f>
        <v>9.6812878933333329E-3</v>
      </c>
      <c r="M5" s="50">
        <f>IT!P36/10000000</f>
        <v>9.6812878933333329E-3</v>
      </c>
      <c r="N5" s="50">
        <f>IT!Q36/10000000</f>
        <v>7.6108878933333329E-3</v>
      </c>
      <c r="O5" s="50">
        <f>IT!R36/10000000</f>
        <v>7.6108878933333329E-3</v>
      </c>
      <c r="P5" s="50">
        <f>IT!S36/10000000</f>
        <v>7.6108878933333329E-3</v>
      </c>
      <c r="Q5" s="50">
        <f>IT!T36/10000000</f>
        <v>7.6108878933333329E-3</v>
      </c>
      <c r="R5" s="50">
        <f>IT!U36/10000000</f>
        <v>7.6108878933333329E-3</v>
      </c>
      <c r="S5" s="50">
        <f>IT!V36/10000000</f>
        <v>3.5948807893333337E-2</v>
      </c>
      <c r="T5" s="50">
        <f>IT!W36/10000000</f>
        <v>7.6108878933333329E-3</v>
      </c>
      <c r="U5" s="50">
        <f>IT!X36/10000000</f>
        <v>7.6108878933333329E-3</v>
      </c>
      <c r="V5" s="50">
        <f>IT!Y36/10000000</f>
        <v>1.1439751893333332E-2</v>
      </c>
      <c r="W5" s="50">
        <f>IT!Z36/10000000</f>
        <v>7.6108878933333329E-3</v>
      </c>
      <c r="X5" s="50">
        <f>IT!AA36/10000000</f>
        <v>7.9153234090666661E-3</v>
      </c>
      <c r="Y5" s="50">
        <f>IT!AB36/10000000</f>
        <v>7.9153234090666661E-3</v>
      </c>
      <c r="Z5" s="50">
        <f>IT!AC36/10000000</f>
        <v>7.9153234090666661E-3</v>
      </c>
      <c r="AA5" s="50">
        <f>IT!AD36/10000000</f>
        <v>7.9153234090666661E-3</v>
      </c>
      <c r="AB5" s="50">
        <f>IT!AE36/10000000</f>
        <v>7.9153234090666661E-3</v>
      </c>
      <c r="AC5" s="50">
        <f>IT!AF36/10000000</f>
        <v>7.9153234090666661E-3</v>
      </c>
      <c r="AD5" s="50">
        <f>IT!AG36/10000000</f>
        <v>7.9153234090666661E-3</v>
      </c>
      <c r="AE5" s="50">
        <f>IT!AH36/10000000</f>
        <v>3.7386760209066672E-2</v>
      </c>
      <c r="AF5" s="50">
        <f>IT!AI36/10000000</f>
        <v>7.9153234090666661E-3</v>
      </c>
      <c r="AG5" s="50">
        <f>IT!AJ36/10000000</f>
        <v>7.9153234090666661E-3</v>
      </c>
      <c r="AH5" s="50">
        <f>IT!AK36/10000000</f>
        <v>1.1897341969066666E-2</v>
      </c>
      <c r="AI5" s="50">
        <f>IT!AL36/10000000</f>
        <v>7.9153234090666661E-3</v>
      </c>
      <c r="AJ5" s="50">
        <f>IT!AM36/10000000</f>
        <v>8.2319363454293349E-3</v>
      </c>
      <c r="AK5" s="50">
        <f>IT!AN36/10000000</f>
        <v>8.2319363454293349E-3</v>
      </c>
      <c r="AL5" s="50">
        <f>IT!AO36/10000000</f>
        <v>8.2319363454293349E-3</v>
      </c>
      <c r="AM5" s="50">
        <f>IT!AP36/10000000</f>
        <v>8.2319363454293349E-3</v>
      </c>
      <c r="AN5" s="50">
        <f>IT!AQ36/10000000</f>
        <v>8.2319363454293349E-3</v>
      </c>
      <c r="AO5" s="50">
        <f>IT!AR36/10000000</f>
        <v>8.2319363454293349E-3</v>
      </c>
      <c r="AP5" s="50">
        <f>IT!AS36/10000000</f>
        <v>8.2319363454293349E-3</v>
      </c>
      <c r="AQ5" s="50">
        <f>IT!AT36/10000000</f>
        <v>3.8882230617429341E-2</v>
      </c>
      <c r="AR5" s="50">
        <f>IT!AU36/10000000</f>
        <v>8.2319363454293349E-3</v>
      </c>
      <c r="AS5" s="50">
        <f>IT!AV36/10000000</f>
        <v>8.2319363454293349E-3</v>
      </c>
      <c r="AT5" s="50">
        <f>IT!AW36/10000000</f>
        <v>1.2373235647829332E-2</v>
      </c>
      <c r="AU5" s="50">
        <f>IT!AX36/10000000</f>
        <v>8.2319363454293349E-3</v>
      </c>
      <c r="AV5" s="50">
        <f>IT!AY36/10000000</f>
        <v>8.5612137992465091E-3</v>
      </c>
      <c r="AW5" s="50">
        <f>IT!AZ36/10000000</f>
        <v>8.5612137992465091E-3</v>
      </c>
      <c r="AX5" s="50">
        <f>IT!BA36/10000000</f>
        <v>8.5612137992465091E-3</v>
      </c>
      <c r="AY5" s="50">
        <f>IT!BB36/10000000</f>
        <v>8.5612137992465091E-3</v>
      </c>
      <c r="AZ5" s="50">
        <f>IT!BC36/10000000</f>
        <v>8.5612137992465091E-3</v>
      </c>
      <c r="BA5" s="50">
        <f>IT!BD36/10000000</f>
        <v>8.5612137992465091E-3</v>
      </c>
      <c r="BB5" s="50">
        <f>IT!BE36/10000000</f>
        <v>8.5612137992465091E-3</v>
      </c>
      <c r="BC5" s="50">
        <f>IT!BF36/10000000</f>
        <v>4.0437519842126513E-2</v>
      </c>
      <c r="BD5" s="50">
        <f>IT!BG36/10000000</f>
        <v>8.5612137992465091E-3</v>
      </c>
      <c r="BE5" s="50">
        <f>IT!BH36/10000000</f>
        <v>8.5612137992465091E-3</v>
      </c>
      <c r="BF5" s="50">
        <f>IT!BI36/10000000</f>
        <v>1.2868165073742508E-2</v>
      </c>
      <c r="BG5" s="50">
        <f>IT!BJ36/10000000</f>
        <v>8.5612137992465091E-3</v>
      </c>
      <c r="BH5" s="50">
        <f>IT!BK36/10000000</f>
        <v>8.9036623512163664E-3</v>
      </c>
      <c r="BI5" s="50">
        <f>IT!BL36/10000000</f>
        <v>8.9036623512163664E-3</v>
      </c>
      <c r="BJ5" s="50">
        <f>IT!BM36/10000000</f>
        <v>8.9036623512163664E-3</v>
      </c>
      <c r="BK5" s="50">
        <f>IT!BN36/10000000</f>
        <v>8.9036623512163664E-3</v>
      </c>
      <c r="BL5" s="50">
        <f>IT!BO36/10000000</f>
        <v>8.9036623512163664E-3</v>
      </c>
      <c r="BM5" s="50">
        <f>IT!BP36/10000000</f>
        <v>8.9036623512163664E-3</v>
      </c>
      <c r="BN5" s="50">
        <f>IT!BQ36/10000000</f>
        <v>8.9036623512163664E-3</v>
      </c>
      <c r="BO5" s="50">
        <f>IT!BR36/10000000</f>
        <v>4.2055020635811576E-2</v>
      </c>
      <c r="BP5" s="50">
        <f>IT!BS36/10000000</f>
        <v>8.9036623512163664E-3</v>
      </c>
      <c r="BQ5" s="50">
        <f>IT!BT36/10000000</f>
        <v>8.9036623512163664E-3</v>
      </c>
      <c r="BR5" s="50">
        <f>IT!BU36/10000000</f>
        <v>1.3382891676692208E-2</v>
      </c>
      <c r="BS5" s="50">
        <f>IT!BV36/10000000</f>
        <v>8.9036623512163664E-3</v>
      </c>
      <c r="BT5" s="50">
        <f>IT!BW36/10000000</f>
        <v>9.2598088452650225E-3</v>
      </c>
      <c r="BU5" s="50">
        <f>IT!BX36/10000000</f>
        <v>9.2598088452650225E-3</v>
      </c>
      <c r="BV5" s="50">
        <f>IT!BY36/10000000</f>
        <v>9.2598088452650225E-3</v>
      </c>
      <c r="BW5" s="50">
        <f>IT!BZ36/10000000</f>
        <v>9.2598088452650225E-3</v>
      </c>
      <c r="BX5" s="50">
        <f>IT!CA36/10000000</f>
        <v>9.2598088452650225E-3</v>
      </c>
      <c r="BY5" s="50">
        <f>IT!CB36/10000000</f>
        <v>9.2598088452650225E-3</v>
      </c>
      <c r="BZ5" s="50">
        <f>IT!CC36/10000000</f>
        <v>9.2598088452650225E-3</v>
      </c>
      <c r="CA5" s="50">
        <f>IT!CD36/10000000</f>
        <v>4.3737221461244036E-2</v>
      </c>
      <c r="CB5" s="50">
        <f>IT!CE36/10000000</f>
        <v>9.2598088452650225E-3</v>
      </c>
      <c r="CC5" s="50">
        <f>IT!CF36/10000000</f>
        <v>9.2598088452650225E-3</v>
      </c>
      <c r="CD5" s="50">
        <f>IT!CG36/10000000</f>
        <v>1.3918207343759897E-2</v>
      </c>
      <c r="CE5" s="50">
        <f>IT!CH36/10000000</f>
        <v>9.2598088452650225E-3</v>
      </c>
      <c r="CF5" s="50">
        <f>IT!CI36/10000000</f>
        <v>9.6302011990756237E-3</v>
      </c>
      <c r="CG5" s="50">
        <f>IT!CJ36/10000000</f>
        <v>9.6302011990756237E-3</v>
      </c>
      <c r="CH5" s="50">
        <f>IT!CK36/10000000</f>
        <v>9.6302011990756237E-3</v>
      </c>
      <c r="CI5" s="50">
        <f>IT!CL36/10000000</f>
        <v>9.6302011990756237E-3</v>
      </c>
      <c r="CJ5" s="50">
        <f>IT!CM36/10000000</f>
        <v>9.6302011990756237E-3</v>
      </c>
      <c r="CK5" s="50">
        <f>IT!CN36/10000000</f>
        <v>9.6302011990756237E-3</v>
      </c>
      <c r="CL5" s="50">
        <f>IT!CO36/10000000</f>
        <v>9.6302011990756237E-3</v>
      </c>
      <c r="CM5" s="50">
        <f>IT!CP36/10000000</f>
        <v>4.5486710319693792E-2</v>
      </c>
      <c r="CN5" s="50">
        <f>IT!CQ36/10000000</f>
        <v>9.6302011990756237E-3</v>
      </c>
      <c r="CO5" s="50">
        <f>IT!CR36/10000000</f>
        <v>9.6302011990756237E-3</v>
      </c>
      <c r="CP5" s="50">
        <f>IT!CS36/10000000</f>
        <v>1.4474935637510291E-2</v>
      </c>
      <c r="CQ5" s="50">
        <f>IT!CT36/10000000</f>
        <v>9.6302011990756237E-3</v>
      </c>
      <c r="CR5" s="50">
        <f>IT!CU36/10000000</f>
        <v>1.0015409247038649E-2</v>
      </c>
      <c r="CS5" s="50">
        <f>IT!CV36/10000000</f>
        <v>1.0015409247038649E-2</v>
      </c>
      <c r="CT5" s="50">
        <f>IT!CW36/10000000</f>
        <v>1.0015409247038649E-2</v>
      </c>
      <c r="CU5" s="50">
        <f>IT!CX36/10000000</f>
        <v>1.0015409247038649E-2</v>
      </c>
      <c r="CV5" s="50">
        <f>IT!CY36/10000000</f>
        <v>1.0015409247038649E-2</v>
      </c>
      <c r="CW5" s="50">
        <f>IT!CZ36/10000000</f>
        <v>1.0015409247038649E-2</v>
      </c>
      <c r="CX5" s="50">
        <f>IT!DA36/10000000</f>
        <v>1.0015409247038649E-2</v>
      </c>
      <c r="CY5" s="50">
        <f>IT!DB36/10000000</f>
        <v>4.7306178732481545E-2</v>
      </c>
      <c r="CZ5" s="147">
        <f t="shared" si="0"/>
        <v>4.7306178732481545E-2</v>
      </c>
      <c r="DA5" s="147">
        <f t="shared" si="0"/>
        <v>4.7306178732481545E-2</v>
      </c>
      <c r="DB5" s="147">
        <f t="shared" si="0"/>
        <v>4.7306178732481545E-2</v>
      </c>
      <c r="DC5" s="147">
        <f t="shared" si="0"/>
        <v>4.7306178732481545E-2</v>
      </c>
      <c r="DD5" s="147">
        <f t="shared" si="0"/>
        <v>4.7306178732481545E-2</v>
      </c>
      <c r="DE5" s="147">
        <f t="shared" si="0"/>
        <v>4.7306178732481545E-2</v>
      </c>
    </row>
    <row r="6" spans="1:109" ht="12" customHeight="1">
      <c r="A6" s="144" t="s">
        <v>0</v>
      </c>
      <c r="B6" s="147">
        <f>'O&amp;M'!B17/10000000</f>
        <v>0.90029246283333342</v>
      </c>
      <c r="C6" s="147">
        <f>'O&amp;M'!C17/10000000</f>
        <v>0.90040086222222226</v>
      </c>
      <c r="D6" s="147">
        <f>'O&amp;M'!D17/10000000</f>
        <v>0.98630961301620379</v>
      </c>
      <c r="E6" s="147">
        <f>'O&amp;M'!E17/10000000</f>
        <v>0.97255191648432682</v>
      </c>
      <c r="F6" s="147">
        <f>'O&amp;M'!F17/10000000</f>
        <v>0.9726609886484977</v>
      </c>
      <c r="G6" s="147">
        <f>'O&amp;M'!G17/10000000</f>
        <v>0.97277021270015795</v>
      </c>
      <c r="H6" s="147">
        <f>'O&amp;M'!H17/10000000</f>
        <v>0.97287948116696421</v>
      </c>
      <c r="I6" s="147">
        <f>'O&amp;M'!I17/10000000</f>
        <v>0.97298880949613209</v>
      </c>
      <c r="J6" s="147">
        <f>'O&amp;M'!J17/10000000</f>
        <v>0.9730983065544494</v>
      </c>
      <c r="K6" s="147">
        <f>'O&amp;M'!K17/10000000</f>
        <v>0.88740797304495389</v>
      </c>
      <c r="L6" s="147">
        <f>'O&amp;M'!L17/10000000</f>
        <v>0.88751780967361349</v>
      </c>
      <c r="M6" s="147">
        <f>'O&amp;M'!M17/10000000</f>
        <v>0.88762781714933703</v>
      </c>
      <c r="N6" s="147">
        <f>'O&amp;M'!N17/10000000</f>
        <v>1.1582120438066537</v>
      </c>
      <c r="O6" s="147">
        <f>'O&amp;M'!O17/10000000</f>
        <v>1.1582830617817259</v>
      </c>
      <c r="P6" s="147">
        <f>'O&amp;M'!P17/10000000</f>
        <v>1.1583542527483608</v>
      </c>
      <c r="Q6" s="147">
        <f>'O&amp;M'!Q17/10000000</f>
        <v>1.1584256174273568</v>
      </c>
      <c r="R6" s="147">
        <f>'O&amp;M'!R17/10000000</f>
        <v>1.1584971565425151</v>
      </c>
      <c r="S6" s="147">
        <f>'O&amp;M'!S17/10000000</f>
        <v>1.1585688708206534</v>
      </c>
      <c r="T6" s="147">
        <f>'O&amp;M'!T17/10000000</f>
        <v>1.0369607609916174</v>
      </c>
      <c r="U6" s="147">
        <f>'O&amp;M'!U17/10000000</f>
        <v>1.0370328277882934</v>
      </c>
      <c r="V6" s="147">
        <f>'O&amp;M'!V17/10000000</f>
        <v>0.95598507194662241</v>
      </c>
      <c r="W6" s="147">
        <f>'O&amp;M'!W17/10000000</f>
        <v>0.95605749420561115</v>
      </c>
      <c r="X6" s="147">
        <f>'O&amp;M'!X17/10000000</f>
        <v>0.95613009530734572</v>
      </c>
      <c r="Y6" s="147">
        <f>'O&amp;M'!Y17/10000000</f>
        <v>0.95620287599700393</v>
      </c>
      <c r="Z6" s="147">
        <f>'O&amp;M'!Z17/10000000</f>
        <v>1.4427785497148693</v>
      </c>
      <c r="AA6" s="147">
        <f>'O&amp;M'!AA17/10000000</f>
        <v>1.4428369418283424</v>
      </c>
      <c r="AB6" s="147">
        <f>'O&amp;M'!AB17/10000000</f>
        <v>1.4428955157839547</v>
      </c>
      <c r="AC6" s="147">
        <f>'O&amp;M'!AC17/10000000</f>
        <v>1.4429542723393824</v>
      </c>
      <c r="AD6" s="147">
        <f>'O&amp;M'!AD17/10000000</f>
        <v>1.4430132122554578</v>
      </c>
      <c r="AE6" s="147">
        <f>'O&amp;M'!AE17/10000000</f>
        <v>1.4430723362961833</v>
      </c>
      <c r="AF6" s="147">
        <f>'O&amp;M'!AF17/10000000</f>
        <v>1.443131645228745</v>
      </c>
      <c r="AG6" s="147">
        <f>'O&amp;M'!AG17/10000000</f>
        <v>1.3588263398235259</v>
      </c>
      <c r="AH6" s="147">
        <f>'O&amp;M'!AH17/10000000</f>
        <v>1.3588860208541185</v>
      </c>
      <c r="AI6" s="147">
        <f>'O&amp;M'!AI17/10000000</f>
        <v>1.3589458890973383</v>
      </c>
      <c r="AJ6" s="147">
        <f>'O&amp;M'!AJ17/10000000</f>
        <v>1.3590059453332384</v>
      </c>
      <c r="AK6" s="147">
        <f>'O&amp;M'!AK17/10000000</f>
        <v>1.3590661903451211</v>
      </c>
      <c r="AL6" s="147">
        <f>'O&amp;M'!AL17/10000000</f>
        <v>1.3815979307988071</v>
      </c>
      <c r="AM6" s="147">
        <f>'O&amp;M'!AM17/10000000</f>
        <v>1.3816536390589664</v>
      </c>
      <c r="AN6" s="147">
        <f>'O&amp;M'!AN17/10000000</f>
        <v>1.3817095384646541</v>
      </c>
      <c r="AO6" s="147">
        <f>'O&amp;M'!AO17/10000000</f>
        <v>1.38176562981231</v>
      </c>
      <c r="AP6" s="147">
        <f>'O&amp;M'!AP17/10000000</f>
        <v>1.3818219139016921</v>
      </c>
      <c r="AQ6" s="147">
        <f>'O&amp;M'!AQ17/10000000</f>
        <v>1.381878391535891</v>
      </c>
      <c r="AR6" s="147">
        <f>'O&amp;M'!AR17/10000000</f>
        <v>1.2941956715213436</v>
      </c>
      <c r="AS6" s="147">
        <f>'O&amp;M'!AS17/10000000</f>
        <v>1.294252538667847</v>
      </c>
      <c r="AT6" s="147">
        <f>'O&amp;M'!AT17/10000000</f>
        <v>1.2943096017885716</v>
      </c>
      <c r="AU6" s="147">
        <f>'O&amp;M'!AU17/10000000</f>
        <v>1.294366861700077</v>
      </c>
      <c r="AV6" s="147">
        <f>'O&amp;M'!AV17/10000000</f>
        <v>1.2944243192223248</v>
      </c>
      <c r="AW6" s="147">
        <f>'O&amp;M'!AW17/10000000</f>
        <v>1.2944819751786933</v>
      </c>
      <c r="AX6" s="147">
        <f>'O&amp;M'!AX17/10000000</f>
        <v>1.314400609497081</v>
      </c>
      <c r="AY6" s="147">
        <f>'O&amp;M'!AY17/10000000</f>
        <v>1.3144537481388952</v>
      </c>
      <c r="AZ6" s="147">
        <f>'O&amp;M'!AZ17/10000000</f>
        <v>1.3145070877056058</v>
      </c>
      <c r="BA6" s="147">
        <f>'O&amp;M'!BA17/10000000</f>
        <v>1.3145606290344001</v>
      </c>
      <c r="BB6" s="147">
        <f>'O&amp;M'!BB17/10000000</f>
        <v>1.3146143729659532</v>
      </c>
      <c r="BC6" s="147">
        <f>'O&amp;M'!BC17/10000000</f>
        <v>1.3146683203444431</v>
      </c>
      <c r="BD6" s="147">
        <f>'O&amp;M'!BD17/10000000</f>
        <v>1.3147224720175656</v>
      </c>
      <c r="BE6" s="147">
        <f>'O&amp;M'!BE17/10000000</f>
        <v>1.3147768288365487</v>
      </c>
      <c r="BF6" s="147">
        <f>'O&amp;M'!BF17/10000000</f>
        <v>1.314831391656166</v>
      </c>
      <c r="BG6" s="147">
        <f>'O&amp;M'!BG17/10000000</f>
        <v>1.3148861613347544</v>
      </c>
      <c r="BH6" s="147">
        <f>'O&amp;M'!BH17/10000000</f>
        <v>1.3149411387342254</v>
      </c>
      <c r="BI6" s="147">
        <f>'O&amp;M'!BI17/10000000</f>
        <v>1.3149963247200833</v>
      </c>
      <c r="BJ6" s="147">
        <f>'O&amp;M'!BJ17/10000000</f>
        <v>1.335712043759905</v>
      </c>
      <c r="BK6" s="147">
        <f>'O&amp;M'!BK17/10000000</f>
        <v>1.3357676495294872</v>
      </c>
      <c r="BL6" s="147">
        <f>'O&amp;M'!BL17/10000000</f>
        <v>1.335823466503665</v>
      </c>
      <c r="BM6" s="147">
        <f>'O&amp;M'!BM17/10000000</f>
        <v>1.0733794955624574</v>
      </c>
      <c r="BN6" s="147">
        <f>'O&amp;M'!BN17/10000000</f>
        <v>1.0734357375895507</v>
      </c>
      <c r="BO6" s="147">
        <f>'O&amp;M'!BO17/10000000</f>
        <v>1.0734921934723121</v>
      </c>
      <c r="BP6" s="147">
        <f>'O&amp;M'!BP17/10000000</f>
        <v>1.1785488641018069</v>
      </c>
      <c r="BQ6" s="147">
        <f>'O&amp;M'!BQ17/10000000</f>
        <v>1.178605750372814</v>
      </c>
      <c r="BR6" s="147">
        <f>'O&amp;M'!BR17/10000000</f>
        <v>1.178662853183839</v>
      </c>
      <c r="BS6" s="147">
        <f>'O&amp;M'!BS17/10000000</f>
        <v>1.1787201734371322</v>
      </c>
      <c r="BT6" s="147">
        <f>'O&amp;M'!BT17/10000000</f>
        <v>3.2997777120387033</v>
      </c>
      <c r="BU6" s="147">
        <f>'O&amp;M'!BU17/10000000</f>
        <v>1.3888354698983358</v>
      </c>
      <c r="BV6" s="147">
        <f>'O&amp;M'!BV17/10000000</f>
        <v>2.092880184472012</v>
      </c>
      <c r="BW6" s="147">
        <f>'O&amp;M'!BW17/10000000</f>
        <v>2.3554383835923014</v>
      </c>
      <c r="BX6" s="147">
        <f>'O&amp;M'!BX17/10000000</f>
        <v>2.3554968047228142</v>
      </c>
      <c r="BY6" s="147">
        <f>'O&amp;M'!BY17/10000000</f>
        <v>2.3570254487885931</v>
      </c>
      <c r="BZ6" s="147">
        <f>'O&amp;M'!BZ17/10000000</f>
        <v>2.3610743167185353</v>
      </c>
      <c r="CA6" s="147">
        <f>'O&amp;M'!CA17/10000000</f>
        <v>2.3622884094454073</v>
      </c>
      <c r="CB6" s="147">
        <f>'O&amp;M'!CB17/10000000</f>
        <v>2.3609827279058635</v>
      </c>
      <c r="CC6" s="147">
        <f>'O&amp;M'!CC17/10000000</f>
        <v>2.3607272730404607</v>
      </c>
      <c r="CD6" s="147">
        <f>'O&amp;M'!CD17/10000000</f>
        <v>2.3581620457936743</v>
      </c>
      <c r="CE6" s="147">
        <f>'O&amp;M'!CE17/10000000</f>
        <v>2.3164340937368402</v>
      </c>
      <c r="CF6" s="147">
        <f>'O&amp;M'!CF17/10000000</f>
        <v>2.3164943245764702</v>
      </c>
      <c r="CG6" s="147">
        <f>'O&amp;M'!CG17/10000000</f>
        <v>2.3165547858918218</v>
      </c>
      <c r="CH6" s="147">
        <f>'O&amp;M'!CH17/10000000</f>
        <v>2.3373825665122281</v>
      </c>
      <c r="CI6" s="147">
        <f>'O&amp;M'!CI17/10000000</f>
        <v>2.337443491663969</v>
      </c>
      <c r="CJ6" s="147">
        <f>'O&amp;M'!CJ17/10000000</f>
        <v>1.4975046501843972</v>
      </c>
      <c r="CK6" s="147">
        <f>'O&amp;M'!CK17/10000000</f>
        <v>1.4975660430458828</v>
      </c>
      <c r="CL6" s="147">
        <f>'O&amp;M'!CL17/10000000</f>
        <v>1.4976276712248471</v>
      </c>
      <c r="CM6" s="147">
        <f>'O&amp;M'!CM17/10000000</f>
        <v>1.497689535701779</v>
      </c>
      <c r="CN6" s="147">
        <f>'O&amp;M'!CN17/10000000</f>
        <v>1.4977516374612538</v>
      </c>
      <c r="CO6" s="147">
        <f>'O&amp;M'!CO17/10000000</f>
        <v>1.4978139774919488</v>
      </c>
      <c r="CP6" s="147">
        <f>'O&amp;M'!CP17/10000000</f>
        <v>1.4978765567866603</v>
      </c>
      <c r="CQ6" s="147">
        <f>'O&amp;M'!CQ17/10000000</f>
        <v>1.4979393763423221</v>
      </c>
      <c r="CR6" s="147">
        <f>'O&amp;M'!CR17/10000000</f>
        <v>1.4980024371600213</v>
      </c>
      <c r="CS6" s="147">
        <f>'O&amp;M'!CS17/10000000</f>
        <v>1.4980657402450166</v>
      </c>
      <c r="CT6" s="147">
        <f>'O&amp;M'!CT17/10000000</f>
        <v>1.5197270579905346</v>
      </c>
      <c r="CU6" s="147">
        <f>'O&amp;M'!CU17/10000000</f>
        <v>1.519790848642669</v>
      </c>
      <c r="CV6" s="147">
        <f>'O&amp;M'!CV17/10000000</f>
        <v>1.2048548846030762</v>
      </c>
      <c r="CW6" s="147">
        <f>'O&amp;M'!CW17/10000000</f>
        <v>1.2049191668938741</v>
      </c>
      <c r="CX6" s="147">
        <f>'O&amp;M'!CX17/10000000</f>
        <v>1.2049836965414389</v>
      </c>
      <c r="CY6" s="147">
        <f>'O&amp;M'!CY17/10000000</f>
        <v>1.2050499790764244</v>
      </c>
      <c r="CZ6" s="147">
        <f t="shared" si="0"/>
        <v>1.2050499790764244</v>
      </c>
      <c r="DA6" s="147">
        <f t="shared" si="0"/>
        <v>1.2050499790764244</v>
      </c>
      <c r="DB6" s="147">
        <f t="shared" si="0"/>
        <v>1.2050499790764244</v>
      </c>
      <c r="DC6" s="147">
        <f t="shared" si="0"/>
        <v>1.2050499790764244</v>
      </c>
      <c r="DD6" s="147">
        <f t="shared" si="0"/>
        <v>1.2050499790764244</v>
      </c>
      <c r="DE6" s="147">
        <f t="shared" si="0"/>
        <v>1.2050499790764244</v>
      </c>
    </row>
    <row r="7" spans="1:109" ht="12" customHeight="1" thickBot="1">
      <c r="A7" s="146" t="s">
        <v>54</v>
      </c>
      <c r="B7" s="145">
        <f t="shared" ref="B7:AG7" si="1">SUM(B3:B6)</f>
        <v>3.5973141703409439</v>
      </c>
      <c r="C7" s="145">
        <f t="shared" si="1"/>
        <v>1.341997912888889</v>
      </c>
      <c r="D7" s="145">
        <f t="shared" si="1"/>
        <v>1.6024441436828705</v>
      </c>
      <c r="E7" s="145">
        <f t="shared" si="1"/>
        <v>1.4127057471509934</v>
      </c>
      <c r="F7" s="145">
        <f t="shared" si="1"/>
        <v>1.3950143193151643</v>
      </c>
      <c r="G7" s="145">
        <f t="shared" si="1"/>
        <v>1.5643367433668245</v>
      </c>
      <c r="H7" s="145">
        <f t="shared" si="1"/>
        <v>1.653585711833631</v>
      </c>
      <c r="I7" s="145">
        <f t="shared" si="1"/>
        <v>1.7846921401627989</v>
      </c>
      <c r="J7" s="145">
        <f t="shared" si="1"/>
        <v>1.8468984372211161</v>
      </c>
      <c r="K7" s="145">
        <f t="shared" si="1"/>
        <v>1.3191598037116206</v>
      </c>
      <c r="L7" s="145">
        <f t="shared" si="1"/>
        <v>1.3228454975669468</v>
      </c>
      <c r="M7" s="145">
        <f t="shared" si="1"/>
        <v>2.31270670504267</v>
      </c>
      <c r="N7" s="145">
        <f t="shared" si="1"/>
        <v>1.582192939699987</v>
      </c>
      <c r="O7" s="145">
        <f t="shared" si="1"/>
        <v>1.9577516264750594</v>
      </c>
      <c r="P7" s="145">
        <f t="shared" si="1"/>
        <v>1.7109017966416942</v>
      </c>
      <c r="Q7" s="145">
        <f t="shared" si="1"/>
        <v>1.5324065133206901</v>
      </c>
      <c r="R7" s="145">
        <f t="shared" si="1"/>
        <v>1.5170146524358483</v>
      </c>
      <c r="S7" s="145">
        <f t="shared" si="1"/>
        <v>1.6902882947139868</v>
      </c>
      <c r="T7" s="145">
        <f t="shared" si="1"/>
        <v>1.6563875528849508</v>
      </c>
      <c r="U7" s="145">
        <f t="shared" si="1"/>
        <v>1.3909113236816268</v>
      </c>
      <c r="V7" s="145">
        <f t="shared" si="1"/>
        <v>1.6623402398399558</v>
      </c>
      <c r="W7" s="145">
        <f t="shared" si="1"/>
        <v>1.3277121900989444</v>
      </c>
      <c r="X7" s="145">
        <f t="shared" si="1"/>
        <v>1.3346115867164123</v>
      </c>
      <c r="Y7" s="145">
        <f t="shared" si="1"/>
        <v>1.3236256154060706</v>
      </c>
      <c r="Z7" s="145">
        <f t="shared" si="1"/>
        <v>1.8805417646439362</v>
      </c>
      <c r="AA7" s="145">
        <f t="shared" si="1"/>
        <v>2.2561153323094092</v>
      </c>
      <c r="AB7" s="145">
        <f t="shared" si="1"/>
        <v>2.0127280446330214</v>
      </c>
      <c r="AC7" s="145">
        <f t="shared" si="1"/>
        <v>1.8307174872684493</v>
      </c>
      <c r="AD7" s="145">
        <f t="shared" si="1"/>
        <v>1.8145528911845246</v>
      </c>
      <c r="AE7" s="145">
        <f t="shared" si="1"/>
        <v>1.9919760803452502</v>
      </c>
      <c r="AF7" s="145">
        <f t="shared" si="1"/>
        <v>2.0913729399978118</v>
      </c>
      <c r="AG7" s="145">
        <f t="shared" si="1"/>
        <v>1.7308974067525926</v>
      </c>
      <c r="AH7" s="145">
        <f t="shared" ref="AH7:BM7" si="2">SUM(AH3:AH6)</f>
        <v>2.0844528266631852</v>
      </c>
      <c r="AI7" s="145">
        <f t="shared" si="2"/>
        <v>1.7495042040264051</v>
      </c>
      <c r="AJ7" s="145">
        <f t="shared" si="2"/>
        <v>1.7566641275986679</v>
      </c>
      <c r="AK7" s="145">
        <f t="shared" si="2"/>
        <v>1.7448232705305506</v>
      </c>
      <c r="AL7" s="145">
        <f t="shared" si="2"/>
        <v>1.8391451426450365</v>
      </c>
      <c r="AM7" s="145">
        <f t="shared" si="2"/>
        <v>2.2147446334792757</v>
      </c>
      <c r="AN7" s="145">
        <f t="shared" si="2"/>
        <v>1.9749688367876832</v>
      </c>
      <c r="AO7" s="145">
        <f t="shared" si="2"/>
        <v>1.7893128416585393</v>
      </c>
      <c r="AP7" s="145">
        <f t="shared" si="2"/>
        <v>1.7723550483079213</v>
      </c>
      <c r="AQ7" s="145">
        <f t="shared" si="2"/>
        <v>1.9541194596669205</v>
      </c>
      <c r="AR7" s="145">
        <f t="shared" si="2"/>
        <v>1.9728077924011729</v>
      </c>
      <c r="AS7" s="145">
        <f t="shared" si="2"/>
        <v>1.6856476225940762</v>
      </c>
      <c r="AT7" s="145">
        <f t="shared" si="2"/>
        <v>2.0402602541500006</v>
      </c>
      <c r="AU7" s="145">
        <f t="shared" si="2"/>
        <v>1.7049886835463064</v>
      </c>
      <c r="AV7" s="145">
        <f t="shared" si="2"/>
        <v>1.7124300030983712</v>
      </c>
      <c r="AW7" s="145">
        <f t="shared" si="2"/>
        <v>1.6997105128915397</v>
      </c>
      <c r="AX7" s="145">
        <f t="shared" si="2"/>
        <v>1.7929505249691595</v>
      </c>
      <c r="AY7" s="145">
        <f t="shared" si="2"/>
        <v>2.168577197488017</v>
      </c>
      <c r="AZ7" s="145">
        <f t="shared" si="2"/>
        <v>1.9325575731135562</v>
      </c>
      <c r="BA7" s="145">
        <f t="shared" si="2"/>
        <v>1.7431105445064787</v>
      </c>
      <c r="BB7" s="145">
        <f t="shared" si="2"/>
        <v>1.7253280479004318</v>
      </c>
      <c r="BC7" s="145">
        <f t="shared" si="2"/>
        <v>1.9116243229527137</v>
      </c>
      <c r="BD7" s="145">
        <f t="shared" si="2"/>
        <v>2.025364369484588</v>
      </c>
      <c r="BE7" s="145">
        <f t="shared" si="2"/>
        <v>1.7267130078718274</v>
      </c>
      <c r="BF7" s="145">
        <f t="shared" si="2"/>
        <v>2.0824253618640527</v>
      </c>
      <c r="BG7" s="145">
        <f t="shared" si="2"/>
        <v>1.746818147806833</v>
      </c>
      <c r="BH7" s="145">
        <f t="shared" si="2"/>
        <v>1.7545523417173139</v>
      </c>
      <c r="BI7" s="145">
        <f t="shared" si="2"/>
        <v>1.7409192956934438</v>
      </c>
      <c r="BJ7" s="145">
        <f t="shared" si="2"/>
        <v>1.836574852518067</v>
      </c>
      <c r="BK7" s="145">
        <f t="shared" si="2"/>
        <v>2.212234933519774</v>
      </c>
      <c r="BL7" s="145">
        <f t="shared" si="2"/>
        <v>1.9801268679951338</v>
      </c>
      <c r="BM7" s="145">
        <f t="shared" si="2"/>
        <v>1.5242423043206192</v>
      </c>
      <c r="BN7" s="145">
        <f t="shared" ref="BN7:CS7" si="3">SUM(BN3:BN6)</f>
        <v>1.5056072561886085</v>
      </c>
      <c r="BO7" s="145">
        <f t="shared" si="3"/>
        <v>1.6966402571121137</v>
      </c>
      <c r="BP7" s="145">
        <f t="shared" si="3"/>
        <v>1.9229902583947105</v>
      </c>
      <c r="BQ7" s="145">
        <f t="shared" si="3"/>
        <v>1.6123931974967038</v>
      </c>
      <c r="BR7" s="145">
        <f t="shared" si="3"/>
        <v>1.9692544031272412</v>
      </c>
      <c r="BS7" s="145">
        <f t="shared" si="3"/>
        <v>1.6333032602952942</v>
      </c>
      <c r="BT7" s="145">
        <f t="shared" si="3"/>
        <v>3.7623471840683154</v>
      </c>
      <c r="BU7" s="145">
        <f t="shared" si="3"/>
        <v>1.8367691806378308</v>
      </c>
      <c r="BV7" s="145">
        <f t="shared" si="3"/>
        <v>2.6174654919144205</v>
      </c>
      <c r="BW7" s="145">
        <f t="shared" si="3"/>
        <v>3.2556603452761195</v>
      </c>
      <c r="BX7" s="145">
        <f t="shared" si="3"/>
        <v>3.0276203286078616</v>
      </c>
      <c r="BY7" s="145">
        <f t="shared" si="3"/>
        <v>2.8316107562310013</v>
      </c>
      <c r="BZ7" s="145">
        <f t="shared" si="3"/>
        <v>2.8160790823954756</v>
      </c>
      <c r="CA7" s="145">
        <f t="shared" si="3"/>
        <v>3.0132135986507209</v>
      </c>
      <c r="CB7" s="145">
        <f t="shared" si="3"/>
        <v>3.1411129809904033</v>
      </c>
      <c r="CC7" s="145">
        <f t="shared" si="3"/>
        <v>2.8177774210692261</v>
      </c>
      <c r="CD7" s="145">
        <f t="shared" si="3"/>
        <v>3.1732084607547328</v>
      </c>
      <c r="CE7" s="145">
        <f t="shared" si="3"/>
        <v>2.7951117070892484</v>
      </c>
      <c r="CF7" s="145">
        <f t="shared" si="3"/>
        <v>2.8034777785071867</v>
      </c>
      <c r="CG7" s="145">
        <f t="shared" si="3"/>
        <v>2.7863642485813185</v>
      </c>
      <c r="CH7" s="145">
        <f t="shared" si="3"/>
        <v>2.8872080712196446</v>
      </c>
      <c r="CI7" s="145">
        <f t="shared" si="3"/>
        <v>3.262939116782452</v>
      </c>
      <c r="CJ7" s="145">
        <f t="shared" si="3"/>
        <v>2.1975149885126806</v>
      </c>
      <c r="CK7" s="145">
        <f t="shared" si="3"/>
        <v>1.9973915477532995</v>
      </c>
      <c r="CL7" s="145">
        <f t="shared" si="3"/>
        <v>1.9769478124961768</v>
      </c>
      <c r="CM7" s="145">
        <f t="shared" si="3"/>
        <v>2.1764791443177391</v>
      </c>
      <c r="CN7" s="145">
        <f t="shared" si="3"/>
        <v>2.3155894239910877</v>
      </c>
      <c r="CO7" s="145">
        <f t="shared" si="3"/>
        <v>1.9796484547637769</v>
      </c>
      <c r="CP7" s="145">
        <f t="shared" si="3"/>
        <v>2.3373322401885948</v>
      </c>
      <c r="CQ7" s="145">
        <f t="shared" si="3"/>
        <v>2.002266417550739</v>
      </c>
      <c r="CR7" s="145">
        <f t="shared" si="3"/>
        <v>2.0109675525698787</v>
      </c>
      <c r="CS7" s="145">
        <f t="shared" si="3"/>
        <v>1.9927699047640051</v>
      </c>
      <c r="CT7" s="145">
        <f t="shared" ref="CT7:DE7" si="4">SUM(CT3:CT6)</f>
        <v>2.0964280463502916</v>
      </c>
      <c r="CU7" s="145">
        <f t="shared" si="4"/>
        <v>2.2597967622299349</v>
      </c>
      <c r="CV7" s="145">
        <f t="shared" si="4"/>
        <v>1.847608099928534</v>
      </c>
      <c r="CW7" s="145">
        <f t="shared" si="4"/>
        <v>1.7316201552536308</v>
      </c>
      <c r="CX7" s="145">
        <f t="shared" si="4"/>
        <v>1.7102175069276653</v>
      </c>
      <c r="CY7" s="145">
        <f t="shared" si="4"/>
        <v>1.8296850189458369</v>
      </c>
      <c r="CZ7" s="145">
        <f t="shared" si="4"/>
        <v>1.8296850189458369</v>
      </c>
      <c r="DA7" s="145">
        <f t="shared" si="4"/>
        <v>1.8296850189458369</v>
      </c>
      <c r="DB7" s="145">
        <f t="shared" si="4"/>
        <v>1.8296850189458369</v>
      </c>
      <c r="DC7" s="145">
        <f t="shared" si="4"/>
        <v>1.8296850189458369</v>
      </c>
      <c r="DD7" s="145">
        <f t="shared" si="4"/>
        <v>1.8296850189458369</v>
      </c>
      <c r="DE7" s="145">
        <f t="shared" si="4"/>
        <v>1.8296850189458369</v>
      </c>
    </row>
    <row r="8" spans="1:109" ht="12" customHeight="1" thickTop="1"/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B37"/>
  <sheetViews>
    <sheetView workbookViewId="0">
      <pane xSplit="4" ySplit="2" topLeftCell="Q3" activePane="bottomRight" state="frozen"/>
      <selection activeCell="N6" sqref="N6"/>
      <selection pane="topRight" activeCell="N6" sqref="N6"/>
      <selection pane="bottomLeft" activeCell="N6" sqref="N6"/>
      <selection pane="bottomRight"/>
    </sheetView>
  </sheetViews>
  <sheetFormatPr defaultColWidth="9.33203125" defaultRowHeight="12"/>
  <cols>
    <col min="1" max="1" width="66.1640625" bestFit="1" customWidth="1"/>
    <col min="3" max="3" width="9.33203125" customWidth="1"/>
    <col min="5" max="28" width="13" hidden="1" customWidth="1"/>
    <col min="29" max="106" width="13" customWidth="1"/>
  </cols>
  <sheetData>
    <row r="1" spans="1:106">
      <c r="A1" s="37"/>
    </row>
    <row r="2" spans="1:106">
      <c r="A2" s="192" t="s">
        <v>493</v>
      </c>
      <c r="B2" s="193" t="s">
        <v>492</v>
      </c>
      <c r="C2" s="193" t="s">
        <v>491</v>
      </c>
      <c r="D2" s="193" t="s">
        <v>490</v>
      </c>
      <c r="E2" s="194">
        <f>Expenses!B2</f>
        <v>43951</v>
      </c>
      <c r="F2" s="194">
        <f>Expenses!C2</f>
        <v>43982</v>
      </c>
      <c r="G2" s="194">
        <f>Expenses!D2</f>
        <v>44012</v>
      </c>
      <c r="H2" s="194">
        <f>Expenses!E2</f>
        <v>44043</v>
      </c>
      <c r="I2" s="194">
        <f>Expenses!F2</f>
        <v>44074</v>
      </c>
      <c r="J2" s="194">
        <f>Expenses!G2</f>
        <v>44104</v>
      </c>
      <c r="K2" s="194">
        <f>Expenses!H2</f>
        <v>44135</v>
      </c>
      <c r="L2" s="194">
        <f>Expenses!I2</f>
        <v>44165</v>
      </c>
      <c r="M2" s="194">
        <f>Expenses!J2</f>
        <v>44196</v>
      </c>
      <c r="N2" s="194">
        <f>Expenses!K2</f>
        <v>44227</v>
      </c>
      <c r="O2" s="194">
        <f>Expenses!L2</f>
        <v>44255</v>
      </c>
      <c r="P2" s="194">
        <f>Expenses!M2</f>
        <v>44286</v>
      </c>
      <c r="Q2" s="194">
        <f>Expenses!N2</f>
        <v>44316</v>
      </c>
      <c r="R2" s="194">
        <f>Expenses!O2</f>
        <v>44347</v>
      </c>
      <c r="S2" s="194">
        <f>Expenses!P2</f>
        <v>44377</v>
      </c>
      <c r="T2" s="194">
        <f>Expenses!Q2</f>
        <v>44408</v>
      </c>
      <c r="U2" s="194">
        <f>Expenses!R2</f>
        <v>44439</v>
      </c>
      <c r="V2" s="194">
        <f>Expenses!S2</f>
        <v>44469</v>
      </c>
      <c r="W2" s="194">
        <f>Expenses!T2</f>
        <v>44500</v>
      </c>
      <c r="X2" s="194">
        <f>Expenses!U2</f>
        <v>44530</v>
      </c>
      <c r="Y2" s="194">
        <f>Expenses!V2</f>
        <v>44561</v>
      </c>
      <c r="Z2" s="194">
        <f>Expenses!W2</f>
        <v>44592</v>
      </c>
      <c r="AA2" s="194">
        <f>Expenses!X2</f>
        <v>44620</v>
      </c>
      <c r="AB2" s="194">
        <f>Expenses!Y2</f>
        <v>44651</v>
      </c>
      <c r="AC2" s="194">
        <f>Expenses!Z2</f>
        <v>44681</v>
      </c>
      <c r="AD2" s="194">
        <f>Expenses!AA2</f>
        <v>44712</v>
      </c>
      <c r="AE2" s="194">
        <f>Expenses!AB2</f>
        <v>44742</v>
      </c>
      <c r="AF2" s="194">
        <f>Expenses!AC2</f>
        <v>44773</v>
      </c>
      <c r="AG2" s="194">
        <f>Expenses!AD2</f>
        <v>44804</v>
      </c>
      <c r="AH2" s="194">
        <f>Expenses!AE2</f>
        <v>44834</v>
      </c>
      <c r="AI2" s="194">
        <f>Expenses!AF2</f>
        <v>44865</v>
      </c>
      <c r="AJ2" s="194">
        <f>Expenses!AG2</f>
        <v>44895</v>
      </c>
      <c r="AK2" s="194">
        <f>Expenses!AH2</f>
        <v>44926</v>
      </c>
      <c r="AL2" s="194">
        <f>Expenses!AI2</f>
        <v>44957</v>
      </c>
      <c r="AM2" s="194">
        <f>Expenses!AJ2</f>
        <v>44985</v>
      </c>
      <c r="AN2" s="194">
        <f>Expenses!AK2</f>
        <v>45016</v>
      </c>
      <c r="AO2" s="194">
        <f>Expenses!AL2</f>
        <v>45046</v>
      </c>
      <c r="AP2" s="194">
        <f>Expenses!AM2</f>
        <v>45077</v>
      </c>
      <c r="AQ2" s="194">
        <f>Expenses!AN2</f>
        <v>45107</v>
      </c>
      <c r="AR2" s="194">
        <f>Expenses!AO2</f>
        <v>45138</v>
      </c>
      <c r="AS2" s="194">
        <f>Expenses!AP2</f>
        <v>45169</v>
      </c>
      <c r="AT2" s="194">
        <f>Expenses!AQ2</f>
        <v>45199</v>
      </c>
      <c r="AU2" s="194">
        <f>Expenses!AR2</f>
        <v>45230</v>
      </c>
      <c r="AV2" s="194">
        <f>Expenses!AS2</f>
        <v>45260</v>
      </c>
      <c r="AW2" s="194">
        <f>Expenses!AT2</f>
        <v>45291</v>
      </c>
      <c r="AX2" s="194">
        <f>Expenses!AU2</f>
        <v>45322</v>
      </c>
      <c r="AY2" s="194">
        <f>Expenses!AV2</f>
        <v>45351</v>
      </c>
      <c r="AZ2" s="194">
        <f>Expenses!AW2</f>
        <v>45382</v>
      </c>
      <c r="BA2" s="194">
        <f>Expenses!AX2</f>
        <v>45412</v>
      </c>
      <c r="BB2" s="194">
        <f>Expenses!AY2</f>
        <v>45443</v>
      </c>
      <c r="BC2" s="194">
        <f>Expenses!AZ2</f>
        <v>45473</v>
      </c>
      <c r="BD2" s="194">
        <f>Expenses!BA2</f>
        <v>45504</v>
      </c>
      <c r="BE2" s="194">
        <f>Expenses!BB2</f>
        <v>45535</v>
      </c>
      <c r="BF2" s="194">
        <f>Expenses!BC2</f>
        <v>45565</v>
      </c>
      <c r="BG2" s="194">
        <f>Expenses!BD2</f>
        <v>45596</v>
      </c>
      <c r="BH2" s="194">
        <f>Expenses!BE2</f>
        <v>45626</v>
      </c>
      <c r="BI2" s="194">
        <f>Expenses!BF2</f>
        <v>45657</v>
      </c>
      <c r="BJ2" s="194">
        <f>Expenses!BG2</f>
        <v>45688</v>
      </c>
      <c r="BK2" s="194">
        <f>Expenses!BH2</f>
        <v>45716</v>
      </c>
      <c r="BL2" s="194">
        <f>Expenses!BI2</f>
        <v>45747</v>
      </c>
      <c r="BM2" s="194">
        <f>Expenses!BJ2</f>
        <v>45777</v>
      </c>
      <c r="BN2" s="194">
        <f>Expenses!BK2</f>
        <v>45808</v>
      </c>
      <c r="BO2" s="194">
        <f>Expenses!BL2</f>
        <v>45838</v>
      </c>
      <c r="BP2" s="194">
        <f>Expenses!BM2</f>
        <v>45869</v>
      </c>
      <c r="BQ2" s="194">
        <f>Expenses!BN2</f>
        <v>45900</v>
      </c>
      <c r="BR2" s="194">
        <f>Expenses!BO2</f>
        <v>45930</v>
      </c>
      <c r="BS2" s="194">
        <f>Expenses!BP2</f>
        <v>45961</v>
      </c>
      <c r="BT2" s="194">
        <f>Expenses!BQ2</f>
        <v>45991</v>
      </c>
      <c r="BU2" s="194">
        <f>Expenses!BR2</f>
        <v>46022</v>
      </c>
      <c r="BV2" s="194">
        <f>Expenses!BS2</f>
        <v>46053</v>
      </c>
      <c r="BW2" s="194">
        <f>Expenses!BT2</f>
        <v>46081</v>
      </c>
      <c r="BX2" s="194">
        <f>Expenses!BU2</f>
        <v>46112</v>
      </c>
      <c r="BY2" s="194">
        <f>Expenses!BV2</f>
        <v>46142</v>
      </c>
      <c r="BZ2" s="194">
        <f>Expenses!BW2</f>
        <v>46173</v>
      </c>
      <c r="CA2" s="194">
        <f>Expenses!BX2</f>
        <v>46203</v>
      </c>
      <c r="CB2" s="194">
        <f>Expenses!BY2</f>
        <v>46234</v>
      </c>
      <c r="CC2" s="194">
        <f>Expenses!BZ2</f>
        <v>46265</v>
      </c>
      <c r="CD2" s="194">
        <f>Expenses!CA2</f>
        <v>46295</v>
      </c>
      <c r="CE2" s="194">
        <f>Expenses!CB2</f>
        <v>46326</v>
      </c>
      <c r="CF2" s="194">
        <f>Expenses!CC2</f>
        <v>46356</v>
      </c>
      <c r="CG2" s="194">
        <f>Expenses!CD2</f>
        <v>46387</v>
      </c>
      <c r="CH2" s="194">
        <f>Expenses!CE2</f>
        <v>46418</v>
      </c>
      <c r="CI2" s="194">
        <f>Expenses!CF2</f>
        <v>46446</v>
      </c>
      <c r="CJ2" s="194">
        <f>Expenses!CG2</f>
        <v>46477</v>
      </c>
      <c r="CK2" s="194">
        <f>Expenses!CH2</f>
        <v>46507</v>
      </c>
      <c r="CL2" s="194">
        <f>Expenses!CI2</f>
        <v>46538</v>
      </c>
      <c r="CM2" s="194">
        <f>Expenses!CJ2</f>
        <v>46568</v>
      </c>
      <c r="CN2" s="194">
        <f>Expenses!CK2</f>
        <v>46599</v>
      </c>
      <c r="CO2" s="194">
        <f>Expenses!CL2</f>
        <v>46630</v>
      </c>
      <c r="CP2" s="194">
        <f>Expenses!CM2</f>
        <v>46660</v>
      </c>
      <c r="CQ2" s="194">
        <f>Expenses!CN2</f>
        <v>46691</v>
      </c>
      <c r="CR2" s="194">
        <f>Expenses!CO2</f>
        <v>46721</v>
      </c>
      <c r="CS2" s="194">
        <f>Expenses!CP2</f>
        <v>46752</v>
      </c>
      <c r="CT2" s="194">
        <f>Expenses!CQ2</f>
        <v>46783</v>
      </c>
      <c r="CU2" s="194">
        <f>Expenses!CR2</f>
        <v>46812</v>
      </c>
      <c r="CV2" s="194">
        <f>Expenses!CS2</f>
        <v>46843</v>
      </c>
      <c r="CW2" s="194">
        <f>Expenses!CT2</f>
        <v>46873</v>
      </c>
      <c r="CX2" s="194">
        <f>Expenses!CU2</f>
        <v>46904</v>
      </c>
      <c r="CY2" s="194">
        <f>Expenses!CV2</f>
        <v>46934</v>
      </c>
      <c r="CZ2" s="194">
        <f>Expenses!CW2</f>
        <v>46965</v>
      </c>
      <c r="DA2" s="194">
        <f>Expenses!CX2</f>
        <v>46996</v>
      </c>
      <c r="DB2" s="194">
        <f>Expenses!CY2</f>
        <v>47026</v>
      </c>
    </row>
    <row r="3" spans="1:106">
      <c r="A3" s="195" t="s">
        <v>337</v>
      </c>
      <c r="B3" s="196" t="s">
        <v>472</v>
      </c>
      <c r="C3" s="196" t="s">
        <v>471</v>
      </c>
      <c r="D3" s="196" t="s">
        <v>82</v>
      </c>
      <c r="E3" s="149">
        <v>0</v>
      </c>
      <c r="F3" s="149">
        <v>0</v>
      </c>
      <c r="G3" s="149">
        <v>0</v>
      </c>
      <c r="H3" s="149">
        <v>0</v>
      </c>
      <c r="I3" s="149">
        <v>0</v>
      </c>
      <c r="J3" s="149">
        <v>0</v>
      </c>
      <c r="K3" s="149">
        <v>0</v>
      </c>
      <c r="L3" s="149">
        <v>0</v>
      </c>
      <c r="M3" s="149">
        <v>1</v>
      </c>
      <c r="N3" s="149">
        <v>0</v>
      </c>
      <c r="O3" s="149">
        <v>0</v>
      </c>
      <c r="P3" s="149">
        <v>0</v>
      </c>
      <c r="Q3" s="149">
        <v>0</v>
      </c>
      <c r="R3" s="149">
        <v>0</v>
      </c>
      <c r="S3" s="149">
        <v>0</v>
      </c>
      <c r="T3" s="149">
        <v>0</v>
      </c>
      <c r="U3" s="149">
        <v>0</v>
      </c>
      <c r="V3" s="149">
        <v>0</v>
      </c>
      <c r="W3" s="149">
        <v>0</v>
      </c>
      <c r="X3" s="149">
        <v>0</v>
      </c>
      <c r="Y3" s="149">
        <v>1</v>
      </c>
      <c r="Z3" s="149">
        <v>0</v>
      </c>
      <c r="AA3" s="149">
        <v>0</v>
      </c>
      <c r="AB3" s="149">
        <v>0</v>
      </c>
      <c r="AC3" s="149">
        <v>0</v>
      </c>
      <c r="AD3" s="149">
        <v>0</v>
      </c>
      <c r="AE3" s="149">
        <v>0</v>
      </c>
      <c r="AF3" s="149">
        <v>0</v>
      </c>
      <c r="AG3" s="149">
        <v>0</v>
      </c>
      <c r="AH3" s="149">
        <v>0</v>
      </c>
      <c r="AI3" s="149">
        <v>0</v>
      </c>
      <c r="AJ3" s="149">
        <v>0</v>
      </c>
      <c r="AK3" s="149">
        <v>1</v>
      </c>
      <c r="AL3" s="149">
        <v>0</v>
      </c>
      <c r="AM3" s="149">
        <v>0</v>
      </c>
      <c r="AN3" s="149">
        <v>0</v>
      </c>
      <c r="AO3" s="149">
        <v>0</v>
      </c>
      <c r="AP3" s="149">
        <v>0</v>
      </c>
      <c r="AQ3" s="149">
        <v>0</v>
      </c>
      <c r="AR3" s="149">
        <v>0</v>
      </c>
      <c r="AS3" s="149">
        <v>0</v>
      </c>
      <c r="AT3" s="149">
        <v>0</v>
      </c>
      <c r="AU3" s="149">
        <v>0</v>
      </c>
      <c r="AV3" s="149">
        <v>0</v>
      </c>
      <c r="AW3" s="149">
        <v>1</v>
      </c>
      <c r="AX3" s="149">
        <v>0</v>
      </c>
      <c r="AY3" s="149">
        <v>0</v>
      </c>
      <c r="AZ3" s="149">
        <v>0</v>
      </c>
      <c r="BA3" s="149">
        <v>0</v>
      </c>
      <c r="BB3" s="149">
        <v>0</v>
      </c>
      <c r="BC3" s="149">
        <v>0</v>
      </c>
      <c r="BD3" s="149">
        <v>0</v>
      </c>
      <c r="BE3" s="149">
        <v>0</v>
      </c>
      <c r="BF3" s="149">
        <v>0</v>
      </c>
      <c r="BG3" s="149">
        <v>0</v>
      </c>
      <c r="BH3" s="149">
        <v>0</v>
      </c>
      <c r="BI3" s="149">
        <v>1</v>
      </c>
      <c r="BJ3" s="149">
        <v>0</v>
      </c>
      <c r="BK3" s="149">
        <v>0</v>
      </c>
      <c r="BL3" s="149">
        <v>0</v>
      </c>
      <c r="BM3" s="149">
        <v>0</v>
      </c>
      <c r="BN3" s="149">
        <v>0</v>
      </c>
      <c r="BO3" s="149">
        <v>0</v>
      </c>
      <c r="BP3" s="149">
        <v>0</v>
      </c>
      <c r="BQ3" s="149">
        <v>0</v>
      </c>
      <c r="BR3" s="149">
        <v>0</v>
      </c>
      <c r="BS3" s="149">
        <v>0</v>
      </c>
      <c r="BT3" s="149">
        <v>0</v>
      </c>
      <c r="BU3" s="149">
        <v>1</v>
      </c>
      <c r="BV3" s="149">
        <v>0</v>
      </c>
      <c r="BW3" s="149">
        <v>0</v>
      </c>
      <c r="BX3" s="149">
        <v>0</v>
      </c>
      <c r="BY3" s="149">
        <v>0</v>
      </c>
      <c r="BZ3" s="149">
        <v>0</v>
      </c>
      <c r="CA3" s="149">
        <v>0</v>
      </c>
      <c r="CB3" s="149">
        <v>0</v>
      </c>
      <c r="CC3" s="149">
        <v>0</v>
      </c>
      <c r="CD3" s="149">
        <v>0</v>
      </c>
      <c r="CE3" s="149">
        <v>0</v>
      </c>
      <c r="CF3" s="149">
        <v>0</v>
      </c>
      <c r="CG3" s="149">
        <v>1</v>
      </c>
      <c r="CH3" s="149">
        <v>0</v>
      </c>
      <c r="CI3" s="149">
        <v>0</v>
      </c>
      <c r="CJ3" s="149">
        <v>0</v>
      </c>
      <c r="CK3" s="149">
        <v>0</v>
      </c>
      <c r="CL3" s="149">
        <v>0</v>
      </c>
      <c r="CM3" s="149">
        <v>0</v>
      </c>
      <c r="CN3" s="149">
        <v>0</v>
      </c>
      <c r="CO3" s="149">
        <v>0</v>
      </c>
      <c r="CP3" s="149">
        <v>0</v>
      </c>
      <c r="CQ3" s="149">
        <v>0</v>
      </c>
      <c r="CR3" s="149">
        <v>0</v>
      </c>
      <c r="CS3" s="149">
        <v>1</v>
      </c>
      <c r="CT3" s="149">
        <v>0</v>
      </c>
      <c r="CU3" s="149">
        <v>0</v>
      </c>
      <c r="CV3" s="149">
        <v>0</v>
      </c>
      <c r="CW3" s="149">
        <v>0</v>
      </c>
      <c r="CX3" s="149">
        <v>0</v>
      </c>
      <c r="CY3" s="149">
        <v>0</v>
      </c>
      <c r="CZ3" s="149">
        <v>0</v>
      </c>
      <c r="DA3" s="149">
        <v>0</v>
      </c>
      <c r="DB3" s="149">
        <v>0</v>
      </c>
    </row>
    <row r="4" spans="1:106">
      <c r="A4" s="195" t="s">
        <v>489</v>
      </c>
      <c r="B4" s="196" t="s">
        <v>472</v>
      </c>
      <c r="C4" s="196" t="s">
        <v>480</v>
      </c>
      <c r="D4" s="196" t="s">
        <v>82</v>
      </c>
      <c r="E4" s="149">
        <v>1</v>
      </c>
      <c r="F4" s="149">
        <v>0</v>
      </c>
      <c r="G4" s="149">
        <v>0</v>
      </c>
      <c r="H4" s="149">
        <v>1</v>
      </c>
      <c r="I4" s="149">
        <v>0</v>
      </c>
      <c r="J4" s="149">
        <v>0</v>
      </c>
      <c r="K4" s="149">
        <v>1</v>
      </c>
      <c r="L4" s="149">
        <v>0</v>
      </c>
      <c r="M4" s="149">
        <v>0</v>
      </c>
      <c r="N4" s="149">
        <v>1</v>
      </c>
      <c r="O4" s="149">
        <v>0</v>
      </c>
      <c r="P4" s="149">
        <v>0</v>
      </c>
      <c r="Q4" s="149">
        <v>1</v>
      </c>
      <c r="R4" s="149">
        <v>0</v>
      </c>
      <c r="S4" s="149">
        <v>0</v>
      </c>
      <c r="T4" s="149">
        <v>1</v>
      </c>
      <c r="U4" s="149">
        <v>0</v>
      </c>
      <c r="V4" s="149">
        <v>0</v>
      </c>
      <c r="W4" s="149">
        <v>1</v>
      </c>
      <c r="X4" s="149">
        <v>0</v>
      </c>
      <c r="Y4" s="149">
        <v>0</v>
      </c>
      <c r="Z4" s="149">
        <v>1</v>
      </c>
      <c r="AA4" s="149">
        <v>0</v>
      </c>
      <c r="AB4" s="149">
        <v>0</v>
      </c>
      <c r="AC4" s="149">
        <v>1</v>
      </c>
      <c r="AD4" s="149">
        <v>0</v>
      </c>
      <c r="AE4" s="149">
        <v>0</v>
      </c>
      <c r="AF4" s="149">
        <v>1</v>
      </c>
      <c r="AG4" s="149">
        <v>0</v>
      </c>
      <c r="AH4" s="149">
        <v>0</v>
      </c>
      <c r="AI4" s="149">
        <v>1</v>
      </c>
      <c r="AJ4" s="149">
        <v>0</v>
      </c>
      <c r="AK4" s="149">
        <v>0</v>
      </c>
      <c r="AL4" s="149">
        <v>1</v>
      </c>
      <c r="AM4" s="149">
        <v>0</v>
      </c>
      <c r="AN4" s="149">
        <v>0</v>
      </c>
      <c r="AO4" s="149">
        <v>1</v>
      </c>
      <c r="AP4" s="149">
        <v>0</v>
      </c>
      <c r="AQ4" s="149">
        <v>0</v>
      </c>
      <c r="AR4" s="149">
        <v>1</v>
      </c>
      <c r="AS4" s="149">
        <v>0</v>
      </c>
      <c r="AT4" s="149">
        <v>0</v>
      </c>
      <c r="AU4" s="149">
        <v>1</v>
      </c>
      <c r="AV4" s="149">
        <v>0</v>
      </c>
      <c r="AW4" s="149">
        <v>0</v>
      </c>
      <c r="AX4" s="149">
        <v>1</v>
      </c>
      <c r="AY4" s="149">
        <v>0</v>
      </c>
      <c r="AZ4" s="149">
        <v>0</v>
      </c>
      <c r="BA4" s="149">
        <v>1</v>
      </c>
      <c r="BB4" s="149">
        <v>0</v>
      </c>
      <c r="BC4" s="149">
        <v>0</v>
      </c>
      <c r="BD4" s="149">
        <v>1</v>
      </c>
      <c r="BE4" s="149">
        <v>0</v>
      </c>
      <c r="BF4" s="149">
        <v>0</v>
      </c>
      <c r="BG4" s="149">
        <v>1</v>
      </c>
      <c r="BH4" s="149">
        <v>0</v>
      </c>
      <c r="BI4" s="149">
        <v>0</v>
      </c>
      <c r="BJ4" s="149">
        <v>1</v>
      </c>
      <c r="BK4" s="149">
        <v>0</v>
      </c>
      <c r="BL4" s="149">
        <v>0</v>
      </c>
      <c r="BM4" s="149">
        <v>1</v>
      </c>
      <c r="BN4" s="149">
        <v>0</v>
      </c>
      <c r="BO4" s="149">
        <v>0</v>
      </c>
      <c r="BP4" s="149">
        <v>1</v>
      </c>
      <c r="BQ4" s="149">
        <v>0</v>
      </c>
      <c r="BR4" s="149">
        <v>0</v>
      </c>
      <c r="BS4" s="149">
        <v>1</v>
      </c>
      <c r="BT4" s="149">
        <v>0</v>
      </c>
      <c r="BU4" s="149">
        <v>0</v>
      </c>
      <c r="BV4" s="149">
        <v>1</v>
      </c>
      <c r="BW4" s="149">
        <v>0</v>
      </c>
      <c r="BX4" s="149">
        <v>0</v>
      </c>
      <c r="BY4" s="149">
        <v>1</v>
      </c>
      <c r="BZ4" s="149">
        <v>0</v>
      </c>
      <c r="CA4" s="149">
        <v>0</v>
      </c>
      <c r="CB4" s="149">
        <v>1</v>
      </c>
      <c r="CC4" s="149">
        <v>0</v>
      </c>
      <c r="CD4" s="149">
        <v>0</v>
      </c>
      <c r="CE4" s="149">
        <v>1</v>
      </c>
      <c r="CF4" s="149">
        <v>0</v>
      </c>
      <c r="CG4" s="149">
        <v>0</v>
      </c>
      <c r="CH4" s="149">
        <v>1</v>
      </c>
      <c r="CI4" s="149">
        <v>0</v>
      </c>
      <c r="CJ4" s="149">
        <v>0</v>
      </c>
      <c r="CK4" s="149">
        <v>1</v>
      </c>
      <c r="CL4" s="149">
        <v>0</v>
      </c>
      <c r="CM4" s="149">
        <v>0</v>
      </c>
      <c r="CN4" s="149">
        <v>1</v>
      </c>
      <c r="CO4" s="149">
        <v>0</v>
      </c>
      <c r="CP4" s="149">
        <v>0</v>
      </c>
      <c r="CQ4" s="149">
        <v>1</v>
      </c>
      <c r="CR4" s="149">
        <v>0</v>
      </c>
      <c r="CS4" s="149">
        <v>0</v>
      </c>
      <c r="CT4" s="149">
        <v>1</v>
      </c>
      <c r="CU4" s="149">
        <v>0</v>
      </c>
      <c r="CV4" s="149">
        <v>0</v>
      </c>
      <c r="CW4" s="149">
        <v>1</v>
      </c>
      <c r="CX4" s="149">
        <v>0</v>
      </c>
      <c r="CY4" s="149">
        <v>0</v>
      </c>
      <c r="CZ4" s="149">
        <v>1</v>
      </c>
      <c r="DA4" s="149">
        <v>0</v>
      </c>
      <c r="DB4" s="149">
        <v>0</v>
      </c>
    </row>
    <row r="5" spans="1:106">
      <c r="A5" s="195" t="s">
        <v>488</v>
      </c>
      <c r="B5" s="196" t="s">
        <v>472</v>
      </c>
      <c r="C5" s="196" t="s">
        <v>480</v>
      </c>
      <c r="D5" s="196" t="s">
        <v>82</v>
      </c>
      <c r="E5" s="149">
        <v>1</v>
      </c>
      <c r="F5" s="149">
        <v>1</v>
      </c>
      <c r="G5" s="149">
        <v>1</v>
      </c>
      <c r="H5" s="149">
        <v>1</v>
      </c>
      <c r="I5" s="149">
        <v>1</v>
      </c>
      <c r="J5" s="149">
        <v>1</v>
      </c>
      <c r="K5" s="149">
        <v>1</v>
      </c>
      <c r="L5" s="149">
        <v>1</v>
      </c>
      <c r="M5" s="149">
        <v>1</v>
      </c>
      <c r="N5" s="149">
        <v>1</v>
      </c>
      <c r="O5" s="149">
        <v>1</v>
      </c>
      <c r="P5" s="149">
        <v>1</v>
      </c>
      <c r="Q5" s="149">
        <v>1</v>
      </c>
      <c r="R5" s="149">
        <v>1</v>
      </c>
      <c r="S5" s="149">
        <v>1</v>
      </c>
      <c r="T5" s="149">
        <v>1</v>
      </c>
      <c r="U5" s="149">
        <v>1</v>
      </c>
      <c r="V5" s="149">
        <v>1</v>
      </c>
      <c r="W5" s="149">
        <v>1</v>
      </c>
      <c r="X5" s="149">
        <v>1</v>
      </c>
      <c r="Y5" s="149">
        <v>1</v>
      </c>
      <c r="Z5" s="149">
        <v>1</v>
      </c>
      <c r="AA5" s="149">
        <v>1</v>
      </c>
      <c r="AB5" s="149">
        <v>1</v>
      </c>
      <c r="AC5" s="149">
        <v>1</v>
      </c>
      <c r="AD5" s="149">
        <v>1</v>
      </c>
      <c r="AE5" s="149">
        <v>1</v>
      </c>
      <c r="AF5" s="149">
        <v>1</v>
      </c>
      <c r="AG5" s="149">
        <v>1</v>
      </c>
      <c r="AH5" s="149">
        <v>1</v>
      </c>
      <c r="AI5" s="149">
        <v>1</v>
      </c>
      <c r="AJ5" s="149">
        <v>1</v>
      </c>
      <c r="AK5" s="149">
        <v>1</v>
      </c>
      <c r="AL5" s="149">
        <v>1</v>
      </c>
      <c r="AM5" s="149">
        <v>1</v>
      </c>
      <c r="AN5" s="149">
        <v>1</v>
      </c>
      <c r="AO5" s="149">
        <v>1</v>
      </c>
      <c r="AP5" s="149">
        <v>1</v>
      </c>
      <c r="AQ5" s="149">
        <v>1</v>
      </c>
      <c r="AR5" s="149">
        <v>1</v>
      </c>
      <c r="AS5" s="149">
        <v>1</v>
      </c>
      <c r="AT5" s="149">
        <v>1</v>
      </c>
      <c r="AU5" s="149">
        <v>1</v>
      </c>
      <c r="AV5" s="149">
        <v>1</v>
      </c>
      <c r="AW5" s="149">
        <v>1</v>
      </c>
      <c r="AX5" s="149">
        <v>1</v>
      </c>
      <c r="AY5" s="149">
        <v>1</v>
      </c>
      <c r="AZ5" s="149">
        <v>1</v>
      </c>
      <c r="BA5" s="149">
        <v>1</v>
      </c>
      <c r="BB5" s="149">
        <v>1</v>
      </c>
      <c r="BC5" s="149">
        <v>1</v>
      </c>
      <c r="BD5" s="149">
        <v>1</v>
      </c>
      <c r="BE5" s="149">
        <v>1</v>
      </c>
      <c r="BF5" s="149">
        <v>1</v>
      </c>
      <c r="BG5" s="149">
        <v>1</v>
      </c>
      <c r="BH5" s="149">
        <v>1</v>
      </c>
      <c r="BI5" s="149">
        <v>1</v>
      </c>
      <c r="BJ5" s="149">
        <v>1</v>
      </c>
      <c r="BK5" s="149">
        <v>1</v>
      </c>
      <c r="BL5" s="149">
        <v>1</v>
      </c>
      <c r="BM5" s="149">
        <v>1</v>
      </c>
      <c r="BN5" s="149">
        <v>1</v>
      </c>
      <c r="BO5" s="149">
        <v>1</v>
      </c>
      <c r="BP5" s="149">
        <v>1</v>
      </c>
      <c r="BQ5" s="149">
        <v>1</v>
      </c>
      <c r="BR5" s="149">
        <v>1</v>
      </c>
      <c r="BS5" s="149">
        <v>1</v>
      </c>
      <c r="BT5" s="149">
        <v>1</v>
      </c>
      <c r="BU5" s="149">
        <v>1</v>
      </c>
      <c r="BV5" s="149">
        <v>1</v>
      </c>
      <c r="BW5" s="149">
        <v>1</v>
      </c>
      <c r="BX5" s="149">
        <v>1</v>
      </c>
      <c r="BY5" s="149">
        <v>1</v>
      </c>
      <c r="BZ5" s="149">
        <v>1</v>
      </c>
      <c r="CA5" s="149">
        <v>1</v>
      </c>
      <c r="CB5" s="149">
        <v>1</v>
      </c>
      <c r="CC5" s="149">
        <v>1</v>
      </c>
      <c r="CD5" s="149">
        <v>1</v>
      </c>
      <c r="CE5" s="149">
        <v>1</v>
      </c>
      <c r="CF5" s="149">
        <v>1</v>
      </c>
      <c r="CG5" s="149">
        <v>1</v>
      </c>
      <c r="CH5" s="149">
        <v>1</v>
      </c>
      <c r="CI5" s="149">
        <v>1</v>
      </c>
      <c r="CJ5" s="149">
        <v>1</v>
      </c>
      <c r="CK5" s="149">
        <v>1</v>
      </c>
      <c r="CL5" s="149">
        <v>1</v>
      </c>
      <c r="CM5" s="149">
        <v>1</v>
      </c>
      <c r="CN5" s="149">
        <v>1</v>
      </c>
      <c r="CO5" s="149">
        <v>1</v>
      </c>
      <c r="CP5" s="149">
        <v>1</v>
      </c>
      <c r="CQ5" s="149">
        <v>1</v>
      </c>
      <c r="CR5" s="149">
        <v>1</v>
      </c>
      <c r="CS5" s="149">
        <v>1</v>
      </c>
      <c r="CT5" s="149">
        <v>1</v>
      </c>
      <c r="CU5" s="149">
        <v>1</v>
      </c>
      <c r="CV5" s="149">
        <v>1</v>
      </c>
      <c r="CW5" s="149">
        <v>1</v>
      </c>
      <c r="CX5" s="149">
        <v>1</v>
      </c>
      <c r="CY5" s="149">
        <v>1</v>
      </c>
      <c r="CZ5" s="149">
        <v>1</v>
      </c>
      <c r="DA5" s="149">
        <v>1</v>
      </c>
      <c r="DB5" s="149">
        <v>1</v>
      </c>
    </row>
    <row r="6" spans="1:106">
      <c r="A6" s="195" t="s">
        <v>487</v>
      </c>
      <c r="B6" s="196" t="s">
        <v>472</v>
      </c>
      <c r="C6" s="196" t="s">
        <v>485</v>
      </c>
      <c r="D6" s="196" t="s">
        <v>82</v>
      </c>
      <c r="E6" s="149">
        <v>1</v>
      </c>
      <c r="F6" s="149">
        <v>1</v>
      </c>
      <c r="G6" s="149">
        <v>1</v>
      </c>
      <c r="H6" s="149">
        <v>1</v>
      </c>
      <c r="I6" s="149">
        <v>1</v>
      </c>
      <c r="J6" s="149">
        <v>1</v>
      </c>
      <c r="K6" s="149">
        <v>1</v>
      </c>
      <c r="L6" s="149">
        <v>1</v>
      </c>
      <c r="M6" s="149">
        <v>1</v>
      </c>
      <c r="N6" s="149">
        <v>1</v>
      </c>
      <c r="O6" s="149">
        <v>1</v>
      </c>
      <c r="P6" s="149">
        <v>1</v>
      </c>
      <c r="Q6" s="149">
        <v>1</v>
      </c>
      <c r="R6" s="149">
        <v>1</v>
      </c>
      <c r="S6" s="149">
        <v>1</v>
      </c>
      <c r="T6" s="149">
        <v>1</v>
      </c>
      <c r="U6" s="149">
        <v>1</v>
      </c>
      <c r="V6" s="149">
        <v>1</v>
      </c>
      <c r="W6" s="149">
        <v>1</v>
      </c>
      <c r="X6" s="149">
        <v>1</v>
      </c>
      <c r="Y6" s="149">
        <v>1</v>
      </c>
      <c r="Z6" s="149">
        <v>1</v>
      </c>
      <c r="AA6" s="149">
        <v>1</v>
      </c>
      <c r="AB6" s="149">
        <v>1</v>
      </c>
      <c r="AC6" s="149">
        <v>1</v>
      </c>
      <c r="AD6" s="149">
        <v>1</v>
      </c>
      <c r="AE6" s="149">
        <v>1</v>
      </c>
      <c r="AF6" s="149">
        <v>1</v>
      </c>
      <c r="AG6" s="149">
        <v>1</v>
      </c>
      <c r="AH6" s="149">
        <v>1</v>
      </c>
      <c r="AI6" s="149">
        <v>1</v>
      </c>
      <c r="AJ6" s="149">
        <v>1</v>
      </c>
      <c r="AK6" s="149">
        <v>1</v>
      </c>
      <c r="AL6" s="149">
        <v>1</v>
      </c>
      <c r="AM6" s="149">
        <v>1</v>
      </c>
      <c r="AN6" s="149">
        <v>1</v>
      </c>
      <c r="AO6" s="149">
        <v>1</v>
      </c>
      <c r="AP6" s="149">
        <v>1</v>
      </c>
      <c r="AQ6" s="149">
        <v>1</v>
      </c>
      <c r="AR6" s="149">
        <v>1</v>
      </c>
      <c r="AS6" s="149">
        <v>1</v>
      </c>
      <c r="AT6" s="149">
        <v>1</v>
      </c>
      <c r="AU6" s="149">
        <v>1</v>
      </c>
      <c r="AV6" s="149">
        <v>1</v>
      </c>
      <c r="AW6" s="149">
        <v>1</v>
      </c>
      <c r="AX6" s="149">
        <v>1</v>
      </c>
      <c r="AY6" s="149">
        <v>1</v>
      </c>
      <c r="AZ6" s="149">
        <v>1</v>
      </c>
      <c r="BA6" s="149">
        <v>1</v>
      </c>
      <c r="BB6" s="149">
        <v>1</v>
      </c>
      <c r="BC6" s="149">
        <v>1</v>
      </c>
      <c r="BD6" s="149">
        <v>1</v>
      </c>
      <c r="BE6" s="149">
        <v>1</v>
      </c>
      <c r="BF6" s="149">
        <v>1</v>
      </c>
      <c r="BG6" s="149">
        <v>1</v>
      </c>
      <c r="BH6" s="149">
        <v>1</v>
      </c>
      <c r="BI6" s="149">
        <v>1</v>
      </c>
      <c r="BJ6" s="149">
        <v>1</v>
      </c>
      <c r="BK6" s="149">
        <v>1</v>
      </c>
      <c r="BL6" s="149">
        <v>1</v>
      </c>
      <c r="BM6" s="149">
        <v>1</v>
      </c>
      <c r="BN6" s="149">
        <v>1</v>
      </c>
      <c r="BO6" s="149">
        <v>1</v>
      </c>
      <c r="BP6" s="149">
        <v>1</v>
      </c>
      <c r="BQ6" s="149">
        <v>1</v>
      </c>
      <c r="BR6" s="149">
        <v>1</v>
      </c>
      <c r="BS6" s="149">
        <v>1</v>
      </c>
      <c r="BT6" s="149">
        <v>1</v>
      </c>
      <c r="BU6" s="149">
        <v>1</v>
      </c>
      <c r="BV6" s="149">
        <v>1</v>
      </c>
      <c r="BW6" s="149">
        <v>1</v>
      </c>
      <c r="BX6" s="149">
        <v>1</v>
      </c>
      <c r="BY6" s="149">
        <v>1</v>
      </c>
      <c r="BZ6" s="149">
        <v>1</v>
      </c>
      <c r="CA6" s="149">
        <v>1</v>
      </c>
      <c r="CB6" s="149">
        <v>1</v>
      </c>
      <c r="CC6" s="149">
        <v>1</v>
      </c>
      <c r="CD6" s="149">
        <v>1</v>
      </c>
      <c r="CE6" s="149">
        <v>1</v>
      </c>
      <c r="CF6" s="149">
        <v>1</v>
      </c>
      <c r="CG6" s="149">
        <v>1</v>
      </c>
      <c r="CH6" s="149">
        <v>1</v>
      </c>
      <c r="CI6" s="149">
        <v>1</v>
      </c>
      <c r="CJ6" s="149">
        <v>1</v>
      </c>
      <c r="CK6" s="149">
        <v>1</v>
      </c>
      <c r="CL6" s="149">
        <v>1</v>
      </c>
      <c r="CM6" s="149">
        <v>1</v>
      </c>
      <c r="CN6" s="149">
        <v>1</v>
      </c>
      <c r="CO6" s="149">
        <v>1</v>
      </c>
      <c r="CP6" s="149">
        <v>1</v>
      </c>
      <c r="CQ6" s="149">
        <v>1</v>
      </c>
      <c r="CR6" s="149">
        <v>1</v>
      </c>
      <c r="CS6" s="149">
        <v>1</v>
      </c>
      <c r="CT6" s="149">
        <v>1</v>
      </c>
      <c r="CU6" s="149">
        <v>1</v>
      </c>
      <c r="CV6" s="149">
        <v>1</v>
      </c>
      <c r="CW6" s="149">
        <v>1</v>
      </c>
      <c r="CX6" s="149">
        <v>1</v>
      </c>
      <c r="CY6" s="149">
        <v>1</v>
      </c>
      <c r="CZ6" s="149">
        <v>1</v>
      </c>
      <c r="DA6" s="149">
        <v>1</v>
      </c>
      <c r="DB6" s="149">
        <v>1</v>
      </c>
    </row>
    <row r="7" spans="1:106">
      <c r="A7" s="195" t="s">
        <v>486</v>
      </c>
      <c r="B7" s="196" t="s">
        <v>472</v>
      </c>
      <c r="C7" s="196" t="s">
        <v>485</v>
      </c>
      <c r="D7" s="196" t="s">
        <v>82</v>
      </c>
      <c r="E7" s="149">
        <v>1</v>
      </c>
      <c r="F7" s="149">
        <v>0</v>
      </c>
      <c r="G7" s="149">
        <v>0</v>
      </c>
      <c r="H7" s="149">
        <v>0</v>
      </c>
      <c r="I7" s="149">
        <v>0</v>
      </c>
      <c r="J7" s="149">
        <v>0</v>
      </c>
      <c r="K7" s="149">
        <v>0</v>
      </c>
      <c r="L7" s="149">
        <v>0</v>
      </c>
      <c r="M7" s="149">
        <v>0</v>
      </c>
      <c r="N7" s="149">
        <v>0</v>
      </c>
      <c r="O7" s="149">
        <v>0</v>
      </c>
      <c r="P7" s="149">
        <v>0</v>
      </c>
      <c r="Q7" s="149">
        <v>1</v>
      </c>
      <c r="R7" s="149">
        <v>0</v>
      </c>
      <c r="S7" s="149">
        <v>0</v>
      </c>
      <c r="T7" s="149">
        <v>0</v>
      </c>
      <c r="U7" s="149">
        <v>0</v>
      </c>
      <c r="V7" s="149">
        <v>0</v>
      </c>
      <c r="W7" s="149">
        <v>0</v>
      </c>
      <c r="X7" s="149">
        <v>0</v>
      </c>
      <c r="Y7" s="149">
        <v>0</v>
      </c>
      <c r="Z7" s="149">
        <v>0</v>
      </c>
      <c r="AA7" s="149">
        <v>0</v>
      </c>
      <c r="AB7" s="149">
        <v>0</v>
      </c>
      <c r="AC7" s="149">
        <v>1</v>
      </c>
      <c r="AD7" s="149">
        <v>0</v>
      </c>
      <c r="AE7" s="149">
        <v>0</v>
      </c>
      <c r="AF7" s="149">
        <v>0</v>
      </c>
      <c r="AG7" s="149">
        <v>0</v>
      </c>
      <c r="AH7" s="149">
        <v>0</v>
      </c>
      <c r="AI7" s="149">
        <v>0</v>
      </c>
      <c r="AJ7" s="149">
        <v>0</v>
      </c>
      <c r="AK7" s="149">
        <v>0</v>
      </c>
      <c r="AL7" s="149">
        <v>0</v>
      </c>
      <c r="AM7" s="149">
        <v>0</v>
      </c>
      <c r="AN7" s="149">
        <v>0</v>
      </c>
      <c r="AO7" s="149">
        <v>1</v>
      </c>
      <c r="AP7" s="149">
        <v>0</v>
      </c>
      <c r="AQ7" s="149">
        <v>0</v>
      </c>
      <c r="AR7" s="149">
        <v>0</v>
      </c>
      <c r="AS7" s="149">
        <v>0</v>
      </c>
      <c r="AT7" s="149">
        <v>0</v>
      </c>
      <c r="AU7" s="149">
        <v>0</v>
      </c>
      <c r="AV7" s="149">
        <v>0</v>
      </c>
      <c r="AW7" s="149">
        <v>0</v>
      </c>
      <c r="AX7" s="149">
        <v>0</v>
      </c>
      <c r="AY7" s="149">
        <v>0</v>
      </c>
      <c r="AZ7" s="149">
        <v>0</v>
      </c>
      <c r="BA7" s="149">
        <v>1</v>
      </c>
      <c r="BB7" s="149">
        <v>0</v>
      </c>
      <c r="BC7" s="149">
        <v>0</v>
      </c>
      <c r="BD7" s="149">
        <v>0</v>
      </c>
      <c r="BE7" s="149">
        <v>0</v>
      </c>
      <c r="BF7" s="149">
        <v>0</v>
      </c>
      <c r="BG7" s="149">
        <v>0</v>
      </c>
      <c r="BH7" s="149">
        <v>0</v>
      </c>
      <c r="BI7" s="149">
        <v>0</v>
      </c>
      <c r="BJ7" s="149">
        <v>0</v>
      </c>
      <c r="BK7" s="149">
        <v>0</v>
      </c>
      <c r="BL7" s="149">
        <v>0</v>
      </c>
      <c r="BM7" s="149">
        <v>1</v>
      </c>
      <c r="BN7" s="149">
        <v>0</v>
      </c>
      <c r="BO7" s="149">
        <v>0</v>
      </c>
      <c r="BP7" s="149">
        <v>0</v>
      </c>
      <c r="BQ7" s="149">
        <v>0</v>
      </c>
      <c r="BR7" s="149">
        <v>0</v>
      </c>
      <c r="BS7" s="149">
        <v>0</v>
      </c>
      <c r="BT7" s="149">
        <v>0</v>
      </c>
      <c r="BU7" s="149">
        <v>0</v>
      </c>
      <c r="BV7" s="149">
        <v>0</v>
      </c>
      <c r="BW7" s="149">
        <v>0</v>
      </c>
      <c r="BX7" s="149">
        <v>0</v>
      </c>
      <c r="BY7" s="149">
        <v>1</v>
      </c>
      <c r="BZ7" s="149">
        <v>0</v>
      </c>
      <c r="CA7" s="149">
        <v>0</v>
      </c>
      <c r="CB7" s="149">
        <v>0</v>
      </c>
      <c r="CC7" s="149">
        <v>0</v>
      </c>
      <c r="CD7" s="149">
        <v>0</v>
      </c>
      <c r="CE7" s="149">
        <v>0</v>
      </c>
      <c r="CF7" s="149">
        <v>0</v>
      </c>
      <c r="CG7" s="149">
        <v>0</v>
      </c>
      <c r="CH7" s="149">
        <v>0</v>
      </c>
      <c r="CI7" s="149">
        <v>0</v>
      </c>
      <c r="CJ7" s="149">
        <v>0</v>
      </c>
      <c r="CK7" s="149">
        <v>1</v>
      </c>
      <c r="CL7" s="149">
        <v>0</v>
      </c>
      <c r="CM7" s="149">
        <v>0</v>
      </c>
      <c r="CN7" s="149">
        <v>0</v>
      </c>
      <c r="CO7" s="149">
        <v>0</v>
      </c>
      <c r="CP7" s="149">
        <v>0</v>
      </c>
      <c r="CQ7" s="149">
        <v>0</v>
      </c>
      <c r="CR7" s="149">
        <v>0</v>
      </c>
      <c r="CS7" s="149">
        <v>0</v>
      </c>
      <c r="CT7" s="149">
        <v>0</v>
      </c>
      <c r="CU7" s="149">
        <v>0</v>
      </c>
      <c r="CV7" s="149">
        <v>0</v>
      </c>
      <c r="CW7" s="149">
        <v>1</v>
      </c>
      <c r="CX7" s="149">
        <v>0</v>
      </c>
      <c r="CY7" s="149">
        <v>0</v>
      </c>
      <c r="CZ7" s="149">
        <v>0</v>
      </c>
      <c r="DA7" s="149">
        <v>0</v>
      </c>
      <c r="DB7" s="149">
        <v>0</v>
      </c>
    </row>
    <row r="8" spans="1:106">
      <c r="A8" s="195" t="s">
        <v>339</v>
      </c>
      <c r="B8" s="196" t="s">
        <v>472</v>
      </c>
      <c r="C8" s="196" t="s">
        <v>475</v>
      </c>
      <c r="D8" s="196" t="s">
        <v>82</v>
      </c>
      <c r="E8" s="149">
        <v>130</v>
      </c>
      <c r="F8" s="149">
        <v>130</v>
      </c>
      <c r="G8" s="149">
        <v>130</v>
      </c>
      <c r="H8" s="149">
        <v>130</v>
      </c>
      <c r="I8" s="149">
        <v>130</v>
      </c>
      <c r="J8" s="149">
        <v>130</v>
      </c>
      <c r="K8" s="149">
        <v>130</v>
      </c>
      <c r="L8" s="149">
        <v>130</v>
      </c>
      <c r="M8" s="149">
        <v>130</v>
      </c>
      <c r="N8" s="149">
        <v>130</v>
      </c>
      <c r="O8" s="149">
        <v>130</v>
      </c>
      <c r="P8" s="149">
        <v>130</v>
      </c>
      <c r="Q8" s="149">
        <v>130</v>
      </c>
      <c r="R8" s="149">
        <v>130</v>
      </c>
      <c r="S8" s="149">
        <v>130</v>
      </c>
      <c r="T8" s="149">
        <v>130</v>
      </c>
      <c r="U8" s="149">
        <v>130</v>
      </c>
      <c r="V8" s="149">
        <v>130</v>
      </c>
      <c r="W8" s="149">
        <v>130</v>
      </c>
      <c r="X8" s="149">
        <v>130</v>
      </c>
      <c r="Y8" s="149">
        <v>130</v>
      </c>
      <c r="Z8" s="149">
        <v>130</v>
      </c>
      <c r="AA8" s="149">
        <v>130</v>
      </c>
      <c r="AB8" s="149">
        <v>130</v>
      </c>
      <c r="AC8" s="149">
        <v>130</v>
      </c>
      <c r="AD8" s="149">
        <v>130</v>
      </c>
      <c r="AE8" s="149">
        <v>130</v>
      </c>
      <c r="AF8" s="149">
        <v>130</v>
      </c>
      <c r="AG8" s="149">
        <v>130</v>
      </c>
      <c r="AH8" s="149">
        <v>130</v>
      </c>
      <c r="AI8" s="149">
        <v>130</v>
      </c>
      <c r="AJ8" s="149">
        <v>130</v>
      </c>
      <c r="AK8" s="149">
        <v>130</v>
      </c>
      <c r="AL8" s="149">
        <v>130</v>
      </c>
      <c r="AM8" s="149">
        <v>130</v>
      </c>
      <c r="AN8" s="149">
        <v>130</v>
      </c>
      <c r="AO8" s="149">
        <v>130</v>
      </c>
      <c r="AP8" s="149">
        <v>130</v>
      </c>
      <c r="AQ8" s="149">
        <v>130</v>
      </c>
      <c r="AR8" s="149">
        <v>130</v>
      </c>
      <c r="AS8" s="149">
        <v>130</v>
      </c>
      <c r="AT8" s="149">
        <v>130</v>
      </c>
      <c r="AU8" s="149">
        <v>130</v>
      </c>
      <c r="AV8" s="149">
        <v>130</v>
      </c>
      <c r="AW8" s="149">
        <v>130</v>
      </c>
      <c r="AX8" s="149">
        <v>130</v>
      </c>
      <c r="AY8" s="149">
        <v>130</v>
      </c>
      <c r="AZ8" s="149">
        <v>130</v>
      </c>
      <c r="BA8" s="149">
        <v>130</v>
      </c>
      <c r="BB8" s="149">
        <v>130</v>
      </c>
      <c r="BC8" s="149">
        <v>130</v>
      </c>
      <c r="BD8" s="149">
        <v>130</v>
      </c>
      <c r="BE8" s="149">
        <v>130</v>
      </c>
      <c r="BF8" s="149">
        <v>130</v>
      </c>
      <c r="BG8" s="149">
        <v>130</v>
      </c>
      <c r="BH8" s="149">
        <v>130</v>
      </c>
      <c r="BI8" s="149">
        <v>130</v>
      </c>
      <c r="BJ8" s="149">
        <v>130</v>
      </c>
      <c r="BK8" s="149">
        <v>130</v>
      </c>
      <c r="BL8" s="149">
        <v>130</v>
      </c>
      <c r="BM8" s="149">
        <v>130</v>
      </c>
      <c r="BN8" s="149">
        <v>130</v>
      </c>
      <c r="BO8" s="149">
        <v>130</v>
      </c>
      <c r="BP8" s="149">
        <v>130</v>
      </c>
      <c r="BQ8" s="149">
        <v>130</v>
      </c>
      <c r="BR8" s="149">
        <v>130</v>
      </c>
      <c r="BS8" s="149">
        <v>130</v>
      </c>
      <c r="BT8" s="149">
        <v>130</v>
      </c>
      <c r="BU8" s="149">
        <v>130</v>
      </c>
      <c r="BV8" s="149">
        <v>130</v>
      </c>
      <c r="BW8" s="149">
        <v>130</v>
      </c>
      <c r="BX8" s="149">
        <v>130</v>
      </c>
      <c r="BY8" s="149">
        <v>130</v>
      </c>
      <c r="BZ8" s="149">
        <v>130</v>
      </c>
      <c r="CA8" s="149">
        <v>130</v>
      </c>
      <c r="CB8" s="149">
        <v>130</v>
      </c>
      <c r="CC8" s="149">
        <v>130</v>
      </c>
      <c r="CD8" s="149">
        <v>130</v>
      </c>
      <c r="CE8" s="149">
        <v>130</v>
      </c>
      <c r="CF8" s="149">
        <v>130</v>
      </c>
      <c r="CG8" s="149">
        <v>130</v>
      </c>
      <c r="CH8" s="149">
        <v>130</v>
      </c>
      <c r="CI8" s="149">
        <v>130</v>
      </c>
      <c r="CJ8" s="149">
        <v>130</v>
      </c>
      <c r="CK8" s="149">
        <v>130</v>
      </c>
      <c r="CL8" s="149">
        <v>130</v>
      </c>
      <c r="CM8" s="149">
        <v>130</v>
      </c>
      <c r="CN8" s="149">
        <v>130</v>
      </c>
      <c r="CO8" s="149">
        <v>130</v>
      </c>
      <c r="CP8" s="149">
        <v>130</v>
      </c>
      <c r="CQ8" s="149">
        <v>130</v>
      </c>
      <c r="CR8" s="149">
        <v>130</v>
      </c>
      <c r="CS8" s="149">
        <v>130</v>
      </c>
      <c r="CT8" s="149">
        <v>130</v>
      </c>
      <c r="CU8" s="149">
        <v>130</v>
      </c>
      <c r="CV8" s="149">
        <v>130</v>
      </c>
      <c r="CW8" s="149">
        <v>130</v>
      </c>
      <c r="CX8" s="149">
        <v>130</v>
      </c>
      <c r="CY8" s="149">
        <v>130</v>
      </c>
      <c r="CZ8" s="149">
        <v>130</v>
      </c>
      <c r="DA8" s="149">
        <v>130</v>
      </c>
      <c r="DB8" s="149">
        <v>130</v>
      </c>
    </row>
    <row r="9" spans="1:106">
      <c r="A9" s="195" t="s">
        <v>484</v>
      </c>
      <c r="B9" s="196" t="s">
        <v>472</v>
      </c>
      <c r="C9" s="196" t="s">
        <v>474</v>
      </c>
      <c r="D9" s="196" t="s">
        <v>82</v>
      </c>
      <c r="E9" s="149">
        <v>42</v>
      </c>
      <c r="F9" s="149">
        <v>42</v>
      </c>
      <c r="G9" s="149">
        <v>42</v>
      </c>
      <c r="H9" s="149">
        <v>42</v>
      </c>
      <c r="I9" s="149">
        <v>42</v>
      </c>
      <c r="J9" s="149">
        <v>42</v>
      </c>
      <c r="K9" s="149">
        <v>42</v>
      </c>
      <c r="L9" s="149">
        <v>42</v>
      </c>
      <c r="M9" s="149">
        <v>42</v>
      </c>
      <c r="N9" s="149">
        <v>42</v>
      </c>
      <c r="O9" s="149">
        <v>42</v>
      </c>
      <c r="P9" s="149">
        <v>42</v>
      </c>
      <c r="Q9" s="149">
        <v>42</v>
      </c>
      <c r="R9" s="149">
        <v>42</v>
      </c>
      <c r="S9" s="149">
        <v>42</v>
      </c>
      <c r="T9" s="149">
        <v>42</v>
      </c>
      <c r="U9" s="149">
        <v>42</v>
      </c>
      <c r="V9" s="149">
        <v>42</v>
      </c>
      <c r="W9" s="149">
        <v>42</v>
      </c>
      <c r="X9" s="149">
        <v>42</v>
      </c>
      <c r="Y9" s="149">
        <v>42</v>
      </c>
      <c r="Z9" s="149">
        <v>42</v>
      </c>
      <c r="AA9" s="149">
        <v>42</v>
      </c>
      <c r="AB9" s="149">
        <v>42</v>
      </c>
      <c r="AC9" s="149">
        <v>42</v>
      </c>
      <c r="AD9" s="149">
        <v>42</v>
      </c>
      <c r="AE9" s="149">
        <v>42</v>
      </c>
      <c r="AF9" s="149">
        <v>42</v>
      </c>
      <c r="AG9" s="149">
        <v>42</v>
      </c>
      <c r="AH9" s="149">
        <v>42</v>
      </c>
      <c r="AI9" s="149">
        <v>42</v>
      </c>
      <c r="AJ9" s="149">
        <v>42</v>
      </c>
      <c r="AK9" s="149">
        <v>42</v>
      </c>
      <c r="AL9" s="149">
        <v>42</v>
      </c>
      <c r="AM9" s="149">
        <v>42</v>
      </c>
      <c r="AN9" s="149">
        <v>42</v>
      </c>
      <c r="AO9" s="149">
        <v>42</v>
      </c>
      <c r="AP9" s="149">
        <v>42</v>
      </c>
      <c r="AQ9" s="149">
        <v>42</v>
      </c>
      <c r="AR9" s="149">
        <v>42</v>
      </c>
      <c r="AS9" s="149">
        <v>42</v>
      </c>
      <c r="AT9" s="149">
        <v>42</v>
      </c>
      <c r="AU9" s="149">
        <v>42</v>
      </c>
      <c r="AV9" s="149">
        <v>42</v>
      </c>
      <c r="AW9" s="149">
        <v>42</v>
      </c>
      <c r="AX9" s="149">
        <v>42</v>
      </c>
      <c r="AY9" s="149">
        <v>42</v>
      </c>
      <c r="AZ9" s="149">
        <v>42</v>
      </c>
      <c r="BA9" s="149">
        <v>42</v>
      </c>
      <c r="BB9" s="149">
        <v>42</v>
      </c>
      <c r="BC9" s="149">
        <v>42</v>
      </c>
      <c r="BD9" s="149">
        <v>42</v>
      </c>
      <c r="BE9" s="149">
        <v>42</v>
      </c>
      <c r="BF9" s="149">
        <v>42</v>
      </c>
      <c r="BG9" s="149">
        <v>42</v>
      </c>
      <c r="BH9" s="149">
        <v>42</v>
      </c>
      <c r="BI9" s="149">
        <v>42</v>
      </c>
      <c r="BJ9" s="149">
        <v>42</v>
      </c>
      <c r="BK9" s="149">
        <v>42</v>
      </c>
      <c r="BL9" s="149">
        <v>42</v>
      </c>
      <c r="BM9" s="149">
        <v>42</v>
      </c>
      <c r="BN9" s="149">
        <v>42</v>
      </c>
      <c r="BO9" s="149">
        <v>42</v>
      </c>
      <c r="BP9" s="149">
        <v>42</v>
      </c>
      <c r="BQ9" s="149">
        <v>42</v>
      </c>
      <c r="BR9" s="149">
        <v>42</v>
      </c>
      <c r="BS9" s="149">
        <v>42</v>
      </c>
      <c r="BT9" s="149">
        <v>42</v>
      </c>
      <c r="BU9" s="149">
        <v>42</v>
      </c>
      <c r="BV9" s="149">
        <v>42</v>
      </c>
      <c r="BW9" s="149">
        <v>42</v>
      </c>
      <c r="BX9" s="149">
        <v>42</v>
      </c>
      <c r="BY9" s="149">
        <v>42</v>
      </c>
      <c r="BZ9" s="149">
        <v>42</v>
      </c>
      <c r="CA9" s="149">
        <v>42</v>
      </c>
      <c r="CB9" s="149">
        <v>42</v>
      </c>
      <c r="CC9" s="149">
        <v>42</v>
      </c>
      <c r="CD9" s="149">
        <v>42</v>
      </c>
      <c r="CE9" s="149">
        <v>42</v>
      </c>
      <c r="CF9" s="149">
        <v>42</v>
      </c>
      <c r="CG9" s="149">
        <v>42</v>
      </c>
      <c r="CH9" s="149">
        <v>42</v>
      </c>
      <c r="CI9" s="149">
        <v>42</v>
      </c>
      <c r="CJ9" s="149">
        <v>42</v>
      </c>
      <c r="CK9" s="149">
        <v>42</v>
      </c>
      <c r="CL9" s="149">
        <v>42</v>
      </c>
      <c r="CM9" s="149">
        <v>42</v>
      </c>
      <c r="CN9" s="149">
        <v>42</v>
      </c>
      <c r="CO9" s="149">
        <v>42</v>
      </c>
      <c r="CP9" s="149">
        <v>42</v>
      </c>
      <c r="CQ9" s="149">
        <v>42</v>
      </c>
      <c r="CR9" s="149">
        <v>42</v>
      </c>
      <c r="CS9" s="149">
        <v>42</v>
      </c>
      <c r="CT9" s="149">
        <v>42</v>
      </c>
      <c r="CU9" s="149">
        <v>42</v>
      </c>
      <c r="CV9" s="149">
        <v>42</v>
      </c>
      <c r="CW9" s="149">
        <v>42</v>
      </c>
      <c r="CX9" s="149">
        <v>42</v>
      </c>
      <c r="CY9" s="149">
        <v>42</v>
      </c>
      <c r="CZ9" s="149">
        <v>42</v>
      </c>
      <c r="DA9" s="149">
        <v>42</v>
      </c>
      <c r="DB9" s="149">
        <v>42</v>
      </c>
    </row>
    <row r="10" spans="1:106">
      <c r="A10" s="195" t="s">
        <v>341</v>
      </c>
      <c r="B10" s="196" t="s">
        <v>472</v>
      </c>
      <c r="C10" s="196" t="s">
        <v>471</v>
      </c>
      <c r="D10" s="196" t="s">
        <v>82</v>
      </c>
      <c r="E10" s="149">
        <v>0</v>
      </c>
      <c r="F10" s="149">
        <v>0</v>
      </c>
      <c r="G10" s="149">
        <v>0</v>
      </c>
      <c r="H10" s="149">
        <v>0</v>
      </c>
      <c r="I10" s="149">
        <v>0</v>
      </c>
      <c r="J10" s="149">
        <v>1</v>
      </c>
      <c r="K10" s="149">
        <v>0</v>
      </c>
      <c r="L10" s="149">
        <v>0</v>
      </c>
      <c r="M10" s="149">
        <v>0</v>
      </c>
      <c r="N10" s="149">
        <v>0</v>
      </c>
      <c r="O10" s="149">
        <v>0</v>
      </c>
      <c r="P10" s="149">
        <v>0</v>
      </c>
      <c r="Q10" s="149">
        <v>0</v>
      </c>
      <c r="R10" s="149">
        <v>0</v>
      </c>
      <c r="S10" s="149">
        <v>0</v>
      </c>
      <c r="T10" s="149">
        <v>0</v>
      </c>
      <c r="U10" s="149">
        <v>0</v>
      </c>
      <c r="V10" s="149">
        <v>1</v>
      </c>
      <c r="W10" s="149">
        <v>0</v>
      </c>
      <c r="X10" s="149">
        <v>0</v>
      </c>
      <c r="Y10" s="149">
        <v>0</v>
      </c>
      <c r="Z10" s="149">
        <v>0</v>
      </c>
      <c r="AA10" s="149">
        <v>0</v>
      </c>
      <c r="AB10" s="149">
        <v>0</v>
      </c>
      <c r="AC10" s="149">
        <v>0</v>
      </c>
      <c r="AD10" s="149">
        <v>0</v>
      </c>
      <c r="AE10" s="149">
        <v>0</v>
      </c>
      <c r="AF10" s="149">
        <v>0</v>
      </c>
      <c r="AG10" s="149">
        <v>0</v>
      </c>
      <c r="AH10" s="149">
        <v>1</v>
      </c>
      <c r="AI10" s="149">
        <v>0</v>
      </c>
      <c r="AJ10" s="149">
        <v>0</v>
      </c>
      <c r="AK10" s="149">
        <v>0</v>
      </c>
      <c r="AL10" s="149">
        <v>0</v>
      </c>
      <c r="AM10" s="149">
        <v>0</v>
      </c>
      <c r="AN10" s="149">
        <v>0</v>
      </c>
      <c r="AO10" s="149">
        <v>0</v>
      </c>
      <c r="AP10" s="149">
        <v>0</v>
      </c>
      <c r="AQ10" s="149">
        <v>0</v>
      </c>
      <c r="AR10" s="149">
        <v>0</v>
      </c>
      <c r="AS10" s="149">
        <v>0</v>
      </c>
      <c r="AT10" s="149">
        <v>1</v>
      </c>
      <c r="AU10" s="149">
        <v>0</v>
      </c>
      <c r="AV10" s="149">
        <v>0</v>
      </c>
      <c r="AW10" s="149">
        <v>0</v>
      </c>
      <c r="AX10" s="149">
        <v>0</v>
      </c>
      <c r="AY10" s="149">
        <v>0</v>
      </c>
      <c r="AZ10" s="149">
        <v>0</v>
      </c>
      <c r="BA10" s="149">
        <v>0</v>
      </c>
      <c r="BB10" s="149">
        <v>0</v>
      </c>
      <c r="BC10" s="149">
        <v>0</v>
      </c>
      <c r="BD10" s="149">
        <v>0</v>
      </c>
      <c r="BE10" s="149">
        <v>0</v>
      </c>
      <c r="BF10" s="149">
        <v>1</v>
      </c>
      <c r="BG10" s="149">
        <v>0</v>
      </c>
      <c r="BH10" s="149">
        <v>0</v>
      </c>
      <c r="BI10" s="149">
        <v>0</v>
      </c>
      <c r="BJ10" s="149">
        <v>0</v>
      </c>
      <c r="BK10" s="149">
        <v>0</v>
      </c>
      <c r="BL10" s="149">
        <v>0</v>
      </c>
      <c r="BM10" s="149">
        <v>0</v>
      </c>
      <c r="BN10" s="149">
        <v>0</v>
      </c>
      <c r="BO10" s="149">
        <v>0</v>
      </c>
      <c r="BP10" s="149">
        <v>0</v>
      </c>
      <c r="BQ10" s="149">
        <v>0</v>
      </c>
      <c r="BR10" s="149">
        <v>1</v>
      </c>
      <c r="BS10" s="149">
        <v>0</v>
      </c>
      <c r="BT10" s="149">
        <v>0</v>
      </c>
      <c r="BU10" s="149">
        <v>0</v>
      </c>
      <c r="BV10" s="149">
        <v>0</v>
      </c>
      <c r="BW10" s="149">
        <v>0</v>
      </c>
      <c r="BX10" s="149">
        <v>0</v>
      </c>
      <c r="BY10" s="149">
        <v>0</v>
      </c>
      <c r="BZ10" s="149">
        <v>0</v>
      </c>
      <c r="CA10" s="149">
        <v>0</v>
      </c>
      <c r="CB10" s="149">
        <v>0</v>
      </c>
      <c r="CC10" s="149">
        <v>0</v>
      </c>
      <c r="CD10" s="149">
        <v>1</v>
      </c>
      <c r="CE10" s="149">
        <v>0</v>
      </c>
      <c r="CF10" s="149">
        <v>0</v>
      </c>
      <c r="CG10" s="149">
        <v>0</v>
      </c>
      <c r="CH10" s="149">
        <v>0</v>
      </c>
      <c r="CI10" s="149">
        <v>0</v>
      </c>
      <c r="CJ10" s="149">
        <v>0</v>
      </c>
      <c r="CK10" s="149">
        <v>0</v>
      </c>
      <c r="CL10" s="149">
        <v>0</v>
      </c>
      <c r="CM10" s="149">
        <v>0</v>
      </c>
      <c r="CN10" s="149">
        <v>0</v>
      </c>
      <c r="CO10" s="149">
        <v>0</v>
      </c>
      <c r="CP10" s="149">
        <v>1</v>
      </c>
      <c r="CQ10" s="149">
        <v>0</v>
      </c>
      <c r="CR10" s="149">
        <v>0</v>
      </c>
      <c r="CS10" s="149">
        <v>0</v>
      </c>
      <c r="CT10" s="149">
        <v>0</v>
      </c>
      <c r="CU10" s="149">
        <v>0</v>
      </c>
      <c r="CV10" s="149">
        <v>0</v>
      </c>
      <c r="CW10" s="149">
        <v>0</v>
      </c>
      <c r="CX10" s="149">
        <v>0</v>
      </c>
      <c r="CY10" s="149">
        <v>0</v>
      </c>
      <c r="CZ10" s="149">
        <v>0</v>
      </c>
      <c r="DA10" s="149">
        <v>0</v>
      </c>
      <c r="DB10" s="149">
        <v>1</v>
      </c>
    </row>
    <row r="11" spans="1:106">
      <c r="A11" s="195" t="s">
        <v>483</v>
      </c>
      <c r="B11" s="196" t="s">
        <v>472</v>
      </c>
      <c r="C11" s="196" t="s">
        <v>471</v>
      </c>
      <c r="D11" s="196" t="s">
        <v>82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  <c r="J11" s="149">
        <v>1</v>
      </c>
      <c r="K11" s="149">
        <v>0</v>
      </c>
      <c r="L11" s="149">
        <v>0</v>
      </c>
      <c r="M11" s="149">
        <v>0</v>
      </c>
      <c r="N11" s="149">
        <v>0</v>
      </c>
      <c r="O11" s="149">
        <v>0</v>
      </c>
      <c r="P11" s="149">
        <v>0</v>
      </c>
      <c r="Q11" s="149">
        <v>0</v>
      </c>
      <c r="R11" s="149">
        <v>0</v>
      </c>
      <c r="S11" s="149">
        <v>0</v>
      </c>
      <c r="T11" s="149">
        <v>0</v>
      </c>
      <c r="U11" s="149">
        <v>0</v>
      </c>
      <c r="V11" s="149">
        <v>1</v>
      </c>
      <c r="W11" s="149">
        <v>0</v>
      </c>
      <c r="X11" s="149">
        <v>0</v>
      </c>
      <c r="Y11" s="149">
        <v>0</v>
      </c>
      <c r="Z11" s="149">
        <v>0</v>
      </c>
      <c r="AA11" s="149">
        <v>0</v>
      </c>
      <c r="AB11" s="149">
        <v>0</v>
      </c>
      <c r="AC11" s="149">
        <v>0</v>
      </c>
      <c r="AD11" s="149">
        <v>0</v>
      </c>
      <c r="AE11" s="149">
        <v>0</v>
      </c>
      <c r="AF11" s="149">
        <v>0</v>
      </c>
      <c r="AG11" s="149">
        <v>0</v>
      </c>
      <c r="AH11" s="149">
        <v>1</v>
      </c>
      <c r="AI11" s="149">
        <v>0</v>
      </c>
      <c r="AJ11" s="149">
        <v>0</v>
      </c>
      <c r="AK11" s="149">
        <v>0</v>
      </c>
      <c r="AL11" s="149">
        <v>0</v>
      </c>
      <c r="AM11" s="149">
        <v>0</v>
      </c>
      <c r="AN11" s="149">
        <v>0</v>
      </c>
      <c r="AO11" s="149">
        <v>0</v>
      </c>
      <c r="AP11" s="149">
        <v>0</v>
      </c>
      <c r="AQ11" s="149">
        <v>0</v>
      </c>
      <c r="AR11" s="149">
        <v>0</v>
      </c>
      <c r="AS11" s="149">
        <v>0</v>
      </c>
      <c r="AT11" s="149">
        <v>1</v>
      </c>
      <c r="AU11" s="149">
        <v>0</v>
      </c>
      <c r="AV11" s="149">
        <v>0</v>
      </c>
      <c r="AW11" s="149">
        <v>0</v>
      </c>
      <c r="AX11" s="149">
        <v>0</v>
      </c>
      <c r="AY11" s="149">
        <v>0</v>
      </c>
      <c r="AZ11" s="149">
        <v>0</v>
      </c>
      <c r="BA11" s="149">
        <v>0</v>
      </c>
      <c r="BB11" s="149">
        <v>0</v>
      </c>
      <c r="BC11" s="149">
        <v>0</v>
      </c>
      <c r="BD11" s="149">
        <v>0</v>
      </c>
      <c r="BE11" s="149">
        <v>0</v>
      </c>
      <c r="BF11" s="149">
        <v>1</v>
      </c>
      <c r="BG11" s="149">
        <v>0</v>
      </c>
      <c r="BH11" s="149">
        <v>0</v>
      </c>
      <c r="BI11" s="149">
        <v>0</v>
      </c>
      <c r="BJ11" s="149">
        <v>0</v>
      </c>
      <c r="BK11" s="149">
        <v>0</v>
      </c>
      <c r="BL11" s="149">
        <v>0</v>
      </c>
      <c r="BM11" s="149">
        <v>0</v>
      </c>
      <c r="BN11" s="149">
        <v>0</v>
      </c>
      <c r="BO11" s="149">
        <v>0</v>
      </c>
      <c r="BP11" s="149">
        <v>0</v>
      </c>
      <c r="BQ11" s="149">
        <v>0</v>
      </c>
      <c r="BR11" s="149">
        <v>1</v>
      </c>
      <c r="BS11" s="149">
        <v>0</v>
      </c>
      <c r="BT11" s="149">
        <v>0</v>
      </c>
      <c r="BU11" s="149">
        <v>0</v>
      </c>
      <c r="BV11" s="149">
        <v>0</v>
      </c>
      <c r="BW11" s="149">
        <v>0</v>
      </c>
      <c r="BX11" s="149">
        <v>0</v>
      </c>
      <c r="BY11" s="149">
        <v>0</v>
      </c>
      <c r="BZ11" s="149">
        <v>0</v>
      </c>
      <c r="CA11" s="149">
        <v>0</v>
      </c>
      <c r="CB11" s="149">
        <v>0</v>
      </c>
      <c r="CC11" s="149">
        <v>0</v>
      </c>
      <c r="CD11" s="149">
        <v>1</v>
      </c>
      <c r="CE11" s="149">
        <v>0</v>
      </c>
      <c r="CF11" s="149">
        <v>0</v>
      </c>
      <c r="CG11" s="149">
        <v>0</v>
      </c>
      <c r="CH11" s="149">
        <v>0</v>
      </c>
      <c r="CI11" s="149">
        <v>0</v>
      </c>
      <c r="CJ11" s="149">
        <v>0</v>
      </c>
      <c r="CK11" s="149">
        <v>0</v>
      </c>
      <c r="CL11" s="149">
        <v>0</v>
      </c>
      <c r="CM11" s="149">
        <v>0</v>
      </c>
      <c r="CN11" s="149">
        <v>0</v>
      </c>
      <c r="CO11" s="149">
        <v>0</v>
      </c>
      <c r="CP11" s="149">
        <v>1</v>
      </c>
      <c r="CQ11" s="149">
        <v>0</v>
      </c>
      <c r="CR11" s="149">
        <v>0</v>
      </c>
      <c r="CS11" s="149">
        <v>0</v>
      </c>
      <c r="CT11" s="149">
        <v>0</v>
      </c>
      <c r="CU11" s="149">
        <v>0</v>
      </c>
      <c r="CV11" s="149">
        <v>0</v>
      </c>
      <c r="CW11" s="149">
        <v>0</v>
      </c>
      <c r="CX11" s="149">
        <v>0</v>
      </c>
      <c r="CY11" s="149">
        <v>0</v>
      </c>
      <c r="CZ11" s="149">
        <v>0</v>
      </c>
      <c r="DA11" s="149">
        <v>0</v>
      </c>
      <c r="DB11" s="149">
        <v>1</v>
      </c>
    </row>
    <row r="12" spans="1:106">
      <c r="A12" s="195" t="s">
        <v>482</v>
      </c>
      <c r="B12" s="196" t="s">
        <v>472</v>
      </c>
      <c r="C12" s="196" t="s">
        <v>471</v>
      </c>
      <c r="D12" s="196" t="s">
        <v>82</v>
      </c>
      <c r="E12" s="149">
        <v>130</v>
      </c>
      <c r="F12" s="149">
        <v>130</v>
      </c>
      <c r="G12" s="149">
        <v>130</v>
      </c>
      <c r="H12" s="149">
        <v>130</v>
      </c>
      <c r="I12" s="149">
        <v>130</v>
      </c>
      <c r="J12" s="149">
        <v>130</v>
      </c>
      <c r="K12" s="149">
        <v>130</v>
      </c>
      <c r="L12" s="149">
        <v>130</v>
      </c>
      <c r="M12" s="149">
        <v>130</v>
      </c>
      <c r="N12" s="149">
        <v>130</v>
      </c>
      <c r="O12" s="149">
        <v>130</v>
      </c>
      <c r="P12" s="149">
        <v>130</v>
      </c>
      <c r="Q12" s="149">
        <v>130</v>
      </c>
      <c r="R12" s="149">
        <v>130</v>
      </c>
      <c r="S12" s="149">
        <v>130</v>
      </c>
      <c r="T12" s="149">
        <v>130</v>
      </c>
      <c r="U12" s="149">
        <v>130</v>
      </c>
      <c r="V12" s="149">
        <v>130</v>
      </c>
      <c r="W12" s="149">
        <v>130</v>
      </c>
      <c r="X12" s="149">
        <v>130</v>
      </c>
      <c r="Y12" s="149">
        <v>130</v>
      </c>
      <c r="Z12" s="149">
        <v>130</v>
      </c>
      <c r="AA12" s="149">
        <v>130</v>
      </c>
      <c r="AB12" s="149">
        <v>130</v>
      </c>
      <c r="AC12" s="149">
        <v>130</v>
      </c>
      <c r="AD12" s="149">
        <v>130</v>
      </c>
      <c r="AE12" s="149">
        <v>130</v>
      </c>
      <c r="AF12" s="149">
        <v>130</v>
      </c>
      <c r="AG12" s="149">
        <v>130</v>
      </c>
      <c r="AH12" s="149">
        <v>130</v>
      </c>
      <c r="AI12" s="149">
        <v>130</v>
      </c>
      <c r="AJ12" s="149">
        <v>130</v>
      </c>
      <c r="AK12" s="149">
        <v>130</v>
      </c>
      <c r="AL12" s="149">
        <v>130</v>
      </c>
      <c r="AM12" s="149">
        <v>130</v>
      </c>
      <c r="AN12" s="149">
        <v>130</v>
      </c>
      <c r="AO12" s="149">
        <v>130</v>
      </c>
      <c r="AP12" s="149">
        <v>130</v>
      </c>
      <c r="AQ12" s="149">
        <v>130</v>
      </c>
      <c r="AR12" s="149">
        <v>130</v>
      </c>
      <c r="AS12" s="149">
        <v>130</v>
      </c>
      <c r="AT12" s="149">
        <v>130</v>
      </c>
      <c r="AU12" s="149">
        <v>130</v>
      </c>
      <c r="AV12" s="149">
        <v>130</v>
      </c>
      <c r="AW12" s="149">
        <v>130</v>
      </c>
      <c r="AX12" s="149">
        <v>130</v>
      </c>
      <c r="AY12" s="149">
        <v>130</v>
      </c>
      <c r="AZ12" s="149">
        <v>130</v>
      </c>
      <c r="BA12" s="149">
        <v>130</v>
      </c>
      <c r="BB12" s="149">
        <v>130</v>
      </c>
      <c r="BC12" s="149">
        <v>130</v>
      </c>
      <c r="BD12" s="149">
        <v>130</v>
      </c>
      <c r="BE12" s="149">
        <v>130</v>
      </c>
      <c r="BF12" s="149">
        <v>130</v>
      </c>
      <c r="BG12" s="149">
        <v>130</v>
      </c>
      <c r="BH12" s="149">
        <v>130</v>
      </c>
      <c r="BI12" s="149">
        <v>130</v>
      </c>
      <c r="BJ12" s="149">
        <v>130</v>
      </c>
      <c r="BK12" s="149">
        <v>130</v>
      </c>
      <c r="BL12" s="149">
        <v>130</v>
      </c>
      <c r="BM12" s="149">
        <v>130</v>
      </c>
      <c r="BN12" s="149">
        <v>130</v>
      </c>
      <c r="BO12" s="149">
        <v>130</v>
      </c>
      <c r="BP12" s="149">
        <v>130</v>
      </c>
      <c r="BQ12" s="149">
        <v>130</v>
      </c>
      <c r="BR12" s="149">
        <v>130</v>
      </c>
      <c r="BS12" s="149">
        <v>130</v>
      </c>
      <c r="BT12" s="149">
        <v>130</v>
      </c>
      <c r="BU12" s="149">
        <v>130</v>
      </c>
      <c r="BV12" s="149">
        <v>130</v>
      </c>
      <c r="BW12" s="149">
        <v>130</v>
      </c>
      <c r="BX12" s="149">
        <v>130</v>
      </c>
      <c r="BY12" s="149">
        <v>130</v>
      </c>
      <c r="BZ12" s="149">
        <v>130</v>
      </c>
      <c r="CA12" s="149">
        <v>130</v>
      </c>
      <c r="CB12" s="149">
        <v>130</v>
      </c>
      <c r="CC12" s="149">
        <v>130</v>
      </c>
      <c r="CD12" s="149">
        <v>130</v>
      </c>
      <c r="CE12" s="149">
        <v>130</v>
      </c>
      <c r="CF12" s="149">
        <v>130</v>
      </c>
      <c r="CG12" s="149">
        <v>130</v>
      </c>
      <c r="CH12" s="149">
        <v>130</v>
      </c>
      <c r="CI12" s="149">
        <v>130</v>
      </c>
      <c r="CJ12" s="149">
        <v>130</v>
      </c>
      <c r="CK12" s="149">
        <v>130</v>
      </c>
      <c r="CL12" s="149">
        <v>130</v>
      </c>
      <c r="CM12" s="149">
        <v>130</v>
      </c>
      <c r="CN12" s="149">
        <v>130</v>
      </c>
      <c r="CO12" s="149">
        <v>130</v>
      </c>
      <c r="CP12" s="149">
        <v>130</v>
      </c>
      <c r="CQ12" s="149">
        <v>130</v>
      </c>
      <c r="CR12" s="149">
        <v>130</v>
      </c>
      <c r="CS12" s="149">
        <v>130</v>
      </c>
      <c r="CT12" s="149">
        <v>130</v>
      </c>
      <c r="CU12" s="149">
        <v>130</v>
      </c>
      <c r="CV12" s="149">
        <v>130</v>
      </c>
      <c r="CW12" s="149">
        <v>130</v>
      </c>
      <c r="CX12" s="149">
        <v>130</v>
      </c>
      <c r="CY12" s="149">
        <v>130</v>
      </c>
      <c r="CZ12" s="149">
        <v>130</v>
      </c>
      <c r="DA12" s="149">
        <v>130</v>
      </c>
      <c r="DB12" s="149">
        <v>130</v>
      </c>
    </row>
    <row r="13" spans="1:106">
      <c r="A13" s="195" t="s">
        <v>342</v>
      </c>
      <c r="B13" s="196" t="s">
        <v>472</v>
      </c>
      <c r="C13" s="196" t="s">
        <v>473</v>
      </c>
      <c r="D13" s="196" t="s">
        <v>82</v>
      </c>
      <c r="E13" s="149">
        <v>180</v>
      </c>
      <c r="F13" s="149">
        <v>180</v>
      </c>
      <c r="G13" s="149">
        <v>180</v>
      </c>
      <c r="H13" s="149">
        <v>180</v>
      </c>
      <c r="I13" s="149">
        <v>180</v>
      </c>
      <c r="J13" s="149">
        <v>180</v>
      </c>
      <c r="K13" s="149">
        <v>180</v>
      </c>
      <c r="L13" s="149">
        <v>180</v>
      </c>
      <c r="M13" s="149">
        <v>180</v>
      </c>
      <c r="N13" s="149">
        <v>180</v>
      </c>
      <c r="O13" s="149">
        <v>180</v>
      </c>
      <c r="P13" s="149">
        <v>180</v>
      </c>
      <c r="Q13" s="149">
        <v>130</v>
      </c>
      <c r="R13" s="149">
        <v>130</v>
      </c>
      <c r="S13" s="149">
        <v>130</v>
      </c>
      <c r="T13" s="149">
        <v>130</v>
      </c>
      <c r="U13" s="149">
        <v>130</v>
      </c>
      <c r="V13" s="149">
        <v>130</v>
      </c>
      <c r="W13" s="149">
        <v>130</v>
      </c>
      <c r="X13" s="149">
        <v>130</v>
      </c>
      <c r="Y13" s="149">
        <v>130</v>
      </c>
      <c r="Z13" s="149">
        <v>130</v>
      </c>
      <c r="AA13" s="149">
        <v>130</v>
      </c>
      <c r="AB13" s="149">
        <v>130</v>
      </c>
      <c r="AC13" s="149">
        <v>130</v>
      </c>
      <c r="AD13" s="149">
        <v>130</v>
      </c>
      <c r="AE13" s="149">
        <v>130</v>
      </c>
      <c r="AF13" s="149">
        <v>130</v>
      </c>
      <c r="AG13" s="149">
        <v>130</v>
      </c>
      <c r="AH13" s="149">
        <v>130</v>
      </c>
      <c r="AI13" s="149">
        <v>130</v>
      </c>
      <c r="AJ13" s="149">
        <v>130</v>
      </c>
      <c r="AK13" s="149">
        <v>130</v>
      </c>
      <c r="AL13" s="149">
        <v>130</v>
      </c>
      <c r="AM13" s="149">
        <v>130</v>
      </c>
      <c r="AN13" s="149">
        <v>130</v>
      </c>
      <c r="AO13" s="149">
        <v>130</v>
      </c>
      <c r="AP13" s="149">
        <v>130</v>
      </c>
      <c r="AQ13" s="149">
        <v>130</v>
      </c>
      <c r="AR13" s="149">
        <v>130</v>
      </c>
      <c r="AS13" s="149">
        <v>130</v>
      </c>
      <c r="AT13" s="149">
        <v>130</v>
      </c>
      <c r="AU13" s="149">
        <v>130</v>
      </c>
      <c r="AV13" s="149">
        <v>130</v>
      </c>
      <c r="AW13" s="149">
        <v>130</v>
      </c>
      <c r="AX13" s="149">
        <v>130</v>
      </c>
      <c r="AY13" s="149">
        <v>130</v>
      </c>
      <c r="AZ13" s="149">
        <v>130</v>
      </c>
      <c r="BA13" s="149">
        <v>130</v>
      </c>
      <c r="BB13" s="149">
        <v>130</v>
      </c>
      <c r="BC13" s="149">
        <v>130</v>
      </c>
      <c r="BD13" s="149">
        <v>130</v>
      </c>
      <c r="BE13" s="149">
        <v>130</v>
      </c>
      <c r="BF13" s="149">
        <v>130</v>
      </c>
      <c r="BG13" s="149">
        <v>130</v>
      </c>
      <c r="BH13" s="149">
        <v>130</v>
      </c>
      <c r="BI13" s="149">
        <v>130</v>
      </c>
      <c r="BJ13" s="149">
        <v>130</v>
      </c>
      <c r="BK13" s="149">
        <v>130</v>
      </c>
      <c r="BL13" s="149">
        <v>130</v>
      </c>
      <c r="BM13" s="149">
        <v>130</v>
      </c>
      <c r="BN13" s="149">
        <v>130</v>
      </c>
      <c r="BO13" s="149">
        <v>130</v>
      </c>
      <c r="BP13" s="149">
        <v>130</v>
      </c>
      <c r="BQ13" s="149">
        <v>130</v>
      </c>
      <c r="BR13" s="149">
        <v>130</v>
      </c>
      <c r="BS13" s="149">
        <v>130</v>
      </c>
      <c r="BT13" s="149">
        <v>130</v>
      </c>
      <c r="BU13" s="149">
        <v>130</v>
      </c>
      <c r="BV13" s="149">
        <v>130</v>
      </c>
      <c r="BW13" s="149">
        <v>130</v>
      </c>
      <c r="BX13" s="149">
        <v>130</v>
      </c>
      <c r="BY13" s="149">
        <v>130</v>
      </c>
      <c r="BZ13" s="149">
        <v>130</v>
      </c>
      <c r="CA13" s="149">
        <v>130</v>
      </c>
      <c r="CB13" s="149">
        <v>130</v>
      </c>
      <c r="CC13" s="149">
        <v>130</v>
      </c>
      <c r="CD13" s="149">
        <v>130</v>
      </c>
      <c r="CE13" s="149">
        <v>130</v>
      </c>
      <c r="CF13" s="149">
        <v>130</v>
      </c>
      <c r="CG13" s="149">
        <v>130</v>
      </c>
      <c r="CH13" s="149">
        <v>130</v>
      </c>
      <c r="CI13" s="149">
        <v>130</v>
      </c>
      <c r="CJ13" s="149">
        <v>130</v>
      </c>
      <c r="CK13" s="149">
        <v>130</v>
      </c>
      <c r="CL13" s="149">
        <v>130</v>
      </c>
      <c r="CM13" s="149">
        <v>130</v>
      </c>
      <c r="CN13" s="149">
        <v>130</v>
      </c>
      <c r="CO13" s="149">
        <v>130</v>
      </c>
      <c r="CP13" s="149">
        <v>130</v>
      </c>
      <c r="CQ13" s="149">
        <v>130</v>
      </c>
      <c r="CR13" s="149">
        <v>130</v>
      </c>
      <c r="CS13" s="149">
        <v>130</v>
      </c>
      <c r="CT13" s="149">
        <v>130</v>
      </c>
      <c r="CU13" s="149">
        <v>130</v>
      </c>
      <c r="CV13" s="149">
        <v>130</v>
      </c>
      <c r="CW13" s="149">
        <v>130</v>
      </c>
      <c r="CX13" s="149">
        <v>130</v>
      </c>
      <c r="CY13" s="149">
        <v>130</v>
      </c>
      <c r="CZ13" s="149">
        <v>130</v>
      </c>
      <c r="DA13" s="149">
        <v>130</v>
      </c>
      <c r="DB13" s="149">
        <v>130</v>
      </c>
    </row>
    <row r="14" spans="1:106">
      <c r="A14" s="195" t="s">
        <v>481</v>
      </c>
      <c r="B14" s="196" t="s">
        <v>472</v>
      </c>
      <c r="C14" s="196" t="s">
        <v>480</v>
      </c>
      <c r="D14" s="196" t="s">
        <v>82</v>
      </c>
      <c r="E14" s="149">
        <v>7</v>
      </c>
      <c r="F14" s="149">
        <v>7</v>
      </c>
      <c r="G14" s="149">
        <v>7</v>
      </c>
      <c r="H14" s="149">
        <v>7</v>
      </c>
      <c r="I14" s="149">
        <v>7</v>
      </c>
      <c r="J14" s="149">
        <v>7</v>
      </c>
      <c r="K14" s="149">
        <v>7</v>
      </c>
      <c r="L14" s="149">
        <v>7</v>
      </c>
      <c r="M14" s="149">
        <v>7</v>
      </c>
      <c r="N14" s="149">
        <v>7</v>
      </c>
      <c r="O14" s="149">
        <v>7</v>
      </c>
      <c r="P14" s="149">
        <v>7</v>
      </c>
      <c r="Q14" s="149">
        <v>7</v>
      </c>
      <c r="R14" s="149">
        <v>7</v>
      </c>
      <c r="S14" s="149">
        <v>7</v>
      </c>
      <c r="T14" s="149">
        <v>7</v>
      </c>
      <c r="U14" s="149">
        <v>7</v>
      </c>
      <c r="V14" s="149">
        <v>7</v>
      </c>
      <c r="W14" s="149">
        <v>7</v>
      </c>
      <c r="X14" s="149">
        <v>7</v>
      </c>
      <c r="Y14" s="149">
        <v>7</v>
      </c>
      <c r="Z14" s="149">
        <v>7</v>
      </c>
      <c r="AA14" s="149">
        <v>7</v>
      </c>
      <c r="AB14" s="149">
        <v>7</v>
      </c>
      <c r="AC14" s="149">
        <v>7</v>
      </c>
      <c r="AD14" s="149">
        <v>7</v>
      </c>
      <c r="AE14" s="149">
        <v>7</v>
      </c>
      <c r="AF14" s="149">
        <v>7</v>
      </c>
      <c r="AG14" s="149">
        <v>7</v>
      </c>
      <c r="AH14" s="149">
        <v>7</v>
      </c>
      <c r="AI14" s="149">
        <v>7</v>
      </c>
      <c r="AJ14" s="149">
        <v>7</v>
      </c>
      <c r="AK14" s="149">
        <v>7</v>
      </c>
      <c r="AL14" s="149">
        <v>7</v>
      </c>
      <c r="AM14" s="149">
        <v>7</v>
      </c>
      <c r="AN14" s="149">
        <v>7</v>
      </c>
      <c r="AO14" s="149">
        <v>7</v>
      </c>
      <c r="AP14" s="149">
        <v>7</v>
      </c>
      <c r="AQ14" s="149">
        <v>7</v>
      </c>
      <c r="AR14" s="149">
        <v>7</v>
      </c>
      <c r="AS14" s="149">
        <v>7</v>
      </c>
      <c r="AT14" s="149">
        <v>7</v>
      </c>
      <c r="AU14" s="149">
        <v>7</v>
      </c>
      <c r="AV14" s="149">
        <v>7</v>
      </c>
      <c r="AW14" s="149">
        <v>7</v>
      </c>
      <c r="AX14" s="149">
        <v>7</v>
      </c>
      <c r="AY14" s="149">
        <v>7</v>
      </c>
      <c r="AZ14" s="149">
        <v>7</v>
      </c>
      <c r="BA14" s="149">
        <v>7</v>
      </c>
      <c r="BB14" s="149">
        <v>7</v>
      </c>
      <c r="BC14" s="149">
        <v>7</v>
      </c>
      <c r="BD14" s="149">
        <v>7</v>
      </c>
      <c r="BE14" s="149">
        <v>7</v>
      </c>
      <c r="BF14" s="149">
        <v>7</v>
      </c>
      <c r="BG14" s="149">
        <v>7</v>
      </c>
      <c r="BH14" s="149">
        <v>7</v>
      </c>
      <c r="BI14" s="149">
        <v>7</v>
      </c>
      <c r="BJ14" s="149">
        <v>7</v>
      </c>
      <c r="BK14" s="149">
        <v>7</v>
      </c>
      <c r="BL14" s="149">
        <v>7</v>
      </c>
      <c r="BM14" s="149">
        <v>7</v>
      </c>
      <c r="BN14" s="149">
        <v>7</v>
      </c>
      <c r="BO14" s="149">
        <v>7</v>
      </c>
      <c r="BP14" s="149">
        <v>7</v>
      </c>
      <c r="BQ14" s="149">
        <v>7</v>
      </c>
      <c r="BR14" s="149">
        <v>7</v>
      </c>
      <c r="BS14" s="149">
        <v>7</v>
      </c>
      <c r="BT14" s="149">
        <v>7</v>
      </c>
      <c r="BU14" s="149">
        <v>7</v>
      </c>
      <c r="BV14" s="149">
        <v>7</v>
      </c>
      <c r="BW14" s="149">
        <v>7</v>
      </c>
      <c r="BX14" s="149">
        <v>7</v>
      </c>
      <c r="BY14" s="149">
        <v>7</v>
      </c>
      <c r="BZ14" s="149">
        <v>7</v>
      </c>
      <c r="CA14" s="149">
        <v>7</v>
      </c>
      <c r="CB14" s="149">
        <v>7</v>
      </c>
      <c r="CC14" s="149">
        <v>7</v>
      </c>
      <c r="CD14" s="149">
        <v>7</v>
      </c>
      <c r="CE14" s="149">
        <v>7</v>
      </c>
      <c r="CF14" s="149">
        <v>7</v>
      </c>
      <c r="CG14" s="149">
        <v>7</v>
      </c>
      <c r="CH14" s="149">
        <v>7</v>
      </c>
      <c r="CI14" s="149">
        <v>7</v>
      </c>
      <c r="CJ14" s="149">
        <v>7</v>
      </c>
      <c r="CK14" s="149">
        <v>7</v>
      </c>
      <c r="CL14" s="149">
        <v>7</v>
      </c>
      <c r="CM14" s="149">
        <v>7</v>
      </c>
      <c r="CN14" s="149">
        <v>7</v>
      </c>
      <c r="CO14" s="149">
        <v>7</v>
      </c>
      <c r="CP14" s="149">
        <v>7</v>
      </c>
      <c r="CQ14" s="149">
        <v>7</v>
      </c>
      <c r="CR14" s="149">
        <v>7</v>
      </c>
      <c r="CS14" s="149">
        <v>7</v>
      </c>
      <c r="CT14" s="149">
        <v>7</v>
      </c>
      <c r="CU14" s="149">
        <v>7</v>
      </c>
      <c r="CV14" s="149">
        <v>7</v>
      </c>
      <c r="CW14" s="149">
        <v>7</v>
      </c>
      <c r="CX14" s="149">
        <v>7</v>
      </c>
      <c r="CY14" s="149">
        <v>7</v>
      </c>
      <c r="CZ14" s="149">
        <v>7</v>
      </c>
      <c r="DA14" s="149">
        <v>7</v>
      </c>
      <c r="DB14" s="149">
        <v>7</v>
      </c>
    </row>
    <row r="15" spans="1:106">
      <c r="A15" s="195" t="s">
        <v>479</v>
      </c>
      <c r="B15" s="196" t="s">
        <v>472</v>
      </c>
      <c r="C15" s="196" t="s">
        <v>474</v>
      </c>
      <c r="D15" s="196" t="s">
        <v>82</v>
      </c>
      <c r="E15" s="149">
        <v>1</v>
      </c>
      <c r="F15" s="149">
        <v>1</v>
      </c>
      <c r="G15" s="149">
        <v>1</v>
      </c>
      <c r="H15" s="149">
        <v>1</v>
      </c>
      <c r="I15" s="149">
        <v>1</v>
      </c>
      <c r="J15" s="149">
        <v>1</v>
      </c>
      <c r="K15" s="149">
        <v>1</v>
      </c>
      <c r="L15" s="149">
        <v>1</v>
      </c>
      <c r="M15" s="149">
        <v>1</v>
      </c>
      <c r="N15" s="149">
        <v>1</v>
      </c>
      <c r="O15" s="149">
        <v>1</v>
      </c>
      <c r="P15" s="149">
        <v>1</v>
      </c>
      <c r="Q15" s="149">
        <v>1</v>
      </c>
      <c r="R15" s="149">
        <v>1</v>
      </c>
      <c r="S15" s="149">
        <v>1</v>
      </c>
      <c r="T15" s="149">
        <v>1</v>
      </c>
      <c r="U15" s="149">
        <v>1</v>
      </c>
      <c r="V15" s="149">
        <v>1</v>
      </c>
      <c r="W15" s="149">
        <v>1</v>
      </c>
      <c r="X15" s="149">
        <v>1</v>
      </c>
      <c r="Y15" s="149">
        <v>1</v>
      </c>
      <c r="Z15" s="149">
        <v>1</v>
      </c>
      <c r="AA15" s="149">
        <v>1</v>
      </c>
      <c r="AB15" s="149">
        <v>1</v>
      </c>
      <c r="AC15" s="149">
        <v>1</v>
      </c>
      <c r="AD15" s="149">
        <v>1</v>
      </c>
      <c r="AE15" s="149">
        <v>1</v>
      </c>
      <c r="AF15" s="149">
        <v>1</v>
      </c>
      <c r="AG15" s="149">
        <v>1</v>
      </c>
      <c r="AH15" s="149">
        <v>1</v>
      </c>
      <c r="AI15" s="149">
        <v>1</v>
      </c>
      <c r="AJ15" s="149">
        <v>1</v>
      </c>
      <c r="AK15" s="149">
        <v>1</v>
      </c>
      <c r="AL15" s="149">
        <v>1</v>
      </c>
      <c r="AM15" s="149">
        <v>1</v>
      </c>
      <c r="AN15" s="149">
        <v>1</v>
      </c>
      <c r="AO15" s="149">
        <v>1</v>
      </c>
      <c r="AP15" s="149">
        <v>1</v>
      </c>
      <c r="AQ15" s="149">
        <v>1</v>
      </c>
      <c r="AR15" s="149">
        <v>1</v>
      </c>
      <c r="AS15" s="149">
        <v>1</v>
      </c>
      <c r="AT15" s="149">
        <v>1</v>
      </c>
      <c r="AU15" s="149">
        <v>1</v>
      </c>
      <c r="AV15" s="149">
        <v>1</v>
      </c>
      <c r="AW15" s="149">
        <v>1</v>
      </c>
      <c r="AX15" s="149">
        <v>1</v>
      </c>
      <c r="AY15" s="149">
        <v>1</v>
      </c>
      <c r="AZ15" s="149">
        <v>1</v>
      </c>
      <c r="BA15" s="149">
        <v>1</v>
      </c>
      <c r="BB15" s="149">
        <v>1</v>
      </c>
      <c r="BC15" s="149">
        <v>1</v>
      </c>
      <c r="BD15" s="149">
        <v>1</v>
      </c>
      <c r="BE15" s="149">
        <v>1</v>
      </c>
      <c r="BF15" s="149">
        <v>1</v>
      </c>
      <c r="BG15" s="149">
        <v>1</v>
      </c>
      <c r="BH15" s="149">
        <v>1</v>
      </c>
      <c r="BI15" s="149">
        <v>1</v>
      </c>
      <c r="BJ15" s="149">
        <v>1</v>
      </c>
      <c r="BK15" s="149">
        <v>1</v>
      </c>
      <c r="BL15" s="149">
        <v>1</v>
      </c>
      <c r="BM15" s="149">
        <v>1</v>
      </c>
      <c r="BN15" s="149">
        <v>1</v>
      </c>
      <c r="BO15" s="149">
        <v>1</v>
      </c>
      <c r="BP15" s="149">
        <v>1</v>
      </c>
      <c r="BQ15" s="149">
        <v>1</v>
      </c>
      <c r="BR15" s="149">
        <v>1</v>
      </c>
      <c r="BS15" s="149">
        <v>1</v>
      </c>
      <c r="BT15" s="149">
        <v>1</v>
      </c>
      <c r="BU15" s="149">
        <v>1</v>
      </c>
      <c r="BV15" s="149">
        <v>1</v>
      </c>
      <c r="BW15" s="149">
        <v>1</v>
      </c>
      <c r="BX15" s="149">
        <v>1</v>
      </c>
      <c r="BY15" s="149">
        <v>1</v>
      </c>
      <c r="BZ15" s="149">
        <v>1</v>
      </c>
      <c r="CA15" s="149">
        <v>1</v>
      </c>
      <c r="CB15" s="149">
        <v>1</v>
      </c>
      <c r="CC15" s="149">
        <v>1</v>
      </c>
      <c r="CD15" s="149">
        <v>1</v>
      </c>
      <c r="CE15" s="149">
        <v>1</v>
      </c>
      <c r="CF15" s="149">
        <v>1</v>
      </c>
      <c r="CG15" s="149">
        <v>1</v>
      </c>
      <c r="CH15" s="149">
        <v>1</v>
      </c>
      <c r="CI15" s="149">
        <v>1</v>
      </c>
      <c r="CJ15" s="149">
        <v>1</v>
      </c>
      <c r="CK15" s="149">
        <v>1</v>
      </c>
      <c r="CL15" s="149">
        <v>1</v>
      </c>
      <c r="CM15" s="149">
        <v>1</v>
      </c>
      <c r="CN15" s="149">
        <v>1</v>
      </c>
      <c r="CO15" s="149">
        <v>1</v>
      </c>
      <c r="CP15" s="149">
        <v>1</v>
      </c>
      <c r="CQ15" s="149">
        <v>1</v>
      </c>
      <c r="CR15" s="149">
        <v>1</v>
      </c>
      <c r="CS15" s="149">
        <v>1</v>
      </c>
      <c r="CT15" s="149">
        <v>1</v>
      </c>
      <c r="CU15" s="149">
        <v>1</v>
      </c>
      <c r="CV15" s="149">
        <v>1</v>
      </c>
      <c r="CW15" s="149">
        <v>1</v>
      </c>
      <c r="CX15" s="149">
        <v>1</v>
      </c>
      <c r="CY15" s="149">
        <v>1</v>
      </c>
      <c r="CZ15" s="149">
        <v>1</v>
      </c>
      <c r="DA15" s="149">
        <v>1</v>
      </c>
      <c r="DB15" s="149">
        <v>1</v>
      </c>
    </row>
    <row r="16" spans="1:106">
      <c r="A16" s="195" t="s">
        <v>478</v>
      </c>
      <c r="B16" s="196" t="s">
        <v>472</v>
      </c>
      <c r="C16" s="196" t="s">
        <v>471</v>
      </c>
      <c r="D16" s="196" t="s">
        <v>82</v>
      </c>
      <c r="E16" s="149">
        <v>1</v>
      </c>
      <c r="F16" s="149">
        <v>1</v>
      </c>
      <c r="G16" s="149">
        <v>1</v>
      </c>
      <c r="H16" s="149">
        <v>1</v>
      </c>
      <c r="I16" s="149">
        <v>1</v>
      </c>
      <c r="J16" s="149">
        <v>1</v>
      </c>
      <c r="K16" s="149">
        <v>1</v>
      </c>
      <c r="L16" s="149">
        <v>1</v>
      </c>
      <c r="M16" s="149">
        <v>1</v>
      </c>
      <c r="N16" s="149">
        <v>1</v>
      </c>
      <c r="O16" s="149">
        <v>1</v>
      </c>
      <c r="P16" s="149">
        <v>1</v>
      </c>
      <c r="Q16" s="149">
        <v>1</v>
      </c>
      <c r="R16" s="149">
        <v>1</v>
      </c>
      <c r="S16" s="149">
        <v>1</v>
      </c>
      <c r="T16" s="149">
        <v>1</v>
      </c>
      <c r="U16" s="149">
        <v>1</v>
      </c>
      <c r="V16" s="149">
        <v>1</v>
      </c>
      <c r="W16" s="149">
        <v>1</v>
      </c>
      <c r="X16" s="149">
        <v>1</v>
      </c>
      <c r="Y16" s="149">
        <v>1</v>
      </c>
      <c r="Z16" s="149">
        <v>1</v>
      </c>
      <c r="AA16" s="149">
        <v>1</v>
      </c>
      <c r="AB16" s="149">
        <v>1</v>
      </c>
      <c r="AC16" s="149">
        <v>1</v>
      </c>
      <c r="AD16" s="149">
        <v>1</v>
      </c>
      <c r="AE16" s="149">
        <v>1</v>
      </c>
      <c r="AF16" s="149">
        <v>1</v>
      </c>
      <c r="AG16" s="149">
        <v>1</v>
      </c>
      <c r="AH16" s="149">
        <v>1</v>
      </c>
      <c r="AI16" s="149">
        <v>1</v>
      </c>
      <c r="AJ16" s="149">
        <v>1</v>
      </c>
      <c r="AK16" s="149">
        <v>1</v>
      </c>
      <c r="AL16" s="149">
        <v>1</v>
      </c>
      <c r="AM16" s="149">
        <v>1</v>
      </c>
      <c r="AN16" s="149">
        <v>1</v>
      </c>
      <c r="AO16" s="149">
        <v>1</v>
      </c>
      <c r="AP16" s="149">
        <v>1</v>
      </c>
      <c r="AQ16" s="149">
        <v>1</v>
      </c>
      <c r="AR16" s="149">
        <v>1</v>
      </c>
      <c r="AS16" s="149">
        <v>1</v>
      </c>
      <c r="AT16" s="149">
        <v>1</v>
      </c>
      <c r="AU16" s="149">
        <v>1</v>
      </c>
      <c r="AV16" s="149">
        <v>1</v>
      </c>
      <c r="AW16" s="149">
        <v>1</v>
      </c>
      <c r="AX16" s="149">
        <v>1</v>
      </c>
      <c r="AY16" s="149">
        <v>1</v>
      </c>
      <c r="AZ16" s="149">
        <v>1</v>
      </c>
      <c r="BA16" s="149">
        <v>1</v>
      </c>
      <c r="BB16" s="149">
        <v>1</v>
      </c>
      <c r="BC16" s="149">
        <v>1</v>
      </c>
      <c r="BD16" s="149">
        <v>1</v>
      </c>
      <c r="BE16" s="149">
        <v>1</v>
      </c>
      <c r="BF16" s="149">
        <v>1</v>
      </c>
      <c r="BG16" s="149">
        <v>1</v>
      </c>
      <c r="BH16" s="149">
        <v>1</v>
      </c>
      <c r="BI16" s="149">
        <v>1</v>
      </c>
      <c r="BJ16" s="149">
        <v>1</v>
      </c>
      <c r="BK16" s="149">
        <v>1</v>
      </c>
      <c r="BL16" s="149">
        <v>1</v>
      </c>
      <c r="BM16" s="149">
        <v>1</v>
      </c>
      <c r="BN16" s="149">
        <v>1</v>
      </c>
      <c r="BO16" s="149">
        <v>1</v>
      </c>
      <c r="BP16" s="149">
        <v>1</v>
      </c>
      <c r="BQ16" s="149">
        <v>1</v>
      </c>
      <c r="BR16" s="149">
        <v>1</v>
      </c>
      <c r="BS16" s="149">
        <v>1</v>
      </c>
      <c r="BT16" s="149">
        <v>1</v>
      </c>
      <c r="BU16" s="149">
        <v>1</v>
      </c>
      <c r="BV16" s="149">
        <v>1</v>
      </c>
      <c r="BW16" s="149">
        <v>1</v>
      </c>
      <c r="BX16" s="149">
        <v>1</v>
      </c>
      <c r="BY16" s="149">
        <v>1</v>
      </c>
      <c r="BZ16" s="149">
        <v>1</v>
      </c>
      <c r="CA16" s="149">
        <v>1</v>
      </c>
      <c r="CB16" s="149">
        <v>1</v>
      </c>
      <c r="CC16" s="149">
        <v>1</v>
      </c>
      <c r="CD16" s="149">
        <v>1</v>
      </c>
      <c r="CE16" s="149">
        <v>1</v>
      </c>
      <c r="CF16" s="149">
        <v>1</v>
      </c>
      <c r="CG16" s="149">
        <v>1</v>
      </c>
      <c r="CH16" s="149">
        <v>1</v>
      </c>
      <c r="CI16" s="149">
        <v>1</v>
      </c>
      <c r="CJ16" s="149">
        <v>1</v>
      </c>
      <c r="CK16" s="149">
        <v>1</v>
      </c>
      <c r="CL16" s="149">
        <v>1</v>
      </c>
      <c r="CM16" s="149">
        <v>1</v>
      </c>
      <c r="CN16" s="149">
        <v>1</v>
      </c>
      <c r="CO16" s="149">
        <v>1</v>
      </c>
      <c r="CP16" s="149">
        <v>1</v>
      </c>
      <c r="CQ16" s="149">
        <v>1</v>
      </c>
      <c r="CR16" s="149">
        <v>1</v>
      </c>
      <c r="CS16" s="149">
        <v>1</v>
      </c>
      <c r="CT16" s="149">
        <v>1</v>
      </c>
      <c r="CU16" s="149">
        <v>1</v>
      </c>
      <c r="CV16" s="149">
        <v>1</v>
      </c>
      <c r="CW16" s="149">
        <v>1</v>
      </c>
      <c r="CX16" s="149">
        <v>1</v>
      </c>
      <c r="CY16" s="149">
        <v>1</v>
      </c>
      <c r="CZ16" s="149">
        <v>1</v>
      </c>
      <c r="DA16" s="149">
        <v>1</v>
      </c>
      <c r="DB16" s="149">
        <v>1</v>
      </c>
    </row>
    <row r="17" spans="1:106">
      <c r="A17" s="195" t="s">
        <v>477</v>
      </c>
      <c r="B17" s="196" t="s">
        <v>472</v>
      </c>
      <c r="C17" s="196" t="s">
        <v>471</v>
      </c>
      <c r="D17" s="196" t="s">
        <v>82</v>
      </c>
      <c r="E17" s="149">
        <v>1</v>
      </c>
      <c r="F17" s="149">
        <v>1</v>
      </c>
      <c r="G17" s="149">
        <v>1</v>
      </c>
      <c r="H17" s="149">
        <v>1</v>
      </c>
      <c r="I17" s="149">
        <v>1</v>
      </c>
      <c r="J17" s="149">
        <v>1</v>
      </c>
      <c r="K17" s="149">
        <v>1</v>
      </c>
      <c r="L17" s="149">
        <v>1</v>
      </c>
      <c r="M17" s="149">
        <v>1</v>
      </c>
      <c r="N17" s="149">
        <v>1</v>
      </c>
      <c r="O17" s="149">
        <v>1</v>
      </c>
      <c r="P17" s="149">
        <v>1</v>
      </c>
      <c r="Q17" s="149">
        <v>1</v>
      </c>
      <c r="R17" s="149">
        <v>1</v>
      </c>
      <c r="S17" s="149">
        <v>1</v>
      </c>
      <c r="T17" s="149">
        <v>1</v>
      </c>
      <c r="U17" s="149">
        <v>1</v>
      </c>
      <c r="V17" s="149">
        <v>1</v>
      </c>
      <c r="W17" s="149">
        <v>1</v>
      </c>
      <c r="X17" s="149">
        <v>1</v>
      </c>
      <c r="Y17" s="149">
        <v>1</v>
      </c>
      <c r="Z17" s="149">
        <v>1</v>
      </c>
      <c r="AA17" s="149">
        <v>1</v>
      </c>
      <c r="AB17" s="149">
        <v>1</v>
      </c>
      <c r="AC17" s="149">
        <v>1</v>
      </c>
      <c r="AD17" s="149">
        <v>1</v>
      </c>
      <c r="AE17" s="149">
        <v>1</v>
      </c>
      <c r="AF17" s="149">
        <v>1</v>
      </c>
      <c r="AG17" s="149">
        <v>1</v>
      </c>
      <c r="AH17" s="149">
        <v>1</v>
      </c>
      <c r="AI17" s="149">
        <v>1</v>
      </c>
      <c r="AJ17" s="149">
        <v>1</v>
      </c>
      <c r="AK17" s="149">
        <v>1</v>
      </c>
      <c r="AL17" s="149">
        <v>1</v>
      </c>
      <c r="AM17" s="149">
        <v>1</v>
      </c>
      <c r="AN17" s="149">
        <v>1</v>
      </c>
      <c r="AO17" s="149">
        <v>1</v>
      </c>
      <c r="AP17" s="149">
        <v>1</v>
      </c>
      <c r="AQ17" s="149">
        <v>1</v>
      </c>
      <c r="AR17" s="149">
        <v>1</v>
      </c>
      <c r="AS17" s="149">
        <v>1</v>
      </c>
      <c r="AT17" s="149">
        <v>1</v>
      </c>
      <c r="AU17" s="149">
        <v>1</v>
      </c>
      <c r="AV17" s="149">
        <v>1</v>
      </c>
      <c r="AW17" s="149">
        <v>1</v>
      </c>
      <c r="AX17" s="149">
        <v>1</v>
      </c>
      <c r="AY17" s="149">
        <v>1</v>
      </c>
      <c r="AZ17" s="149">
        <v>1</v>
      </c>
      <c r="BA17" s="149">
        <v>1</v>
      </c>
      <c r="BB17" s="149">
        <v>1</v>
      </c>
      <c r="BC17" s="149">
        <v>1</v>
      </c>
      <c r="BD17" s="149">
        <v>1</v>
      </c>
      <c r="BE17" s="149">
        <v>1</v>
      </c>
      <c r="BF17" s="149">
        <v>1</v>
      </c>
      <c r="BG17" s="149">
        <v>1</v>
      </c>
      <c r="BH17" s="149">
        <v>1</v>
      </c>
      <c r="BI17" s="149">
        <v>1</v>
      </c>
      <c r="BJ17" s="149">
        <v>1</v>
      </c>
      <c r="BK17" s="149">
        <v>1</v>
      </c>
      <c r="BL17" s="149">
        <v>1</v>
      </c>
      <c r="BM17" s="149">
        <v>1</v>
      </c>
      <c r="BN17" s="149">
        <v>1</v>
      </c>
      <c r="BO17" s="149">
        <v>1</v>
      </c>
      <c r="BP17" s="149">
        <v>1</v>
      </c>
      <c r="BQ17" s="149">
        <v>1</v>
      </c>
      <c r="BR17" s="149">
        <v>1</v>
      </c>
      <c r="BS17" s="149">
        <v>1</v>
      </c>
      <c r="BT17" s="149">
        <v>1</v>
      </c>
      <c r="BU17" s="149">
        <v>1</v>
      </c>
      <c r="BV17" s="149">
        <v>1</v>
      </c>
      <c r="BW17" s="149">
        <v>1</v>
      </c>
      <c r="BX17" s="149">
        <v>1</v>
      </c>
      <c r="BY17" s="149">
        <v>1</v>
      </c>
      <c r="BZ17" s="149">
        <v>1</v>
      </c>
      <c r="CA17" s="149">
        <v>1</v>
      </c>
      <c r="CB17" s="149">
        <v>1</v>
      </c>
      <c r="CC17" s="149">
        <v>1</v>
      </c>
      <c r="CD17" s="149">
        <v>1</v>
      </c>
      <c r="CE17" s="149">
        <v>1</v>
      </c>
      <c r="CF17" s="149">
        <v>1</v>
      </c>
      <c r="CG17" s="149">
        <v>1</v>
      </c>
      <c r="CH17" s="149">
        <v>1</v>
      </c>
      <c r="CI17" s="149">
        <v>1</v>
      </c>
      <c r="CJ17" s="149">
        <v>1</v>
      </c>
      <c r="CK17" s="149">
        <v>1</v>
      </c>
      <c r="CL17" s="149">
        <v>1</v>
      </c>
      <c r="CM17" s="149">
        <v>1</v>
      </c>
      <c r="CN17" s="149">
        <v>1</v>
      </c>
      <c r="CO17" s="149">
        <v>1</v>
      </c>
      <c r="CP17" s="149">
        <v>1</v>
      </c>
      <c r="CQ17" s="149">
        <v>1</v>
      </c>
      <c r="CR17" s="149">
        <v>1</v>
      </c>
      <c r="CS17" s="149">
        <v>1</v>
      </c>
      <c r="CT17" s="149">
        <v>1</v>
      </c>
      <c r="CU17" s="149">
        <v>1</v>
      </c>
      <c r="CV17" s="149">
        <v>1</v>
      </c>
      <c r="CW17" s="149">
        <v>1</v>
      </c>
      <c r="CX17" s="149">
        <v>1</v>
      </c>
      <c r="CY17" s="149">
        <v>1</v>
      </c>
      <c r="CZ17" s="149">
        <v>1</v>
      </c>
      <c r="DA17" s="149">
        <v>1</v>
      </c>
      <c r="DB17" s="149">
        <v>1</v>
      </c>
    </row>
    <row r="18" spans="1:106">
      <c r="A18" s="195"/>
      <c r="B18" s="196"/>
      <c r="C18" s="196"/>
      <c r="D18" s="196"/>
    </row>
    <row r="19" spans="1:106">
      <c r="A19" s="195" t="str">
        <f>A3</f>
        <v xml:space="preserve">NWS Corporate Web Site </v>
      </c>
      <c r="B19" s="196" t="s">
        <v>472</v>
      </c>
      <c r="C19" s="196" t="s">
        <v>471</v>
      </c>
      <c r="D19" s="196" t="s">
        <v>476</v>
      </c>
      <c r="E19" s="50">
        <v>36816</v>
      </c>
      <c r="F19" s="50">
        <v>36816</v>
      </c>
      <c r="G19" s="50">
        <v>36816</v>
      </c>
      <c r="H19" s="50">
        <v>36816</v>
      </c>
      <c r="I19" s="50">
        <v>36816</v>
      </c>
      <c r="J19" s="50">
        <v>36816</v>
      </c>
      <c r="K19" s="50">
        <v>36816</v>
      </c>
      <c r="L19" s="50">
        <v>36816</v>
      </c>
      <c r="M19" s="50">
        <v>36816</v>
      </c>
      <c r="N19" s="50">
        <v>36816</v>
      </c>
      <c r="O19" s="50">
        <v>38288.639999999999</v>
      </c>
      <c r="P19" s="50">
        <v>38288.639999999999</v>
      </c>
      <c r="Q19" s="50">
        <v>38288.639999999999</v>
      </c>
      <c r="R19" s="50">
        <v>38288.639999999999</v>
      </c>
      <c r="S19" s="50">
        <v>38288.639999999999</v>
      </c>
      <c r="T19" s="50">
        <v>38288.639999999999</v>
      </c>
      <c r="U19" s="50">
        <v>38288.639999999999</v>
      </c>
      <c r="V19" s="50">
        <v>38288.639999999999</v>
      </c>
      <c r="W19" s="50">
        <v>38288.639999999999</v>
      </c>
      <c r="X19" s="50">
        <v>38288.639999999999</v>
      </c>
      <c r="Y19" s="50">
        <v>38288.639999999999</v>
      </c>
      <c r="Z19" s="50">
        <v>38288.639999999999</v>
      </c>
      <c r="AA19" s="50">
        <v>39820.185600000004</v>
      </c>
      <c r="AB19" s="50">
        <v>39820.185600000004</v>
      </c>
      <c r="AC19" s="50">
        <v>39820.185600000004</v>
      </c>
      <c r="AD19" s="50">
        <v>39820.185600000004</v>
      </c>
      <c r="AE19" s="50">
        <v>39820.185600000004</v>
      </c>
      <c r="AF19" s="50">
        <v>39820.185600000004</v>
      </c>
      <c r="AG19" s="50">
        <v>39820.185600000004</v>
      </c>
      <c r="AH19" s="50">
        <v>39820.185600000004</v>
      </c>
      <c r="AI19" s="50">
        <v>39820.185600000004</v>
      </c>
      <c r="AJ19" s="50">
        <v>39820.185600000004</v>
      </c>
      <c r="AK19" s="50">
        <v>39820.185600000004</v>
      </c>
      <c r="AL19" s="50">
        <v>39820.185600000004</v>
      </c>
      <c r="AM19" s="50">
        <v>41412.993024000003</v>
      </c>
      <c r="AN19" s="50">
        <v>41412.993024000003</v>
      </c>
      <c r="AO19" s="50">
        <v>41412.993024000003</v>
      </c>
      <c r="AP19" s="50">
        <v>41412.993024000003</v>
      </c>
      <c r="AQ19" s="50">
        <v>41412.993024000003</v>
      </c>
      <c r="AR19" s="50">
        <v>41412.993024000003</v>
      </c>
      <c r="AS19" s="50">
        <v>41412.993024000003</v>
      </c>
      <c r="AT19" s="50">
        <v>41412.993024000003</v>
      </c>
      <c r="AU19" s="50">
        <v>41412.993024000003</v>
      </c>
      <c r="AV19" s="50">
        <v>41412.993024000003</v>
      </c>
      <c r="AW19" s="50">
        <v>41412.993024000003</v>
      </c>
      <c r="AX19" s="50">
        <v>41412.993024000003</v>
      </c>
      <c r="AY19" s="50">
        <v>43069.512744960004</v>
      </c>
      <c r="AZ19" s="50">
        <v>43069.512744960004</v>
      </c>
      <c r="BA19" s="50">
        <v>43069.512744960004</v>
      </c>
      <c r="BB19" s="50">
        <v>43069.512744960004</v>
      </c>
      <c r="BC19" s="50">
        <v>43069.512744960004</v>
      </c>
      <c r="BD19" s="50">
        <v>43069.512744960004</v>
      </c>
      <c r="BE19" s="50">
        <v>43069.512744960004</v>
      </c>
      <c r="BF19" s="50">
        <v>43069.512744960004</v>
      </c>
      <c r="BG19" s="50">
        <v>43069.512744960004</v>
      </c>
      <c r="BH19" s="50">
        <v>43069.512744960004</v>
      </c>
      <c r="BI19" s="50">
        <v>43069.512744960004</v>
      </c>
      <c r="BJ19" s="50">
        <v>43069.512744960004</v>
      </c>
      <c r="BK19" s="50">
        <v>44792.293254758406</v>
      </c>
      <c r="BL19" s="50">
        <v>44792.293254758406</v>
      </c>
      <c r="BM19" s="50">
        <v>44792.293254758406</v>
      </c>
      <c r="BN19" s="50">
        <v>44792.293254758406</v>
      </c>
      <c r="BO19" s="50">
        <v>44792.293254758406</v>
      </c>
      <c r="BP19" s="50">
        <v>44792.293254758406</v>
      </c>
      <c r="BQ19" s="50">
        <v>44792.293254758406</v>
      </c>
      <c r="BR19" s="50">
        <v>44792.293254758406</v>
      </c>
      <c r="BS19" s="50">
        <v>44792.293254758406</v>
      </c>
      <c r="BT19" s="50">
        <v>44792.293254758406</v>
      </c>
      <c r="BU19" s="50">
        <v>44792.293254758406</v>
      </c>
      <c r="BV19" s="50">
        <v>44792.293254758406</v>
      </c>
      <c r="BW19" s="50">
        <v>46583.984984948744</v>
      </c>
      <c r="BX19" s="50">
        <v>46583.984984948744</v>
      </c>
      <c r="BY19" s="50">
        <v>46583.984984948744</v>
      </c>
      <c r="BZ19" s="50">
        <v>46583.984984948744</v>
      </c>
      <c r="CA19" s="50">
        <v>46583.984984948744</v>
      </c>
      <c r="CB19" s="50">
        <v>46583.984984948744</v>
      </c>
      <c r="CC19" s="50">
        <v>46583.984984948744</v>
      </c>
      <c r="CD19" s="50">
        <v>46583.984984948744</v>
      </c>
      <c r="CE19" s="50">
        <v>46583.984984948744</v>
      </c>
      <c r="CF19" s="50">
        <v>46583.984984948744</v>
      </c>
      <c r="CG19" s="50">
        <v>46583.984984948744</v>
      </c>
      <c r="CH19" s="50">
        <v>46583.984984948744</v>
      </c>
      <c r="CI19" s="50">
        <v>48447.344384346696</v>
      </c>
      <c r="CJ19" s="50">
        <v>48447.344384346696</v>
      </c>
      <c r="CK19" s="50">
        <v>48447.344384346696</v>
      </c>
      <c r="CL19" s="50">
        <v>48447.344384346696</v>
      </c>
      <c r="CM19" s="50">
        <v>48447.344384346696</v>
      </c>
      <c r="CN19" s="50">
        <v>48447.344384346696</v>
      </c>
      <c r="CO19" s="50">
        <v>48447.344384346696</v>
      </c>
      <c r="CP19" s="50">
        <v>48447.344384346696</v>
      </c>
      <c r="CQ19" s="50">
        <v>48447.344384346696</v>
      </c>
      <c r="CR19" s="50">
        <v>48447.344384346696</v>
      </c>
      <c r="CS19" s="50">
        <v>48447.344384346696</v>
      </c>
      <c r="CT19" s="50">
        <v>48447.344384346696</v>
      </c>
      <c r="CU19" s="50">
        <v>50385.238159720568</v>
      </c>
      <c r="CV19" s="50">
        <v>50385.238159720568</v>
      </c>
      <c r="CW19" s="50">
        <v>50385.238159720568</v>
      </c>
      <c r="CX19" s="50">
        <v>50385.238159720568</v>
      </c>
      <c r="CY19" s="50">
        <v>50385.238159720568</v>
      </c>
      <c r="CZ19" s="50">
        <v>50385.238159720568</v>
      </c>
      <c r="DA19" s="50">
        <v>50385.238159720568</v>
      </c>
      <c r="DB19" s="50">
        <v>50385.238159720568</v>
      </c>
    </row>
    <row r="20" spans="1:106">
      <c r="A20" s="195" t="str">
        <f t="shared" ref="A20:A25" si="0">A8</f>
        <v>Repairs &amp; Maintenance Laptops &amp; Desktops</v>
      </c>
      <c r="B20" s="196" t="s">
        <v>472</v>
      </c>
      <c r="C20" s="196" t="s">
        <v>475</v>
      </c>
      <c r="D20" s="196" t="s">
        <v>476</v>
      </c>
      <c r="E20" s="50">
        <v>153.4</v>
      </c>
      <c r="F20" s="50">
        <v>153.4</v>
      </c>
      <c r="G20" s="50">
        <v>153.4</v>
      </c>
      <c r="H20" s="50">
        <v>153.4</v>
      </c>
      <c r="I20" s="50">
        <v>153.4</v>
      </c>
      <c r="J20" s="50">
        <v>153.4</v>
      </c>
      <c r="K20" s="50">
        <v>153.4</v>
      </c>
      <c r="L20" s="50">
        <v>153.4</v>
      </c>
      <c r="M20" s="50">
        <v>153.4</v>
      </c>
      <c r="N20" s="50">
        <v>153.4</v>
      </c>
      <c r="O20" s="50">
        <v>159.536</v>
      </c>
      <c r="P20" s="50">
        <v>159.536</v>
      </c>
      <c r="Q20" s="50">
        <v>159.536</v>
      </c>
      <c r="R20" s="50">
        <v>159.536</v>
      </c>
      <c r="S20" s="50">
        <v>159.536</v>
      </c>
      <c r="T20" s="50">
        <v>159.536</v>
      </c>
      <c r="U20" s="50">
        <v>159.536</v>
      </c>
      <c r="V20" s="50">
        <v>159.536</v>
      </c>
      <c r="W20" s="50">
        <v>159.536</v>
      </c>
      <c r="X20" s="50">
        <v>159.536</v>
      </c>
      <c r="Y20" s="50">
        <v>159.536</v>
      </c>
      <c r="Z20" s="50">
        <v>159.536</v>
      </c>
      <c r="AA20" s="50">
        <v>165.91744</v>
      </c>
      <c r="AB20" s="50">
        <v>165.91744</v>
      </c>
      <c r="AC20" s="50">
        <v>165.91744</v>
      </c>
      <c r="AD20" s="50">
        <v>165.91744</v>
      </c>
      <c r="AE20" s="50">
        <v>165.91744</v>
      </c>
      <c r="AF20" s="50">
        <v>165.91744</v>
      </c>
      <c r="AG20" s="50">
        <v>165.91744</v>
      </c>
      <c r="AH20" s="50">
        <v>165.91744</v>
      </c>
      <c r="AI20" s="50">
        <v>165.91744</v>
      </c>
      <c r="AJ20" s="50">
        <v>165.91744</v>
      </c>
      <c r="AK20" s="50">
        <v>165.91744</v>
      </c>
      <c r="AL20" s="50">
        <v>165.91744</v>
      </c>
      <c r="AM20" s="50">
        <v>172.55413760000002</v>
      </c>
      <c r="AN20" s="50">
        <v>172.55413760000002</v>
      </c>
      <c r="AO20" s="50">
        <v>172.55413760000002</v>
      </c>
      <c r="AP20" s="50">
        <v>172.55413760000002</v>
      </c>
      <c r="AQ20" s="50">
        <v>172.55413760000002</v>
      </c>
      <c r="AR20" s="50">
        <v>172.55413760000002</v>
      </c>
      <c r="AS20" s="50">
        <v>172.55413760000002</v>
      </c>
      <c r="AT20" s="50">
        <v>172.55413760000002</v>
      </c>
      <c r="AU20" s="50">
        <v>172.55413760000002</v>
      </c>
      <c r="AV20" s="50">
        <v>172.55413760000002</v>
      </c>
      <c r="AW20" s="50">
        <v>172.55413760000002</v>
      </c>
      <c r="AX20" s="50">
        <v>172.55413760000002</v>
      </c>
      <c r="AY20" s="50">
        <v>179.45630310400003</v>
      </c>
      <c r="AZ20" s="50">
        <v>179.45630310400003</v>
      </c>
      <c r="BA20" s="50">
        <v>179.45630310400003</v>
      </c>
      <c r="BB20" s="50">
        <v>179.45630310400003</v>
      </c>
      <c r="BC20" s="50">
        <v>179.45630310400003</v>
      </c>
      <c r="BD20" s="50">
        <v>179.45630310400003</v>
      </c>
      <c r="BE20" s="50">
        <v>179.45630310400003</v>
      </c>
      <c r="BF20" s="50">
        <v>179.45630310400003</v>
      </c>
      <c r="BG20" s="50">
        <v>179.45630310400003</v>
      </c>
      <c r="BH20" s="50">
        <v>179.45630310400003</v>
      </c>
      <c r="BI20" s="50">
        <v>179.45630310400003</v>
      </c>
      <c r="BJ20" s="50">
        <v>179.45630310400003</v>
      </c>
      <c r="BK20" s="50">
        <v>186.63455522816002</v>
      </c>
      <c r="BL20" s="50">
        <v>186.63455522816002</v>
      </c>
      <c r="BM20" s="50">
        <v>186.63455522816002</v>
      </c>
      <c r="BN20" s="50">
        <v>186.63455522816002</v>
      </c>
      <c r="BO20" s="50">
        <v>186.63455522816002</v>
      </c>
      <c r="BP20" s="50">
        <v>186.63455522816002</v>
      </c>
      <c r="BQ20" s="50">
        <v>186.63455522816002</v>
      </c>
      <c r="BR20" s="50">
        <v>186.63455522816002</v>
      </c>
      <c r="BS20" s="50">
        <v>186.63455522816002</v>
      </c>
      <c r="BT20" s="50">
        <v>186.63455522816002</v>
      </c>
      <c r="BU20" s="50">
        <v>186.63455522816002</v>
      </c>
      <c r="BV20" s="50">
        <v>186.63455522816002</v>
      </c>
      <c r="BW20" s="50">
        <v>194.09993743728643</v>
      </c>
      <c r="BX20" s="50">
        <v>194.09993743728643</v>
      </c>
      <c r="BY20" s="50">
        <v>194.09993743728643</v>
      </c>
      <c r="BZ20" s="50">
        <v>194.09993743728643</v>
      </c>
      <c r="CA20" s="50">
        <v>194.09993743728643</v>
      </c>
      <c r="CB20" s="50">
        <v>194.09993743728643</v>
      </c>
      <c r="CC20" s="50">
        <v>194.09993743728643</v>
      </c>
      <c r="CD20" s="50">
        <v>194.09993743728643</v>
      </c>
      <c r="CE20" s="50">
        <v>194.09993743728643</v>
      </c>
      <c r="CF20" s="50">
        <v>194.09993743728643</v>
      </c>
      <c r="CG20" s="50">
        <v>194.09993743728643</v>
      </c>
      <c r="CH20" s="50">
        <v>194.09993743728643</v>
      </c>
      <c r="CI20" s="50">
        <v>201.86393493477789</v>
      </c>
      <c r="CJ20" s="50">
        <v>201.86393493477789</v>
      </c>
      <c r="CK20" s="50">
        <v>201.86393493477789</v>
      </c>
      <c r="CL20" s="50">
        <v>201.86393493477789</v>
      </c>
      <c r="CM20" s="50">
        <v>201.86393493477789</v>
      </c>
      <c r="CN20" s="50">
        <v>201.86393493477789</v>
      </c>
      <c r="CO20" s="50">
        <v>201.86393493477789</v>
      </c>
      <c r="CP20" s="50">
        <v>201.86393493477789</v>
      </c>
      <c r="CQ20" s="50">
        <v>201.86393493477789</v>
      </c>
      <c r="CR20" s="50">
        <v>201.86393493477789</v>
      </c>
      <c r="CS20" s="50">
        <v>201.86393493477789</v>
      </c>
      <c r="CT20" s="50">
        <v>201.86393493477789</v>
      </c>
      <c r="CU20" s="50">
        <v>209.93849233216901</v>
      </c>
      <c r="CV20" s="50">
        <v>209.93849233216901</v>
      </c>
      <c r="CW20" s="50">
        <v>209.93849233216901</v>
      </c>
      <c r="CX20" s="50">
        <v>209.93849233216901</v>
      </c>
      <c r="CY20" s="50">
        <v>209.93849233216901</v>
      </c>
      <c r="CZ20" s="50">
        <v>209.93849233216901</v>
      </c>
      <c r="DA20" s="50">
        <v>209.93849233216901</v>
      </c>
      <c r="DB20" s="50">
        <v>209.93849233216901</v>
      </c>
    </row>
    <row r="21" spans="1:106">
      <c r="A21" s="195" t="str">
        <f t="shared" si="0"/>
        <v>Repairs &amp; Maintenance Printers &amp; Plotters</v>
      </c>
      <c r="B21" s="196" t="s">
        <v>472</v>
      </c>
      <c r="C21" s="196" t="s">
        <v>474</v>
      </c>
      <c r="D21" s="196" t="s">
        <v>476</v>
      </c>
      <c r="E21" s="50">
        <v>278.55492063492062</v>
      </c>
      <c r="F21" s="50">
        <v>278.55492063492062</v>
      </c>
      <c r="G21" s="50">
        <v>278.55492063492062</v>
      </c>
      <c r="H21" s="50">
        <v>278.55492063492062</v>
      </c>
      <c r="I21" s="50">
        <v>278.55492063492062</v>
      </c>
      <c r="J21" s="50">
        <v>278.55492063492062</v>
      </c>
      <c r="K21" s="50">
        <v>278.55492063492062</v>
      </c>
      <c r="L21" s="50">
        <v>278.55492063492062</v>
      </c>
      <c r="M21" s="50">
        <v>278.55492063492062</v>
      </c>
      <c r="N21" s="50">
        <v>278.55492063492062</v>
      </c>
      <c r="O21" s="50">
        <v>289.69711746031743</v>
      </c>
      <c r="P21" s="50">
        <v>289.69711746031743</v>
      </c>
      <c r="Q21" s="50">
        <v>289.69711746031743</v>
      </c>
      <c r="R21" s="50">
        <v>289.69711746031743</v>
      </c>
      <c r="S21" s="50">
        <v>289.69711746031743</v>
      </c>
      <c r="T21" s="50">
        <v>289.69711746031743</v>
      </c>
      <c r="U21" s="50">
        <v>289.69711746031743</v>
      </c>
      <c r="V21" s="50">
        <v>289.69711746031743</v>
      </c>
      <c r="W21" s="50">
        <v>289.69711746031743</v>
      </c>
      <c r="X21" s="50">
        <v>289.69711746031743</v>
      </c>
      <c r="Y21" s="50">
        <v>289.69711746031743</v>
      </c>
      <c r="Z21" s="50">
        <v>289.69711746031743</v>
      </c>
      <c r="AA21" s="50">
        <v>301.28500215873015</v>
      </c>
      <c r="AB21" s="50">
        <v>301.28500215873015</v>
      </c>
      <c r="AC21" s="50">
        <v>301.28500215873015</v>
      </c>
      <c r="AD21" s="50">
        <v>301.28500215873015</v>
      </c>
      <c r="AE21" s="50">
        <v>301.28500215873015</v>
      </c>
      <c r="AF21" s="50">
        <v>301.28500215873015</v>
      </c>
      <c r="AG21" s="50">
        <v>301.28500215873015</v>
      </c>
      <c r="AH21" s="50">
        <v>301.28500215873015</v>
      </c>
      <c r="AI21" s="50">
        <v>301.28500215873015</v>
      </c>
      <c r="AJ21" s="50">
        <v>301.28500215873015</v>
      </c>
      <c r="AK21" s="50">
        <v>301.28500215873015</v>
      </c>
      <c r="AL21" s="50">
        <v>301.28500215873015</v>
      </c>
      <c r="AM21" s="50">
        <v>313.33640224507934</v>
      </c>
      <c r="AN21" s="50">
        <v>313.33640224507934</v>
      </c>
      <c r="AO21" s="50">
        <v>313.33640224507934</v>
      </c>
      <c r="AP21" s="50">
        <v>313.33640224507934</v>
      </c>
      <c r="AQ21" s="50">
        <v>313.33640224507934</v>
      </c>
      <c r="AR21" s="50">
        <v>313.33640224507934</v>
      </c>
      <c r="AS21" s="50">
        <v>313.33640224507934</v>
      </c>
      <c r="AT21" s="50">
        <v>313.33640224507934</v>
      </c>
      <c r="AU21" s="50">
        <v>313.33640224507934</v>
      </c>
      <c r="AV21" s="50">
        <v>313.33640224507934</v>
      </c>
      <c r="AW21" s="50">
        <v>313.33640224507934</v>
      </c>
      <c r="AX21" s="50">
        <v>313.33640224507934</v>
      </c>
      <c r="AY21" s="50">
        <v>325.86985833488251</v>
      </c>
      <c r="AZ21" s="50">
        <v>325.86985833488251</v>
      </c>
      <c r="BA21" s="50">
        <v>325.86985833488251</v>
      </c>
      <c r="BB21" s="50">
        <v>325.86985833488251</v>
      </c>
      <c r="BC21" s="50">
        <v>325.86985833488251</v>
      </c>
      <c r="BD21" s="50">
        <v>325.86985833488251</v>
      </c>
      <c r="BE21" s="50">
        <v>325.86985833488251</v>
      </c>
      <c r="BF21" s="50">
        <v>325.86985833488251</v>
      </c>
      <c r="BG21" s="50">
        <v>325.86985833488251</v>
      </c>
      <c r="BH21" s="50">
        <v>325.86985833488251</v>
      </c>
      <c r="BI21" s="50">
        <v>325.86985833488251</v>
      </c>
      <c r="BJ21" s="50">
        <v>325.86985833488251</v>
      </c>
      <c r="BK21" s="50">
        <v>338.90465266827783</v>
      </c>
      <c r="BL21" s="50">
        <v>338.90465266827783</v>
      </c>
      <c r="BM21" s="50">
        <v>338.90465266827783</v>
      </c>
      <c r="BN21" s="50">
        <v>338.90465266827783</v>
      </c>
      <c r="BO21" s="50">
        <v>338.90465266827783</v>
      </c>
      <c r="BP21" s="50">
        <v>338.90465266827783</v>
      </c>
      <c r="BQ21" s="50">
        <v>338.90465266827783</v>
      </c>
      <c r="BR21" s="50">
        <v>338.90465266827783</v>
      </c>
      <c r="BS21" s="50">
        <v>338.90465266827783</v>
      </c>
      <c r="BT21" s="50">
        <v>338.90465266827783</v>
      </c>
      <c r="BU21" s="50">
        <v>338.90465266827783</v>
      </c>
      <c r="BV21" s="50">
        <v>338.90465266827783</v>
      </c>
      <c r="BW21" s="50">
        <v>352.46083877500894</v>
      </c>
      <c r="BX21" s="50">
        <v>352.46083877500894</v>
      </c>
      <c r="BY21" s="50">
        <v>352.46083877500894</v>
      </c>
      <c r="BZ21" s="50">
        <v>352.46083877500894</v>
      </c>
      <c r="CA21" s="50">
        <v>352.46083877500894</v>
      </c>
      <c r="CB21" s="50">
        <v>352.46083877500894</v>
      </c>
      <c r="CC21" s="50">
        <v>352.46083877500894</v>
      </c>
      <c r="CD21" s="50">
        <v>352.46083877500894</v>
      </c>
      <c r="CE21" s="50">
        <v>352.46083877500894</v>
      </c>
      <c r="CF21" s="50">
        <v>352.46083877500894</v>
      </c>
      <c r="CG21" s="50">
        <v>352.46083877500894</v>
      </c>
      <c r="CH21" s="50">
        <v>352.46083877500894</v>
      </c>
      <c r="CI21" s="50">
        <v>366.55927232600931</v>
      </c>
      <c r="CJ21" s="50">
        <v>366.55927232600931</v>
      </c>
      <c r="CK21" s="50">
        <v>366.55927232600931</v>
      </c>
      <c r="CL21" s="50">
        <v>366.55927232600931</v>
      </c>
      <c r="CM21" s="50">
        <v>366.55927232600931</v>
      </c>
      <c r="CN21" s="50">
        <v>366.55927232600931</v>
      </c>
      <c r="CO21" s="50">
        <v>366.55927232600931</v>
      </c>
      <c r="CP21" s="50">
        <v>366.55927232600931</v>
      </c>
      <c r="CQ21" s="50">
        <v>366.55927232600931</v>
      </c>
      <c r="CR21" s="50">
        <v>366.55927232600931</v>
      </c>
      <c r="CS21" s="50">
        <v>366.55927232600931</v>
      </c>
      <c r="CT21" s="50">
        <v>366.55927232600931</v>
      </c>
      <c r="CU21" s="50">
        <v>381.22164321904967</v>
      </c>
      <c r="CV21" s="50">
        <v>381.22164321904967</v>
      </c>
      <c r="CW21" s="50">
        <v>381.22164321904967</v>
      </c>
      <c r="CX21" s="50">
        <v>381.22164321904967</v>
      </c>
      <c r="CY21" s="50">
        <v>381.22164321904967</v>
      </c>
      <c r="CZ21" s="50">
        <v>381.22164321904967</v>
      </c>
      <c r="DA21" s="50">
        <v>381.22164321904967</v>
      </c>
      <c r="DB21" s="50">
        <v>381.22164321904967</v>
      </c>
    </row>
    <row r="22" spans="1:106">
      <c r="A22" s="195" t="str">
        <f t="shared" si="0"/>
        <v>Cisco Server, Switch, Firewall and UPS &amp; Battery (A.M.C: 20% total cost)</v>
      </c>
      <c r="B22" s="196" t="s">
        <v>472</v>
      </c>
      <c r="C22" s="196" t="s">
        <v>471</v>
      </c>
      <c r="D22" s="196" t="s">
        <v>476</v>
      </c>
      <c r="E22" s="50">
        <v>272480</v>
      </c>
      <c r="F22" s="50">
        <v>272480</v>
      </c>
      <c r="G22" s="50">
        <v>272480</v>
      </c>
      <c r="H22" s="50">
        <v>272480</v>
      </c>
      <c r="I22" s="50">
        <v>272480</v>
      </c>
      <c r="J22" s="50">
        <v>272480</v>
      </c>
      <c r="K22" s="50">
        <v>272480</v>
      </c>
      <c r="L22" s="50">
        <v>272480</v>
      </c>
      <c r="M22" s="50">
        <v>272480</v>
      </c>
      <c r="N22" s="50">
        <v>272480</v>
      </c>
      <c r="O22" s="50">
        <v>283379.20000000001</v>
      </c>
      <c r="P22" s="50">
        <v>283379.20000000001</v>
      </c>
      <c r="Q22" s="50">
        <v>283379.20000000001</v>
      </c>
      <c r="R22" s="50">
        <v>283379.20000000001</v>
      </c>
      <c r="S22" s="50">
        <v>283379.20000000001</v>
      </c>
      <c r="T22" s="50">
        <v>283379.20000000001</v>
      </c>
      <c r="U22" s="50">
        <v>283379.20000000001</v>
      </c>
      <c r="V22" s="50">
        <v>283379.20000000001</v>
      </c>
      <c r="W22" s="50">
        <v>283379.20000000001</v>
      </c>
      <c r="X22" s="50">
        <v>283379.20000000001</v>
      </c>
      <c r="Y22" s="50">
        <v>283379.20000000001</v>
      </c>
      <c r="Z22" s="50">
        <v>283379.20000000001</v>
      </c>
      <c r="AA22" s="50">
        <v>294714.36800000002</v>
      </c>
      <c r="AB22" s="50">
        <v>294714.36800000002</v>
      </c>
      <c r="AC22" s="50">
        <v>294714.36800000002</v>
      </c>
      <c r="AD22" s="50">
        <v>294714.36800000002</v>
      </c>
      <c r="AE22" s="50">
        <v>294714.36800000002</v>
      </c>
      <c r="AF22" s="50">
        <v>294714.36800000002</v>
      </c>
      <c r="AG22" s="50">
        <v>294714.36800000002</v>
      </c>
      <c r="AH22" s="50">
        <v>294714.36800000002</v>
      </c>
      <c r="AI22" s="50">
        <v>294714.36800000002</v>
      </c>
      <c r="AJ22" s="50">
        <v>294714.36800000002</v>
      </c>
      <c r="AK22" s="50">
        <v>294714.36800000002</v>
      </c>
      <c r="AL22" s="50">
        <v>294714.36800000002</v>
      </c>
      <c r="AM22" s="50">
        <v>306502.94272000005</v>
      </c>
      <c r="AN22" s="50">
        <v>306502.94272000005</v>
      </c>
      <c r="AO22" s="50">
        <v>306502.94272000005</v>
      </c>
      <c r="AP22" s="50">
        <v>306502.94272000005</v>
      </c>
      <c r="AQ22" s="50">
        <v>306502.94272000005</v>
      </c>
      <c r="AR22" s="50">
        <v>306502.94272000005</v>
      </c>
      <c r="AS22" s="50">
        <v>306502.94272000005</v>
      </c>
      <c r="AT22" s="50">
        <v>306502.94272000005</v>
      </c>
      <c r="AU22" s="50">
        <v>306502.94272000005</v>
      </c>
      <c r="AV22" s="50">
        <v>306502.94272000005</v>
      </c>
      <c r="AW22" s="50">
        <v>306502.94272000005</v>
      </c>
      <c r="AX22" s="50">
        <v>306502.94272000005</v>
      </c>
      <c r="AY22" s="50">
        <v>318763.06042880006</v>
      </c>
      <c r="AZ22" s="50">
        <v>318763.06042880006</v>
      </c>
      <c r="BA22" s="50">
        <v>318763.06042880006</v>
      </c>
      <c r="BB22" s="50">
        <v>318763.06042880006</v>
      </c>
      <c r="BC22" s="50">
        <v>318763.06042880006</v>
      </c>
      <c r="BD22" s="50">
        <v>318763.06042880006</v>
      </c>
      <c r="BE22" s="50">
        <v>318763.06042880006</v>
      </c>
      <c r="BF22" s="50">
        <v>318763.06042880006</v>
      </c>
      <c r="BG22" s="50">
        <v>318763.06042880006</v>
      </c>
      <c r="BH22" s="50">
        <v>318763.06042880006</v>
      </c>
      <c r="BI22" s="50">
        <v>318763.06042880006</v>
      </c>
      <c r="BJ22" s="50">
        <v>318763.06042880006</v>
      </c>
      <c r="BK22" s="50">
        <v>331513.58284595207</v>
      </c>
      <c r="BL22" s="50">
        <v>331513.58284595207</v>
      </c>
      <c r="BM22" s="50">
        <v>331513.58284595207</v>
      </c>
      <c r="BN22" s="50">
        <v>331513.58284595207</v>
      </c>
      <c r="BO22" s="50">
        <v>331513.58284595207</v>
      </c>
      <c r="BP22" s="50">
        <v>331513.58284595207</v>
      </c>
      <c r="BQ22" s="50">
        <v>331513.58284595207</v>
      </c>
      <c r="BR22" s="50">
        <v>331513.58284595207</v>
      </c>
      <c r="BS22" s="50">
        <v>331513.58284595207</v>
      </c>
      <c r="BT22" s="50">
        <v>331513.58284595207</v>
      </c>
      <c r="BU22" s="50">
        <v>331513.58284595207</v>
      </c>
      <c r="BV22" s="50">
        <v>331513.58284595207</v>
      </c>
      <c r="BW22" s="50">
        <v>344774.12615979015</v>
      </c>
      <c r="BX22" s="50">
        <v>344774.12615979015</v>
      </c>
      <c r="BY22" s="50">
        <v>344774.12615979015</v>
      </c>
      <c r="BZ22" s="50">
        <v>344774.12615979015</v>
      </c>
      <c r="CA22" s="50">
        <v>344774.12615979015</v>
      </c>
      <c r="CB22" s="50">
        <v>344774.12615979015</v>
      </c>
      <c r="CC22" s="50">
        <v>344774.12615979015</v>
      </c>
      <c r="CD22" s="50">
        <v>344774.12615979015</v>
      </c>
      <c r="CE22" s="50">
        <v>344774.12615979015</v>
      </c>
      <c r="CF22" s="50">
        <v>344774.12615979015</v>
      </c>
      <c r="CG22" s="50">
        <v>344774.12615979015</v>
      </c>
      <c r="CH22" s="50">
        <v>344774.12615979015</v>
      </c>
      <c r="CI22" s="50">
        <v>358565.09120618174</v>
      </c>
      <c r="CJ22" s="50">
        <v>358565.09120618174</v>
      </c>
      <c r="CK22" s="50">
        <v>358565.09120618174</v>
      </c>
      <c r="CL22" s="50">
        <v>358565.09120618174</v>
      </c>
      <c r="CM22" s="50">
        <v>358565.09120618174</v>
      </c>
      <c r="CN22" s="50">
        <v>358565.09120618174</v>
      </c>
      <c r="CO22" s="50">
        <v>358565.09120618174</v>
      </c>
      <c r="CP22" s="50">
        <v>358565.09120618174</v>
      </c>
      <c r="CQ22" s="50">
        <v>358565.09120618174</v>
      </c>
      <c r="CR22" s="50">
        <v>358565.09120618174</v>
      </c>
      <c r="CS22" s="50">
        <v>358565.09120618174</v>
      </c>
      <c r="CT22" s="50">
        <v>358565.09120618174</v>
      </c>
      <c r="CU22" s="50">
        <v>372907.69485442899</v>
      </c>
      <c r="CV22" s="50">
        <v>372907.69485442899</v>
      </c>
      <c r="CW22" s="50">
        <v>372907.69485442899</v>
      </c>
      <c r="CX22" s="50">
        <v>372907.69485442899</v>
      </c>
      <c r="CY22" s="50">
        <v>372907.69485442899</v>
      </c>
      <c r="CZ22" s="50">
        <v>372907.69485442899</v>
      </c>
      <c r="DA22" s="50">
        <v>372907.69485442899</v>
      </c>
      <c r="DB22" s="50">
        <v>372907.69485442899</v>
      </c>
    </row>
    <row r="23" spans="1:106">
      <c r="A23" s="195" t="str">
        <f t="shared" si="0"/>
        <v>Symantec Backup (LA): A.M.C</v>
      </c>
      <c r="B23" s="196" t="s">
        <v>472</v>
      </c>
      <c r="C23" s="196" t="s">
        <v>471</v>
      </c>
      <c r="D23" s="196" t="s">
        <v>476</v>
      </c>
      <c r="E23" s="50">
        <v>6136</v>
      </c>
      <c r="F23" s="50">
        <v>6136</v>
      </c>
      <c r="G23" s="50">
        <v>6136</v>
      </c>
      <c r="H23" s="50">
        <v>6136</v>
      </c>
      <c r="I23" s="50">
        <v>6136</v>
      </c>
      <c r="J23" s="50">
        <v>6136</v>
      </c>
      <c r="K23" s="50">
        <v>6136</v>
      </c>
      <c r="L23" s="50">
        <v>6136</v>
      </c>
      <c r="M23" s="50">
        <v>6136</v>
      </c>
      <c r="N23" s="50">
        <v>6136</v>
      </c>
      <c r="O23" s="50">
        <v>6381.4400000000005</v>
      </c>
      <c r="P23" s="50">
        <v>6381.4400000000005</v>
      </c>
      <c r="Q23" s="50">
        <v>6381.4400000000005</v>
      </c>
      <c r="R23" s="50">
        <v>6381.4400000000005</v>
      </c>
      <c r="S23" s="50">
        <v>6381.4400000000005</v>
      </c>
      <c r="T23" s="50">
        <v>6381.4400000000005</v>
      </c>
      <c r="U23" s="50">
        <v>6381.4400000000005</v>
      </c>
      <c r="V23" s="50">
        <v>6381.4400000000005</v>
      </c>
      <c r="W23" s="50">
        <v>6381.4400000000005</v>
      </c>
      <c r="X23" s="50">
        <v>6381.4400000000005</v>
      </c>
      <c r="Y23" s="50">
        <v>6381.4400000000005</v>
      </c>
      <c r="Z23" s="50">
        <v>6381.4400000000005</v>
      </c>
      <c r="AA23" s="50">
        <v>6636.6976000000004</v>
      </c>
      <c r="AB23" s="50">
        <v>6636.6976000000004</v>
      </c>
      <c r="AC23" s="50">
        <v>6636.6976000000004</v>
      </c>
      <c r="AD23" s="50">
        <v>6636.6976000000004</v>
      </c>
      <c r="AE23" s="50">
        <v>6636.6976000000004</v>
      </c>
      <c r="AF23" s="50">
        <v>6636.6976000000004</v>
      </c>
      <c r="AG23" s="50">
        <v>6636.6976000000004</v>
      </c>
      <c r="AH23" s="50">
        <v>6636.6976000000004</v>
      </c>
      <c r="AI23" s="50">
        <v>6636.6976000000004</v>
      </c>
      <c r="AJ23" s="50">
        <v>6636.6976000000004</v>
      </c>
      <c r="AK23" s="50">
        <v>6636.6976000000004</v>
      </c>
      <c r="AL23" s="50">
        <v>6636.6976000000004</v>
      </c>
      <c r="AM23" s="50">
        <v>6902.1655040000005</v>
      </c>
      <c r="AN23" s="50">
        <v>6902.1655040000005</v>
      </c>
      <c r="AO23" s="50">
        <v>6902.1655040000005</v>
      </c>
      <c r="AP23" s="50">
        <v>6902.1655040000005</v>
      </c>
      <c r="AQ23" s="50">
        <v>6902.1655040000005</v>
      </c>
      <c r="AR23" s="50">
        <v>6902.1655040000005</v>
      </c>
      <c r="AS23" s="50">
        <v>6902.1655040000005</v>
      </c>
      <c r="AT23" s="50">
        <v>6902.1655040000005</v>
      </c>
      <c r="AU23" s="50">
        <v>6902.1655040000005</v>
      </c>
      <c r="AV23" s="50">
        <v>6902.1655040000005</v>
      </c>
      <c r="AW23" s="50">
        <v>6902.1655040000005</v>
      </c>
      <c r="AX23" s="50">
        <v>6902.1655040000005</v>
      </c>
      <c r="AY23" s="50">
        <v>7178.2521241600007</v>
      </c>
      <c r="AZ23" s="50">
        <v>7178.2521241600007</v>
      </c>
      <c r="BA23" s="50">
        <v>7178.2521241600007</v>
      </c>
      <c r="BB23" s="50">
        <v>7178.2521241600007</v>
      </c>
      <c r="BC23" s="50">
        <v>7178.2521241600007</v>
      </c>
      <c r="BD23" s="50">
        <v>7178.2521241600007</v>
      </c>
      <c r="BE23" s="50">
        <v>7178.2521241600007</v>
      </c>
      <c r="BF23" s="50">
        <v>7178.2521241600007</v>
      </c>
      <c r="BG23" s="50">
        <v>7178.2521241600007</v>
      </c>
      <c r="BH23" s="50">
        <v>7178.2521241600007</v>
      </c>
      <c r="BI23" s="50">
        <v>7178.2521241600007</v>
      </c>
      <c r="BJ23" s="50">
        <v>7178.2521241600007</v>
      </c>
      <c r="BK23" s="50">
        <v>7465.382209126401</v>
      </c>
      <c r="BL23" s="50">
        <v>7465.382209126401</v>
      </c>
      <c r="BM23" s="50">
        <v>7465.382209126401</v>
      </c>
      <c r="BN23" s="50">
        <v>7465.382209126401</v>
      </c>
      <c r="BO23" s="50">
        <v>7465.382209126401</v>
      </c>
      <c r="BP23" s="50">
        <v>7465.382209126401</v>
      </c>
      <c r="BQ23" s="50">
        <v>7465.382209126401</v>
      </c>
      <c r="BR23" s="50">
        <v>7465.382209126401</v>
      </c>
      <c r="BS23" s="50">
        <v>7465.382209126401</v>
      </c>
      <c r="BT23" s="50">
        <v>7465.382209126401</v>
      </c>
      <c r="BU23" s="50">
        <v>7465.382209126401</v>
      </c>
      <c r="BV23" s="50">
        <v>7465.382209126401</v>
      </c>
      <c r="BW23" s="50">
        <v>7763.9974974914576</v>
      </c>
      <c r="BX23" s="50">
        <v>7763.9974974914576</v>
      </c>
      <c r="BY23" s="50">
        <v>7763.9974974914576</v>
      </c>
      <c r="BZ23" s="50">
        <v>7763.9974974914576</v>
      </c>
      <c r="CA23" s="50">
        <v>7763.9974974914576</v>
      </c>
      <c r="CB23" s="50">
        <v>7763.9974974914576</v>
      </c>
      <c r="CC23" s="50">
        <v>7763.9974974914576</v>
      </c>
      <c r="CD23" s="50">
        <v>7763.9974974914576</v>
      </c>
      <c r="CE23" s="50">
        <v>7763.9974974914576</v>
      </c>
      <c r="CF23" s="50">
        <v>7763.9974974914576</v>
      </c>
      <c r="CG23" s="50">
        <v>7763.9974974914576</v>
      </c>
      <c r="CH23" s="50">
        <v>7763.9974974914576</v>
      </c>
      <c r="CI23" s="50">
        <v>8074.557397391116</v>
      </c>
      <c r="CJ23" s="50">
        <v>8074.557397391116</v>
      </c>
      <c r="CK23" s="50">
        <v>8074.557397391116</v>
      </c>
      <c r="CL23" s="50">
        <v>8074.557397391116</v>
      </c>
      <c r="CM23" s="50">
        <v>8074.557397391116</v>
      </c>
      <c r="CN23" s="50">
        <v>8074.557397391116</v>
      </c>
      <c r="CO23" s="50">
        <v>8074.557397391116</v>
      </c>
      <c r="CP23" s="50">
        <v>8074.557397391116</v>
      </c>
      <c r="CQ23" s="50">
        <v>8074.557397391116</v>
      </c>
      <c r="CR23" s="50">
        <v>8074.557397391116</v>
      </c>
      <c r="CS23" s="50">
        <v>8074.557397391116</v>
      </c>
      <c r="CT23" s="50">
        <v>8074.557397391116</v>
      </c>
      <c r="CU23" s="50">
        <v>8397.5396932867607</v>
      </c>
      <c r="CV23" s="50">
        <v>8397.5396932867607</v>
      </c>
      <c r="CW23" s="50">
        <v>8397.5396932867607</v>
      </c>
      <c r="CX23" s="50">
        <v>8397.5396932867607</v>
      </c>
      <c r="CY23" s="50">
        <v>8397.5396932867607</v>
      </c>
      <c r="CZ23" s="50">
        <v>8397.5396932867607</v>
      </c>
      <c r="DA23" s="50">
        <v>8397.5396932867607</v>
      </c>
      <c r="DB23" s="50">
        <v>8397.5396932867607</v>
      </c>
    </row>
    <row r="24" spans="1:106">
      <c r="A24" s="195" t="str">
        <f t="shared" si="0"/>
        <v>Symantec Anti-Virus (LA): A.M.C</v>
      </c>
      <c r="B24" s="196" t="s">
        <v>472</v>
      </c>
      <c r="C24" s="196" t="s">
        <v>471</v>
      </c>
      <c r="D24" s="196" t="s">
        <v>476</v>
      </c>
      <c r="E24" s="50">
        <v>47.724444444444444</v>
      </c>
      <c r="F24" s="50">
        <v>47.724444444444444</v>
      </c>
      <c r="G24" s="50">
        <v>47.724444444444444</v>
      </c>
      <c r="H24" s="50">
        <v>47.724444444444444</v>
      </c>
      <c r="I24" s="50">
        <v>47.724444444444444</v>
      </c>
      <c r="J24" s="50">
        <v>47.724444444444444</v>
      </c>
      <c r="K24" s="50">
        <v>47.724444444444444</v>
      </c>
      <c r="L24" s="50">
        <v>47.724444444444444</v>
      </c>
      <c r="M24" s="50">
        <v>47.724444444444444</v>
      </c>
      <c r="N24" s="50">
        <v>47.724444444444444</v>
      </c>
      <c r="O24" s="50">
        <v>49.633422222222222</v>
      </c>
      <c r="P24" s="50">
        <v>49.633422222222222</v>
      </c>
      <c r="Q24" s="50">
        <v>49.633422222222222</v>
      </c>
      <c r="R24" s="50">
        <v>49.633422222222222</v>
      </c>
      <c r="S24" s="50">
        <v>49.633422222222222</v>
      </c>
      <c r="T24" s="50">
        <v>49.633422222222222</v>
      </c>
      <c r="U24" s="50">
        <v>49.633422222222222</v>
      </c>
      <c r="V24" s="50">
        <v>49.633422222222222</v>
      </c>
      <c r="W24" s="50">
        <v>49.633422222222222</v>
      </c>
      <c r="X24" s="50">
        <v>49.633422222222222</v>
      </c>
      <c r="Y24" s="50">
        <v>49.633422222222222</v>
      </c>
      <c r="Z24" s="50">
        <v>49.633422222222222</v>
      </c>
      <c r="AA24" s="50">
        <v>51.61875911111111</v>
      </c>
      <c r="AB24" s="50">
        <v>51.61875911111111</v>
      </c>
      <c r="AC24" s="50">
        <v>51.61875911111111</v>
      </c>
      <c r="AD24" s="50">
        <v>51.61875911111111</v>
      </c>
      <c r="AE24" s="50">
        <v>51.61875911111111</v>
      </c>
      <c r="AF24" s="50">
        <v>51.61875911111111</v>
      </c>
      <c r="AG24" s="50">
        <v>51.61875911111111</v>
      </c>
      <c r="AH24" s="50">
        <v>51.61875911111111</v>
      </c>
      <c r="AI24" s="50">
        <v>51.61875911111111</v>
      </c>
      <c r="AJ24" s="50">
        <v>51.61875911111111</v>
      </c>
      <c r="AK24" s="50">
        <v>51.61875911111111</v>
      </c>
      <c r="AL24" s="50">
        <v>51.61875911111111</v>
      </c>
      <c r="AM24" s="50">
        <v>53.683509475555553</v>
      </c>
      <c r="AN24" s="50">
        <v>53.683509475555553</v>
      </c>
      <c r="AO24" s="50">
        <v>53.683509475555553</v>
      </c>
      <c r="AP24" s="50">
        <v>53.683509475555553</v>
      </c>
      <c r="AQ24" s="50">
        <v>53.683509475555553</v>
      </c>
      <c r="AR24" s="50">
        <v>53.683509475555553</v>
      </c>
      <c r="AS24" s="50">
        <v>53.683509475555553</v>
      </c>
      <c r="AT24" s="50">
        <v>53.683509475555553</v>
      </c>
      <c r="AU24" s="50">
        <v>53.683509475555553</v>
      </c>
      <c r="AV24" s="50">
        <v>53.683509475555553</v>
      </c>
      <c r="AW24" s="50">
        <v>53.683509475555553</v>
      </c>
      <c r="AX24" s="50">
        <v>53.683509475555553</v>
      </c>
      <c r="AY24" s="50">
        <v>55.830849854577778</v>
      </c>
      <c r="AZ24" s="50">
        <v>55.830849854577778</v>
      </c>
      <c r="BA24" s="50">
        <v>55.830849854577778</v>
      </c>
      <c r="BB24" s="50">
        <v>55.830849854577778</v>
      </c>
      <c r="BC24" s="50">
        <v>55.830849854577778</v>
      </c>
      <c r="BD24" s="50">
        <v>55.830849854577778</v>
      </c>
      <c r="BE24" s="50">
        <v>55.830849854577778</v>
      </c>
      <c r="BF24" s="50">
        <v>55.830849854577778</v>
      </c>
      <c r="BG24" s="50">
        <v>55.830849854577778</v>
      </c>
      <c r="BH24" s="50">
        <v>55.830849854577778</v>
      </c>
      <c r="BI24" s="50">
        <v>55.830849854577778</v>
      </c>
      <c r="BJ24" s="50">
        <v>55.830849854577778</v>
      </c>
      <c r="BK24" s="50">
        <v>58.064083848760895</v>
      </c>
      <c r="BL24" s="50">
        <v>58.064083848760895</v>
      </c>
      <c r="BM24" s="50">
        <v>58.064083848760895</v>
      </c>
      <c r="BN24" s="50">
        <v>58.064083848760895</v>
      </c>
      <c r="BO24" s="50">
        <v>58.064083848760895</v>
      </c>
      <c r="BP24" s="50">
        <v>58.064083848760895</v>
      </c>
      <c r="BQ24" s="50">
        <v>58.064083848760895</v>
      </c>
      <c r="BR24" s="50">
        <v>58.064083848760895</v>
      </c>
      <c r="BS24" s="50">
        <v>58.064083848760895</v>
      </c>
      <c r="BT24" s="50">
        <v>58.064083848760895</v>
      </c>
      <c r="BU24" s="50">
        <v>58.064083848760895</v>
      </c>
      <c r="BV24" s="50">
        <v>58.064083848760895</v>
      </c>
      <c r="BW24" s="50">
        <v>60.38664720271133</v>
      </c>
      <c r="BX24" s="50">
        <v>60.38664720271133</v>
      </c>
      <c r="BY24" s="50">
        <v>60.38664720271133</v>
      </c>
      <c r="BZ24" s="50">
        <v>60.38664720271133</v>
      </c>
      <c r="CA24" s="50">
        <v>60.38664720271133</v>
      </c>
      <c r="CB24" s="50">
        <v>60.38664720271133</v>
      </c>
      <c r="CC24" s="50">
        <v>60.38664720271133</v>
      </c>
      <c r="CD24" s="50">
        <v>60.38664720271133</v>
      </c>
      <c r="CE24" s="50">
        <v>60.38664720271133</v>
      </c>
      <c r="CF24" s="50">
        <v>60.38664720271133</v>
      </c>
      <c r="CG24" s="50">
        <v>60.38664720271133</v>
      </c>
      <c r="CH24" s="50">
        <v>60.38664720271133</v>
      </c>
      <c r="CI24" s="50">
        <v>62.802113090819788</v>
      </c>
      <c r="CJ24" s="50">
        <v>62.802113090819788</v>
      </c>
      <c r="CK24" s="50">
        <v>62.802113090819788</v>
      </c>
      <c r="CL24" s="50">
        <v>62.802113090819788</v>
      </c>
      <c r="CM24" s="50">
        <v>62.802113090819788</v>
      </c>
      <c r="CN24" s="50">
        <v>62.802113090819788</v>
      </c>
      <c r="CO24" s="50">
        <v>62.802113090819788</v>
      </c>
      <c r="CP24" s="50">
        <v>62.802113090819788</v>
      </c>
      <c r="CQ24" s="50">
        <v>62.802113090819788</v>
      </c>
      <c r="CR24" s="50">
        <v>62.802113090819788</v>
      </c>
      <c r="CS24" s="50">
        <v>62.802113090819788</v>
      </c>
      <c r="CT24" s="50">
        <v>62.802113090819788</v>
      </c>
      <c r="CU24" s="50">
        <v>65.314197614452581</v>
      </c>
      <c r="CV24" s="50">
        <v>65.314197614452581</v>
      </c>
      <c r="CW24" s="50">
        <v>65.314197614452581</v>
      </c>
      <c r="CX24" s="50">
        <v>65.314197614452581</v>
      </c>
      <c r="CY24" s="50">
        <v>65.314197614452581</v>
      </c>
      <c r="CZ24" s="50">
        <v>65.314197614452581</v>
      </c>
      <c r="DA24" s="50">
        <v>65.314197614452581</v>
      </c>
      <c r="DB24" s="50">
        <v>65.314197614452581</v>
      </c>
    </row>
    <row r="25" spans="1:106">
      <c r="A25" s="195" t="str">
        <f t="shared" si="0"/>
        <v>Official email-ID subscription</v>
      </c>
      <c r="B25" s="196" t="s">
        <v>472</v>
      </c>
      <c r="C25" s="196" t="s">
        <v>473</v>
      </c>
      <c r="D25" s="196" t="s">
        <v>476</v>
      </c>
      <c r="E25" s="50">
        <v>52</v>
      </c>
      <c r="F25" s="50">
        <v>52</v>
      </c>
      <c r="G25" s="50">
        <v>52</v>
      </c>
      <c r="H25" s="50">
        <v>52</v>
      </c>
      <c r="I25" s="50">
        <v>52</v>
      </c>
      <c r="J25" s="50">
        <v>52</v>
      </c>
      <c r="K25" s="50">
        <v>52</v>
      </c>
      <c r="L25" s="50">
        <v>52</v>
      </c>
      <c r="M25" s="50">
        <v>52</v>
      </c>
      <c r="N25" s="50">
        <v>52</v>
      </c>
      <c r="O25" s="50">
        <v>54.08</v>
      </c>
      <c r="P25" s="50">
        <v>54.08</v>
      </c>
      <c r="Q25" s="50">
        <v>54.08</v>
      </c>
      <c r="R25" s="50">
        <v>54.08</v>
      </c>
      <c r="S25" s="50">
        <v>54.08</v>
      </c>
      <c r="T25" s="50">
        <v>54.08</v>
      </c>
      <c r="U25" s="50">
        <v>54.08</v>
      </c>
      <c r="V25" s="50">
        <v>54.08</v>
      </c>
      <c r="W25" s="50">
        <v>54.08</v>
      </c>
      <c r="X25" s="50">
        <v>54.08</v>
      </c>
      <c r="Y25" s="50">
        <v>54.08</v>
      </c>
      <c r="Z25" s="50">
        <v>54.08</v>
      </c>
      <c r="AA25" s="50">
        <v>56.243200000000002</v>
      </c>
      <c r="AB25" s="50">
        <v>56.243200000000002</v>
      </c>
      <c r="AC25" s="50">
        <v>56.243200000000002</v>
      </c>
      <c r="AD25" s="50">
        <v>56.243200000000002</v>
      </c>
      <c r="AE25" s="50">
        <v>56.243200000000002</v>
      </c>
      <c r="AF25" s="50">
        <v>56.243200000000002</v>
      </c>
      <c r="AG25" s="50">
        <v>56.243200000000002</v>
      </c>
      <c r="AH25" s="50">
        <v>56.243200000000002</v>
      </c>
      <c r="AI25" s="50">
        <v>56.243200000000002</v>
      </c>
      <c r="AJ25" s="50">
        <v>56.243200000000002</v>
      </c>
      <c r="AK25" s="50">
        <v>56.243200000000002</v>
      </c>
      <c r="AL25" s="50">
        <v>56.243200000000002</v>
      </c>
      <c r="AM25" s="50">
        <v>58.492928000000006</v>
      </c>
      <c r="AN25" s="50">
        <v>58.492928000000006</v>
      </c>
      <c r="AO25" s="50">
        <v>58.492928000000006</v>
      </c>
      <c r="AP25" s="50">
        <v>58.492928000000006</v>
      </c>
      <c r="AQ25" s="50">
        <v>58.492928000000006</v>
      </c>
      <c r="AR25" s="50">
        <v>58.492928000000006</v>
      </c>
      <c r="AS25" s="50">
        <v>58.492928000000006</v>
      </c>
      <c r="AT25" s="50">
        <v>58.492928000000006</v>
      </c>
      <c r="AU25" s="50">
        <v>58.492928000000006</v>
      </c>
      <c r="AV25" s="50">
        <v>58.492928000000006</v>
      </c>
      <c r="AW25" s="50">
        <v>58.492928000000006</v>
      </c>
      <c r="AX25" s="50">
        <v>58.492928000000006</v>
      </c>
      <c r="AY25" s="50">
        <v>60.832645120000009</v>
      </c>
      <c r="AZ25" s="50">
        <v>60.832645120000009</v>
      </c>
      <c r="BA25" s="50">
        <v>60.832645120000009</v>
      </c>
      <c r="BB25" s="50">
        <v>60.832645120000009</v>
      </c>
      <c r="BC25" s="50">
        <v>60.832645120000009</v>
      </c>
      <c r="BD25" s="50">
        <v>60.832645120000009</v>
      </c>
      <c r="BE25" s="50">
        <v>60.832645120000009</v>
      </c>
      <c r="BF25" s="50">
        <v>60.832645120000009</v>
      </c>
      <c r="BG25" s="50">
        <v>60.832645120000009</v>
      </c>
      <c r="BH25" s="50">
        <v>60.832645120000009</v>
      </c>
      <c r="BI25" s="50">
        <v>60.832645120000009</v>
      </c>
      <c r="BJ25" s="50">
        <v>60.832645120000009</v>
      </c>
      <c r="BK25" s="50">
        <v>63.265950924800009</v>
      </c>
      <c r="BL25" s="50">
        <v>63.265950924800009</v>
      </c>
      <c r="BM25" s="50">
        <v>63.265950924800009</v>
      </c>
      <c r="BN25" s="50">
        <v>63.265950924800009</v>
      </c>
      <c r="BO25" s="50">
        <v>63.265950924800009</v>
      </c>
      <c r="BP25" s="50">
        <v>63.265950924800009</v>
      </c>
      <c r="BQ25" s="50">
        <v>63.265950924800009</v>
      </c>
      <c r="BR25" s="50">
        <v>63.265950924800009</v>
      </c>
      <c r="BS25" s="50">
        <v>63.265950924800009</v>
      </c>
      <c r="BT25" s="50">
        <v>63.265950924800009</v>
      </c>
      <c r="BU25" s="50">
        <v>63.265950924800009</v>
      </c>
      <c r="BV25" s="50">
        <v>63.265950924800009</v>
      </c>
      <c r="BW25" s="50">
        <v>65.796588961792011</v>
      </c>
      <c r="BX25" s="50">
        <v>65.796588961792011</v>
      </c>
      <c r="BY25" s="50">
        <v>65.796588961792011</v>
      </c>
      <c r="BZ25" s="50">
        <v>65.796588961792011</v>
      </c>
      <c r="CA25" s="50">
        <v>65.796588961792011</v>
      </c>
      <c r="CB25" s="50">
        <v>65.796588961792011</v>
      </c>
      <c r="CC25" s="50">
        <v>65.796588961792011</v>
      </c>
      <c r="CD25" s="50">
        <v>65.796588961792011</v>
      </c>
      <c r="CE25" s="50">
        <v>65.796588961792011</v>
      </c>
      <c r="CF25" s="50">
        <v>65.796588961792011</v>
      </c>
      <c r="CG25" s="50">
        <v>65.796588961792011</v>
      </c>
      <c r="CH25" s="50">
        <v>65.796588961792011</v>
      </c>
      <c r="CI25" s="50">
        <v>68.42845252026369</v>
      </c>
      <c r="CJ25" s="50">
        <v>68.42845252026369</v>
      </c>
      <c r="CK25" s="50">
        <v>68.42845252026369</v>
      </c>
      <c r="CL25" s="50">
        <v>68.42845252026369</v>
      </c>
      <c r="CM25" s="50">
        <v>68.42845252026369</v>
      </c>
      <c r="CN25" s="50">
        <v>68.42845252026369</v>
      </c>
      <c r="CO25" s="50">
        <v>68.42845252026369</v>
      </c>
      <c r="CP25" s="50">
        <v>68.42845252026369</v>
      </c>
      <c r="CQ25" s="50">
        <v>68.42845252026369</v>
      </c>
      <c r="CR25" s="50">
        <v>68.42845252026369</v>
      </c>
      <c r="CS25" s="50">
        <v>68.42845252026369</v>
      </c>
      <c r="CT25" s="50">
        <v>68.42845252026369</v>
      </c>
      <c r="CU25" s="50">
        <v>71.165590621074244</v>
      </c>
      <c r="CV25" s="50">
        <v>71.165590621074244</v>
      </c>
      <c r="CW25" s="50">
        <v>71.165590621074244</v>
      </c>
      <c r="CX25" s="50">
        <v>71.165590621074244</v>
      </c>
      <c r="CY25" s="50">
        <v>71.165590621074244</v>
      </c>
      <c r="CZ25" s="50">
        <v>71.165590621074244</v>
      </c>
      <c r="DA25" s="50">
        <v>71.165590621074244</v>
      </c>
      <c r="DB25" s="50">
        <v>71.165590621074244</v>
      </c>
    </row>
    <row r="26" spans="1:106">
      <c r="A26" s="195" t="str">
        <f>A16</f>
        <v>AMC Cost of HR Software, Tally Software, CCTV</v>
      </c>
      <c r="B26" s="196" t="s">
        <v>472</v>
      </c>
      <c r="C26" s="196" t="s">
        <v>471</v>
      </c>
      <c r="D26" s="196" t="s">
        <v>476</v>
      </c>
      <c r="E26" s="50">
        <v>12272</v>
      </c>
      <c r="F26" s="50">
        <v>12272</v>
      </c>
      <c r="G26" s="50">
        <v>12272</v>
      </c>
      <c r="H26" s="50">
        <v>12272</v>
      </c>
      <c r="I26" s="50">
        <v>12272</v>
      </c>
      <c r="J26" s="50">
        <v>12272</v>
      </c>
      <c r="K26" s="50">
        <v>12272</v>
      </c>
      <c r="L26" s="50">
        <v>12272</v>
      </c>
      <c r="M26" s="50">
        <v>12272</v>
      </c>
      <c r="N26" s="50">
        <v>12272</v>
      </c>
      <c r="O26" s="50">
        <v>12762.880000000001</v>
      </c>
      <c r="P26" s="50">
        <v>12762.880000000001</v>
      </c>
      <c r="Q26" s="50">
        <v>12762.880000000001</v>
      </c>
      <c r="R26" s="50">
        <v>12762.880000000001</v>
      </c>
      <c r="S26" s="50">
        <v>12762.880000000001</v>
      </c>
      <c r="T26" s="50">
        <v>12762.880000000001</v>
      </c>
      <c r="U26" s="50">
        <v>12762.880000000001</v>
      </c>
      <c r="V26" s="50">
        <v>12762.880000000001</v>
      </c>
      <c r="W26" s="50">
        <v>12762.880000000001</v>
      </c>
      <c r="X26" s="50">
        <v>12762.880000000001</v>
      </c>
      <c r="Y26" s="50">
        <v>12762.880000000001</v>
      </c>
      <c r="Z26" s="50">
        <v>12762.880000000001</v>
      </c>
      <c r="AA26" s="50">
        <v>13273.395200000001</v>
      </c>
      <c r="AB26" s="50">
        <v>13273.395200000001</v>
      </c>
      <c r="AC26" s="50">
        <v>13273.395200000001</v>
      </c>
      <c r="AD26" s="50">
        <v>13273.395200000001</v>
      </c>
      <c r="AE26" s="50">
        <v>13273.395200000001</v>
      </c>
      <c r="AF26" s="50">
        <v>13273.395200000001</v>
      </c>
      <c r="AG26" s="50">
        <v>13273.395200000001</v>
      </c>
      <c r="AH26" s="50">
        <v>13273.395200000001</v>
      </c>
      <c r="AI26" s="50">
        <v>13273.395200000001</v>
      </c>
      <c r="AJ26" s="50">
        <v>13273.395200000001</v>
      </c>
      <c r="AK26" s="50">
        <v>13273.395200000001</v>
      </c>
      <c r="AL26" s="50">
        <v>13273.395200000001</v>
      </c>
      <c r="AM26" s="50">
        <v>13804.331008000001</v>
      </c>
      <c r="AN26" s="50">
        <v>13804.331008000001</v>
      </c>
      <c r="AO26" s="50">
        <v>13804.331008000001</v>
      </c>
      <c r="AP26" s="50">
        <v>13804.331008000001</v>
      </c>
      <c r="AQ26" s="50">
        <v>13804.331008000001</v>
      </c>
      <c r="AR26" s="50">
        <v>13804.331008000001</v>
      </c>
      <c r="AS26" s="50">
        <v>13804.331008000001</v>
      </c>
      <c r="AT26" s="50">
        <v>13804.331008000001</v>
      </c>
      <c r="AU26" s="50">
        <v>13804.331008000001</v>
      </c>
      <c r="AV26" s="50">
        <v>13804.331008000001</v>
      </c>
      <c r="AW26" s="50">
        <v>13804.331008000001</v>
      </c>
      <c r="AX26" s="50">
        <v>13804.331008000001</v>
      </c>
      <c r="AY26" s="50">
        <v>14356.504248320001</v>
      </c>
      <c r="AZ26" s="50">
        <v>14356.504248320001</v>
      </c>
      <c r="BA26" s="50">
        <v>14356.504248320001</v>
      </c>
      <c r="BB26" s="50">
        <v>14356.504248320001</v>
      </c>
      <c r="BC26" s="50">
        <v>14356.504248320001</v>
      </c>
      <c r="BD26" s="50">
        <v>14356.504248320001</v>
      </c>
      <c r="BE26" s="50">
        <v>14356.504248320001</v>
      </c>
      <c r="BF26" s="50">
        <v>14356.504248320001</v>
      </c>
      <c r="BG26" s="50">
        <v>14356.504248320001</v>
      </c>
      <c r="BH26" s="50">
        <v>14356.504248320001</v>
      </c>
      <c r="BI26" s="50">
        <v>14356.504248320001</v>
      </c>
      <c r="BJ26" s="50">
        <v>14356.504248320001</v>
      </c>
      <c r="BK26" s="50">
        <v>14930.764418252802</v>
      </c>
      <c r="BL26" s="50">
        <v>14930.764418252802</v>
      </c>
      <c r="BM26" s="50">
        <v>14930.764418252802</v>
      </c>
      <c r="BN26" s="50">
        <v>14930.764418252802</v>
      </c>
      <c r="BO26" s="50">
        <v>14930.764418252802</v>
      </c>
      <c r="BP26" s="50">
        <v>14930.764418252802</v>
      </c>
      <c r="BQ26" s="50">
        <v>14930.764418252802</v>
      </c>
      <c r="BR26" s="50">
        <v>14930.764418252802</v>
      </c>
      <c r="BS26" s="50">
        <v>14930.764418252802</v>
      </c>
      <c r="BT26" s="50">
        <v>14930.764418252802</v>
      </c>
      <c r="BU26" s="50">
        <v>14930.764418252802</v>
      </c>
      <c r="BV26" s="50">
        <v>14930.764418252802</v>
      </c>
      <c r="BW26" s="50">
        <v>15527.994994982915</v>
      </c>
      <c r="BX26" s="50">
        <v>15527.994994982915</v>
      </c>
      <c r="BY26" s="50">
        <v>15527.994994982915</v>
      </c>
      <c r="BZ26" s="50">
        <v>15527.994994982915</v>
      </c>
      <c r="CA26" s="50">
        <v>15527.994994982915</v>
      </c>
      <c r="CB26" s="50">
        <v>15527.994994982915</v>
      </c>
      <c r="CC26" s="50">
        <v>15527.994994982915</v>
      </c>
      <c r="CD26" s="50">
        <v>15527.994994982915</v>
      </c>
      <c r="CE26" s="50">
        <v>15527.994994982915</v>
      </c>
      <c r="CF26" s="50">
        <v>15527.994994982915</v>
      </c>
      <c r="CG26" s="50">
        <v>15527.994994982915</v>
      </c>
      <c r="CH26" s="50">
        <v>15527.994994982915</v>
      </c>
      <c r="CI26" s="50">
        <v>16149.114794782232</v>
      </c>
      <c r="CJ26" s="50">
        <v>16149.114794782232</v>
      </c>
      <c r="CK26" s="50">
        <v>16149.114794782232</v>
      </c>
      <c r="CL26" s="50">
        <v>16149.114794782232</v>
      </c>
      <c r="CM26" s="50">
        <v>16149.114794782232</v>
      </c>
      <c r="CN26" s="50">
        <v>16149.114794782232</v>
      </c>
      <c r="CO26" s="50">
        <v>16149.114794782232</v>
      </c>
      <c r="CP26" s="50">
        <v>16149.114794782232</v>
      </c>
      <c r="CQ26" s="50">
        <v>16149.114794782232</v>
      </c>
      <c r="CR26" s="50">
        <v>16149.114794782232</v>
      </c>
      <c r="CS26" s="50">
        <v>16149.114794782232</v>
      </c>
      <c r="CT26" s="50">
        <v>16149.114794782232</v>
      </c>
      <c r="CU26" s="50">
        <v>16795.079386573521</v>
      </c>
      <c r="CV26" s="50">
        <v>16795.079386573521</v>
      </c>
      <c r="CW26" s="50">
        <v>16795.079386573521</v>
      </c>
      <c r="CX26" s="50">
        <v>16795.079386573521</v>
      </c>
      <c r="CY26" s="50">
        <v>16795.079386573521</v>
      </c>
      <c r="CZ26" s="50">
        <v>16795.079386573521</v>
      </c>
      <c r="DA26" s="50">
        <v>16795.079386573521</v>
      </c>
      <c r="DB26" s="50">
        <v>16795.079386573521</v>
      </c>
    </row>
    <row r="27" spans="1:106">
      <c r="A27" s="195" t="str">
        <f>A17</f>
        <v>Desktop Rentals</v>
      </c>
      <c r="B27" s="196" t="s">
        <v>472</v>
      </c>
      <c r="C27" s="196" t="s">
        <v>471</v>
      </c>
      <c r="D27" s="196" t="s">
        <v>476</v>
      </c>
      <c r="E27" s="50">
        <v>39816</v>
      </c>
      <c r="F27" s="50">
        <v>39816</v>
      </c>
      <c r="G27" s="50">
        <v>39816</v>
      </c>
      <c r="H27" s="50">
        <v>39816</v>
      </c>
      <c r="I27" s="50">
        <v>39816</v>
      </c>
      <c r="J27" s="50">
        <v>39816</v>
      </c>
      <c r="K27" s="50">
        <v>39816</v>
      </c>
      <c r="L27" s="50">
        <v>39816</v>
      </c>
      <c r="M27" s="50">
        <v>39816</v>
      </c>
      <c r="N27" s="50">
        <v>39816</v>
      </c>
      <c r="O27" s="50">
        <v>41408.639999999999</v>
      </c>
      <c r="P27" s="50">
        <v>41408.639999999999</v>
      </c>
      <c r="Q27" s="50">
        <v>23408.639999999999</v>
      </c>
      <c r="R27" s="50">
        <v>23408.639999999999</v>
      </c>
      <c r="S27" s="50">
        <v>23408.639999999999</v>
      </c>
      <c r="T27" s="50">
        <v>23408.639999999999</v>
      </c>
      <c r="U27" s="50">
        <v>23408.639999999999</v>
      </c>
      <c r="V27" s="50">
        <v>23408.639999999999</v>
      </c>
      <c r="W27" s="50">
        <v>23408.639999999999</v>
      </c>
      <c r="X27" s="50">
        <v>23408.639999999999</v>
      </c>
      <c r="Y27" s="50">
        <v>23408.639999999999</v>
      </c>
      <c r="Z27" s="50">
        <v>23408.639999999999</v>
      </c>
      <c r="AA27" s="50">
        <v>24344.9856</v>
      </c>
      <c r="AB27" s="50">
        <v>24344.9856</v>
      </c>
      <c r="AC27" s="50">
        <v>24344.9856</v>
      </c>
      <c r="AD27" s="50">
        <v>24344.9856</v>
      </c>
      <c r="AE27" s="50">
        <v>24344.9856</v>
      </c>
      <c r="AF27" s="50">
        <v>24344.9856</v>
      </c>
      <c r="AG27" s="50">
        <v>24344.9856</v>
      </c>
      <c r="AH27" s="50">
        <v>24344.9856</v>
      </c>
      <c r="AI27" s="50">
        <v>24344.9856</v>
      </c>
      <c r="AJ27" s="50">
        <v>24344.9856</v>
      </c>
      <c r="AK27" s="50">
        <v>24344.9856</v>
      </c>
      <c r="AL27" s="50">
        <v>24344.9856</v>
      </c>
      <c r="AM27" s="50">
        <v>25318.785024000001</v>
      </c>
      <c r="AN27" s="50">
        <v>25318.785024000001</v>
      </c>
      <c r="AO27" s="50">
        <v>25318.785024000001</v>
      </c>
      <c r="AP27" s="50">
        <v>25318.785024000001</v>
      </c>
      <c r="AQ27" s="50">
        <v>25318.785024000001</v>
      </c>
      <c r="AR27" s="50">
        <v>25318.785024000001</v>
      </c>
      <c r="AS27" s="50">
        <v>25318.785024000001</v>
      </c>
      <c r="AT27" s="50">
        <v>25318.785024000001</v>
      </c>
      <c r="AU27" s="50">
        <v>25318.785024000001</v>
      </c>
      <c r="AV27" s="50">
        <v>25318.785024000001</v>
      </c>
      <c r="AW27" s="50">
        <v>25318.785024000001</v>
      </c>
      <c r="AX27" s="50">
        <v>25318.785024000001</v>
      </c>
      <c r="AY27" s="50">
        <v>26331.536424960002</v>
      </c>
      <c r="AZ27" s="50">
        <v>26331.536424960002</v>
      </c>
      <c r="BA27" s="50">
        <v>26331.536424960002</v>
      </c>
      <c r="BB27" s="50">
        <v>26331.536424960002</v>
      </c>
      <c r="BC27" s="50">
        <v>26331.536424960002</v>
      </c>
      <c r="BD27" s="50">
        <v>26331.536424960002</v>
      </c>
      <c r="BE27" s="50">
        <v>26331.536424960002</v>
      </c>
      <c r="BF27" s="50">
        <v>26331.536424960002</v>
      </c>
      <c r="BG27" s="50">
        <v>26331.536424960002</v>
      </c>
      <c r="BH27" s="50">
        <v>26331.536424960002</v>
      </c>
      <c r="BI27" s="50">
        <v>26331.536424960002</v>
      </c>
      <c r="BJ27" s="50">
        <v>26331.536424960002</v>
      </c>
      <c r="BK27" s="50">
        <v>27384.797881958402</v>
      </c>
      <c r="BL27" s="50">
        <v>27384.797881958402</v>
      </c>
      <c r="BM27" s="50">
        <v>27384.797881958402</v>
      </c>
      <c r="BN27" s="50">
        <v>27384.797881958402</v>
      </c>
      <c r="BO27" s="50">
        <v>27384.797881958402</v>
      </c>
      <c r="BP27" s="50">
        <v>27384.797881958402</v>
      </c>
      <c r="BQ27" s="50">
        <v>27384.797881958402</v>
      </c>
      <c r="BR27" s="50">
        <v>27384.797881958402</v>
      </c>
      <c r="BS27" s="50">
        <v>27384.797881958402</v>
      </c>
      <c r="BT27" s="50">
        <v>27384.797881958402</v>
      </c>
      <c r="BU27" s="50">
        <v>27384.797881958402</v>
      </c>
      <c r="BV27" s="50">
        <v>27384.797881958402</v>
      </c>
      <c r="BW27" s="50">
        <v>28480.189797236741</v>
      </c>
      <c r="BX27" s="50">
        <v>28480.189797236741</v>
      </c>
      <c r="BY27" s="50">
        <v>28480.189797236741</v>
      </c>
      <c r="BZ27" s="50">
        <v>28480.189797236741</v>
      </c>
      <c r="CA27" s="50">
        <v>28480.189797236741</v>
      </c>
      <c r="CB27" s="50">
        <v>28480.189797236741</v>
      </c>
      <c r="CC27" s="50">
        <v>28480.189797236741</v>
      </c>
      <c r="CD27" s="50">
        <v>28480.189797236741</v>
      </c>
      <c r="CE27" s="50">
        <v>28480.189797236741</v>
      </c>
      <c r="CF27" s="50">
        <v>28480.189797236741</v>
      </c>
      <c r="CG27" s="50">
        <v>28480.189797236741</v>
      </c>
      <c r="CH27" s="50">
        <v>28480.189797236741</v>
      </c>
      <c r="CI27" s="50">
        <v>29619.39738912621</v>
      </c>
      <c r="CJ27" s="50">
        <v>29619.39738912621</v>
      </c>
      <c r="CK27" s="50">
        <v>29619.39738912621</v>
      </c>
      <c r="CL27" s="50">
        <v>29619.39738912621</v>
      </c>
      <c r="CM27" s="50">
        <v>29619.39738912621</v>
      </c>
      <c r="CN27" s="50">
        <v>29619.39738912621</v>
      </c>
      <c r="CO27" s="50">
        <v>29619.39738912621</v>
      </c>
      <c r="CP27" s="50">
        <v>29619.39738912621</v>
      </c>
      <c r="CQ27" s="50">
        <v>29619.39738912621</v>
      </c>
      <c r="CR27" s="50">
        <v>29619.39738912621</v>
      </c>
      <c r="CS27" s="50">
        <v>29619.39738912621</v>
      </c>
      <c r="CT27" s="50">
        <v>29619.39738912621</v>
      </c>
      <c r="CU27" s="50">
        <v>30804.17328469126</v>
      </c>
      <c r="CV27" s="50">
        <v>30804.17328469126</v>
      </c>
      <c r="CW27" s="50">
        <v>30804.17328469126</v>
      </c>
      <c r="CX27" s="50">
        <v>30804.17328469126</v>
      </c>
      <c r="CY27" s="50">
        <v>30804.17328469126</v>
      </c>
      <c r="CZ27" s="50">
        <v>30804.17328469126</v>
      </c>
      <c r="DA27" s="50">
        <v>30804.17328469126</v>
      </c>
      <c r="DB27" s="50">
        <v>30804.17328469126</v>
      </c>
    </row>
    <row r="28" spans="1:106">
      <c r="A28" s="195"/>
      <c r="B28" s="196"/>
      <c r="C28" s="196"/>
      <c r="D28" s="196"/>
    </row>
    <row r="29" spans="1:106">
      <c r="A29" s="195" t="str">
        <f>A19</f>
        <v xml:space="preserve">NWS Corporate Web Site </v>
      </c>
      <c r="B29" s="196" t="s">
        <v>472</v>
      </c>
      <c r="C29" s="196" t="s">
        <v>471</v>
      </c>
      <c r="D29" s="196" t="s">
        <v>238</v>
      </c>
      <c r="E29" s="149">
        <f t="shared" ref="E29:AJ29" si="1">E3*E19</f>
        <v>0</v>
      </c>
      <c r="F29" s="149">
        <f t="shared" si="1"/>
        <v>0</v>
      </c>
      <c r="G29" s="149">
        <f t="shared" si="1"/>
        <v>0</v>
      </c>
      <c r="H29" s="149">
        <f t="shared" si="1"/>
        <v>0</v>
      </c>
      <c r="I29" s="149">
        <f t="shared" si="1"/>
        <v>0</v>
      </c>
      <c r="J29" s="149">
        <f t="shared" si="1"/>
        <v>0</v>
      </c>
      <c r="K29" s="149">
        <f t="shared" si="1"/>
        <v>0</v>
      </c>
      <c r="L29" s="149">
        <f t="shared" si="1"/>
        <v>0</v>
      </c>
      <c r="M29" s="149">
        <f t="shared" si="1"/>
        <v>36816</v>
      </c>
      <c r="N29" s="149">
        <f t="shared" si="1"/>
        <v>0</v>
      </c>
      <c r="O29" s="149">
        <f t="shared" si="1"/>
        <v>0</v>
      </c>
      <c r="P29" s="149">
        <f t="shared" si="1"/>
        <v>0</v>
      </c>
      <c r="Q29" s="149">
        <f t="shared" si="1"/>
        <v>0</v>
      </c>
      <c r="R29" s="149">
        <f t="shared" si="1"/>
        <v>0</v>
      </c>
      <c r="S29" s="149">
        <f t="shared" si="1"/>
        <v>0</v>
      </c>
      <c r="T29" s="149">
        <f t="shared" si="1"/>
        <v>0</v>
      </c>
      <c r="U29" s="149">
        <f t="shared" si="1"/>
        <v>0</v>
      </c>
      <c r="V29" s="149">
        <f t="shared" si="1"/>
        <v>0</v>
      </c>
      <c r="W29" s="149">
        <f t="shared" si="1"/>
        <v>0</v>
      </c>
      <c r="X29" s="149">
        <f t="shared" si="1"/>
        <v>0</v>
      </c>
      <c r="Y29" s="149">
        <f t="shared" si="1"/>
        <v>38288.639999999999</v>
      </c>
      <c r="Z29" s="149">
        <f t="shared" si="1"/>
        <v>0</v>
      </c>
      <c r="AA29" s="149">
        <f t="shared" si="1"/>
        <v>0</v>
      </c>
      <c r="AB29" s="149">
        <f t="shared" si="1"/>
        <v>0</v>
      </c>
      <c r="AC29" s="149">
        <f t="shared" si="1"/>
        <v>0</v>
      </c>
      <c r="AD29" s="149">
        <f t="shared" si="1"/>
        <v>0</v>
      </c>
      <c r="AE29" s="149">
        <f t="shared" si="1"/>
        <v>0</v>
      </c>
      <c r="AF29" s="149">
        <f t="shared" si="1"/>
        <v>0</v>
      </c>
      <c r="AG29" s="149">
        <f t="shared" si="1"/>
        <v>0</v>
      </c>
      <c r="AH29" s="149">
        <f t="shared" si="1"/>
        <v>0</v>
      </c>
      <c r="AI29" s="149">
        <f t="shared" si="1"/>
        <v>0</v>
      </c>
      <c r="AJ29" s="149">
        <f t="shared" si="1"/>
        <v>0</v>
      </c>
      <c r="AK29" s="149">
        <f t="shared" ref="AK29:BP29" si="2">AK3*AK19</f>
        <v>39820.185600000004</v>
      </c>
      <c r="AL29" s="149">
        <f t="shared" si="2"/>
        <v>0</v>
      </c>
      <c r="AM29" s="149">
        <f t="shared" si="2"/>
        <v>0</v>
      </c>
      <c r="AN29" s="149">
        <f t="shared" si="2"/>
        <v>0</v>
      </c>
      <c r="AO29" s="149">
        <f t="shared" si="2"/>
        <v>0</v>
      </c>
      <c r="AP29" s="149">
        <f t="shared" si="2"/>
        <v>0</v>
      </c>
      <c r="AQ29" s="149">
        <f t="shared" si="2"/>
        <v>0</v>
      </c>
      <c r="AR29" s="149">
        <f t="shared" si="2"/>
        <v>0</v>
      </c>
      <c r="AS29" s="149">
        <f t="shared" si="2"/>
        <v>0</v>
      </c>
      <c r="AT29" s="149">
        <f t="shared" si="2"/>
        <v>0</v>
      </c>
      <c r="AU29" s="149">
        <f t="shared" si="2"/>
        <v>0</v>
      </c>
      <c r="AV29" s="149">
        <f t="shared" si="2"/>
        <v>0</v>
      </c>
      <c r="AW29" s="149">
        <f t="shared" si="2"/>
        <v>41412.993024000003</v>
      </c>
      <c r="AX29" s="149">
        <f t="shared" si="2"/>
        <v>0</v>
      </c>
      <c r="AY29" s="149">
        <f t="shared" si="2"/>
        <v>0</v>
      </c>
      <c r="AZ29" s="149">
        <f t="shared" si="2"/>
        <v>0</v>
      </c>
      <c r="BA29" s="149">
        <f t="shared" si="2"/>
        <v>0</v>
      </c>
      <c r="BB29" s="149">
        <f t="shared" si="2"/>
        <v>0</v>
      </c>
      <c r="BC29" s="149">
        <f t="shared" si="2"/>
        <v>0</v>
      </c>
      <c r="BD29" s="149">
        <f t="shared" si="2"/>
        <v>0</v>
      </c>
      <c r="BE29" s="149">
        <f t="shared" si="2"/>
        <v>0</v>
      </c>
      <c r="BF29" s="149">
        <f t="shared" si="2"/>
        <v>0</v>
      </c>
      <c r="BG29" s="149">
        <f t="shared" si="2"/>
        <v>0</v>
      </c>
      <c r="BH29" s="149">
        <f t="shared" si="2"/>
        <v>0</v>
      </c>
      <c r="BI29" s="149">
        <f t="shared" si="2"/>
        <v>43069.512744960004</v>
      </c>
      <c r="BJ29" s="149">
        <f t="shared" si="2"/>
        <v>0</v>
      </c>
      <c r="BK29" s="149">
        <f t="shared" si="2"/>
        <v>0</v>
      </c>
      <c r="BL29" s="149">
        <f t="shared" si="2"/>
        <v>0</v>
      </c>
      <c r="BM29" s="149">
        <f t="shared" si="2"/>
        <v>0</v>
      </c>
      <c r="BN29" s="149">
        <f t="shared" si="2"/>
        <v>0</v>
      </c>
      <c r="BO29" s="149">
        <f t="shared" si="2"/>
        <v>0</v>
      </c>
      <c r="BP29" s="149">
        <f t="shared" si="2"/>
        <v>0</v>
      </c>
      <c r="BQ29" s="149">
        <f t="shared" ref="BQ29:CV29" si="3">BQ3*BQ19</f>
        <v>0</v>
      </c>
      <c r="BR29" s="149">
        <f t="shared" si="3"/>
        <v>0</v>
      </c>
      <c r="BS29" s="149">
        <f t="shared" si="3"/>
        <v>0</v>
      </c>
      <c r="BT29" s="149">
        <f t="shared" si="3"/>
        <v>0</v>
      </c>
      <c r="BU29" s="149">
        <f t="shared" si="3"/>
        <v>44792.293254758406</v>
      </c>
      <c r="BV29" s="149">
        <f t="shared" si="3"/>
        <v>0</v>
      </c>
      <c r="BW29" s="149">
        <f t="shared" si="3"/>
        <v>0</v>
      </c>
      <c r="BX29" s="149">
        <f t="shared" si="3"/>
        <v>0</v>
      </c>
      <c r="BY29" s="149">
        <f t="shared" si="3"/>
        <v>0</v>
      </c>
      <c r="BZ29" s="149">
        <f t="shared" si="3"/>
        <v>0</v>
      </c>
      <c r="CA29" s="149">
        <f t="shared" si="3"/>
        <v>0</v>
      </c>
      <c r="CB29" s="149">
        <f t="shared" si="3"/>
        <v>0</v>
      </c>
      <c r="CC29" s="149">
        <f t="shared" si="3"/>
        <v>0</v>
      </c>
      <c r="CD29" s="149">
        <f t="shared" si="3"/>
        <v>0</v>
      </c>
      <c r="CE29" s="149">
        <f t="shared" si="3"/>
        <v>0</v>
      </c>
      <c r="CF29" s="149">
        <f t="shared" si="3"/>
        <v>0</v>
      </c>
      <c r="CG29" s="149">
        <f t="shared" si="3"/>
        <v>46583.984984948744</v>
      </c>
      <c r="CH29" s="149">
        <f t="shared" si="3"/>
        <v>0</v>
      </c>
      <c r="CI29" s="149">
        <f t="shared" si="3"/>
        <v>0</v>
      </c>
      <c r="CJ29" s="149">
        <f t="shared" si="3"/>
        <v>0</v>
      </c>
      <c r="CK29" s="149">
        <f t="shared" si="3"/>
        <v>0</v>
      </c>
      <c r="CL29" s="149">
        <f t="shared" si="3"/>
        <v>0</v>
      </c>
      <c r="CM29" s="149">
        <f t="shared" si="3"/>
        <v>0</v>
      </c>
      <c r="CN29" s="149">
        <f t="shared" si="3"/>
        <v>0</v>
      </c>
      <c r="CO29" s="149">
        <f t="shared" si="3"/>
        <v>0</v>
      </c>
      <c r="CP29" s="149">
        <f t="shared" si="3"/>
        <v>0</v>
      </c>
      <c r="CQ29" s="149">
        <f t="shared" si="3"/>
        <v>0</v>
      </c>
      <c r="CR29" s="149">
        <f t="shared" si="3"/>
        <v>0</v>
      </c>
      <c r="CS29" s="149">
        <f t="shared" si="3"/>
        <v>48447.344384346696</v>
      </c>
      <c r="CT29" s="149">
        <f t="shared" si="3"/>
        <v>0</v>
      </c>
      <c r="CU29" s="149">
        <f t="shared" si="3"/>
        <v>0</v>
      </c>
      <c r="CV29" s="149">
        <f t="shared" si="3"/>
        <v>0</v>
      </c>
      <c r="CW29" s="149">
        <f t="shared" ref="CW29:DB29" si="4">CW3*CW19</f>
        <v>0</v>
      </c>
      <c r="CX29" s="149">
        <f t="shared" si="4"/>
        <v>0</v>
      </c>
      <c r="CY29" s="149">
        <f t="shared" si="4"/>
        <v>0</v>
      </c>
      <c r="CZ29" s="149">
        <f t="shared" si="4"/>
        <v>0</v>
      </c>
      <c r="DA29" s="149">
        <f t="shared" si="4"/>
        <v>0</v>
      </c>
      <c r="DB29" s="149">
        <f t="shared" si="4"/>
        <v>0</v>
      </c>
    </row>
    <row r="30" spans="1:106">
      <c r="A30" s="195" t="str">
        <f>A20</f>
        <v>Repairs &amp; Maintenance Laptops &amp; Desktops</v>
      </c>
      <c r="B30" s="196" t="s">
        <v>472</v>
      </c>
      <c r="C30" s="196" t="s">
        <v>475</v>
      </c>
      <c r="D30" s="196" t="s">
        <v>238</v>
      </c>
      <c r="E30" s="149">
        <f t="shared" ref="E30:AJ30" si="5">E8*E20</f>
        <v>19942</v>
      </c>
      <c r="F30" s="149">
        <f t="shared" si="5"/>
        <v>19942</v>
      </c>
      <c r="G30" s="149">
        <f t="shared" si="5"/>
        <v>19942</v>
      </c>
      <c r="H30" s="149">
        <f t="shared" si="5"/>
        <v>19942</v>
      </c>
      <c r="I30" s="149">
        <f t="shared" si="5"/>
        <v>19942</v>
      </c>
      <c r="J30" s="149">
        <f t="shared" si="5"/>
        <v>19942</v>
      </c>
      <c r="K30" s="149">
        <f t="shared" si="5"/>
        <v>19942</v>
      </c>
      <c r="L30" s="149">
        <f t="shared" si="5"/>
        <v>19942</v>
      </c>
      <c r="M30" s="149">
        <f t="shared" si="5"/>
        <v>19942</v>
      </c>
      <c r="N30" s="149">
        <f t="shared" si="5"/>
        <v>19942</v>
      </c>
      <c r="O30" s="149">
        <f t="shared" si="5"/>
        <v>20739.68</v>
      </c>
      <c r="P30" s="149">
        <f t="shared" si="5"/>
        <v>20739.68</v>
      </c>
      <c r="Q30" s="149">
        <f t="shared" si="5"/>
        <v>20739.68</v>
      </c>
      <c r="R30" s="149">
        <f t="shared" si="5"/>
        <v>20739.68</v>
      </c>
      <c r="S30" s="149">
        <f t="shared" si="5"/>
        <v>20739.68</v>
      </c>
      <c r="T30" s="149">
        <f t="shared" si="5"/>
        <v>20739.68</v>
      </c>
      <c r="U30" s="149">
        <f t="shared" si="5"/>
        <v>20739.68</v>
      </c>
      <c r="V30" s="149">
        <f t="shared" si="5"/>
        <v>20739.68</v>
      </c>
      <c r="W30" s="149">
        <f t="shared" si="5"/>
        <v>20739.68</v>
      </c>
      <c r="X30" s="149">
        <f t="shared" si="5"/>
        <v>20739.68</v>
      </c>
      <c r="Y30" s="149">
        <f t="shared" si="5"/>
        <v>20739.68</v>
      </c>
      <c r="Z30" s="149">
        <f t="shared" si="5"/>
        <v>20739.68</v>
      </c>
      <c r="AA30" s="149">
        <f t="shared" si="5"/>
        <v>21569.267199999998</v>
      </c>
      <c r="AB30" s="149">
        <f t="shared" si="5"/>
        <v>21569.267199999998</v>
      </c>
      <c r="AC30" s="149">
        <f t="shared" si="5"/>
        <v>21569.267199999998</v>
      </c>
      <c r="AD30" s="149">
        <f t="shared" si="5"/>
        <v>21569.267199999998</v>
      </c>
      <c r="AE30" s="149">
        <f t="shared" si="5"/>
        <v>21569.267199999998</v>
      </c>
      <c r="AF30" s="149">
        <f t="shared" si="5"/>
        <v>21569.267199999998</v>
      </c>
      <c r="AG30" s="149">
        <f t="shared" si="5"/>
        <v>21569.267199999998</v>
      </c>
      <c r="AH30" s="149">
        <f t="shared" si="5"/>
        <v>21569.267199999998</v>
      </c>
      <c r="AI30" s="149">
        <f t="shared" si="5"/>
        <v>21569.267199999998</v>
      </c>
      <c r="AJ30" s="149">
        <f t="shared" si="5"/>
        <v>21569.267199999998</v>
      </c>
      <c r="AK30" s="149">
        <f t="shared" ref="AK30:BP30" si="6">AK8*AK20</f>
        <v>21569.267199999998</v>
      </c>
      <c r="AL30" s="149">
        <f t="shared" si="6"/>
        <v>21569.267199999998</v>
      </c>
      <c r="AM30" s="149">
        <f t="shared" si="6"/>
        <v>22432.037888000003</v>
      </c>
      <c r="AN30" s="149">
        <f t="shared" si="6"/>
        <v>22432.037888000003</v>
      </c>
      <c r="AO30" s="149">
        <f t="shared" si="6"/>
        <v>22432.037888000003</v>
      </c>
      <c r="AP30" s="149">
        <f t="shared" si="6"/>
        <v>22432.037888000003</v>
      </c>
      <c r="AQ30" s="149">
        <f t="shared" si="6"/>
        <v>22432.037888000003</v>
      </c>
      <c r="AR30" s="149">
        <f t="shared" si="6"/>
        <v>22432.037888000003</v>
      </c>
      <c r="AS30" s="149">
        <f t="shared" si="6"/>
        <v>22432.037888000003</v>
      </c>
      <c r="AT30" s="149">
        <f t="shared" si="6"/>
        <v>22432.037888000003</v>
      </c>
      <c r="AU30" s="149">
        <f t="shared" si="6"/>
        <v>22432.037888000003</v>
      </c>
      <c r="AV30" s="149">
        <f t="shared" si="6"/>
        <v>22432.037888000003</v>
      </c>
      <c r="AW30" s="149">
        <f t="shared" si="6"/>
        <v>22432.037888000003</v>
      </c>
      <c r="AX30" s="149">
        <f t="shared" si="6"/>
        <v>22432.037888000003</v>
      </c>
      <c r="AY30" s="149">
        <f t="shared" si="6"/>
        <v>23329.319403520003</v>
      </c>
      <c r="AZ30" s="149">
        <f t="shared" si="6"/>
        <v>23329.319403520003</v>
      </c>
      <c r="BA30" s="149">
        <f t="shared" si="6"/>
        <v>23329.319403520003</v>
      </c>
      <c r="BB30" s="149">
        <f t="shared" si="6"/>
        <v>23329.319403520003</v>
      </c>
      <c r="BC30" s="149">
        <f t="shared" si="6"/>
        <v>23329.319403520003</v>
      </c>
      <c r="BD30" s="149">
        <f t="shared" si="6"/>
        <v>23329.319403520003</v>
      </c>
      <c r="BE30" s="149">
        <f t="shared" si="6"/>
        <v>23329.319403520003</v>
      </c>
      <c r="BF30" s="149">
        <f t="shared" si="6"/>
        <v>23329.319403520003</v>
      </c>
      <c r="BG30" s="149">
        <f t="shared" si="6"/>
        <v>23329.319403520003</v>
      </c>
      <c r="BH30" s="149">
        <f t="shared" si="6"/>
        <v>23329.319403520003</v>
      </c>
      <c r="BI30" s="149">
        <f t="shared" si="6"/>
        <v>23329.319403520003</v>
      </c>
      <c r="BJ30" s="149">
        <f t="shared" si="6"/>
        <v>23329.319403520003</v>
      </c>
      <c r="BK30" s="149">
        <f t="shared" si="6"/>
        <v>24262.492179660803</v>
      </c>
      <c r="BL30" s="149">
        <f t="shared" si="6"/>
        <v>24262.492179660803</v>
      </c>
      <c r="BM30" s="149">
        <f t="shared" si="6"/>
        <v>24262.492179660803</v>
      </c>
      <c r="BN30" s="149">
        <f t="shared" si="6"/>
        <v>24262.492179660803</v>
      </c>
      <c r="BO30" s="149">
        <f t="shared" si="6"/>
        <v>24262.492179660803</v>
      </c>
      <c r="BP30" s="149">
        <f t="shared" si="6"/>
        <v>24262.492179660803</v>
      </c>
      <c r="BQ30" s="149">
        <f t="shared" ref="BQ30:CV30" si="7">BQ8*BQ20</f>
        <v>24262.492179660803</v>
      </c>
      <c r="BR30" s="149">
        <f t="shared" si="7"/>
        <v>24262.492179660803</v>
      </c>
      <c r="BS30" s="149">
        <f t="shared" si="7"/>
        <v>24262.492179660803</v>
      </c>
      <c r="BT30" s="149">
        <f t="shared" si="7"/>
        <v>24262.492179660803</v>
      </c>
      <c r="BU30" s="149">
        <f t="shared" si="7"/>
        <v>24262.492179660803</v>
      </c>
      <c r="BV30" s="149">
        <f t="shared" si="7"/>
        <v>24262.492179660803</v>
      </c>
      <c r="BW30" s="149">
        <f t="shared" si="7"/>
        <v>25232.991866847235</v>
      </c>
      <c r="BX30" s="149">
        <f t="shared" si="7"/>
        <v>25232.991866847235</v>
      </c>
      <c r="BY30" s="149">
        <f t="shared" si="7"/>
        <v>25232.991866847235</v>
      </c>
      <c r="BZ30" s="149">
        <f t="shared" si="7"/>
        <v>25232.991866847235</v>
      </c>
      <c r="CA30" s="149">
        <f t="shared" si="7"/>
        <v>25232.991866847235</v>
      </c>
      <c r="CB30" s="149">
        <f t="shared" si="7"/>
        <v>25232.991866847235</v>
      </c>
      <c r="CC30" s="149">
        <f t="shared" si="7"/>
        <v>25232.991866847235</v>
      </c>
      <c r="CD30" s="149">
        <f t="shared" si="7"/>
        <v>25232.991866847235</v>
      </c>
      <c r="CE30" s="149">
        <f t="shared" si="7"/>
        <v>25232.991866847235</v>
      </c>
      <c r="CF30" s="149">
        <f t="shared" si="7"/>
        <v>25232.991866847235</v>
      </c>
      <c r="CG30" s="149">
        <f t="shared" si="7"/>
        <v>25232.991866847235</v>
      </c>
      <c r="CH30" s="149">
        <f t="shared" si="7"/>
        <v>25232.991866847235</v>
      </c>
      <c r="CI30" s="149">
        <f t="shared" si="7"/>
        <v>26242.311541521125</v>
      </c>
      <c r="CJ30" s="149">
        <f t="shared" si="7"/>
        <v>26242.311541521125</v>
      </c>
      <c r="CK30" s="149">
        <f t="shared" si="7"/>
        <v>26242.311541521125</v>
      </c>
      <c r="CL30" s="149">
        <f t="shared" si="7"/>
        <v>26242.311541521125</v>
      </c>
      <c r="CM30" s="149">
        <f t="shared" si="7"/>
        <v>26242.311541521125</v>
      </c>
      <c r="CN30" s="149">
        <f t="shared" si="7"/>
        <v>26242.311541521125</v>
      </c>
      <c r="CO30" s="149">
        <f t="shared" si="7"/>
        <v>26242.311541521125</v>
      </c>
      <c r="CP30" s="149">
        <f t="shared" si="7"/>
        <v>26242.311541521125</v>
      </c>
      <c r="CQ30" s="149">
        <f t="shared" si="7"/>
        <v>26242.311541521125</v>
      </c>
      <c r="CR30" s="149">
        <f t="shared" si="7"/>
        <v>26242.311541521125</v>
      </c>
      <c r="CS30" s="149">
        <f t="shared" si="7"/>
        <v>26242.311541521125</v>
      </c>
      <c r="CT30" s="149">
        <f t="shared" si="7"/>
        <v>26242.311541521125</v>
      </c>
      <c r="CU30" s="149">
        <f t="shared" si="7"/>
        <v>27292.00400318197</v>
      </c>
      <c r="CV30" s="149">
        <f t="shared" si="7"/>
        <v>27292.00400318197</v>
      </c>
      <c r="CW30" s="149">
        <f t="shared" ref="CW30:DB30" si="8">CW8*CW20</f>
        <v>27292.00400318197</v>
      </c>
      <c r="CX30" s="149">
        <f t="shared" si="8"/>
        <v>27292.00400318197</v>
      </c>
      <c r="CY30" s="149">
        <f t="shared" si="8"/>
        <v>27292.00400318197</v>
      </c>
      <c r="CZ30" s="149">
        <f t="shared" si="8"/>
        <v>27292.00400318197</v>
      </c>
      <c r="DA30" s="149">
        <f t="shared" si="8"/>
        <v>27292.00400318197</v>
      </c>
      <c r="DB30" s="149">
        <f t="shared" si="8"/>
        <v>27292.00400318197</v>
      </c>
    </row>
    <row r="31" spans="1:106">
      <c r="A31" s="195" t="str">
        <f>A21</f>
        <v>Repairs &amp; Maintenance Printers &amp; Plotters</v>
      </c>
      <c r="B31" s="196" t="s">
        <v>472</v>
      </c>
      <c r="C31" s="196" t="s">
        <v>474</v>
      </c>
      <c r="D31" s="196" t="s">
        <v>238</v>
      </c>
      <c r="E31" s="149">
        <f t="shared" ref="E31:AJ31" si="9">E9*E21</f>
        <v>11699.306666666665</v>
      </c>
      <c r="F31" s="149">
        <f t="shared" si="9"/>
        <v>11699.306666666665</v>
      </c>
      <c r="G31" s="149">
        <f t="shared" si="9"/>
        <v>11699.306666666665</v>
      </c>
      <c r="H31" s="149">
        <f t="shared" si="9"/>
        <v>11699.306666666665</v>
      </c>
      <c r="I31" s="149">
        <f t="shared" si="9"/>
        <v>11699.306666666665</v>
      </c>
      <c r="J31" s="149">
        <f t="shared" si="9"/>
        <v>11699.306666666665</v>
      </c>
      <c r="K31" s="149">
        <f t="shared" si="9"/>
        <v>11699.306666666665</v>
      </c>
      <c r="L31" s="149">
        <f t="shared" si="9"/>
        <v>11699.306666666665</v>
      </c>
      <c r="M31" s="149">
        <f t="shared" si="9"/>
        <v>11699.306666666665</v>
      </c>
      <c r="N31" s="149">
        <f t="shared" si="9"/>
        <v>11699.306666666665</v>
      </c>
      <c r="O31" s="149">
        <f t="shared" si="9"/>
        <v>12167.278933333331</v>
      </c>
      <c r="P31" s="149">
        <f t="shared" si="9"/>
        <v>12167.278933333331</v>
      </c>
      <c r="Q31" s="149">
        <f t="shared" si="9"/>
        <v>12167.278933333331</v>
      </c>
      <c r="R31" s="149">
        <f t="shared" si="9"/>
        <v>12167.278933333331</v>
      </c>
      <c r="S31" s="149">
        <f t="shared" si="9"/>
        <v>12167.278933333331</v>
      </c>
      <c r="T31" s="149">
        <f t="shared" si="9"/>
        <v>12167.278933333331</v>
      </c>
      <c r="U31" s="149">
        <f t="shared" si="9"/>
        <v>12167.278933333331</v>
      </c>
      <c r="V31" s="149">
        <f t="shared" si="9"/>
        <v>12167.278933333331</v>
      </c>
      <c r="W31" s="149">
        <f t="shared" si="9"/>
        <v>12167.278933333331</v>
      </c>
      <c r="X31" s="149">
        <f t="shared" si="9"/>
        <v>12167.278933333331</v>
      </c>
      <c r="Y31" s="149">
        <f t="shared" si="9"/>
        <v>12167.278933333331</v>
      </c>
      <c r="Z31" s="149">
        <f t="shared" si="9"/>
        <v>12167.278933333331</v>
      </c>
      <c r="AA31" s="149">
        <f t="shared" si="9"/>
        <v>12653.970090666666</v>
      </c>
      <c r="AB31" s="149">
        <f t="shared" si="9"/>
        <v>12653.970090666666</v>
      </c>
      <c r="AC31" s="149">
        <f t="shared" si="9"/>
        <v>12653.970090666666</v>
      </c>
      <c r="AD31" s="149">
        <f t="shared" si="9"/>
        <v>12653.970090666666</v>
      </c>
      <c r="AE31" s="149">
        <f t="shared" si="9"/>
        <v>12653.970090666666</v>
      </c>
      <c r="AF31" s="149">
        <f t="shared" si="9"/>
        <v>12653.970090666666</v>
      </c>
      <c r="AG31" s="149">
        <f t="shared" si="9"/>
        <v>12653.970090666666</v>
      </c>
      <c r="AH31" s="149">
        <f t="shared" si="9"/>
        <v>12653.970090666666</v>
      </c>
      <c r="AI31" s="149">
        <f t="shared" si="9"/>
        <v>12653.970090666666</v>
      </c>
      <c r="AJ31" s="149">
        <f t="shared" si="9"/>
        <v>12653.970090666666</v>
      </c>
      <c r="AK31" s="149">
        <f t="shared" ref="AK31:BP31" si="10">AK9*AK21</f>
        <v>12653.970090666666</v>
      </c>
      <c r="AL31" s="149">
        <f t="shared" si="10"/>
        <v>12653.970090666666</v>
      </c>
      <c r="AM31" s="149">
        <f t="shared" si="10"/>
        <v>13160.128894293332</v>
      </c>
      <c r="AN31" s="149">
        <f t="shared" si="10"/>
        <v>13160.128894293332</v>
      </c>
      <c r="AO31" s="149">
        <f t="shared" si="10"/>
        <v>13160.128894293332</v>
      </c>
      <c r="AP31" s="149">
        <f t="shared" si="10"/>
        <v>13160.128894293332</v>
      </c>
      <c r="AQ31" s="149">
        <f t="shared" si="10"/>
        <v>13160.128894293332</v>
      </c>
      <c r="AR31" s="149">
        <f t="shared" si="10"/>
        <v>13160.128894293332</v>
      </c>
      <c r="AS31" s="149">
        <f t="shared" si="10"/>
        <v>13160.128894293332</v>
      </c>
      <c r="AT31" s="149">
        <f t="shared" si="10"/>
        <v>13160.128894293332</v>
      </c>
      <c r="AU31" s="149">
        <f t="shared" si="10"/>
        <v>13160.128894293332</v>
      </c>
      <c r="AV31" s="149">
        <f t="shared" si="10"/>
        <v>13160.128894293332</v>
      </c>
      <c r="AW31" s="149">
        <f t="shared" si="10"/>
        <v>13160.128894293332</v>
      </c>
      <c r="AX31" s="149">
        <f t="shared" si="10"/>
        <v>13160.128894293332</v>
      </c>
      <c r="AY31" s="149">
        <f t="shared" si="10"/>
        <v>13686.534050065065</v>
      </c>
      <c r="AZ31" s="149">
        <f t="shared" si="10"/>
        <v>13686.534050065065</v>
      </c>
      <c r="BA31" s="149">
        <f t="shared" si="10"/>
        <v>13686.534050065065</v>
      </c>
      <c r="BB31" s="149">
        <f t="shared" si="10"/>
        <v>13686.534050065065</v>
      </c>
      <c r="BC31" s="149">
        <f t="shared" si="10"/>
        <v>13686.534050065065</v>
      </c>
      <c r="BD31" s="149">
        <f t="shared" si="10"/>
        <v>13686.534050065065</v>
      </c>
      <c r="BE31" s="149">
        <f t="shared" si="10"/>
        <v>13686.534050065065</v>
      </c>
      <c r="BF31" s="149">
        <f t="shared" si="10"/>
        <v>13686.534050065065</v>
      </c>
      <c r="BG31" s="149">
        <f t="shared" si="10"/>
        <v>13686.534050065065</v>
      </c>
      <c r="BH31" s="149">
        <f t="shared" si="10"/>
        <v>13686.534050065065</v>
      </c>
      <c r="BI31" s="149">
        <f t="shared" si="10"/>
        <v>13686.534050065065</v>
      </c>
      <c r="BJ31" s="149">
        <f t="shared" si="10"/>
        <v>13686.534050065065</v>
      </c>
      <c r="BK31" s="149">
        <f t="shared" si="10"/>
        <v>14233.995412067668</v>
      </c>
      <c r="BL31" s="149">
        <f t="shared" si="10"/>
        <v>14233.995412067668</v>
      </c>
      <c r="BM31" s="149">
        <f t="shared" si="10"/>
        <v>14233.995412067668</v>
      </c>
      <c r="BN31" s="149">
        <f t="shared" si="10"/>
        <v>14233.995412067668</v>
      </c>
      <c r="BO31" s="149">
        <f t="shared" si="10"/>
        <v>14233.995412067668</v>
      </c>
      <c r="BP31" s="149">
        <f t="shared" si="10"/>
        <v>14233.995412067668</v>
      </c>
      <c r="BQ31" s="149">
        <f t="shared" ref="BQ31:CV31" si="11">BQ9*BQ21</f>
        <v>14233.995412067668</v>
      </c>
      <c r="BR31" s="149">
        <f t="shared" si="11"/>
        <v>14233.995412067668</v>
      </c>
      <c r="BS31" s="149">
        <f t="shared" si="11"/>
        <v>14233.995412067668</v>
      </c>
      <c r="BT31" s="149">
        <f t="shared" si="11"/>
        <v>14233.995412067668</v>
      </c>
      <c r="BU31" s="149">
        <f t="shared" si="11"/>
        <v>14233.995412067668</v>
      </c>
      <c r="BV31" s="149">
        <f t="shared" si="11"/>
        <v>14233.995412067668</v>
      </c>
      <c r="BW31" s="149">
        <f t="shared" si="11"/>
        <v>14803.355228550376</v>
      </c>
      <c r="BX31" s="149">
        <f t="shared" si="11"/>
        <v>14803.355228550376</v>
      </c>
      <c r="BY31" s="149">
        <f t="shared" si="11"/>
        <v>14803.355228550376</v>
      </c>
      <c r="BZ31" s="149">
        <f t="shared" si="11"/>
        <v>14803.355228550376</v>
      </c>
      <c r="CA31" s="149">
        <f t="shared" si="11"/>
        <v>14803.355228550376</v>
      </c>
      <c r="CB31" s="149">
        <f t="shared" si="11"/>
        <v>14803.355228550376</v>
      </c>
      <c r="CC31" s="149">
        <f t="shared" si="11"/>
        <v>14803.355228550376</v>
      </c>
      <c r="CD31" s="149">
        <f t="shared" si="11"/>
        <v>14803.355228550376</v>
      </c>
      <c r="CE31" s="149">
        <f t="shared" si="11"/>
        <v>14803.355228550376</v>
      </c>
      <c r="CF31" s="149">
        <f t="shared" si="11"/>
        <v>14803.355228550376</v>
      </c>
      <c r="CG31" s="149">
        <f t="shared" si="11"/>
        <v>14803.355228550376</v>
      </c>
      <c r="CH31" s="149">
        <f t="shared" si="11"/>
        <v>14803.355228550376</v>
      </c>
      <c r="CI31" s="149">
        <f t="shared" si="11"/>
        <v>15395.489437692391</v>
      </c>
      <c r="CJ31" s="149">
        <f t="shared" si="11"/>
        <v>15395.489437692391</v>
      </c>
      <c r="CK31" s="149">
        <f t="shared" si="11"/>
        <v>15395.489437692391</v>
      </c>
      <c r="CL31" s="149">
        <f t="shared" si="11"/>
        <v>15395.489437692391</v>
      </c>
      <c r="CM31" s="149">
        <f t="shared" si="11"/>
        <v>15395.489437692391</v>
      </c>
      <c r="CN31" s="149">
        <f t="shared" si="11"/>
        <v>15395.489437692391</v>
      </c>
      <c r="CO31" s="149">
        <f t="shared" si="11"/>
        <v>15395.489437692391</v>
      </c>
      <c r="CP31" s="149">
        <f t="shared" si="11"/>
        <v>15395.489437692391</v>
      </c>
      <c r="CQ31" s="149">
        <f t="shared" si="11"/>
        <v>15395.489437692391</v>
      </c>
      <c r="CR31" s="149">
        <f t="shared" si="11"/>
        <v>15395.489437692391</v>
      </c>
      <c r="CS31" s="149">
        <f t="shared" si="11"/>
        <v>15395.489437692391</v>
      </c>
      <c r="CT31" s="149">
        <f t="shared" si="11"/>
        <v>15395.489437692391</v>
      </c>
      <c r="CU31" s="149">
        <f t="shared" si="11"/>
        <v>16011.309015200086</v>
      </c>
      <c r="CV31" s="149">
        <f t="shared" si="11"/>
        <v>16011.309015200086</v>
      </c>
      <c r="CW31" s="149">
        <f t="shared" ref="CW31:DB31" si="12">CW9*CW21</f>
        <v>16011.309015200086</v>
      </c>
      <c r="CX31" s="149">
        <f t="shared" si="12"/>
        <v>16011.309015200086</v>
      </c>
      <c r="CY31" s="149">
        <f t="shared" si="12"/>
        <v>16011.309015200086</v>
      </c>
      <c r="CZ31" s="149">
        <f t="shared" si="12"/>
        <v>16011.309015200086</v>
      </c>
      <c r="DA31" s="149">
        <f t="shared" si="12"/>
        <v>16011.309015200086</v>
      </c>
      <c r="DB31" s="149">
        <f t="shared" si="12"/>
        <v>16011.309015200086</v>
      </c>
    </row>
    <row r="32" spans="1:106">
      <c r="A32" s="195" t="str">
        <f>A22</f>
        <v>Cisco Server, Switch, Firewall and UPS &amp; Battery (A.M.C: 20% total cost)</v>
      </c>
      <c r="B32" s="196" t="s">
        <v>472</v>
      </c>
      <c r="C32" s="196" t="s">
        <v>471</v>
      </c>
      <c r="D32" s="196" t="s">
        <v>238</v>
      </c>
      <c r="E32" s="149">
        <f t="shared" ref="E32:AJ32" si="13">E10*E22</f>
        <v>0</v>
      </c>
      <c r="F32" s="149">
        <f t="shared" si="13"/>
        <v>0</v>
      </c>
      <c r="G32" s="149">
        <f t="shared" si="13"/>
        <v>0</v>
      </c>
      <c r="H32" s="149">
        <f t="shared" si="13"/>
        <v>0</v>
      </c>
      <c r="I32" s="149">
        <f t="shared" si="13"/>
        <v>0</v>
      </c>
      <c r="J32" s="149">
        <f t="shared" si="13"/>
        <v>272480</v>
      </c>
      <c r="K32" s="149">
        <f t="shared" si="13"/>
        <v>0</v>
      </c>
      <c r="L32" s="149">
        <f t="shared" si="13"/>
        <v>0</v>
      </c>
      <c r="M32" s="149">
        <f t="shared" si="13"/>
        <v>0</v>
      </c>
      <c r="N32" s="149">
        <f t="shared" si="13"/>
        <v>0</v>
      </c>
      <c r="O32" s="149">
        <f t="shared" si="13"/>
        <v>0</v>
      </c>
      <c r="P32" s="149">
        <f t="shared" si="13"/>
        <v>0</v>
      </c>
      <c r="Q32" s="149">
        <f t="shared" si="13"/>
        <v>0</v>
      </c>
      <c r="R32" s="149">
        <f t="shared" si="13"/>
        <v>0</v>
      </c>
      <c r="S32" s="149">
        <f t="shared" si="13"/>
        <v>0</v>
      </c>
      <c r="T32" s="149">
        <f t="shared" si="13"/>
        <v>0</v>
      </c>
      <c r="U32" s="149">
        <f t="shared" si="13"/>
        <v>0</v>
      </c>
      <c r="V32" s="149">
        <f t="shared" si="13"/>
        <v>283379.20000000001</v>
      </c>
      <c r="W32" s="149">
        <f t="shared" si="13"/>
        <v>0</v>
      </c>
      <c r="X32" s="149">
        <f t="shared" si="13"/>
        <v>0</v>
      </c>
      <c r="Y32" s="149">
        <f t="shared" si="13"/>
        <v>0</v>
      </c>
      <c r="Z32" s="149">
        <f t="shared" si="13"/>
        <v>0</v>
      </c>
      <c r="AA32" s="149">
        <f t="shared" si="13"/>
        <v>0</v>
      </c>
      <c r="AB32" s="149">
        <f t="shared" si="13"/>
        <v>0</v>
      </c>
      <c r="AC32" s="149">
        <f t="shared" si="13"/>
        <v>0</v>
      </c>
      <c r="AD32" s="149">
        <f t="shared" si="13"/>
        <v>0</v>
      </c>
      <c r="AE32" s="149">
        <f t="shared" si="13"/>
        <v>0</v>
      </c>
      <c r="AF32" s="149">
        <f t="shared" si="13"/>
        <v>0</v>
      </c>
      <c r="AG32" s="149">
        <f t="shared" si="13"/>
        <v>0</v>
      </c>
      <c r="AH32" s="149">
        <f t="shared" si="13"/>
        <v>294714.36800000002</v>
      </c>
      <c r="AI32" s="149">
        <f t="shared" si="13"/>
        <v>0</v>
      </c>
      <c r="AJ32" s="149">
        <f t="shared" si="13"/>
        <v>0</v>
      </c>
      <c r="AK32" s="149">
        <f t="shared" ref="AK32:BP32" si="14">AK10*AK22</f>
        <v>0</v>
      </c>
      <c r="AL32" s="149">
        <f t="shared" si="14"/>
        <v>0</v>
      </c>
      <c r="AM32" s="149">
        <f t="shared" si="14"/>
        <v>0</v>
      </c>
      <c r="AN32" s="149">
        <f t="shared" si="14"/>
        <v>0</v>
      </c>
      <c r="AO32" s="149">
        <f t="shared" si="14"/>
        <v>0</v>
      </c>
      <c r="AP32" s="149">
        <f t="shared" si="14"/>
        <v>0</v>
      </c>
      <c r="AQ32" s="149">
        <f t="shared" si="14"/>
        <v>0</v>
      </c>
      <c r="AR32" s="149">
        <f t="shared" si="14"/>
        <v>0</v>
      </c>
      <c r="AS32" s="149">
        <f t="shared" si="14"/>
        <v>0</v>
      </c>
      <c r="AT32" s="149">
        <f t="shared" si="14"/>
        <v>306502.94272000005</v>
      </c>
      <c r="AU32" s="149">
        <f t="shared" si="14"/>
        <v>0</v>
      </c>
      <c r="AV32" s="149">
        <f t="shared" si="14"/>
        <v>0</v>
      </c>
      <c r="AW32" s="149">
        <f t="shared" si="14"/>
        <v>0</v>
      </c>
      <c r="AX32" s="149">
        <f t="shared" si="14"/>
        <v>0</v>
      </c>
      <c r="AY32" s="149">
        <f t="shared" si="14"/>
        <v>0</v>
      </c>
      <c r="AZ32" s="149">
        <f t="shared" si="14"/>
        <v>0</v>
      </c>
      <c r="BA32" s="149">
        <f t="shared" si="14"/>
        <v>0</v>
      </c>
      <c r="BB32" s="149">
        <f t="shared" si="14"/>
        <v>0</v>
      </c>
      <c r="BC32" s="149">
        <f t="shared" si="14"/>
        <v>0</v>
      </c>
      <c r="BD32" s="149">
        <f t="shared" si="14"/>
        <v>0</v>
      </c>
      <c r="BE32" s="149">
        <f t="shared" si="14"/>
        <v>0</v>
      </c>
      <c r="BF32" s="149">
        <f t="shared" si="14"/>
        <v>318763.06042880006</v>
      </c>
      <c r="BG32" s="149">
        <f t="shared" si="14"/>
        <v>0</v>
      </c>
      <c r="BH32" s="149">
        <f t="shared" si="14"/>
        <v>0</v>
      </c>
      <c r="BI32" s="149">
        <f t="shared" si="14"/>
        <v>0</v>
      </c>
      <c r="BJ32" s="149">
        <f t="shared" si="14"/>
        <v>0</v>
      </c>
      <c r="BK32" s="149">
        <f t="shared" si="14"/>
        <v>0</v>
      </c>
      <c r="BL32" s="149">
        <f t="shared" si="14"/>
        <v>0</v>
      </c>
      <c r="BM32" s="149">
        <f t="shared" si="14"/>
        <v>0</v>
      </c>
      <c r="BN32" s="149">
        <f t="shared" si="14"/>
        <v>0</v>
      </c>
      <c r="BO32" s="149">
        <f t="shared" si="14"/>
        <v>0</v>
      </c>
      <c r="BP32" s="149">
        <f t="shared" si="14"/>
        <v>0</v>
      </c>
      <c r="BQ32" s="149">
        <f t="shared" ref="BQ32:CV32" si="15">BQ10*BQ22</f>
        <v>0</v>
      </c>
      <c r="BR32" s="149">
        <f t="shared" si="15"/>
        <v>331513.58284595207</v>
      </c>
      <c r="BS32" s="149">
        <f t="shared" si="15"/>
        <v>0</v>
      </c>
      <c r="BT32" s="149">
        <f t="shared" si="15"/>
        <v>0</v>
      </c>
      <c r="BU32" s="149">
        <f t="shared" si="15"/>
        <v>0</v>
      </c>
      <c r="BV32" s="149">
        <f t="shared" si="15"/>
        <v>0</v>
      </c>
      <c r="BW32" s="149">
        <f t="shared" si="15"/>
        <v>0</v>
      </c>
      <c r="BX32" s="149">
        <f t="shared" si="15"/>
        <v>0</v>
      </c>
      <c r="BY32" s="149">
        <f t="shared" si="15"/>
        <v>0</v>
      </c>
      <c r="BZ32" s="149">
        <f t="shared" si="15"/>
        <v>0</v>
      </c>
      <c r="CA32" s="149">
        <f t="shared" si="15"/>
        <v>0</v>
      </c>
      <c r="CB32" s="149">
        <f t="shared" si="15"/>
        <v>0</v>
      </c>
      <c r="CC32" s="149">
        <f t="shared" si="15"/>
        <v>0</v>
      </c>
      <c r="CD32" s="149">
        <f t="shared" si="15"/>
        <v>344774.12615979015</v>
      </c>
      <c r="CE32" s="149">
        <f t="shared" si="15"/>
        <v>0</v>
      </c>
      <c r="CF32" s="149">
        <f t="shared" si="15"/>
        <v>0</v>
      </c>
      <c r="CG32" s="149">
        <f t="shared" si="15"/>
        <v>0</v>
      </c>
      <c r="CH32" s="149">
        <f t="shared" si="15"/>
        <v>0</v>
      </c>
      <c r="CI32" s="149">
        <f t="shared" si="15"/>
        <v>0</v>
      </c>
      <c r="CJ32" s="149">
        <f t="shared" si="15"/>
        <v>0</v>
      </c>
      <c r="CK32" s="149">
        <f t="shared" si="15"/>
        <v>0</v>
      </c>
      <c r="CL32" s="149">
        <f t="shared" si="15"/>
        <v>0</v>
      </c>
      <c r="CM32" s="149">
        <f t="shared" si="15"/>
        <v>0</v>
      </c>
      <c r="CN32" s="149">
        <f t="shared" si="15"/>
        <v>0</v>
      </c>
      <c r="CO32" s="149">
        <f t="shared" si="15"/>
        <v>0</v>
      </c>
      <c r="CP32" s="149">
        <f t="shared" si="15"/>
        <v>358565.09120618174</v>
      </c>
      <c r="CQ32" s="149">
        <f t="shared" si="15"/>
        <v>0</v>
      </c>
      <c r="CR32" s="149">
        <f t="shared" si="15"/>
        <v>0</v>
      </c>
      <c r="CS32" s="149">
        <f t="shared" si="15"/>
        <v>0</v>
      </c>
      <c r="CT32" s="149">
        <f t="shared" si="15"/>
        <v>0</v>
      </c>
      <c r="CU32" s="149">
        <f t="shared" si="15"/>
        <v>0</v>
      </c>
      <c r="CV32" s="149">
        <f t="shared" si="15"/>
        <v>0</v>
      </c>
      <c r="CW32" s="149">
        <f t="shared" ref="CW32:DB32" si="16">CW10*CW22</f>
        <v>0</v>
      </c>
      <c r="CX32" s="149">
        <f t="shared" si="16"/>
        <v>0</v>
      </c>
      <c r="CY32" s="149">
        <f t="shared" si="16"/>
        <v>0</v>
      </c>
      <c r="CZ32" s="149">
        <f t="shared" si="16"/>
        <v>0</v>
      </c>
      <c r="DA32" s="149">
        <f t="shared" si="16"/>
        <v>0</v>
      </c>
      <c r="DB32" s="149">
        <f t="shared" si="16"/>
        <v>372907.69485442899</v>
      </c>
    </row>
    <row r="33" spans="1:106">
      <c r="A33" s="195" t="str">
        <f>A25</f>
        <v>Official email-ID subscription</v>
      </c>
      <c r="B33" s="196" t="s">
        <v>472</v>
      </c>
      <c r="C33" s="196" t="s">
        <v>473</v>
      </c>
      <c r="D33" s="196" t="s">
        <v>238</v>
      </c>
      <c r="E33" s="149">
        <f t="shared" ref="E33:AJ33" si="17">E13*E25</f>
        <v>9360</v>
      </c>
      <c r="F33" s="149">
        <f t="shared" si="17"/>
        <v>9360</v>
      </c>
      <c r="G33" s="149">
        <f t="shared" si="17"/>
        <v>9360</v>
      </c>
      <c r="H33" s="149">
        <f t="shared" si="17"/>
        <v>9360</v>
      </c>
      <c r="I33" s="149">
        <f t="shared" si="17"/>
        <v>9360</v>
      </c>
      <c r="J33" s="149">
        <f t="shared" si="17"/>
        <v>9360</v>
      </c>
      <c r="K33" s="149">
        <f t="shared" si="17"/>
        <v>9360</v>
      </c>
      <c r="L33" s="149">
        <f t="shared" si="17"/>
        <v>9360</v>
      </c>
      <c r="M33" s="149">
        <f t="shared" si="17"/>
        <v>9360</v>
      </c>
      <c r="N33" s="149">
        <f t="shared" si="17"/>
        <v>9360</v>
      </c>
      <c r="O33" s="149">
        <f t="shared" si="17"/>
        <v>9734.4</v>
      </c>
      <c r="P33" s="149">
        <f t="shared" si="17"/>
        <v>9734.4</v>
      </c>
      <c r="Q33" s="149">
        <f t="shared" si="17"/>
        <v>7030.4</v>
      </c>
      <c r="R33" s="149">
        <f t="shared" si="17"/>
        <v>7030.4</v>
      </c>
      <c r="S33" s="149">
        <f t="shared" si="17"/>
        <v>7030.4</v>
      </c>
      <c r="T33" s="149">
        <f t="shared" si="17"/>
        <v>7030.4</v>
      </c>
      <c r="U33" s="149">
        <f t="shared" si="17"/>
        <v>7030.4</v>
      </c>
      <c r="V33" s="149">
        <f t="shared" si="17"/>
        <v>7030.4</v>
      </c>
      <c r="W33" s="149">
        <f t="shared" si="17"/>
        <v>7030.4</v>
      </c>
      <c r="X33" s="149">
        <f t="shared" si="17"/>
        <v>7030.4</v>
      </c>
      <c r="Y33" s="149">
        <f t="shared" si="17"/>
        <v>7030.4</v>
      </c>
      <c r="Z33" s="149">
        <f t="shared" si="17"/>
        <v>7030.4</v>
      </c>
      <c r="AA33" s="149">
        <f t="shared" si="17"/>
        <v>7311.616</v>
      </c>
      <c r="AB33" s="149">
        <f t="shared" si="17"/>
        <v>7311.616</v>
      </c>
      <c r="AC33" s="149">
        <f t="shared" si="17"/>
        <v>7311.616</v>
      </c>
      <c r="AD33" s="149">
        <f t="shared" si="17"/>
        <v>7311.616</v>
      </c>
      <c r="AE33" s="149">
        <f t="shared" si="17"/>
        <v>7311.616</v>
      </c>
      <c r="AF33" s="149">
        <f t="shared" si="17"/>
        <v>7311.616</v>
      </c>
      <c r="AG33" s="149">
        <f t="shared" si="17"/>
        <v>7311.616</v>
      </c>
      <c r="AH33" s="149">
        <f t="shared" si="17"/>
        <v>7311.616</v>
      </c>
      <c r="AI33" s="149">
        <f t="shared" si="17"/>
        <v>7311.616</v>
      </c>
      <c r="AJ33" s="149">
        <f t="shared" si="17"/>
        <v>7311.616</v>
      </c>
      <c r="AK33" s="149">
        <f t="shared" ref="AK33:BP33" si="18">AK13*AK25</f>
        <v>7311.616</v>
      </c>
      <c r="AL33" s="149">
        <f t="shared" si="18"/>
        <v>7311.616</v>
      </c>
      <c r="AM33" s="149">
        <f t="shared" si="18"/>
        <v>7604.080640000001</v>
      </c>
      <c r="AN33" s="149">
        <f t="shared" si="18"/>
        <v>7604.080640000001</v>
      </c>
      <c r="AO33" s="149">
        <f t="shared" si="18"/>
        <v>7604.080640000001</v>
      </c>
      <c r="AP33" s="149">
        <f t="shared" si="18"/>
        <v>7604.080640000001</v>
      </c>
      <c r="AQ33" s="149">
        <f t="shared" si="18"/>
        <v>7604.080640000001</v>
      </c>
      <c r="AR33" s="149">
        <f t="shared" si="18"/>
        <v>7604.080640000001</v>
      </c>
      <c r="AS33" s="149">
        <f t="shared" si="18"/>
        <v>7604.080640000001</v>
      </c>
      <c r="AT33" s="149">
        <f t="shared" si="18"/>
        <v>7604.080640000001</v>
      </c>
      <c r="AU33" s="149">
        <f t="shared" si="18"/>
        <v>7604.080640000001</v>
      </c>
      <c r="AV33" s="149">
        <f t="shared" si="18"/>
        <v>7604.080640000001</v>
      </c>
      <c r="AW33" s="149">
        <f t="shared" si="18"/>
        <v>7604.080640000001</v>
      </c>
      <c r="AX33" s="149">
        <f t="shared" si="18"/>
        <v>7604.080640000001</v>
      </c>
      <c r="AY33" s="149">
        <f t="shared" si="18"/>
        <v>7908.2438656000013</v>
      </c>
      <c r="AZ33" s="149">
        <f t="shared" si="18"/>
        <v>7908.2438656000013</v>
      </c>
      <c r="BA33" s="149">
        <f t="shared" si="18"/>
        <v>7908.2438656000013</v>
      </c>
      <c r="BB33" s="149">
        <f t="shared" si="18"/>
        <v>7908.2438656000013</v>
      </c>
      <c r="BC33" s="149">
        <f t="shared" si="18"/>
        <v>7908.2438656000013</v>
      </c>
      <c r="BD33" s="149">
        <f t="shared" si="18"/>
        <v>7908.2438656000013</v>
      </c>
      <c r="BE33" s="149">
        <f t="shared" si="18"/>
        <v>7908.2438656000013</v>
      </c>
      <c r="BF33" s="149">
        <f t="shared" si="18"/>
        <v>7908.2438656000013</v>
      </c>
      <c r="BG33" s="149">
        <f t="shared" si="18"/>
        <v>7908.2438656000013</v>
      </c>
      <c r="BH33" s="149">
        <f t="shared" si="18"/>
        <v>7908.2438656000013</v>
      </c>
      <c r="BI33" s="149">
        <f t="shared" si="18"/>
        <v>7908.2438656000013</v>
      </c>
      <c r="BJ33" s="149">
        <f t="shared" si="18"/>
        <v>7908.2438656000013</v>
      </c>
      <c r="BK33" s="149">
        <f t="shared" si="18"/>
        <v>8224.5736202240005</v>
      </c>
      <c r="BL33" s="149">
        <f t="shared" si="18"/>
        <v>8224.5736202240005</v>
      </c>
      <c r="BM33" s="149">
        <f t="shared" si="18"/>
        <v>8224.5736202240005</v>
      </c>
      <c r="BN33" s="149">
        <f t="shared" si="18"/>
        <v>8224.5736202240005</v>
      </c>
      <c r="BO33" s="149">
        <f t="shared" si="18"/>
        <v>8224.5736202240005</v>
      </c>
      <c r="BP33" s="149">
        <f t="shared" si="18"/>
        <v>8224.5736202240005</v>
      </c>
      <c r="BQ33" s="149">
        <f t="shared" ref="BQ33:CV33" si="19">BQ13*BQ25</f>
        <v>8224.5736202240005</v>
      </c>
      <c r="BR33" s="149">
        <f t="shared" si="19"/>
        <v>8224.5736202240005</v>
      </c>
      <c r="BS33" s="149">
        <f t="shared" si="19"/>
        <v>8224.5736202240005</v>
      </c>
      <c r="BT33" s="149">
        <f t="shared" si="19"/>
        <v>8224.5736202240005</v>
      </c>
      <c r="BU33" s="149">
        <f t="shared" si="19"/>
        <v>8224.5736202240005</v>
      </c>
      <c r="BV33" s="149">
        <f t="shared" si="19"/>
        <v>8224.5736202240005</v>
      </c>
      <c r="BW33" s="149">
        <f t="shared" si="19"/>
        <v>8553.5565650329609</v>
      </c>
      <c r="BX33" s="149">
        <f t="shared" si="19"/>
        <v>8553.5565650329609</v>
      </c>
      <c r="BY33" s="149">
        <f t="shared" si="19"/>
        <v>8553.5565650329609</v>
      </c>
      <c r="BZ33" s="149">
        <f t="shared" si="19"/>
        <v>8553.5565650329609</v>
      </c>
      <c r="CA33" s="149">
        <f t="shared" si="19"/>
        <v>8553.5565650329609</v>
      </c>
      <c r="CB33" s="149">
        <f t="shared" si="19"/>
        <v>8553.5565650329609</v>
      </c>
      <c r="CC33" s="149">
        <f t="shared" si="19"/>
        <v>8553.5565650329609</v>
      </c>
      <c r="CD33" s="149">
        <f t="shared" si="19"/>
        <v>8553.5565650329609</v>
      </c>
      <c r="CE33" s="149">
        <f t="shared" si="19"/>
        <v>8553.5565650329609</v>
      </c>
      <c r="CF33" s="149">
        <f t="shared" si="19"/>
        <v>8553.5565650329609</v>
      </c>
      <c r="CG33" s="149">
        <f t="shared" si="19"/>
        <v>8553.5565650329609</v>
      </c>
      <c r="CH33" s="149">
        <f t="shared" si="19"/>
        <v>8553.5565650329609</v>
      </c>
      <c r="CI33" s="149">
        <f t="shared" si="19"/>
        <v>8895.69882763428</v>
      </c>
      <c r="CJ33" s="149">
        <f t="shared" si="19"/>
        <v>8895.69882763428</v>
      </c>
      <c r="CK33" s="149">
        <f t="shared" si="19"/>
        <v>8895.69882763428</v>
      </c>
      <c r="CL33" s="149">
        <f t="shared" si="19"/>
        <v>8895.69882763428</v>
      </c>
      <c r="CM33" s="149">
        <f t="shared" si="19"/>
        <v>8895.69882763428</v>
      </c>
      <c r="CN33" s="149">
        <f t="shared" si="19"/>
        <v>8895.69882763428</v>
      </c>
      <c r="CO33" s="149">
        <f t="shared" si="19"/>
        <v>8895.69882763428</v>
      </c>
      <c r="CP33" s="149">
        <f t="shared" si="19"/>
        <v>8895.69882763428</v>
      </c>
      <c r="CQ33" s="149">
        <f t="shared" si="19"/>
        <v>8895.69882763428</v>
      </c>
      <c r="CR33" s="149">
        <f t="shared" si="19"/>
        <v>8895.69882763428</v>
      </c>
      <c r="CS33" s="149">
        <f t="shared" si="19"/>
        <v>8895.69882763428</v>
      </c>
      <c r="CT33" s="149">
        <f t="shared" si="19"/>
        <v>8895.69882763428</v>
      </c>
      <c r="CU33" s="149">
        <f t="shared" si="19"/>
        <v>9251.5267807396522</v>
      </c>
      <c r="CV33" s="149">
        <f t="shared" si="19"/>
        <v>9251.5267807396522</v>
      </c>
      <c r="CW33" s="149">
        <f t="shared" ref="CW33:DB33" si="20">CW13*CW25</f>
        <v>9251.5267807396522</v>
      </c>
      <c r="CX33" s="149">
        <f t="shared" si="20"/>
        <v>9251.5267807396522</v>
      </c>
      <c r="CY33" s="149">
        <f t="shared" si="20"/>
        <v>9251.5267807396522</v>
      </c>
      <c r="CZ33" s="149">
        <f t="shared" si="20"/>
        <v>9251.5267807396522</v>
      </c>
      <c r="DA33" s="149">
        <f t="shared" si="20"/>
        <v>9251.5267807396522</v>
      </c>
      <c r="DB33" s="149">
        <f t="shared" si="20"/>
        <v>9251.5267807396522</v>
      </c>
    </row>
    <row r="34" spans="1:106">
      <c r="A34" s="195" t="str">
        <f>A26</f>
        <v>AMC Cost of HR Software, Tally Software, CCTV</v>
      </c>
      <c r="B34" s="196" t="s">
        <v>472</v>
      </c>
      <c r="C34" s="196" t="s">
        <v>471</v>
      </c>
      <c r="D34" s="196" t="s">
        <v>238</v>
      </c>
      <c r="E34" s="149">
        <f t="shared" ref="E34:AJ34" si="21">E16*E26</f>
        <v>12272</v>
      </c>
      <c r="F34" s="149">
        <f t="shared" si="21"/>
        <v>12272</v>
      </c>
      <c r="G34" s="149">
        <f t="shared" si="21"/>
        <v>12272</v>
      </c>
      <c r="H34" s="149">
        <f t="shared" si="21"/>
        <v>12272</v>
      </c>
      <c r="I34" s="149">
        <f t="shared" si="21"/>
        <v>12272</v>
      </c>
      <c r="J34" s="149">
        <f t="shared" si="21"/>
        <v>12272</v>
      </c>
      <c r="K34" s="149">
        <f t="shared" si="21"/>
        <v>12272</v>
      </c>
      <c r="L34" s="149">
        <f t="shared" si="21"/>
        <v>12272</v>
      </c>
      <c r="M34" s="149">
        <f t="shared" si="21"/>
        <v>12272</v>
      </c>
      <c r="N34" s="149">
        <f t="shared" si="21"/>
        <v>12272</v>
      </c>
      <c r="O34" s="149">
        <f t="shared" si="21"/>
        <v>12762.880000000001</v>
      </c>
      <c r="P34" s="149">
        <f t="shared" si="21"/>
        <v>12762.880000000001</v>
      </c>
      <c r="Q34" s="149">
        <f t="shared" si="21"/>
        <v>12762.880000000001</v>
      </c>
      <c r="R34" s="149">
        <f t="shared" si="21"/>
        <v>12762.880000000001</v>
      </c>
      <c r="S34" s="149">
        <f t="shared" si="21"/>
        <v>12762.880000000001</v>
      </c>
      <c r="T34" s="149">
        <f t="shared" si="21"/>
        <v>12762.880000000001</v>
      </c>
      <c r="U34" s="149">
        <f t="shared" si="21"/>
        <v>12762.880000000001</v>
      </c>
      <c r="V34" s="149">
        <f t="shared" si="21"/>
        <v>12762.880000000001</v>
      </c>
      <c r="W34" s="149">
        <f t="shared" si="21"/>
        <v>12762.880000000001</v>
      </c>
      <c r="X34" s="149">
        <f t="shared" si="21"/>
        <v>12762.880000000001</v>
      </c>
      <c r="Y34" s="149">
        <f t="shared" si="21"/>
        <v>12762.880000000001</v>
      </c>
      <c r="Z34" s="149">
        <f t="shared" si="21"/>
        <v>12762.880000000001</v>
      </c>
      <c r="AA34" s="149">
        <f t="shared" si="21"/>
        <v>13273.395200000001</v>
      </c>
      <c r="AB34" s="149">
        <f t="shared" si="21"/>
        <v>13273.395200000001</v>
      </c>
      <c r="AC34" s="149">
        <f t="shared" si="21"/>
        <v>13273.395200000001</v>
      </c>
      <c r="AD34" s="149">
        <f t="shared" si="21"/>
        <v>13273.395200000001</v>
      </c>
      <c r="AE34" s="149">
        <f t="shared" si="21"/>
        <v>13273.395200000001</v>
      </c>
      <c r="AF34" s="149">
        <f t="shared" si="21"/>
        <v>13273.395200000001</v>
      </c>
      <c r="AG34" s="149">
        <f t="shared" si="21"/>
        <v>13273.395200000001</v>
      </c>
      <c r="AH34" s="149">
        <f t="shared" si="21"/>
        <v>13273.395200000001</v>
      </c>
      <c r="AI34" s="149">
        <f t="shared" si="21"/>
        <v>13273.395200000001</v>
      </c>
      <c r="AJ34" s="149">
        <f t="shared" si="21"/>
        <v>13273.395200000001</v>
      </c>
      <c r="AK34" s="149">
        <f t="shared" ref="AK34:BP34" si="22">AK16*AK26</f>
        <v>13273.395200000001</v>
      </c>
      <c r="AL34" s="149">
        <f t="shared" si="22"/>
        <v>13273.395200000001</v>
      </c>
      <c r="AM34" s="149">
        <f t="shared" si="22"/>
        <v>13804.331008000001</v>
      </c>
      <c r="AN34" s="149">
        <f t="shared" si="22"/>
        <v>13804.331008000001</v>
      </c>
      <c r="AO34" s="149">
        <f t="shared" si="22"/>
        <v>13804.331008000001</v>
      </c>
      <c r="AP34" s="149">
        <f t="shared" si="22"/>
        <v>13804.331008000001</v>
      </c>
      <c r="AQ34" s="149">
        <f t="shared" si="22"/>
        <v>13804.331008000001</v>
      </c>
      <c r="AR34" s="149">
        <f t="shared" si="22"/>
        <v>13804.331008000001</v>
      </c>
      <c r="AS34" s="149">
        <f t="shared" si="22"/>
        <v>13804.331008000001</v>
      </c>
      <c r="AT34" s="149">
        <f t="shared" si="22"/>
        <v>13804.331008000001</v>
      </c>
      <c r="AU34" s="149">
        <f t="shared" si="22"/>
        <v>13804.331008000001</v>
      </c>
      <c r="AV34" s="149">
        <f t="shared" si="22"/>
        <v>13804.331008000001</v>
      </c>
      <c r="AW34" s="149">
        <f t="shared" si="22"/>
        <v>13804.331008000001</v>
      </c>
      <c r="AX34" s="149">
        <f t="shared" si="22"/>
        <v>13804.331008000001</v>
      </c>
      <c r="AY34" s="149">
        <f t="shared" si="22"/>
        <v>14356.504248320001</v>
      </c>
      <c r="AZ34" s="149">
        <f t="shared" si="22"/>
        <v>14356.504248320001</v>
      </c>
      <c r="BA34" s="149">
        <f t="shared" si="22"/>
        <v>14356.504248320001</v>
      </c>
      <c r="BB34" s="149">
        <f t="shared" si="22"/>
        <v>14356.504248320001</v>
      </c>
      <c r="BC34" s="149">
        <f t="shared" si="22"/>
        <v>14356.504248320001</v>
      </c>
      <c r="BD34" s="149">
        <f t="shared" si="22"/>
        <v>14356.504248320001</v>
      </c>
      <c r="BE34" s="149">
        <f t="shared" si="22"/>
        <v>14356.504248320001</v>
      </c>
      <c r="BF34" s="149">
        <f t="shared" si="22"/>
        <v>14356.504248320001</v>
      </c>
      <c r="BG34" s="149">
        <f t="shared" si="22"/>
        <v>14356.504248320001</v>
      </c>
      <c r="BH34" s="149">
        <f t="shared" si="22"/>
        <v>14356.504248320001</v>
      </c>
      <c r="BI34" s="149">
        <f t="shared" si="22"/>
        <v>14356.504248320001</v>
      </c>
      <c r="BJ34" s="149">
        <f t="shared" si="22"/>
        <v>14356.504248320001</v>
      </c>
      <c r="BK34" s="149">
        <f t="shared" si="22"/>
        <v>14930.764418252802</v>
      </c>
      <c r="BL34" s="149">
        <f t="shared" si="22"/>
        <v>14930.764418252802</v>
      </c>
      <c r="BM34" s="149">
        <f t="shared" si="22"/>
        <v>14930.764418252802</v>
      </c>
      <c r="BN34" s="149">
        <f t="shared" si="22"/>
        <v>14930.764418252802</v>
      </c>
      <c r="BO34" s="149">
        <f t="shared" si="22"/>
        <v>14930.764418252802</v>
      </c>
      <c r="BP34" s="149">
        <f t="shared" si="22"/>
        <v>14930.764418252802</v>
      </c>
      <c r="BQ34" s="149">
        <f t="shared" ref="BQ34:CV34" si="23">BQ16*BQ26</f>
        <v>14930.764418252802</v>
      </c>
      <c r="BR34" s="149">
        <f t="shared" si="23"/>
        <v>14930.764418252802</v>
      </c>
      <c r="BS34" s="149">
        <f t="shared" si="23"/>
        <v>14930.764418252802</v>
      </c>
      <c r="BT34" s="149">
        <f t="shared" si="23"/>
        <v>14930.764418252802</v>
      </c>
      <c r="BU34" s="149">
        <f t="shared" si="23"/>
        <v>14930.764418252802</v>
      </c>
      <c r="BV34" s="149">
        <f t="shared" si="23"/>
        <v>14930.764418252802</v>
      </c>
      <c r="BW34" s="149">
        <f t="shared" si="23"/>
        <v>15527.994994982915</v>
      </c>
      <c r="BX34" s="149">
        <f t="shared" si="23"/>
        <v>15527.994994982915</v>
      </c>
      <c r="BY34" s="149">
        <f t="shared" si="23"/>
        <v>15527.994994982915</v>
      </c>
      <c r="BZ34" s="149">
        <f t="shared" si="23"/>
        <v>15527.994994982915</v>
      </c>
      <c r="CA34" s="149">
        <f t="shared" si="23"/>
        <v>15527.994994982915</v>
      </c>
      <c r="CB34" s="149">
        <f t="shared" si="23"/>
        <v>15527.994994982915</v>
      </c>
      <c r="CC34" s="149">
        <f t="shared" si="23"/>
        <v>15527.994994982915</v>
      </c>
      <c r="CD34" s="149">
        <f t="shared" si="23"/>
        <v>15527.994994982915</v>
      </c>
      <c r="CE34" s="149">
        <f t="shared" si="23"/>
        <v>15527.994994982915</v>
      </c>
      <c r="CF34" s="149">
        <f t="shared" si="23"/>
        <v>15527.994994982915</v>
      </c>
      <c r="CG34" s="149">
        <f t="shared" si="23"/>
        <v>15527.994994982915</v>
      </c>
      <c r="CH34" s="149">
        <f t="shared" si="23"/>
        <v>15527.994994982915</v>
      </c>
      <c r="CI34" s="149">
        <f t="shared" si="23"/>
        <v>16149.114794782232</v>
      </c>
      <c r="CJ34" s="149">
        <f t="shared" si="23"/>
        <v>16149.114794782232</v>
      </c>
      <c r="CK34" s="149">
        <f t="shared" si="23"/>
        <v>16149.114794782232</v>
      </c>
      <c r="CL34" s="149">
        <f t="shared" si="23"/>
        <v>16149.114794782232</v>
      </c>
      <c r="CM34" s="149">
        <f t="shared" si="23"/>
        <v>16149.114794782232</v>
      </c>
      <c r="CN34" s="149">
        <f t="shared" si="23"/>
        <v>16149.114794782232</v>
      </c>
      <c r="CO34" s="149">
        <f t="shared" si="23"/>
        <v>16149.114794782232</v>
      </c>
      <c r="CP34" s="149">
        <f t="shared" si="23"/>
        <v>16149.114794782232</v>
      </c>
      <c r="CQ34" s="149">
        <f t="shared" si="23"/>
        <v>16149.114794782232</v>
      </c>
      <c r="CR34" s="149">
        <f t="shared" si="23"/>
        <v>16149.114794782232</v>
      </c>
      <c r="CS34" s="149">
        <f t="shared" si="23"/>
        <v>16149.114794782232</v>
      </c>
      <c r="CT34" s="149">
        <f t="shared" si="23"/>
        <v>16149.114794782232</v>
      </c>
      <c r="CU34" s="149">
        <f t="shared" si="23"/>
        <v>16795.079386573521</v>
      </c>
      <c r="CV34" s="149">
        <f t="shared" si="23"/>
        <v>16795.079386573521</v>
      </c>
      <c r="CW34" s="149">
        <f t="shared" ref="CW34:DB34" si="24">CW16*CW26</f>
        <v>16795.079386573521</v>
      </c>
      <c r="CX34" s="149">
        <f t="shared" si="24"/>
        <v>16795.079386573521</v>
      </c>
      <c r="CY34" s="149">
        <f t="shared" si="24"/>
        <v>16795.079386573521</v>
      </c>
      <c r="CZ34" s="149">
        <f t="shared" si="24"/>
        <v>16795.079386573521</v>
      </c>
      <c r="DA34" s="149">
        <f t="shared" si="24"/>
        <v>16795.079386573521</v>
      </c>
      <c r="DB34" s="149">
        <f t="shared" si="24"/>
        <v>16795.079386573521</v>
      </c>
    </row>
    <row r="35" spans="1:106">
      <c r="A35" s="195" t="str">
        <f>A27</f>
        <v>Desktop Rentals</v>
      </c>
      <c r="B35" s="196" t="s">
        <v>472</v>
      </c>
      <c r="C35" s="196" t="s">
        <v>471</v>
      </c>
      <c r="D35" s="196" t="s">
        <v>238</v>
      </c>
      <c r="E35" s="149">
        <f t="shared" ref="E35:AJ35" si="25">E17*E27</f>
        <v>39816</v>
      </c>
      <c r="F35" s="149">
        <f t="shared" si="25"/>
        <v>39816</v>
      </c>
      <c r="G35" s="149">
        <f t="shared" si="25"/>
        <v>39816</v>
      </c>
      <c r="H35" s="149">
        <f t="shared" si="25"/>
        <v>39816</v>
      </c>
      <c r="I35" s="149">
        <f t="shared" si="25"/>
        <v>39816</v>
      </c>
      <c r="J35" s="149">
        <f t="shared" si="25"/>
        <v>39816</v>
      </c>
      <c r="K35" s="149">
        <f t="shared" si="25"/>
        <v>39816</v>
      </c>
      <c r="L35" s="149">
        <f t="shared" si="25"/>
        <v>39816</v>
      </c>
      <c r="M35" s="149">
        <f t="shared" si="25"/>
        <v>39816</v>
      </c>
      <c r="N35" s="149">
        <f t="shared" si="25"/>
        <v>39816</v>
      </c>
      <c r="O35" s="149">
        <f t="shared" si="25"/>
        <v>41408.639999999999</v>
      </c>
      <c r="P35" s="149">
        <f t="shared" si="25"/>
        <v>41408.639999999999</v>
      </c>
      <c r="Q35" s="149">
        <f t="shared" si="25"/>
        <v>23408.639999999999</v>
      </c>
      <c r="R35" s="149">
        <f t="shared" si="25"/>
        <v>23408.639999999999</v>
      </c>
      <c r="S35" s="149">
        <f t="shared" si="25"/>
        <v>23408.639999999999</v>
      </c>
      <c r="T35" s="149">
        <f t="shared" si="25"/>
        <v>23408.639999999999</v>
      </c>
      <c r="U35" s="149">
        <f t="shared" si="25"/>
        <v>23408.639999999999</v>
      </c>
      <c r="V35" s="149">
        <f t="shared" si="25"/>
        <v>23408.639999999999</v>
      </c>
      <c r="W35" s="149">
        <f t="shared" si="25"/>
        <v>23408.639999999999</v>
      </c>
      <c r="X35" s="149">
        <f t="shared" si="25"/>
        <v>23408.639999999999</v>
      </c>
      <c r="Y35" s="149">
        <f t="shared" si="25"/>
        <v>23408.639999999999</v>
      </c>
      <c r="Z35" s="149">
        <f t="shared" si="25"/>
        <v>23408.639999999999</v>
      </c>
      <c r="AA35" s="149">
        <f t="shared" si="25"/>
        <v>24344.9856</v>
      </c>
      <c r="AB35" s="149">
        <f t="shared" si="25"/>
        <v>24344.9856</v>
      </c>
      <c r="AC35" s="149">
        <f t="shared" si="25"/>
        <v>24344.9856</v>
      </c>
      <c r="AD35" s="149">
        <f t="shared" si="25"/>
        <v>24344.9856</v>
      </c>
      <c r="AE35" s="149">
        <f t="shared" si="25"/>
        <v>24344.9856</v>
      </c>
      <c r="AF35" s="149">
        <f t="shared" si="25"/>
        <v>24344.9856</v>
      </c>
      <c r="AG35" s="149">
        <f t="shared" si="25"/>
        <v>24344.9856</v>
      </c>
      <c r="AH35" s="149">
        <f t="shared" si="25"/>
        <v>24344.9856</v>
      </c>
      <c r="AI35" s="149">
        <f t="shared" si="25"/>
        <v>24344.9856</v>
      </c>
      <c r="AJ35" s="149">
        <f t="shared" si="25"/>
        <v>24344.9856</v>
      </c>
      <c r="AK35" s="149">
        <f t="shared" ref="AK35:BP35" si="26">AK17*AK27</f>
        <v>24344.9856</v>
      </c>
      <c r="AL35" s="149">
        <f t="shared" si="26"/>
        <v>24344.9856</v>
      </c>
      <c r="AM35" s="149">
        <f t="shared" si="26"/>
        <v>25318.785024000001</v>
      </c>
      <c r="AN35" s="149">
        <f t="shared" si="26"/>
        <v>25318.785024000001</v>
      </c>
      <c r="AO35" s="149">
        <f t="shared" si="26"/>
        <v>25318.785024000001</v>
      </c>
      <c r="AP35" s="149">
        <f t="shared" si="26"/>
        <v>25318.785024000001</v>
      </c>
      <c r="AQ35" s="149">
        <f t="shared" si="26"/>
        <v>25318.785024000001</v>
      </c>
      <c r="AR35" s="149">
        <f t="shared" si="26"/>
        <v>25318.785024000001</v>
      </c>
      <c r="AS35" s="149">
        <f t="shared" si="26"/>
        <v>25318.785024000001</v>
      </c>
      <c r="AT35" s="149">
        <f t="shared" si="26"/>
        <v>25318.785024000001</v>
      </c>
      <c r="AU35" s="149">
        <f t="shared" si="26"/>
        <v>25318.785024000001</v>
      </c>
      <c r="AV35" s="149">
        <f t="shared" si="26"/>
        <v>25318.785024000001</v>
      </c>
      <c r="AW35" s="149">
        <f t="shared" si="26"/>
        <v>25318.785024000001</v>
      </c>
      <c r="AX35" s="149">
        <f t="shared" si="26"/>
        <v>25318.785024000001</v>
      </c>
      <c r="AY35" s="149">
        <f t="shared" si="26"/>
        <v>26331.536424960002</v>
      </c>
      <c r="AZ35" s="149">
        <f t="shared" si="26"/>
        <v>26331.536424960002</v>
      </c>
      <c r="BA35" s="149">
        <f t="shared" si="26"/>
        <v>26331.536424960002</v>
      </c>
      <c r="BB35" s="149">
        <f t="shared" si="26"/>
        <v>26331.536424960002</v>
      </c>
      <c r="BC35" s="149">
        <f t="shared" si="26"/>
        <v>26331.536424960002</v>
      </c>
      <c r="BD35" s="149">
        <f t="shared" si="26"/>
        <v>26331.536424960002</v>
      </c>
      <c r="BE35" s="149">
        <f t="shared" si="26"/>
        <v>26331.536424960002</v>
      </c>
      <c r="BF35" s="149">
        <f t="shared" si="26"/>
        <v>26331.536424960002</v>
      </c>
      <c r="BG35" s="149">
        <f t="shared" si="26"/>
        <v>26331.536424960002</v>
      </c>
      <c r="BH35" s="149">
        <f t="shared" si="26"/>
        <v>26331.536424960002</v>
      </c>
      <c r="BI35" s="149">
        <f t="shared" si="26"/>
        <v>26331.536424960002</v>
      </c>
      <c r="BJ35" s="149">
        <f t="shared" si="26"/>
        <v>26331.536424960002</v>
      </c>
      <c r="BK35" s="149">
        <f t="shared" si="26"/>
        <v>27384.797881958402</v>
      </c>
      <c r="BL35" s="149">
        <f t="shared" si="26"/>
        <v>27384.797881958402</v>
      </c>
      <c r="BM35" s="149">
        <f t="shared" si="26"/>
        <v>27384.797881958402</v>
      </c>
      <c r="BN35" s="149">
        <f t="shared" si="26"/>
        <v>27384.797881958402</v>
      </c>
      <c r="BO35" s="149">
        <f t="shared" si="26"/>
        <v>27384.797881958402</v>
      </c>
      <c r="BP35" s="149">
        <f t="shared" si="26"/>
        <v>27384.797881958402</v>
      </c>
      <c r="BQ35" s="149">
        <f t="shared" ref="BQ35:CV35" si="27">BQ17*BQ27</f>
        <v>27384.797881958402</v>
      </c>
      <c r="BR35" s="149">
        <f t="shared" si="27"/>
        <v>27384.797881958402</v>
      </c>
      <c r="BS35" s="149">
        <f t="shared" si="27"/>
        <v>27384.797881958402</v>
      </c>
      <c r="BT35" s="149">
        <f t="shared" si="27"/>
        <v>27384.797881958402</v>
      </c>
      <c r="BU35" s="149">
        <f t="shared" si="27"/>
        <v>27384.797881958402</v>
      </c>
      <c r="BV35" s="149">
        <f t="shared" si="27"/>
        <v>27384.797881958402</v>
      </c>
      <c r="BW35" s="149">
        <f t="shared" si="27"/>
        <v>28480.189797236741</v>
      </c>
      <c r="BX35" s="149">
        <f t="shared" si="27"/>
        <v>28480.189797236741</v>
      </c>
      <c r="BY35" s="149">
        <f t="shared" si="27"/>
        <v>28480.189797236741</v>
      </c>
      <c r="BZ35" s="149">
        <f t="shared" si="27"/>
        <v>28480.189797236741</v>
      </c>
      <c r="CA35" s="149">
        <f t="shared" si="27"/>
        <v>28480.189797236741</v>
      </c>
      <c r="CB35" s="149">
        <f t="shared" si="27"/>
        <v>28480.189797236741</v>
      </c>
      <c r="CC35" s="149">
        <f t="shared" si="27"/>
        <v>28480.189797236741</v>
      </c>
      <c r="CD35" s="149">
        <f t="shared" si="27"/>
        <v>28480.189797236741</v>
      </c>
      <c r="CE35" s="149">
        <f t="shared" si="27"/>
        <v>28480.189797236741</v>
      </c>
      <c r="CF35" s="149">
        <f t="shared" si="27"/>
        <v>28480.189797236741</v>
      </c>
      <c r="CG35" s="149">
        <f t="shared" si="27"/>
        <v>28480.189797236741</v>
      </c>
      <c r="CH35" s="149">
        <f t="shared" si="27"/>
        <v>28480.189797236741</v>
      </c>
      <c r="CI35" s="149">
        <f t="shared" si="27"/>
        <v>29619.39738912621</v>
      </c>
      <c r="CJ35" s="149">
        <f t="shared" si="27"/>
        <v>29619.39738912621</v>
      </c>
      <c r="CK35" s="149">
        <f t="shared" si="27"/>
        <v>29619.39738912621</v>
      </c>
      <c r="CL35" s="149">
        <f t="shared" si="27"/>
        <v>29619.39738912621</v>
      </c>
      <c r="CM35" s="149">
        <f t="shared" si="27"/>
        <v>29619.39738912621</v>
      </c>
      <c r="CN35" s="149">
        <f t="shared" si="27"/>
        <v>29619.39738912621</v>
      </c>
      <c r="CO35" s="149">
        <f t="shared" si="27"/>
        <v>29619.39738912621</v>
      </c>
      <c r="CP35" s="149">
        <f t="shared" si="27"/>
        <v>29619.39738912621</v>
      </c>
      <c r="CQ35" s="149">
        <f t="shared" si="27"/>
        <v>29619.39738912621</v>
      </c>
      <c r="CR35" s="149">
        <f t="shared" si="27"/>
        <v>29619.39738912621</v>
      </c>
      <c r="CS35" s="149">
        <f t="shared" si="27"/>
        <v>29619.39738912621</v>
      </c>
      <c r="CT35" s="149">
        <f t="shared" si="27"/>
        <v>29619.39738912621</v>
      </c>
      <c r="CU35" s="149">
        <f t="shared" si="27"/>
        <v>30804.17328469126</v>
      </c>
      <c r="CV35" s="149">
        <f t="shared" si="27"/>
        <v>30804.17328469126</v>
      </c>
      <c r="CW35" s="149">
        <f t="shared" ref="CW35:DB35" si="28">CW17*CW27</f>
        <v>30804.17328469126</v>
      </c>
      <c r="CX35" s="149">
        <f t="shared" si="28"/>
        <v>30804.17328469126</v>
      </c>
      <c r="CY35" s="149">
        <f t="shared" si="28"/>
        <v>30804.17328469126</v>
      </c>
      <c r="CZ35" s="149">
        <f t="shared" si="28"/>
        <v>30804.17328469126</v>
      </c>
      <c r="DA35" s="149">
        <f t="shared" si="28"/>
        <v>30804.17328469126</v>
      </c>
      <c r="DB35" s="149">
        <f t="shared" si="28"/>
        <v>30804.17328469126</v>
      </c>
    </row>
    <row r="36" spans="1:106" ht="12.75" thickBot="1">
      <c r="A36" s="192" t="s">
        <v>470</v>
      </c>
      <c r="B36" s="196"/>
      <c r="C36" s="197"/>
      <c r="D36" s="198" t="s">
        <v>238</v>
      </c>
      <c r="E36" s="51">
        <f t="shared" ref="E36:AJ36" si="29">SUM(E29:E35)</f>
        <v>93089.306666666671</v>
      </c>
      <c r="F36" s="51">
        <f t="shared" si="29"/>
        <v>93089.306666666671</v>
      </c>
      <c r="G36" s="51">
        <f t="shared" si="29"/>
        <v>93089.306666666671</v>
      </c>
      <c r="H36" s="51">
        <f t="shared" si="29"/>
        <v>93089.306666666671</v>
      </c>
      <c r="I36" s="51">
        <f t="shared" si="29"/>
        <v>93089.306666666671</v>
      </c>
      <c r="J36" s="51">
        <f t="shared" si="29"/>
        <v>365569.30666666664</v>
      </c>
      <c r="K36" s="51">
        <f t="shared" si="29"/>
        <v>93089.306666666671</v>
      </c>
      <c r="L36" s="51">
        <f t="shared" si="29"/>
        <v>93089.306666666671</v>
      </c>
      <c r="M36" s="51">
        <f t="shared" si="29"/>
        <v>129905.30666666667</v>
      </c>
      <c r="N36" s="51">
        <f t="shared" si="29"/>
        <v>93089.306666666671</v>
      </c>
      <c r="O36" s="51">
        <f t="shared" si="29"/>
        <v>96812.878933333326</v>
      </c>
      <c r="P36" s="51">
        <f t="shared" si="29"/>
        <v>96812.878933333326</v>
      </c>
      <c r="Q36" s="51">
        <f t="shared" si="29"/>
        <v>76108.878933333326</v>
      </c>
      <c r="R36" s="51">
        <f t="shared" si="29"/>
        <v>76108.878933333326</v>
      </c>
      <c r="S36" s="51">
        <f t="shared" si="29"/>
        <v>76108.878933333326</v>
      </c>
      <c r="T36" s="51">
        <f t="shared" si="29"/>
        <v>76108.878933333326</v>
      </c>
      <c r="U36" s="51">
        <f t="shared" si="29"/>
        <v>76108.878933333326</v>
      </c>
      <c r="V36" s="51">
        <f t="shared" si="29"/>
        <v>359488.0789333334</v>
      </c>
      <c r="W36" s="51">
        <f t="shared" si="29"/>
        <v>76108.878933333326</v>
      </c>
      <c r="X36" s="51">
        <f t="shared" si="29"/>
        <v>76108.878933333326</v>
      </c>
      <c r="Y36" s="51">
        <f t="shared" si="29"/>
        <v>114397.51893333333</v>
      </c>
      <c r="Z36" s="51">
        <f t="shared" si="29"/>
        <v>76108.878933333326</v>
      </c>
      <c r="AA36" s="51">
        <f t="shared" si="29"/>
        <v>79153.234090666665</v>
      </c>
      <c r="AB36" s="51">
        <f t="shared" si="29"/>
        <v>79153.234090666665</v>
      </c>
      <c r="AC36" s="51">
        <f t="shared" si="29"/>
        <v>79153.234090666665</v>
      </c>
      <c r="AD36" s="51">
        <f t="shared" si="29"/>
        <v>79153.234090666665</v>
      </c>
      <c r="AE36" s="51">
        <f t="shared" si="29"/>
        <v>79153.234090666665</v>
      </c>
      <c r="AF36" s="51">
        <f t="shared" si="29"/>
        <v>79153.234090666665</v>
      </c>
      <c r="AG36" s="51">
        <f t="shared" si="29"/>
        <v>79153.234090666665</v>
      </c>
      <c r="AH36" s="51">
        <f t="shared" si="29"/>
        <v>373867.60209066671</v>
      </c>
      <c r="AI36" s="51">
        <f t="shared" si="29"/>
        <v>79153.234090666665</v>
      </c>
      <c r="AJ36" s="51">
        <f t="shared" si="29"/>
        <v>79153.234090666665</v>
      </c>
      <c r="AK36" s="51">
        <f t="shared" ref="AK36:BP36" si="30">SUM(AK29:AK35)</f>
        <v>118973.41969066666</v>
      </c>
      <c r="AL36" s="51">
        <f t="shared" si="30"/>
        <v>79153.234090666665</v>
      </c>
      <c r="AM36" s="51">
        <f t="shared" si="30"/>
        <v>82319.363454293343</v>
      </c>
      <c r="AN36" s="51">
        <f t="shared" si="30"/>
        <v>82319.363454293343</v>
      </c>
      <c r="AO36" s="51">
        <f t="shared" si="30"/>
        <v>82319.363454293343</v>
      </c>
      <c r="AP36" s="51">
        <f t="shared" si="30"/>
        <v>82319.363454293343</v>
      </c>
      <c r="AQ36" s="51">
        <f t="shared" si="30"/>
        <v>82319.363454293343</v>
      </c>
      <c r="AR36" s="51">
        <f t="shared" si="30"/>
        <v>82319.363454293343</v>
      </c>
      <c r="AS36" s="51">
        <f t="shared" si="30"/>
        <v>82319.363454293343</v>
      </c>
      <c r="AT36" s="51">
        <f t="shared" si="30"/>
        <v>388822.30617429339</v>
      </c>
      <c r="AU36" s="51">
        <f t="shared" si="30"/>
        <v>82319.363454293343</v>
      </c>
      <c r="AV36" s="51">
        <f t="shared" si="30"/>
        <v>82319.363454293343</v>
      </c>
      <c r="AW36" s="51">
        <f t="shared" si="30"/>
        <v>123732.35647829332</v>
      </c>
      <c r="AX36" s="51">
        <f t="shared" si="30"/>
        <v>82319.363454293343</v>
      </c>
      <c r="AY36" s="51">
        <f t="shared" si="30"/>
        <v>85612.137992465083</v>
      </c>
      <c r="AZ36" s="51">
        <f t="shared" si="30"/>
        <v>85612.137992465083</v>
      </c>
      <c r="BA36" s="51">
        <f t="shared" si="30"/>
        <v>85612.137992465083</v>
      </c>
      <c r="BB36" s="51">
        <f t="shared" si="30"/>
        <v>85612.137992465083</v>
      </c>
      <c r="BC36" s="51">
        <f t="shared" si="30"/>
        <v>85612.137992465083</v>
      </c>
      <c r="BD36" s="51">
        <f t="shared" si="30"/>
        <v>85612.137992465083</v>
      </c>
      <c r="BE36" s="51">
        <f t="shared" si="30"/>
        <v>85612.137992465083</v>
      </c>
      <c r="BF36" s="51">
        <f t="shared" si="30"/>
        <v>404375.19842126512</v>
      </c>
      <c r="BG36" s="51">
        <f t="shared" si="30"/>
        <v>85612.137992465083</v>
      </c>
      <c r="BH36" s="51">
        <f t="shared" si="30"/>
        <v>85612.137992465083</v>
      </c>
      <c r="BI36" s="51">
        <f t="shared" si="30"/>
        <v>128681.65073742508</v>
      </c>
      <c r="BJ36" s="51">
        <f t="shared" si="30"/>
        <v>85612.137992465083</v>
      </c>
      <c r="BK36" s="51">
        <f t="shared" si="30"/>
        <v>89036.623512163671</v>
      </c>
      <c r="BL36" s="51">
        <f t="shared" si="30"/>
        <v>89036.623512163671</v>
      </c>
      <c r="BM36" s="51">
        <f t="shared" si="30"/>
        <v>89036.623512163671</v>
      </c>
      <c r="BN36" s="51">
        <f t="shared" si="30"/>
        <v>89036.623512163671</v>
      </c>
      <c r="BO36" s="51">
        <f t="shared" si="30"/>
        <v>89036.623512163671</v>
      </c>
      <c r="BP36" s="51">
        <f t="shared" si="30"/>
        <v>89036.623512163671</v>
      </c>
      <c r="BQ36" s="51">
        <f t="shared" ref="BQ36:CV36" si="31">SUM(BQ29:BQ35)</f>
        <v>89036.623512163671</v>
      </c>
      <c r="BR36" s="51">
        <f t="shared" si="31"/>
        <v>420550.20635811577</v>
      </c>
      <c r="BS36" s="51">
        <f t="shared" si="31"/>
        <v>89036.623512163671</v>
      </c>
      <c r="BT36" s="51">
        <f t="shared" si="31"/>
        <v>89036.623512163671</v>
      </c>
      <c r="BU36" s="51">
        <f t="shared" si="31"/>
        <v>133828.91676692208</v>
      </c>
      <c r="BV36" s="51">
        <f t="shared" si="31"/>
        <v>89036.623512163671</v>
      </c>
      <c r="BW36" s="51">
        <f t="shared" si="31"/>
        <v>92598.08845265022</v>
      </c>
      <c r="BX36" s="51">
        <f t="shared" si="31"/>
        <v>92598.08845265022</v>
      </c>
      <c r="BY36" s="51">
        <f t="shared" si="31"/>
        <v>92598.08845265022</v>
      </c>
      <c r="BZ36" s="51">
        <f t="shared" si="31"/>
        <v>92598.08845265022</v>
      </c>
      <c r="CA36" s="51">
        <f t="shared" si="31"/>
        <v>92598.08845265022</v>
      </c>
      <c r="CB36" s="51">
        <f t="shared" si="31"/>
        <v>92598.08845265022</v>
      </c>
      <c r="CC36" s="51">
        <f t="shared" si="31"/>
        <v>92598.08845265022</v>
      </c>
      <c r="CD36" s="51">
        <f t="shared" si="31"/>
        <v>437372.21461244038</v>
      </c>
      <c r="CE36" s="51">
        <f t="shared" si="31"/>
        <v>92598.08845265022</v>
      </c>
      <c r="CF36" s="51">
        <f t="shared" si="31"/>
        <v>92598.08845265022</v>
      </c>
      <c r="CG36" s="51">
        <f t="shared" si="31"/>
        <v>139182.07343759897</v>
      </c>
      <c r="CH36" s="51">
        <f t="shared" si="31"/>
        <v>92598.08845265022</v>
      </c>
      <c r="CI36" s="51">
        <f t="shared" si="31"/>
        <v>96302.011990756233</v>
      </c>
      <c r="CJ36" s="51">
        <f t="shared" si="31"/>
        <v>96302.011990756233</v>
      </c>
      <c r="CK36" s="51">
        <f t="shared" si="31"/>
        <v>96302.011990756233</v>
      </c>
      <c r="CL36" s="51">
        <f t="shared" si="31"/>
        <v>96302.011990756233</v>
      </c>
      <c r="CM36" s="51">
        <f t="shared" si="31"/>
        <v>96302.011990756233</v>
      </c>
      <c r="CN36" s="51">
        <f t="shared" si="31"/>
        <v>96302.011990756233</v>
      </c>
      <c r="CO36" s="51">
        <f t="shared" si="31"/>
        <v>96302.011990756233</v>
      </c>
      <c r="CP36" s="51">
        <f t="shared" si="31"/>
        <v>454867.10319693794</v>
      </c>
      <c r="CQ36" s="51">
        <f t="shared" si="31"/>
        <v>96302.011990756233</v>
      </c>
      <c r="CR36" s="51">
        <f t="shared" si="31"/>
        <v>96302.011990756233</v>
      </c>
      <c r="CS36" s="51">
        <f t="shared" si="31"/>
        <v>144749.35637510291</v>
      </c>
      <c r="CT36" s="51">
        <f t="shared" si="31"/>
        <v>96302.011990756233</v>
      </c>
      <c r="CU36" s="51">
        <f t="shared" si="31"/>
        <v>100154.09247038649</v>
      </c>
      <c r="CV36" s="51">
        <f t="shared" si="31"/>
        <v>100154.09247038649</v>
      </c>
      <c r="CW36" s="51">
        <f t="shared" ref="CW36:DB36" si="32">SUM(CW29:CW35)</f>
        <v>100154.09247038649</v>
      </c>
      <c r="CX36" s="51">
        <f t="shared" si="32"/>
        <v>100154.09247038649</v>
      </c>
      <c r="CY36" s="51">
        <f t="shared" si="32"/>
        <v>100154.09247038649</v>
      </c>
      <c r="CZ36" s="51">
        <f t="shared" si="32"/>
        <v>100154.09247038649</v>
      </c>
      <c r="DA36" s="51">
        <f t="shared" si="32"/>
        <v>100154.09247038649</v>
      </c>
      <c r="DB36" s="51">
        <f t="shared" si="32"/>
        <v>473061.78732481546</v>
      </c>
    </row>
    <row r="37" spans="1:106" ht="12.75" thickTop="1">
      <c r="E37" s="32"/>
    </row>
  </sheetData>
  <autoFilter ref="A2:DB37" xr:uid="{00000000-0009-0000-0000-000016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54"/>
  <sheetViews>
    <sheetView zoomScaleNormal="100" workbookViewId="0">
      <pane xSplit="1" ySplit="1" topLeftCell="B3" activePane="bottomRight" state="frozen"/>
      <selection pane="topRight" activeCell="B1" sqref="B1"/>
      <selection pane="bottomLeft" activeCell="A3" sqref="A3"/>
      <selection pane="bottomRight" activeCell="D3" sqref="D3"/>
    </sheetView>
  </sheetViews>
  <sheetFormatPr defaultColWidth="9.33203125" defaultRowHeight="12" customHeight="1"/>
  <cols>
    <col min="1" max="1" width="58.83203125" style="132" bestFit="1" customWidth="1"/>
    <col min="2" max="4" width="8" style="130" customWidth="1"/>
    <col min="5" max="16384" width="9.33203125" style="130"/>
  </cols>
  <sheetData>
    <row r="1" spans="1:13" ht="12" customHeight="1">
      <c r="A1" s="131" t="s">
        <v>37</v>
      </c>
      <c r="B1" s="128" t="s">
        <v>184</v>
      </c>
      <c r="C1" s="128" t="s">
        <v>185</v>
      </c>
      <c r="D1" s="129" t="s">
        <v>183</v>
      </c>
    </row>
    <row r="2" spans="1:13" ht="12" customHeight="1">
      <c r="A2" s="132" t="s">
        <v>186</v>
      </c>
      <c r="B2" s="56">
        <f>SUM('CF Capex'!16:16)-SUM('CF Capex'!$7:$7)+SUM('CF Capex'!$23:$23)</f>
        <v>536.77758418099279</v>
      </c>
      <c r="C2" s="56">
        <f>SUM('CF Capex'!B16:B16)-SUM('CF Capex'!B7)+'CF Capex'!B23</f>
        <v>395.2</v>
      </c>
      <c r="D2" s="201">
        <f t="shared" ref="D2:D7" si="0">B2-C2</f>
        <v>141.5775841809928</v>
      </c>
      <c r="F2" s="266">
        <f>C2/458</f>
        <v>0.86288209606986899</v>
      </c>
      <c r="G2" s="265">
        <f>C2/B2</f>
        <v>0.73624534937126751</v>
      </c>
    </row>
    <row r="3" spans="1:13" ht="12" customHeight="1">
      <c r="A3" s="132" t="s">
        <v>187</v>
      </c>
      <c r="B3" s="56">
        <f>SUM('CF Capex'!$21:$21)</f>
        <v>8.42</v>
      </c>
      <c r="C3" s="56">
        <f>'CF Capex'!B21</f>
        <v>8.42</v>
      </c>
      <c r="D3" s="56">
        <f t="shared" si="0"/>
        <v>0</v>
      </c>
    </row>
    <row r="4" spans="1:13" ht="12" customHeight="1">
      <c r="A4" s="132" t="s">
        <v>188</v>
      </c>
      <c r="B4" s="56">
        <f>SUM('CF Capex'!$22:$22)</f>
        <v>8.4269999999999996</v>
      </c>
      <c r="C4" s="56">
        <f>SUM('CF Capex'!$22:$22)</f>
        <v>8.4269999999999996</v>
      </c>
      <c r="D4" s="56">
        <f t="shared" si="0"/>
        <v>0</v>
      </c>
    </row>
    <row r="5" spans="1:13" ht="12" customHeight="1">
      <c r="A5" s="132" t="s">
        <v>189</v>
      </c>
      <c r="B5" s="56">
        <f>SUM('CF Capex'!$18:$18)</f>
        <v>113.79</v>
      </c>
      <c r="C5" s="56">
        <f>B5</f>
        <v>113.79</v>
      </c>
      <c r="D5" s="56">
        <f t="shared" si="0"/>
        <v>0</v>
      </c>
    </row>
    <row r="6" spans="1:13" ht="12" customHeight="1">
      <c r="A6" s="132" t="s">
        <v>190</v>
      </c>
      <c r="B6" s="56">
        <f>SUM('CF Capex'!$20:$20)</f>
        <v>37.57</v>
      </c>
      <c r="C6" s="56">
        <f>'CF Capex'!B20</f>
        <v>37.57</v>
      </c>
      <c r="D6" s="56">
        <f t="shared" si="0"/>
        <v>0</v>
      </c>
    </row>
    <row r="7" spans="1:13" ht="12" customHeight="1">
      <c r="A7" s="132" t="s">
        <v>132</v>
      </c>
      <c r="B7" s="56">
        <f>SUM('CF Capex'!19:19)</f>
        <v>24.72</v>
      </c>
      <c r="C7" s="56">
        <f>'CF Capex'!B19</f>
        <v>24.72</v>
      </c>
      <c r="D7" s="56">
        <f t="shared" si="0"/>
        <v>0</v>
      </c>
    </row>
    <row r="8" spans="1:13" ht="12" customHeight="1">
      <c r="A8" s="131" t="s">
        <v>54</v>
      </c>
      <c r="B8" s="49">
        <f>+SUM(B2:B7)</f>
        <v>729.70458418099281</v>
      </c>
      <c r="C8" s="49">
        <f>+SUM(C2:C7)</f>
        <v>588.12700000000007</v>
      </c>
      <c r="D8" s="49">
        <f>+SUM(D2:D7)</f>
        <v>141.5775841809928</v>
      </c>
      <c r="E8" s="229">
        <f>'R&amp;P'!T8</f>
        <v>0</v>
      </c>
      <c r="F8" s="227">
        <f>D8-E8</f>
        <v>141.5775841809928</v>
      </c>
    </row>
    <row r="9" spans="1:13" ht="12" customHeight="1">
      <c r="A9" s="131"/>
      <c r="B9" s="133"/>
      <c r="C9" s="133"/>
      <c r="D9" s="133"/>
    </row>
    <row r="10" spans="1:13" ht="12" customHeight="1">
      <c r="A10" s="131" t="s">
        <v>191</v>
      </c>
      <c r="B10" s="134"/>
      <c r="C10" s="134"/>
      <c r="D10" s="134"/>
    </row>
    <row r="11" spans="1:13" ht="12" customHeight="1">
      <c r="A11" s="132" t="s">
        <v>192</v>
      </c>
      <c r="B11" s="57">
        <f>SUM('CF Capex'!$38:$38)</f>
        <v>299.43</v>
      </c>
      <c r="C11" s="57">
        <f>'CF Capex'!B38</f>
        <v>239</v>
      </c>
      <c r="D11" s="57">
        <f>B11-C11</f>
        <v>60.430000000000007</v>
      </c>
      <c r="E11" s="133">
        <f>B11*100/70</f>
        <v>427.75714285714287</v>
      </c>
      <c r="F11" s="227">
        <f>C11/0.7</f>
        <v>341.42857142857144</v>
      </c>
      <c r="G11" s="227"/>
    </row>
    <row r="12" spans="1:13" ht="12" customHeight="1">
      <c r="A12" s="132" t="s">
        <v>193</v>
      </c>
      <c r="B12" s="57">
        <f>SUM('CF Capex'!$5:$5)</f>
        <v>53.78</v>
      </c>
      <c r="C12" s="57">
        <f>'CF Capex'!B5</f>
        <v>53.78</v>
      </c>
      <c r="D12" s="57">
        <f>B12-C12</f>
        <v>0</v>
      </c>
      <c r="F12" s="133"/>
    </row>
    <row r="13" spans="1:13" ht="12" customHeight="1">
      <c r="A13" s="131" t="s">
        <v>194</v>
      </c>
      <c r="B13" s="58">
        <f>+SUM(B11:B12)</f>
        <v>353.21000000000004</v>
      </c>
      <c r="C13" s="58">
        <f>+SUM(C11:C12)</f>
        <v>292.77999999999997</v>
      </c>
      <c r="D13" s="58">
        <f>+SUM(D11:D12)</f>
        <v>60.430000000000007</v>
      </c>
      <c r="H13" s="130">
        <f>B13/B2</f>
        <v>0.65801928100057039</v>
      </c>
    </row>
    <row r="14" spans="1:13" ht="12" customHeight="1">
      <c r="A14" s="131"/>
      <c r="B14" s="58"/>
      <c r="C14" s="58"/>
      <c r="D14" s="58"/>
      <c r="M14" s="130">
        <v>58</v>
      </c>
    </row>
    <row r="15" spans="1:13" ht="12" customHeight="1">
      <c r="A15" s="131" t="s">
        <v>195</v>
      </c>
      <c r="B15" s="58">
        <f>+B8-B13</f>
        <v>376.49458418099277</v>
      </c>
      <c r="C15" s="58">
        <f>+C8-C13</f>
        <v>295.34700000000009</v>
      </c>
      <c r="D15" s="58">
        <f>+D8-D13</f>
        <v>81.147584180992794</v>
      </c>
      <c r="M15" s="130">
        <v>106.87</v>
      </c>
    </row>
    <row r="16" spans="1:13" ht="12" customHeight="1">
      <c r="A16" s="132" t="s">
        <v>196</v>
      </c>
      <c r="B16" s="57">
        <f>SUM('CF Capex'!$6:$6)-SUM('CF Capex'!$17:$17)</f>
        <v>-9.0028637689999869</v>
      </c>
      <c r="C16" s="57">
        <f>-'CF Capex'!B17+'CF Capex'!B6</f>
        <v>-8.9828637690000015</v>
      </c>
      <c r="D16" s="57">
        <f>B16-C16</f>
        <v>-1.9999999999985363E-2</v>
      </c>
      <c r="M16" s="130">
        <f>M14/M15</f>
        <v>0.54271544867596144</v>
      </c>
    </row>
    <row r="17" spans="1:7" ht="12" customHeight="1">
      <c r="A17" s="131" t="s">
        <v>197</v>
      </c>
      <c r="B17" s="58">
        <f>B15-B16</f>
        <v>385.49744794999276</v>
      </c>
      <c r="C17" s="58">
        <f>C15-C16</f>
        <v>304.3298637690001</v>
      </c>
      <c r="D17" s="58">
        <f>D15-D16</f>
        <v>81.167584180992776</v>
      </c>
      <c r="G17" s="227"/>
    </row>
    <row r="18" spans="1:7" ht="12" hidden="1" customHeight="1">
      <c r="A18" s="131"/>
      <c r="B18" s="133"/>
      <c r="C18" s="133"/>
      <c r="D18" s="133"/>
    </row>
    <row r="19" spans="1:7" ht="12" hidden="1" customHeight="1">
      <c r="A19" s="132" t="s">
        <v>174</v>
      </c>
      <c r="B19" s="59">
        <f>IRR!C12</f>
        <v>-2.5183675069391231E-3</v>
      </c>
      <c r="C19" s="57"/>
      <c r="D19" s="59"/>
    </row>
    <row r="20" spans="1:7" ht="12" hidden="1" customHeight="1">
      <c r="A20" s="132" t="s">
        <v>181</v>
      </c>
      <c r="B20" s="59" t="e">
        <f>IRR!B27</f>
        <v>#NUM!</v>
      </c>
      <c r="C20" s="59"/>
      <c r="D20" s="59"/>
    </row>
    <row r="21" spans="1:7" ht="12" hidden="1" customHeight="1">
      <c r="A21" s="132" t="s">
        <v>198</v>
      </c>
      <c r="B21" s="60">
        <f>PL!R10</f>
        <v>1005.1243105319327</v>
      </c>
      <c r="C21" s="60"/>
      <c r="D21" s="60"/>
    </row>
    <row r="22" spans="1:7" ht="12" hidden="1" customHeight="1">
      <c r="A22" s="132" t="s">
        <v>199</v>
      </c>
      <c r="B22" s="60">
        <f>PL!R18</f>
        <v>775.55068898164404</v>
      </c>
      <c r="C22" s="60"/>
      <c r="D22" s="60"/>
    </row>
    <row r="23" spans="1:7" ht="12" hidden="1" customHeight="1">
      <c r="A23" s="132" t="s">
        <v>200</v>
      </c>
      <c r="B23" s="60">
        <f>B21-B22-B24</f>
        <v>411.80725171914605</v>
      </c>
      <c r="C23" s="60"/>
      <c r="D23" s="60"/>
    </row>
    <row r="24" spans="1:7" ht="12" hidden="1" customHeight="1">
      <c r="A24" s="132" t="s">
        <v>201</v>
      </c>
      <c r="B24" s="60">
        <f>PL!R25</f>
        <v>-182.23363016885742</v>
      </c>
      <c r="C24" s="60"/>
      <c r="D24" s="60"/>
    </row>
    <row r="25" spans="1:7" s="132" customFormat="1" ht="12" customHeight="1">
      <c r="B25" s="135"/>
      <c r="C25" s="135"/>
      <c r="D25" s="135"/>
    </row>
    <row r="26" spans="1:7" s="132" customFormat="1" ht="12" customHeight="1">
      <c r="A26" s="131" t="s">
        <v>202</v>
      </c>
      <c r="B26" s="135"/>
      <c r="C26" s="135"/>
      <c r="D26" s="135"/>
    </row>
    <row r="27" spans="1:7" s="132" customFormat="1" ht="12" customHeight="1">
      <c r="A27" s="132" t="s">
        <v>203</v>
      </c>
      <c r="B27" s="61">
        <v>61.5</v>
      </c>
      <c r="C27" s="61">
        <f>SUM(F43:F45)</f>
        <v>61.5</v>
      </c>
      <c r="D27" s="61">
        <f>C27-B27</f>
        <v>0</v>
      </c>
    </row>
    <row r="28" spans="1:7" s="132" customFormat="1" ht="12" customHeight="1">
      <c r="A28" s="132" t="s">
        <v>204</v>
      </c>
      <c r="B28" s="61">
        <v>177.85</v>
      </c>
      <c r="C28" s="61">
        <f>SUM(F47,F49)</f>
        <v>177.85000000000002</v>
      </c>
      <c r="D28" s="61">
        <f>B28-C28</f>
        <v>0</v>
      </c>
    </row>
    <row r="29" spans="1:7" s="132" customFormat="1" ht="12" customHeight="1">
      <c r="A29" s="132" t="s">
        <v>205</v>
      </c>
      <c r="B29" s="61">
        <v>65</v>
      </c>
      <c r="C29" s="61">
        <f>SUM(F46,F48)</f>
        <v>65</v>
      </c>
      <c r="D29" s="61">
        <f>B29-C29</f>
        <v>0</v>
      </c>
    </row>
    <row r="30" spans="1:7" s="132" customFormat="1" ht="12" customHeight="1">
      <c r="A30" s="25" t="s">
        <v>624</v>
      </c>
      <c r="B30" s="61">
        <v>50</v>
      </c>
      <c r="C30" s="61">
        <v>0</v>
      </c>
      <c r="D30" s="61">
        <f>B30-C30</f>
        <v>50</v>
      </c>
    </row>
    <row r="31" spans="1:7" s="132" customFormat="1" ht="12" customHeight="1">
      <c r="A31" s="25" t="s">
        <v>547</v>
      </c>
      <c r="B31" s="61">
        <f>B17-SUM(B27:B30)</f>
        <v>31.147447949992738</v>
      </c>
      <c r="C31" s="61">
        <f>C17-SUM(C27:C30)</f>
        <v>-2.013623099992401E-2</v>
      </c>
      <c r="D31" s="61">
        <f>B31-C31</f>
        <v>31.167584180992662</v>
      </c>
      <c r="F31" s="226"/>
    </row>
    <row r="32" spans="1:7" s="132" customFormat="1" ht="12" customHeight="1">
      <c r="A32" s="131" t="s">
        <v>54</v>
      </c>
      <c r="B32" s="136">
        <f>SUM(B27:B31)</f>
        <v>385.49744794999276</v>
      </c>
      <c r="C32" s="136">
        <f>SUM(C27:C31)</f>
        <v>304.3298637690001</v>
      </c>
      <c r="D32" s="136">
        <f>SUM(D27:D31)</f>
        <v>81.167584180992662</v>
      </c>
    </row>
    <row r="33" spans="1:6" s="132" customFormat="1" ht="12" customHeight="1">
      <c r="A33" s="131"/>
      <c r="B33" s="136"/>
      <c r="C33" s="136"/>
      <c r="D33" s="136"/>
    </row>
    <row r="34" spans="1:6" s="132" customFormat="1" ht="12" customHeight="1">
      <c r="A34" s="131"/>
      <c r="B34" s="136"/>
      <c r="C34" s="136"/>
      <c r="D34" s="136"/>
    </row>
    <row r="35" spans="1:6" s="132" customFormat="1" ht="12" customHeight="1">
      <c r="A35" s="131" t="s">
        <v>641</v>
      </c>
      <c r="B35" s="136"/>
      <c r="C35" s="136"/>
      <c r="D35" s="136"/>
    </row>
    <row r="36" spans="1:6" s="132" customFormat="1" ht="12" customHeight="1">
      <c r="A36" s="131"/>
      <c r="B36" s="136"/>
      <c r="C36" s="136"/>
      <c r="D36" s="136"/>
    </row>
    <row r="37" spans="1:6" s="132" customFormat="1" ht="12" customHeight="1">
      <c r="A37" s="131"/>
      <c r="B37" s="136"/>
      <c r="C37" s="136"/>
      <c r="D37" s="136"/>
    </row>
    <row r="38" spans="1:6" s="132" customFormat="1" ht="12" customHeight="1">
      <c r="A38" s="131"/>
      <c r="B38" s="136"/>
      <c r="C38" s="136"/>
      <c r="D38" s="136"/>
    </row>
    <row r="39" spans="1:6" s="132" customFormat="1" ht="12" customHeight="1">
      <c r="A39" s="131"/>
      <c r="B39" s="136"/>
      <c r="C39" s="136"/>
      <c r="D39" s="136"/>
    </row>
    <row r="40" spans="1:6" s="132" customFormat="1" ht="12" customHeight="1">
      <c r="A40" s="131"/>
      <c r="B40" s="136"/>
      <c r="C40" s="136"/>
      <c r="D40" s="136"/>
    </row>
    <row r="41" spans="1:6" ht="12" customHeight="1">
      <c r="B41" s="133"/>
    </row>
    <row r="42" spans="1:6" ht="12" customHeight="1">
      <c r="A42" s="131" t="s">
        <v>37</v>
      </c>
      <c r="B42" s="137" t="s">
        <v>456</v>
      </c>
      <c r="C42" s="137" t="s">
        <v>457</v>
      </c>
      <c r="D42" s="137" t="s">
        <v>458</v>
      </c>
      <c r="E42" s="137" t="s">
        <v>216</v>
      </c>
      <c r="F42" s="137" t="s">
        <v>54</v>
      </c>
    </row>
    <row r="43" spans="1:6" ht="12" customHeight="1">
      <c r="A43" s="132" t="s">
        <v>459</v>
      </c>
      <c r="B43" s="138">
        <v>0.49</v>
      </c>
      <c r="C43" s="138">
        <v>0.52</v>
      </c>
      <c r="D43" s="138">
        <v>0</v>
      </c>
      <c r="E43" s="138">
        <v>0</v>
      </c>
      <c r="F43" s="138">
        <f>SUM(B43:E43)</f>
        <v>1.01</v>
      </c>
    </row>
    <row r="44" spans="1:6" ht="12" customHeight="1">
      <c r="A44" s="132" t="s">
        <v>460</v>
      </c>
      <c r="B44" s="138">
        <v>14.57</v>
      </c>
      <c r="C44" s="138">
        <v>15.17</v>
      </c>
      <c r="D44" s="138">
        <v>0</v>
      </c>
      <c r="E44" s="138">
        <v>0</v>
      </c>
      <c r="F44" s="138">
        <f t="shared" ref="F44:F49" si="1">SUM(B44:E44)</f>
        <v>29.740000000000002</v>
      </c>
    </row>
    <row r="45" spans="1:6" ht="12" customHeight="1">
      <c r="A45" s="132" t="s">
        <v>461</v>
      </c>
      <c r="B45" s="138">
        <v>15.07</v>
      </c>
      <c r="C45" s="138">
        <v>15.68</v>
      </c>
      <c r="D45" s="138">
        <v>0</v>
      </c>
      <c r="E45" s="138">
        <v>0</v>
      </c>
      <c r="F45" s="138">
        <f t="shared" si="1"/>
        <v>30.75</v>
      </c>
    </row>
    <row r="46" spans="1:6" ht="12" customHeight="1">
      <c r="A46" s="132" t="s">
        <v>462</v>
      </c>
      <c r="B46" s="138">
        <v>15.68</v>
      </c>
      <c r="C46" s="138">
        <v>16.32</v>
      </c>
      <c r="D46" s="138">
        <v>0</v>
      </c>
      <c r="E46" s="138">
        <v>0</v>
      </c>
      <c r="F46" s="138">
        <f t="shared" si="1"/>
        <v>32</v>
      </c>
    </row>
    <row r="47" spans="1:6" ht="12" customHeight="1">
      <c r="A47" s="132" t="s">
        <v>463</v>
      </c>
      <c r="B47" s="138">
        <v>0</v>
      </c>
      <c r="C47" s="138">
        <v>0</v>
      </c>
      <c r="D47" s="138">
        <v>70.260000000000005</v>
      </c>
      <c r="E47" s="138">
        <v>96.01</v>
      </c>
      <c r="F47" s="138">
        <f t="shared" si="1"/>
        <v>166.27</v>
      </c>
    </row>
    <row r="48" spans="1:6" ht="12" customHeight="1">
      <c r="A48" s="132" t="s">
        <v>90</v>
      </c>
      <c r="B48" s="138">
        <v>0</v>
      </c>
      <c r="C48" s="138">
        <v>3</v>
      </c>
      <c r="D48" s="138">
        <v>30</v>
      </c>
      <c r="E48" s="138">
        <v>0</v>
      </c>
      <c r="F48" s="138">
        <f t="shared" si="1"/>
        <v>33</v>
      </c>
    </row>
    <row r="49" spans="1:6" ht="12" customHeight="1">
      <c r="A49" s="132" t="s">
        <v>464</v>
      </c>
      <c r="B49" s="138">
        <v>0</v>
      </c>
      <c r="C49" s="138">
        <v>0</v>
      </c>
      <c r="D49" s="138">
        <f>3.91+2.66</f>
        <v>6.57</v>
      </c>
      <c r="E49" s="138">
        <v>5.01</v>
      </c>
      <c r="F49" s="138">
        <f t="shared" si="1"/>
        <v>11.58</v>
      </c>
    </row>
    <row r="50" spans="1:6" ht="12" customHeight="1">
      <c r="A50" s="131" t="s">
        <v>54</v>
      </c>
      <c r="B50" s="137">
        <f>SUM(B43:B49)</f>
        <v>45.81</v>
      </c>
      <c r="C50" s="137">
        <f>SUM(C43:C49)</f>
        <v>50.69</v>
      </c>
      <c r="D50" s="137">
        <f>SUM(D43:D49)</f>
        <v>106.83000000000001</v>
      </c>
      <c r="E50" s="137">
        <f>SUM(E43:E49)</f>
        <v>101.02000000000001</v>
      </c>
      <c r="F50" s="137">
        <f>SUM(F43:F49)</f>
        <v>304.34999999999997</v>
      </c>
    </row>
    <row r="51" spans="1:6" ht="12" customHeight="1">
      <c r="B51" s="139"/>
      <c r="C51" s="139"/>
      <c r="D51" s="139"/>
      <c r="E51" s="139"/>
      <c r="F51" s="139"/>
    </row>
    <row r="52" spans="1:6" ht="12" customHeight="1">
      <c r="A52" s="131" t="s">
        <v>465</v>
      </c>
      <c r="B52" s="140">
        <v>45.81</v>
      </c>
      <c r="C52" s="140">
        <v>51.69</v>
      </c>
      <c r="D52" s="140">
        <v>114.4</v>
      </c>
      <c r="E52" s="141">
        <v>105.01</v>
      </c>
      <c r="F52" s="137">
        <f>SUM(B52:E52)</f>
        <v>316.91000000000003</v>
      </c>
    </row>
    <row r="53" spans="1:6" ht="12" customHeight="1">
      <c r="B53" s="139"/>
      <c r="C53" s="139"/>
      <c r="D53" s="139"/>
      <c r="E53" s="139"/>
      <c r="F53" s="139"/>
    </row>
    <row r="54" spans="1:6" ht="12" customHeight="1">
      <c r="A54" s="132" t="s">
        <v>466</v>
      </c>
      <c r="B54" s="142">
        <f>B52-B50</f>
        <v>0</v>
      </c>
      <c r="C54" s="142">
        <f>C52-C50</f>
        <v>1</v>
      </c>
      <c r="D54" s="142">
        <f>D52-D50</f>
        <v>7.5699999999999932</v>
      </c>
      <c r="E54" s="142">
        <f>E52-E50</f>
        <v>3.9899999999999949</v>
      </c>
      <c r="F54" s="142">
        <f>F52-F50</f>
        <v>12.560000000000059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CY62"/>
  <sheetViews>
    <sheetView workbookViewId="0">
      <pane xSplit="1" ySplit="2" topLeftCell="O3" activePane="bottomRight" state="frozen"/>
      <selection activeCell="N6" sqref="N6"/>
      <selection pane="topRight" activeCell="N6" sqref="N6"/>
      <selection pane="bottomLeft" activeCell="N6" sqref="N6"/>
      <selection pane="bottomRight"/>
    </sheetView>
  </sheetViews>
  <sheetFormatPr defaultColWidth="9.33203125" defaultRowHeight="12" customHeight="1"/>
  <cols>
    <col min="1" max="1" width="38.33203125" style="144" customWidth="1"/>
    <col min="2" max="2" width="14.6640625" style="144" hidden="1" customWidth="1"/>
    <col min="3" max="4" width="13" style="144" hidden="1" customWidth="1"/>
    <col min="5" max="5" width="12" style="144" hidden="1" customWidth="1"/>
    <col min="6" max="6" width="13" style="144" hidden="1" customWidth="1"/>
    <col min="7" max="7" width="12" style="144" hidden="1" customWidth="1"/>
    <col min="8" max="9" width="13" style="144" hidden="1" customWidth="1"/>
    <col min="10" max="11" width="12" style="144" hidden="1" customWidth="1"/>
    <col min="12" max="12" width="13" style="144" hidden="1" customWidth="1"/>
    <col min="13" max="13" width="14.6640625" style="144" hidden="1" customWidth="1"/>
    <col min="14" max="14" width="12" style="144" hidden="1" customWidth="1"/>
    <col min="15" max="16" width="13" style="144" hidden="1" customWidth="1"/>
    <col min="17" max="17" width="12" style="144" hidden="1" customWidth="1"/>
    <col min="18" max="18" width="13" style="144" hidden="1" customWidth="1"/>
    <col min="19" max="19" width="12" style="144" hidden="1" customWidth="1"/>
    <col min="20" max="21" width="13" style="144" hidden="1" customWidth="1"/>
    <col min="22" max="23" width="12" style="144" hidden="1" customWidth="1"/>
    <col min="24" max="24" width="13" style="144" hidden="1" customWidth="1"/>
    <col min="25" max="25" width="12" style="144" hidden="1" customWidth="1"/>
    <col min="26" max="26" width="12" style="144" bestFit="1" customWidth="1"/>
    <col min="27" max="28" width="13" style="144" bestFit="1" customWidth="1"/>
    <col min="29" max="29" width="12" style="144" customWidth="1"/>
    <col min="30" max="30" width="13" style="144" customWidth="1"/>
    <col min="31" max="31" width="12" style="144" bestFit="1" customWidth="1"/>
    <col min="32" max="33" width="13" style="144" bestFit="1" customWidth="1"/>
    <col min="34" max="35" width="12" style="144" bestFit="1" customWidth="1"/>
    <col min="36" max="36" width="13" style="144" bestFit="1" customWidth="1"/>
    <col min="37" max="37" width="12" style="144" customWidth="1"/>
    <col min="38" max="38" width="12" style="144" bestFit="1" customWidth="1"/>
    <col min="39" max="40" width="13" style="144" bestFit="1" customWidth="1"/>
    <col min="41" max="41" width="12" style="144" customWidth="1"/>
    <col min="42" max="42" width="13" style="144" customWidth="1"/>
    <col min="43" max="43" width="12" style="144" bestFit="1" customWidth="1"/>
    <col min="44" max="45" width="13" style="144" bestFit="1" customWidth="1"/>
    <col min="46" max="47" width="12" style="144" bestFit="1" customWidth="1"/>
    <col min="48" max="48" width="13" style="144" bestFit="1" customWidth="1"/>
    <col min="49" max="49" width="12" style="144" customWidth="1"/>
    <col min="50" max="50" width="12" style="144" bestFit="1" customWidth="1"/>
    <col min="51" max="52" width="13" style="144" bestFit="1" customWidth="1"/>
    <col min="53" max="53" width="12" style="144" customWidth="1"/>
    <col min="54" max="54" width="13" style="144" customWidth="1"/>
    <col min="55" max="55" width="12" style="144" bestFit="1" customWidth="1"/>
    <col min="56" max="57" width="13" style="144" bestFit="1" customWidth="1"/>
    <col min="58" max="59" width="12" style="144" bestFit="1" customWidth="1"/>
    <col min="60" max="60" width="13" style="144" bestFit="1" customWidth="1"/>
    <col min="61" max="61" width="12" style="144" customWidth="1"/>
    <col min="62" max="62" width="12" style="144" bestFit="1" customWidth="1"/>
    <col min="63" max="64" width="13" style="144" bestFit="1" customWidth="1"/>
    <col min="65" max="65" width="12" style="144" customWidth="1"/>
    <col min="66" max="66" width="13" style="144" customWidth="1"/>
    <col min="67" max="67" width="12" style="144" bestFit="1" customWidth="1"/>
    <col min="68" max="69" width="13" style="144" bestFit="1" customWidth="1"/>
    <col min="70" max="71" width="12" style="144" bestFit="1" customWidth="1"/>
    <col min="72" max="72" width="13" style="144" bestFit="1" customWidth="1"/>
    <col min="73" max="73" width="12" style="144" customWidth="1"/>
    <col min="74" max="74" width="12" style="144" bestFit="1" customWidth="1"/>
    <col min="75" max="76" width="13" style="144" bestFit="1" customWidth="1"/>
    <col min="77" max="77" width="12" style="144" customWidth="1"/>
    <col min="78" max="78" width="13" style="144" customWidth="1"/>
    <col min="79" max="79" width="12" style="144" bestFit="1" customWidth="1"/>
    <col min="80" max="81" width="13" style="144" bestFit="1" customWidth="1"/>
    <col min="82" max="83" width="12" style="144" bestFit="1" customWidth="1"/>
    <col min="84" max="84" width="13" style="144" bestFit="1" customWidth="1"/>
    <col min="85" max="85" width="12" style="144" customWidth="1"/>
    <col min="86" max="86" width="12" style="144" bestFit="1" customWidth="1"/>
    <col min="87" max="88" width="13" style="144" bestFit="1" customWidth="1"/>
    <col min="89" max="89" width="12" style="144" customWidth="1"/>
    <col min="90" max="90" width="13" style="144" customWidth="1"/>
    <col min="91" max="91" width="12" style="144" bestFit="1" customWidth="1"/>
    <col min="92" max="93" width="13" style="144" bestFit="1" customWidth="1"/>
    <col min="94" max="95" width="12" style="144" bestFit="1" customWidth="1"/>
    <col min="96" max="96" width="13" style="144" customWidth="1"/>
    <col min="97" max="97" width="12" style="144" customWidth="1"/>
    <col min="98" max="98" width="12" style="144" bestFit="1" customWidth="1"/>
    <col min="99" max="100" width="13" style="144" bestFit="1" customWidth="1"/>
    <col min="101" max="101" width="12" style="144" customWidth="1"/>
    <col min="102" max="102" width="13" style="144" customWidth="1"/>
    <col min="103" max="103" width="12" style="144" bestFit="1" customWidth="1"/>
    <col min="104" max="16384" width="9.33203125" style="144"/>
  </cols>
  <sheetData>
    <row r="1" spans="1:103" ht="12" customHeight="1">
      <c r="A1" s="146"/>
      <c r="CY1" s="148" t="s">
        <v>238</v>
      </c>
    </row>
    <row r="2" spans="1:103" ht="12" customHeight="1">
      <c r="A2" s="189" t="s">
        <v>37</v>
      </c>
      <c r="B2" s="8">
        <f>'O&amp;M'!B1</f>
        <v>43951</v>
      </c>
      <c r="C2" s="8">
        <f>'O&amp;M'!C1</f>
        <v>43982</v>
      </c>
      <c r="D2" s="8">
        <f>'O&amp;M'!D1</f>
        <v>44012</v>
      </c>
      <c r="E2" s="8">
        <f>'O&amp;M'!E1</f>
        <v>44043</v>
      </c>
      <c r="F2" s="8">
        <f>'O&amp;M'!F1</f>
        <v>44074</v>
      </c>
      <c r="G2" s="8">
        <f>'O&amp;M'!G1</f>
        <v>44104</v>
      </c>
      <c r="H2" s="8">
        <f>'O&amp;M'!H1</f>
        <v>44135</v>
      </c>
      <c r="I2" s="8">
        <f>'O&amp;M'!I1</f>
        <v>44165</v>
      </c>
      <c r="J2" s="8">
        <f>'O&amp;M'!J1</f>
        <v>44196</v>
      </c>
      <c r="K2" s="8">
        <f>'O&amp;M'!K1</f>
        <v>44227</v>
      </c>
      <c r="L2" s="8">
        <f>'O&amp;M'!L1</f>
        <v>44255</v>
      </c>
      <c r="M2" s="8">
        <f>'O&amp;M'!M1</f>
        <v>44286</v>
      </c>
      <c r="N2" s="8">
        <f>'O&amp;M'!N1</f>
        <v>44316</v>
      </c>
      <c r="O2" s="8">
        <f>'O&amp;M'!O1</f>
        <v>44347</v>
      </c>
      <c r="P2" s="8">
        <f>'O&amp;M'!P1</f>
        <v>44377</v>
      </c>
      <c r="Q2" s="8">
        <f>'O&amp;M'!Q1</f>
        <v>44408</v>
      </c>
      <c r="R2" s="8">
        <f>'O&amp;M'!R1</f>
        <v>44439</v>
      </c>
      <c r="S2" s="8">
        <f>'O&amp;M'!S1</f>
        <v>44469</v>
      </c>
      <c r="T2" s="8">
        <f>'O&amp;M'!T1</f>
        <v>44500</v>
      </c>
      <c r="U2" s="8">
        <f>'O&amp;M'!U1</f>
        <v>44530</v>
      </c>
      <c r="V2" s="8">
        <f>'O&amp;M'!V1</f>
        <v>44561</v>
      </c>
      <c r="W2" s="8">
        <f>'O&amp;M'!W1</f>
        <v>44592</v>
      </c>
      <c r="X2" s="8">
        <f>'O&amp;M'!X1</f>
        <v>44620</v>
      </c>
      <c r="Y2" s="8">
        <f>'O&amp;M'!Y1</f>
        <v>44651</v>
      </c>
      <c r="Z2" s="8">
        <f>'O&amp;M'!Z1</f>
        <v>44681</v>
      </c>
      <c r="AA2" s="8">
        <f>'O&amp;M'!AA1</f>
        <v>44712</v>
      </c>
      <c r="AB2" s="8">
        <f>'O&amp;M'!AB1</f>
        <v>44742</v>
      </c>
      <c r="AC2" s="8">
        <f>'O&amp;M'!AC1</f>
        <v>44773</v>
      </c>
      <c r="AD2" s="8">
        <f>'O&amp;M'!AD1</f>
        <v>44804</v>
      </c>
      <c r="AE2" s="8">
        <f>'O&amp;M'!AE1</f>
        <v>44834</v>
      </c>
      <c r="AF2" s="8">
        <f>'O&amp;M'!AF1</f>
        <v>44865</v>
      </c>
      <c r="AG2" s="8">
        <f>'O&amp;M'!AG1</f>
        <v>44895</v>
      </c>
      <c r="AH2" s="8">
        <f>'O&amp;M'!AH1</f>
        <v>44926</v>
      </c>
      <c r="AI2" s="8">
        <f>'O&amp;M'!AI1</f>
        <v>44957</v>
      </c>
      <c r="AJ2" s="8">
        <f>'O&amp;M'!AJ1</f>
        <v>44985</v>
      </c>
      <c r="AK2" s="8">
        <f>'O&amp;M'!AK1</f>
        <v>45016</v>
      </c>
      <c r="AL2" s="8">
        <f>'O&amp;M'!AL1</f>
        <v>45046</v>
      </c>
      <c r="AM2" s="8">
        <f>'O&amp;M'!AM1</f>
        <v>45077</v>
      </c>
      <c r="AN2" s="8">
        <f>'O&amp;M'!AN1</f>
        <v>45107</v>
      </c>
      <c r="AO2" s="8">
        <f>'O&amp;M'!AO1</f>
        <v>45138</v>
      </c>
      <c r="AP2" s="8">
        <f>'O&amp;M'!AP1</f>
        <v>45169</v>
      </c>
      <c r="AQ2" s="8">
        <f>'O&amp;M'!AQ1</f>
        <v>45199</v>
      </c>
      <c r="AR2" s="8">
        <f>'O&amp;M'!AR1</f>
        <v>45230</v>
      </c>
      <c r="AS2" s="8">
        <f>'O&amp;M'!AS1</f>
        <v>45260</v>
      </c>
      <c r="AT2" s="8">
        <f>'O&amp;M'!AT1</f>
        <v>45291</v>
      </c>
      <c r="AU2" s="8">
        <f>'O&amp;M'!AU1</f>
        <v>45322</v>
      </c>
      <c r="AV2" s="8">
        <f>'O&amp;M'!AV1</f>
        <v>45351</v>
      </c>
      <c r="AW2" s="8">
        <f>'O&amp;M'!AW1</f>
        <v>45382</v>
      </c>
      <c r="AX2" s="8">
        <f>'O&amp;M'!AX1</f>
        <v>45412</v>
      </c>
      <c r="AY2" s="8">
        <f>'O&amp;M'!AY1</f>
        <v>45443</v>
      </c>
      <c r="AZ2" s="8">
        <f>'O&amp;M'!AZ1</f>
        <v>45473</v>
      </c>
      <c r="BA2" s="8">
        <f>'O&amp;M'!BA1</f>
        <v>45504</v>
      </c>
      <c r="BB2" s="8">
        <f>'O&amp;M'!BB1</f>
        <v>45535</v>
      </c>
      <c r="BC2" s="8">
        <f>'O&amp;M'!BC1</f>
        <v>45565</v>
      </c>
      <c r="BD2" s="8">
        <f>'O&amp;M'!BD1</f>
        <v>45596</v>
      </c>
      <c r="BE2" s="8">
        <f>'O&amp;M'!BE1</f>
        <v>45626</v>
      </c>
      <c r="BF2" s="8">
        <f>'O&amp;M'!BF1</f>
        <v>45657</v>
      </c>
      <c r="BG2" s="8">
        <f>'O&amp;M'!BG1</f>
        <v>45688</v>
      </c>
      <c r="BH2" s="8">
        <f>'O&amp;M'!BH1</f>
        <v>45716</v>
      </c>
      <c r="BI2" s="8">
        <f>'O&amp;M'!BI1</f>
        <v>45747</v>
      </c>
      <c r="BJ2" s="8">
        <f>'O&amp;M'!BJ1</f>
        <v>45777</v>
      </c>
      <c r="BK2" s="8">
        <f>'O&amp;M'!BK1</f>
        <v>45808</v>
      </c>
      <c r="BL2" s="8">
        <f>'O&amp;M'!BL1</f>
        <v>45838</v>
      </c>
      <c r="BM2" s="8">
        <f>'O&amp;M'!BM1</f>
        <v>45869</v>
      </c>
      <c r="BN2" s="8">
        <f>'O&amp;M'!BN1</f>
        <v>45900</v>
      </c>
      <c r="BO2" s="8">
        <f>'O&amp;M'!BO1</f>
        <v>45930</v>
      </c>
      <c r="BP2" s="8">
        <f>'O&amp;M'!BP1</f>
        <v>45961</v>
      </c>
      <c r="BQ2" s="8">
        <f>'O&amp;M'!BQ1</f>
        <v>45991</v>
      </c>
      <c r="BR2" s="8">
        <f>'O&amp;M'!BR1</f>
        <v>46022</v>
      </c>
      <c r="BS2" s="8">
        <f>'O&amp;M'!BS1</f>
        <v>46053</v>
      </c>
      <c r="BT2" s="8">
        <f>'O&amp;M'!BT1</f>
        <v>46081</v>
      </c>
      <c r="BU2" s="8">
        <f>'O&amp;M'!BU1</f>
        <v>46112</v>
      </c>
      <c r="BV2" s="8">
        <f>'O&amp;M'!BV1</f>
        <v>46142</v>
      </c>
      <c r="BW2" s="8">
        <f>'O&amp;M'!BW1</f>
        <v>46173</v>
      </c>
      <c r="BX2" s="8">
        <f>'O&amp;M'!BX1</f>
        <v>46203</v>
      </c>
      <c r="BY2" s="8">
        <f>'O&amp;M'!BY1</f>
        <v>46234</v>
      </c>
      <c r="BZ2" s="8">
        <f>'O&amp;M'!BZ1</f>
        <v>46265</v>
      </c>
      <c r="CA2" s="8">
        <f>'O&amp;M'!CA1</f>
        <v>46295</v>
      </c>
      <c r="CB2" s="8">
        <f>'O&amp;M'!CB1</f>
        <v>46326</v>
      </c>
      <c r="CC2" s="8">
        <f>'O&amp;M'!CC1</f>
        <v>46356</v>
      </c>
      <c r="CD2" s="8">
        <f>'O&amp;M'!CD1</f>
        <v>46387</v>
      </c>
      <c r="CE2" s="8">
        <f>'O&amp;M'!CE1</f>
        <v>46418</v>
      </c>
      <c r="CF2" s="8">
        <f>'O&amp;M'!CF1</f>
        <v>46446</v>
      </c>
      <c r="CG2" s="8">
        <f>'O&amp;M'!CG1</f>
        <v>46477</v>
      </c>
      <c r="CH2" s="8">
        <f>'O&amp;M'!CH1</f>
        <v>46507</v>
      </c>
      <c r="CI2" s="8">
        <f>'O&amp;M'!CI1</f>
        <v>46538</v>
      </c>
      <c r="CJ2" s="8">
        <f>'O&amp;M'!CJ1</f>
        <v>46568</v>
      </c>
      <c r="CK2" s="8">
        <f>'O&amp;M'!CK1</f>
        <v>46599</v>
      </c>
      <c r="CL2" s="8">
        <f>'O&amp;M'!CL1</f>
        <v>46630</v>
      </c>
      <c r="CM2" s="8">
        <f>'O&amp;M'!CM1</f>
        <v>46660</v>
      </c>
      <c r="CN2" s="8">
        <f>'O&amp;M'!CN1</f>
        <v>46691</v>
      </c>
      <c r="CO2" s="8">
        <f>'O&amp;M'!CO1</f>
        <v>46721</v>
      </c>
      <c r="CP2" s="8">
        <f>'O&amp;M'!CP1</f>
        <v>46752</v>
      </c>
      <c r="CQ2" s="8">
        <f>'O&amp;M'!CQ1</f>
        <v>46783</v>
      </c>
      <c r="CR2" s="8">
        <f>'O&amp;M'!CR1</f>
        <v>46812</v>
      </c>
      <c r="CS2" s="8">
        <f>'O&amp;M'!CS1</f>
        <v>46843</v>
      </c>
      <c r="CT2" s="8">
        <f>'O&amp;M'!CT1</f>
        <v>46873</v>
      </c>
      <c r="CU2" s="8">
        <f>'O&amp;M'!CU1</f>
        <v>46904</v>
      </c>
      <c r="CV2" s="8">
        <f>'O&amp;M'!CV1</f>
        <v>46934</v>
      </c>
      <c r="CW2" s="8">
        <f>'O&amp;M'!CW1</f>
        <v>46965</v>
      </c>
      <c r="CX2" s="8">
        <f>'O&amp;M'!CX1</f>
        <v>46996</v>
      </c>
      <c r="CY2" s="8">
        <f>'O&amp;M'!CY1</f>
        <v>47026</v>
      </c>
    </row>
    <row r="3" spans="1:103" ht="12" customHeight="1">
      <c r="A3" s="144" t="s">
        <v>320</v>
      </c>
      <c r="B3" s="190">
        <v>10000000</v>
      </c>
      <c r="C3" s="190">
        <v>0</v>
      </c>
      <c r="D3" s="190">
        <v>897272</v>
      </c>
      <c r="E3" s="190">
        <v>0</v>
      </c>
      <c r="F3" s="190">
        <v>0</v>
      </c>
      <c r="G3" s="190">
        <v>12272</v>
      </c>
      <c r="H3" s="190">
        <v>0</v>
      </c>
      <c r="I3" s="190">
        <v>3894000</v>
      </c>
      <c r="J3" s="190">
        <v>12272</v>
      </c>
      <c r="K3" s="190">
        <v>0</v>
      </c>
      <c r="L3" s="190">
        <v>0</v>
      </c>
      <c r="M3" s="190">
        <v>12272</v>
      </c>
      <c r="N3" s="190">
        <v>0</v>
      </c>
      <c r="O3" s="190">
        <v>4248000</v>
      </c>
      <c r="P3" s="190">
        <v>897762.88</v>
      </c>
      <c r="Q3" s="190">
        <v>0</v>
      </c>
      <c r="R3" s="190">
        <v>0</v>
      </c>
      <c r="S3" s="190">
        <v>12762.880000000001</v>
      </c>
      <c r="T3" s="190">
        <v>0</v>
      </c>
      <c r="U3" s="190">
        <v>0</v>
      </c>
      <c r="V3" s="190">
        <v>12762.880000000001</v>
      </c>
      <c r="W3" s="190">
        <v>0</v>
      </c>
      <c r="X3" s="190">
        <v>0</v>
      </c>
      <c r="Y3" s="190">
        <v>12762.880000000001</v>
      </c>
      <c r="Z3" s="190">
        <v>0</v>
      </c>
      <c r="AA3" s="190">
        <v>4248000</v>
      </c>
      <c r="AB3" s="190">
        <v>898273.39520000003</v>
      </c>
      <c r="AC3" s="190">
        <v>0</v>
      </c>
      <c r="AD3" s="190">
        <v>0</v>
      </c>
      <c r="AE3" s="190">
        <v>13273.395200000001</v>
      </c>
      <c r="AF3" s="190">
        <v>0</v>
      </c>
      <c r="AG3" s="190">
        <v>0</v>
      </c>
      <c r="AH3" s="190">
        <v>13273.395200000001</v>
      </c>
      <c r="AI3" s="190">
        <v>0</v>
      </c>
      <c r="AJ3" s="190">
        <v>0</v>
      </c>
      <c r="AK3" s="190">
        <v>13273.395200000001</v>
      </c>
      <c r="AL3" s="190">
        <v>0</v>
      </c>
      <c r="AM3" s="190">
        <v>4248000</v>
      </c>
      <c r="AN3" s="190">
        <v>898804.33100799995</v>
      </c>
      <c r="AO3" s="190">
        <v>0</v>
      </c>
      <c r="AP3" s="190">
        <v>0</v>
      </c>
      <c r="AQ3" s="190">
        <v>13804.331008000001</v>
      </c>
      <c r="AR3" s="190">
        <v>0</v>
      </c>
      <c r="AS3" s="190">
        <v>0</v>
      </c>
      <c r="AT3" s="190">
        <v>13804.331008000001</v>
      </c>
      <c r="AU3" s="190">
        <v>0</v>
      </c>
      <c r="AV3" s="190">
        <v>0</v>
      </c>
      <c r="AW3" s="190">
        <v>13804.331008000001</v>
      </c>
      <c r="AX3" s="190">
        <v>0</v>
      </c>
      <c r="AY3" s="190">
        <v>4248000</v>
      </c>
      <c r="AZ3" s="190">
        <v>899356.50424832001</v>
      </c>
      <c r="BA3" s="190">
        <v>0</v>
      </c>
      <c r="BB3" s="190">
        <v>0</v>
      </c>
      <c r="BC3" s="190">
        <v>14356.504248320001</v>
      </c>
      <c r="BD3" s="190">
        <v>0</v>
      </c>
      <c r="BE3" s="190">
        <v>0</v>
      </c>
      <c r="BF3" s="190">
        <v>14356.504248320001</v>
      </c>
      <c r="BG3" s="190">
        <v>0</v>
      </c>
      <c r="BH3" s="190">
        <v>0</v>
      </c>
      <c r="BI3" s="190">
        <v>14356.504248320001</v>
      </c>
      <c r="BJ3" s="190">
        <v>0</v>
      </c>
      <c r="BK3" s="190">
        <v>4248000</v>
      </c>
      <c r="BL3" s="190">
        <v>899930.76441825274</v>
      </c>
      <c r="BM3" s="190">
        <v>0</v>
      </c>
      <c r="BN3" s="190">
        <v>0</v>
      </c>
      <c r="BO3" s="190">
        <v>14930.764418252802</v>
      </c>
      <c r="BP3" s="190">
        <v>0</v>
      </c>
      <c r="BQ3" s="190">
        <v>0</v>
      </c>
      <c r="BR3" s="190">
        <v>14930.764418252802</v>
      </c>
      <c r="BS3" s="190">
        <v>0</v>
      </c>
      <c r="BT3" s="190">
        <v>0</v>
      </c>
      <c r="BU3" s="190">
        <v>14930.764418252802</v>
      </c>
      <c r="BV3" s="190">
        <v>0</v>
      </c>
      <c r="BW3" s="190">
        <v>4248000</v>
      </c>
      <c r="BX3" s="190">
        <v>900527.99499498296</v>
      </c>
      <c r="BY3" s="190">
        <v>0</v>
      </c>
      <c r="BZ3" s="190">
        <v>0</v>
      </c>
      <c r="CA3" s="190">
        <v>15527.994994982915</v>
      </c>
      <c r="CB3" s="190">
        <v>0</v>
      </c>
      <c r="CC3" s="190">
        <v>0</v>
      </c>
      <c r="CD3" s="190">
        <v>15527.994994982915</v>
      </c>
      <c r="CE3" s="190">
        <v>0</v>
      </c>
      <c r="CF3" s="190">
        <v>0</v>
      </c>
      <c r="CG3" s="190">
        <v>0</v>
      </c>
      <c r="CH3" s="190">
        <v>0</v>
      </c>
      <c r="CI3" s="190">
        <v>4248000</v>
      </c>
      <c r="CJ3" s="190">
        <v>885000</v>
      </c>
      <c r="CK3" s="190">
        <v>0</v>
      </c>
      <c r="CL3" s="190">
        <v>0</v>
      </c>
      <c r="CM3" s="190">
        <v>0</v>
      </c>
      <c r="CN3" s="190">
        <v>0</v>
      </c>
      <c r="CO3" s="190">
        <v>0</v>
      </c>
      <c r="CP3" s="190">
        <v>0</v>
      </c>
      <c r="CQ3" s="190">
        <v>0</v>
      </c>
      <c r="CR3" s="190">
        <v>0</v>
      </c>
      <c r="CS3" s="190">
        <v>0</v>
      </c>
      <c r="CT3" s="190">
        <v>0</v>
      </c>
      <c r="CU3" s="190">
        <v>2124000</v>
      </c>
      <c r="CV3" s="190">
        <v>0</v>
      </c>
      <c r="CW3" s="190">
        <v>0</v>
      </c>
      <c r="CX3" s="190">
        <v>0</v>
      </c>
      <c r="CY3" s="190">
        <v>0</v>
      </c>
    </row>
    <row r="4" spans="1:103" ht="12" customHeight="1">
      <c r="A4" s="144" t="s">
        <v>322</v>
      </c>
      <c r="B4" s="190">
        <v>12616082.768409438</v>
      </c>
      <c r="C4" s="190">
        <v>85904</v>
      </c>
      <c r="D4" s="190">
        <v>85904</v>
      </c>
      <c r="E4" s="190">
        <v>85904</v>
      </c>
      <c r="F4" s="190">
        <v>85904</v>
      </c>
      <c r="G4" s="190">
        <v>85904</v>
      </c>
      <c r="H4" s="190">
        <v>85904</v>
      </c>
      <c r="I4" s="190">
        <v>85904</v>
      </c>
      <c r="J4" s="190">
        <v>85904</v>
      </c>
      <c r="K4" s="190">
        <v>85904</v>
      </c>
      <c r="L4" s="190">
        <v>85904</v>
      </c>
      <c r="M4" s="190">
        <v>10085904</v>
      </c>
      <c r="N4" s="190">
        <v>589340.16000000003</v>
      </c>
      <c r="O4" s="190">
        <v>89340.160000000003</v>
      </c>
      <c r="P4" s="190">
        <v>89340.160000000003</v>
      </c>
      <c r="Q4" s="190">
        <v>89340.160000000003</v>
      </c>
      <c r="R4" s="190">
        <v>89340.160000000003</v>
      </c>
      <c r="S4" s="190">
        <v>89340.160000000003</v>
      </c>
      <c r="T4" s="190">
        <v>89340.160000000003</v>
      </c>
      <c r="U4" s="190">
        <v>89340.160000000003</v>
      </c>
      <c r="V4" s="190">
        <v>89340.160000000003</v>
      </c>
      <c r="W4" s="190">
        <v>89340.160000000003</v>
      </c>
      <c r="X4" s="190">
        <v>89340.160000000003</v>
      </c>
      <c r="Y4" s="190">
        <v>89340.160000000003</v>
      </c>
      <c r="Z4" s="190">
        <v>592913.76639999996</v>
      </c>
      <c r="AA4" s="190">
        <v>92913.766400000008</v>
      </c>
      <c r="AB4" s="190">
        <v>92913.766400000008</v>
      </c>
      <c r="AC4" s="190">
        <v>92913.766400000008</v>
      </c>
      <c r="AD4" s="190">
        <v>92913.766400000008</v>
      </c>
      <c r="AE4" s="190">
        <v>92913.766400000008</v>
      </c>
      <c r="AF4" s="190">
        <v>92913.766400000008</v>
      </c>
      <c r="AG4" s="190">
        <v>92913.766400000008</v>
      </c>
      <c r="AH4" s="190">
        <v>92913.766400000008</v>
      </c>
      <c r="AI4" s="190">
        <v>92913.766400000008</v>
      </c>
      <c r="AJ4" s="190">
        <v>92913.766400000008</v>
      </c>
      <c r="AK4" s="190">
        <v>92913.766400000008</v>
      </c>
      <c r="AL4" s="190">
        <v>596630.317056</v>
      </c>
      <c r="AM4" s="190">
        <v>96630.317056000014</v>
      </c>
      <c r="AN4" s="190">
        <v>96630.317056000014</v>
      </c>
      <c r="AO4" s="190">
        <v>96630.317056000014</v>
      </c>
      <c r="AP4" s="190">
        <v>96630.317056000014</v>
      </c>
      <c r="AQ4" s="190">
        <v>96630.317056000014</v>
      </c>
      <c r="AR4" s="190">
        <v>96630.317056000014</v>
      </c>
      <c r="AS4" s="190">
        <v>96630.317056000014</v>
      </c>
      <c r="AT4" s="190">
        <v>96630.317056000014</v>
      </c>
      <c r="AU4" s="190">
        <v>96630.317056000014</v>
      </c>
      <c r="AV4" s="190">
        <v>96630.317056000014</v>
      </c>
      <c r="AW4" s="190">
        <v>96630.317056000014</v>
      </c>
      <c r="AX4" s="190">
        <v>600495.52973824006</v>
      </c>
      <c r="AY4" s="190">
        <v>100495.52973824002</v>
      </c>
      <c r="AZ4" s="190">
        <v>100495.52973824002</v>
      </c>
      <c r="BA4" s="190">
        <v>100495.52973824002</v>
      </c>
      <c r="BB4" s="190">
        <v>100495.52973824002</v>
      </c>
      <c r="BC4" s="190">
        <v>100495.52973824002</v>
      </c>
      <c r="BD4" s="190">
        <v>100495.52973824002</v>
      </c>
      <c r="BE4" s="190">
        <v>100495.52973824002</v>
      </c>
      <c r="BF4" s="190">
        <v>100495.52973824002</v>
      </c>
      <c r="BG4" s="190">
        <v>100495.52973824002</v>
      </c>
      <c r="BH4" s="190">
        <v>100495.52973824002</v>
      </c>
      <c r="BI4" s="190">
        <v>100495.52973824002</v>
      </c>
      <c r="BJ4" s="190">
        <v>604515.35092776967</v>
      </c>
      <c r="BK4" s="190">
        <v>104515.35092776961</v>
      </c>
      <c r="BL4" s="190">
        <v>104515.35092776961</v>
      </c>
      <c r="BM4" s="190">
        <v>104515.35092776961</v>
      </c>
      <c r="BN4" s="190">
        <v>104515.35092776961</v>
      </c>
      <c r="BO4" s="190">
        <v>104515.35092776961</v>
      </c>
      <c r="BP4" s="190">
        <v>104515.35092776961</v>
      </c>
      <c r="BQ4" s="190">
        <v>104515.35092776961</v>
      </c>
      <c r="BR4" s="190">
        <v>104515.35092776961</v>
      </c>
      <c r="BS4" s="190">
        <v>104515.35092776961</v>
      </c>
      <c r="BT4" s="190">
        <v>104515.35092776961</v>
      </c>
      <c r="BU4" s="190">
        <v>104515.35092776961</v>
      </c>
      <c r="BV4" s="190">
        <v>608695.96496488038</v>
      </c>
      <c r="BW4" s="190">
        <v>108695.9649648804</v>
      </c>
      <c r="BX4" s="190">
        <v>108695.9649648804</v>
      </c>
      <c r="BY4" s="190">
        <v>108695.9649648804</v>
      </c>
      <c r="BZ4" s="190">
        <v>108695.9649648804</v>
      </c>
      <c r="CA4" s="190">
        <v>108695.9649648804</v>
      </c>
      <c r="CB4" s="190">
        <v>108695.9649648804</v>
      </c>
      <c r="CC4" s="190">
        <v>108695.9649648804</v>
      </c>
      <c r="CD4" s="190">
        <v>108695.9649648804</v>
      </c>
      <c r="CE4" s="190">
        <v>108695.9649648804</v>
      </c>
      <c r="CF4" s="190">
        <v>108695.9649648804</v>
      </c>
      <c r="CG4" s="190">
        <v>108695.9649648804</v>
      </c>
      <c r="CH4" s="190">
        <v>613043.80356347561</v>
      </c>
      <c r="CI4" s="190">
        <v>113043.80356347562</v>
      </c>
      <c r="CJ4" s="190">
        <v>113043.80356347562</v>
      </c>
      <c r="CK4" s="190">
        <v>113043.80356347562</v>
      </c>
      <c r="CL4" s="190">
        <v>113043.80356347562</v>
      </c>
      <c r="CM4" s="190">
        <v>113043.80356347562</v>
      </c>
      <c r="CN4" s="190">
        <v>113043.80356347562</v>
      </c>
      <c r="CO4" s="190">
        <v>113043.80356347562</v>
      </c>
      <c r="CP4" s="190">
        <v>113043.80356347562</v>
      </c>
      <c r="CQ4" s="190">
        <v>113043.80356347562</v>
      </c>
      <c r="CR4" s="190">
        <v>113043.80356347562</v>
      </c>
      <c r="CS4" s="190">
        <v>113043.80356347562</v>
      </c>
      <c r="CT4" s="190">
        <v>617565.55570601462</v>
      </c>
      <c r="CU4" s="190">
        <v>117565.55570601465</v>
      </c>
      <c r="CV4" s="190">
        <v>117565.55570601465</v>
      </c>
      <c r="CW4" s="190">
        <v>117565.55570601465</v>
      </c>
      <c r="CX4" s="190">
        <v>117565.55570601465</v>
      </c>
      <c r="CY4" s="190">
        <v>117565.55570601465</v>
      </c>
    </row>
    <row r="5" spans="1:103" ht="12" customHeight="1">
      <c r="A5" s="144" t="s">
        <v>323</v>
      </c>
      <c r="B5" s="50">
        <v>0</v>
      </c>
      <c r="C5" s="50">
        <v>0</v>
      </c>
      <c r="D5" s="50">
        <v>0</v>
      </c>
      <c r="E5" s="50">
        <v>0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245440</v>
      </c>
      <c r="M5" s="50">
        <v>0</v>
      </c>
      <c r="N5" s="50">
        <v>0</v>
      </c>
      <c r="O5" s="50">
        <v>0</v>
      </c>
      <c r="P5" s="50">
        <v>0</v>
      </c>
      <c r="Q5" s="50">
        <v>0</v>
      </c>
      <c r="R5" s="50">
        <v>0</v>
      </c>
      <c r="S5" s="50">
        <v>0</v>
      </c>
      <c r="T5" s="50">
        <v>0</v>
      </c>
      <c r="U5" s="50">
        <v>0</v>
      </c>
      <c r="V5" s="50">
        <v>0</v>
      </c>
      <c r="W5" s="50">
        <v>0</v>
      </c>
      <c r="X5" s="50">
        <v>255257.60000000001</v>
      </c>
      <c r="Y5" s="50">
        <v>0</v>
      </c>
      <c r="Z5" s="50">
        <v>0</v>
      </c>
      <c r="AA5" s="50">
        <v>0</v>
      </c>
      <c r="AB5" s="50">
        <v>0</v>
      </c>
      <c r="AC5" s="50">
        <v>0</v>
      </c>
      <c r="AD5" s="50">
        <v>0</v>
      </c>
      <c r="AE5" s="50">
        <v>0</v>
      </c>
      <c r="AF5" s="50">
        <v>0</v>
      </c>
      <c r="AG5" s="50">
        <v>0</v>
      </c>
      <c r="AH5" s="50">
        <v>0</v>
      </c>
      <c r="AI5" s="50">
        <v>0</v>
      </c>
      <c r="AJ5" s="50">
        <v>265467.90400000004</v>
      </c>
      <c r="AK5" s="50">
        <v>0</v>
      </c>
      <c r="AL5" s="50">
        <v>0</v>
      </c>
      <c r="AM5" s="50">
        <v>0</v>
      </c>
      <c r="AN5" s="50">
        <v>0</v>
      </c>
      <c r="AO5" s="50">
        <v>0</v>
      </c>
      <c r="AP5" s="50">
        <v>0</v>
      </c>
      <c r="AQ5" s="50">
        <v>0</v>
      </c>
      <c r="AR5" s="50">
        <v>0</v>
      </c>
      <c r="AS5" s="50">
        <v>0</v>
      </c>
      <c r="AT5" s="50">
        <v>0</v>
      </c>
      <c r="AU5" s="50">
        <v>0</v>
      </c>
      <c r="AV5" s="50">
        <v>276086.62016000005</v>
      </c>
      <c r="AW5" s="50">
        <v>0</v>
      </c>
      <c r="AX5" s="50">
        <v>0</v>
      </c>
      <c r="AY5" s="50">
        <v>0</v>
      </c>
      <c r="AZ5" s="50">
        <v>0</v>
      </c>
      <c r="BA5" s="50">
        <v>0</v>
      </c>
      <c r="BB5" s="50">
        <v>0</v>
      </c>
      <c r="BC5" s="50">
        <v>0</v>
      </c>
      <c r="BD5" s="50">
        <v>0</v>
      </c>
      <c r="BE5" s="50">
        <v>0</v>
      </c>
      <c r="BF5" s="50">
        <v>0</v>
      </c>
      <c r="BG5" s="50">
        <v>0</v>
      </c>
      <c r="BH5" s="50">
        <v>287130.08496640006</v>
      </c>
      <c r="BI5" s="50">
        <v>0</v>
      </c>
      <c r="BJ5" s="50">
        <v>0</v>
      </c>
      <c r="BK5" s="50">
        <v>0</v>
      </c>
      <c r="BL5" s="50">
        <v>0</v>
      </c>
      <c r="BM5" s="50">
        <v>0</v>
      </c>
      <c r="BN5" s="50">
        <v>0</v>
      </c>
      <c r="BO5" s="50">
        <v>0</v>
      </c>
      <c r="BP5" s="50">
        <v>0</v>
      </c>
      <c r="BQ5" s="50">
        <v>0</v>
      </c>
      <c r="BR5" s="50">
        <v>0</v>
      </c>
      <c r="BS5" s="50">
        <v>0</v>
      </c>
      <c r="BT5" s="50">
        <v>298615.28836505604</v>
      </c>
      <c r="BU5" s="50">
        <v>0</v>
      </c>
      <c r="BV5" s="50">
        <v>0</v>
      </c>
      <c r="BW5" s="50">
        <v>0</v>
      </c>
      <c r="BX5" s="50">
        <v>0</v>
      </c>
      <c r="BY5" s="50">
        <v>0</v>
      </c>
      <c r="BZ5" s="50">
        <v>0</v>
      </c>
      <c r="CA5" s="50">
        <v>0</v>
      </c>
      <c r="CB5" s="50">
        <v>0</v>
      </c>
      <c r="CC5" s="50">
        <v>0</v>
      </c>
      <c r="CD5" s="50">
        <v>0</v>
      </c>
      <c r="CE5" s="50">
        <v>0</v>
      </c>
      <c r="CF5" s="50">
        <v>310559.89989965828</v>
      </c>
      <c r="CG5" s="50">
        <v>0</v>
      </c>
      <c r="CH5" s="50">
        <v>0</v>
      </c>
      <c r="CI5" s="50">
        <v>0</v>
      </c>
      <c r="CJ5" s="50">
        <v>0</v>
      </c>
      <c r="CK5" s="50">
        <v>0</v>
      </c>
      <c r="CL5" s="50">
        <v>0</v>
      </c>
      <c r="CM5" s="50">
        <v>0</v>
      </c>
      <c r="CN5" s="50">
        <v>0</v>
      </c>
      <c r="CO5" s="50">
        <v>0</v>
      </c>
      <c r="CP5" s="50">
        <v>0</v>
      </c>
      <c r="CQ5" s="50">
        <v>0</v>
      </c>
      <c r="CR5" s="50">
        <v>322982.29589564464</v>
      </c>
      <c r="CS5" s="50">
        <v>0</v>
      </c>
      <c r="CT5" s="50">
        <v>0</v>
      </c>
      <c r="CU5" s="50">
        <v>0</v>
      </c>
      <c r="CV5" s="50">
        <v>0</v>
      </c>
      <c r="CW5" s="50">
        <v>0</v>
      </c>
      <c r="CX5" s="50">
        <v>0</v>
      </c>
      <c r="CY5" s="50">
        <v>0</v>
      </c>
    </row>
    <row r="6" spans="1:103" ht="12" customHeight="1">
      <c r="A6" s="144" t="s">
        <v>324</v>
      </c>
      <c r="B6" s="190">
        <v>244085</v>
      </c>
      <c r="C6" s="190">
        <v>220017.2</v>
      </c>
      <c r="D6" s="190">
        <v>30680</v>
      </c>
      <c r="E6" s="190">
        <v>244085</v>
      </c>
      <c r="F6" s="190">
        <v>30680</v>
      </c>
      <c r="G6" s="190">
        <v>620680</v>
      </c>
      <c r="H6" s="190">
        <v>244085</v>
      </c>
      <c r="I6" s="190">
        <v>30680</v>
      </c>
      <c r="J6" s="190">
        <v>30680</v>
      </c>
      <c r="K6" s="190">
        <v>244085</v>
      </c>
      <c r="L6" s="190">
        <v>30680</v>
      </c>
      <c r="M6" s="190">
        <v>30680</v>
      </c>
      <c r="N6" s="190">
        <v>221941.2</v>
      </c>
      <c r="O6" s="190">
        <v>228817.88800000004</v>
      </c>
      <c r="P6" s="190">
        <v>31907.200000000001</v>
      </c>
      <c r="Q6" s="190">
        <v>221941.2</v>
      </c>
      <c r="R6" s="190">
        <v>31907.200000000001</v>
      </c>
      <c r="S6" s="190">
        <v>621907.19999999995</v>
      </c>
      <c r="T6" s="190">
        <v>221941.2</v>
      </c>
      <c r="U6" s="190">
        <v>31907.200000000001</v>
      </c>
      <c r="V6" s="190">
        <v>31907.200000000001</v>
      </c>
      <c r="W6" s="190">
        <v>221941.2</v>
      </c>
      <c r="X6" s="190">
        <v>31907.200000000001</v>
      </c>
      <c r="Y6" s="190">
        <v>31907.200000000001</v>
      </c>
      <c r="Z6" s="190">
        <v>230818.84800000003</v>
      </c>
      <c r="AA6" s="190">
        <v>237970.60352000003</v>
      </c>
      <c r="AB6" s="190">
        <v>33183.488000000005</v>
      </c>
      <c r="AC6" s="190">
        <v>230818.84800000003</v>
      </c>
      <c r="AD6" s="190">
        <v>33183.488000000005</v>
      </c>
      <c r="AE6" s="190">
        <v>623183.48800000001</v>
      </c>
      <c r="AF6" s="190">
        <v>230818.84800000003</v>
      </c>
      <c r="AG6" s="190">
        <v>33183.488000000005</v>
      </c>
      <c r="AH6" s="190">
        <v>33183.488000000005</v>
      </c>
      <c r="AI6" s="190">
        <v>230818.84800000003</v>
      </c>
      <c r="AJ6" s="190">
        <v>33183.488000000005</v>
      </c>
      <c r="AK6" s="190">
        <v>33183.488000000005</v>
      </c>
      <c r="AL6" s="190">
        <v>240051.60192000004</v>
      </c>
      <c r="AM6" s="190">
        <v>247489.42766080005</v>
      </c>
      <c r="AN6" s="190">
        <v>34510.827520000006</v>
      </c>
      <c r="AO6" s="190">
        <v>240051.60192000004</v>
      </c>
      <c r="AP6" s="190">
        <v>34510.827520000006</v>
      </c>
      <c r="AQ6" s="190">
        <v>624510.82752000005</v>
      </c>
      <c r="AR6" s="190">
        <v>240051.60192000004</v>
      </c>
      <c r="AS6" s="190">
        <v>34510.827520000006</v>
      </c>
      <c r="AT6" s="190">
        <v>34510.827520000006</v>
      </c>
      <c r="AU6" s="190">
        <v>240051.60192000004</v>
      </c>
      <c r="AV6" s="190">
        <v>34510.827520000006</v>
      </c>
      <c r="AW6" s="190">
        <v>34510.827520000006</v>
      </c>
      <c r="AX6" s="190">
        <v>249653.66599680006</v>
      </c>
      <c r="AY6" s="190">
        <v>257389.00476723205</v>
      </c>
      <c r="AZ6" s="190">
        <v>35891.260620800007</v>
      </c>
      <c r="BA6" s="190">
        <v>249653.66599680006</v>
      </c>
      <c r="BB6" s="190">
        <v>35891.260620800007</v>
      </c>
      <c r="BC6" s="190">
        <v>625891.26062079996</v>
      </c>
      <c r="BD6" s="190">
        <v>249653.66599680006</v>
      </c>
      <c r="BE6" s="190">
        <v>35891.260620800007</v>
      </c>
      <c r="BF6" s="190">
        <v>35891.260620800007</v>
      </c>
      <c r="BG6" s="190">
        <v>249653.66599680006</v>
      </c>
      <c r="BH6" s="190">
        <v>35891.260620800007</v>
      </c>
      <c r="BI6" s="190">
        <v>35891.260620800007</v>
      </c>
      <c r="BJ6" s="190">
        <v>259639.81263667205</v>
      </c>
      <c r="BK6" s="190">
        <v>267684.56495792134</v>
      </c>
      <c r="BL6" s="190">
        <v>37326.911045632005</v>
      </c>
      <c r="BM6" s="190">
        <v>259639.81263667205</v>
      </c>
      <c r="BN6" s="190">
        <v>37326.911045632005</v>
      </c>
      <c r="BO6" s="190">
        <v>627326.91104563198</v>
      </c>
      <c r="BP6" s="190">
        <v>259639.81263667205</v>
      </c>
      <c r="BQ6" s="190">
        <v>37326.911045632005</v>
      </c>
      <c r="BR6" s="190">
        <v>37326.911045632005</v>
      </c>
      <c r="BS6" s="190">
        <v>259639.81263667205</v>
      </c>
      <c r="BT6" s="190">
        <v>37326.911045632005</v>
      </c>
      <c r="BU6" s="190">
        <v>37326.911045632005</v>
      </c>
      <c r="BV6" s="190">
        <v>270025.40514213894</v>
      </c>
      <c r="BW6" s="190">
        <v>278391.94755623816</v>
      </c>
      <c r="BX6" s="190">
        <v>38819.987487457285</v>
      </c>
      <c r="BY6" s="190">
        <v>270025.40514213894</v>
      </c>
      <c r="BZ6" s="190">
        <v>38819.987487457285</v>
      </c>
      <c r="CA6" s="190">
        <v>628819.98748745723</v>
      </c>
      <c r="CB6" s="190">
        <v>270025.40514213894</v>
      </c>
      <c r="CC6" s="190">
        <v>38819.987487457285</v>
      </c>
      <c r="CD6" s="190">
        <v>38819.987487457285</v>
      </c>
      <c r="CE6" s="190">
        <v>270025.40514213894</v>
      </c>
      <c r="CF6" s="190">
        <v>38819.987487457285</v>
      </c>
      <c r="CG6" s="190">
        <v>38819.987487457285</v>
      </c>
      <c r="CH6" s="190">
        <v>280826.42134782451</v>
      </c>
      <c r="CI6" s="190">
        <v>289527.62545848772</v>
      </c>
      <c r="CJ6" s="190">
        <v>40372.78698695558</v>
      </c>
      <c r="CK6" s="190">
        <v>280826.42134782451</v>
      </c>
      <c r="CL6" s="190">
        <v>40372.78698695558</v>
      </c>
      <c r="CM6" s="190">
        <v>630372.78698695556</v>
      </c>
      <c r="CN6" s="190">
        <v>280826.42134782451</v>
      </c>
      <c r="CO6" s="190">
        <v>40372.78698695558</v>
      </c>
      <c r="CP6" s="190">
        <v>40372.78698695558</v>
      </c>
      <c r="CQ6" s="190">
        <v>280826.42134782451</v>
      </c>
      <c r="CR6" s="190">
        <v>40372.78698695558</v>
      </c>
      <c r="CS6" s="190">
        <v>40372.78698695558</v>
      </c>
      <c r="CT6" s="190">
        <v>292059.47820173751</v>
      </c>
      <c r="CU6" s="190">
        <v>301108.73047682724</v>
      </c>
      <c r="CV6" s="190">
        <v>41987.698466433802</v>
      </c>
      <c r="CW6" s="190">
        <v>292059.47820173751</v>
      </c>
      <c r="CX6" s="190">
        <v>41987.698466433802</v>
      </c>
      <c r="CY6" s="190">
        <v>631987.69846643379</v>
      </c>
    </row>
    <row r="7" spans="1:103" ht="12" customHeight="1">
      <c r="A7" s="144" t="s">
        <v>325</v>
      </c>
      <c r="B7" s="50">
        <v>0</v>
      </c>
      <c r="C7" s="50">
        <v>0</v>
      </c>
      <c r="D7" s="50">
        <v>0</v>
      </c>
      <c r="E7" s="50">
        <v>0</v>
      </c>
      <c r="F7" s="50">
        <v>0</v>
      </c>
      <c r="G7" s="50">
        <v>0</v>
      </c>
      <c r="H7" s="50">
        <v>55224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0</v>
      </c>
      <c r="S7" s="50">
        <v>0</v>
      </c>
      <c r="T7" s="50">
        <v>57432.959999999999</v>
      </c>
      <c r="U7" s="50">
        <v>0</v>
      </c>
      <c r="V7" s="50">
        <v>0</v>
      </c>
      <c r="W7" s="50">
        <v>0</v>
      </c>
      <c r="X7" s="50">
        <v>0</v>
      </c>
      <c r="Y7" s="50">
        <v>0</v>
      </c>
      <c r="Z7" s="50">
        <v>0</v>
      </c>
      <c r="AA7" s="50">
        <v>0</v>
      </c>
      <c r="AB7" s="50">
        <v>0</v>
      </c>
      <c r="AC7" s="50">
        <v>0</v>
      </c>
      <c r="AD7" s="50">
        <v>0</v>
      </c>
      <c r="AE7" s="50">
        <v>0</v>
      </c>
      <c r="AF7" s="50">
        <v>59730.278400000003</v>
      </c>
      <c r="AG7" s="50">
        <v>0</v>
      </c>
      <c r="AH7" s="50">
        <v>0</v>
      </c>
      <c r="AI7" s="50">
        <v>0</v>
      </c>
      <c r="AJ7" s="50">
        <v>0</v>
      </c>
      <c r="AK7" s="50">
        <v>0</v>
      </c>
      <c r="AL7" s="50">
        <v>0</v>
      </c>
      <c r="AM7" s="50">
        <v>0</v>
      </c>
      <c r="AN7" s="50">
        <v>0</v>
      </c>
      <c r="AO7" s="50">
        <v>0</v>
      </c>
      <c r="AP7" s="50">
        <v>0</v>
      </c>
      <c r="AQ7" s="50">
        <v>0</v>
      </c>
      <c r="AR7" s="50">
        <v>62119.489536000008</v>
      </c>
      <c r="AS7" s="50">
        <v>0</v>
      </c>
      <c r="AT7" s="50">
        <v>0</v>
      </c>
      <c r="AU7" s="50">
        <v>0</v>
      </c>
      <c r="AV7" s="50">
        <v>0</v>
      </c>
      <c r="AW7" s="50">
        <v>0</v>
      </c>
      <c r="AX7" s="50">
        <v>0</v>
      </c>
      <c r="AY7" s="50">
        <v>0</v>
      </c>
      <c r="AZ7" s="50">
        <v>0</v>
      </c>
      <c r="BA7" s="50">
        <v>0</v>
      </c>
      <c r="BB7" s="50">
        <v>0</v>
      </c>
      <c r="BC7" s="50">
        <v>0</v>
      </c>
      <c r="BD7" s="50">
        <v>64604.26911744001</v>
      </c>
      <c r="BE7" s="50">
        <v>0</v>
      </c>
      <c r="BF7" s="50">
        <v>0</v>
      </c>
      <c r="BG7" s="50">
        <v>0</v>
      </c>
      <c r="BH7" s="50">
        <v>0</v>
      </c>
      <c r="BI7" s="50">
        <v>0</v>
      </c>
      <c r="BJ7" s="50">
        <v>0</v>
      </c>
      <c r="BK7" s="50">
        <v>0</v>
      </c>
      <c r="BL7" s="50">
        <v>0</v>
      </c>
      <c r="BM7" s="50">
        <v>0</v>
      </c>
      <c r="BN7" s="50">
        <v>0</v>
      </c>
      <c r="BO7" s="50">
        <v>0</v>
      </c>
      <c r="BP7" s="50">
        <v>67188.439882137609</v>
      </c>
      <c r="BQ7" s="50">
        <v>0</v>
      </c>
      <c r="BR7" s="50">
        <v>0</v>
      </c>
      <c r="BS7" s="50">
        <v>0</v>
      </c>
      <c r="BT7" s="50">
        <v>0</v>
      </c>
      <c r="BU7" s="50">
        <v>0</v>
      </c>
      <c r="BV7" s="50">
        <v>0</v>
      </c>
      <c r="BW7" s="50">
        <v>0</v>
      </c>
      <c r="BX7" s="50">
        <v>0</v>
      </c>
      <c r="BY7" s="50">
        <v>0</v>
      </c>
      <c r="BZ7" s="50">
        <v>0</v>
      </c>
      <c r="CA7" s="50">
        <v>0</v>
      </c>
      <c r="CB7" s="50">
        <v>69875.977477423119</v>
      </c>
      <c r="CC7" s="50">
        <v>0</v>
      </c>
      <c r="CD7" s="50">
        <v>0</v>
      </c>
      <c r="CE7" s="50">
        <v>0</v>
      </c>
      <c r="CF7" s="50">
        <v>0</v>
      </c>
      <c r="CG7" s="50">
        <v>0</v>
      </c>
      <c r="CH7" s="50">
        <v>0</v>
      </c>
      <c r="CI7" s="50">
        <v>0</v>
      </c>
      <c r="CJ7" s="50">
        <v>0</v>
      </c>
      <c r="CK7" s="50">
        <v>0</v>
      </c>
      <c r="CL7" s="50">
        <v>0</v>
      </c>
      <c r="CM7" s="50">
        <v>0</v>
      </c>
      <c r="CN7" s="50">
        <v>72671.016576520051</v>
      </c>
      <c r="CO7" s="50">
        <v>0</v>
      </c>
      <c r="CP7" s="50">
        <v>0</v>
      </c>
      <c r="CQ7" s="50">
        <v>0</v>
      </c>
      <c r="CR7" s="50">
        <v>0</v>
      </c>
      <c r="CS7" s="50">
        <v>0</v>
      </c>
      <c r="CT7" s="50">
        <v>0</v>
      </c>
      <c r="CU7" s="50">
        <v>0</v>
      </c>
      <c r="CV7" s="50">
        <v>0</v>
      </c>
      <c r="CW7" s="50">
        <v>0</v>
      </c>
      <c r="CX7" s="50">
        <v>0</v>
      </c>
      <c r="CY7" s="50">
        <v>0</v>
      </c>
    </row>
    <row r="8" spans="1:103" ht="12" customHeight="1">
      <c r="A8" s="144" t="s">
        <v>326</v>
      </c>
      <c r="B8" s="50">
        <v>0</v>
      </c>
      <c r="C8" s="50">
        <v>0</v>
      </c>
      <c r="D8" s="50">
        <v>0</v>
      </c>
      <c r="E8" s="50">
        <v>0</v>
      </c>
      <c r="F8" s="50">
        <v>35400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35400</v>
      </c>
      <c r="S8" s="50">
        <v>0</v>
      </c>
      <c r="T8" s="50">
        <v>0</v>
      </c>
      <c r="U8" s="50">
        <v>0</v>
      </c>
      <c r="V8" s="50">
        <v>0</v>
      </c>
      <c r="W8" s="50">
        <v>0</v>
      </c>
      <c r="X8" s="50">
        <v>0</v>
      </c>
      <c r="Y8" s="50">
        <v>0</v>
      </c>
      <c r="Z8" s="50">
        <v>0</v>
      </c>
      <c r="AA8" s="50">
        <v>0</v>
      </c>
      <c r="AB8" s="50">
        <v>0</v>
      </c>
      <c r="AC8" s="50">
        <v>0</v>
      </c>
      <c r="AD8" s="50">
        <v>35400</v>
      </c>
      <c r="AE8" s="50">
        <v>0</v>
      </c>
      <c r="AF8" s="50">
        <v>0</v>
      </c>
      <c r="AG8" s="50">
        <v>0</v>
      </c>
      <c r="AH8" s="50">
        <v>0</v>
      </c>
      <c r="AI8" s="50">
        <v>0</v>
      </c>
      <c r="AJ8" s="50">
        <v>0</v>
      </c>
      <c r="AK8" s="50">
        <v>0</v>
      </c>
      <c r="AL8" s="50">
        <v>0</v>
      </c>
      <c r="AM8" s="50">
        <v>0</v>
      </c>
      <c r="AN8" s="50">
        <v>0</v>
      </c>
      <c r="AO8" s="50">
        <v>0</v>
      </c>
      <c r="AP8" s="50">
        <v>35400</v>
      </c>
      <c r="AQ8" s="50">
        <v>0</v>
      </c>
      <c r="AR8" s="50">
        <v>0</v>
      </c>
      <c r="AS8" s="50">
        <v>0</v>
      </c>
      <c r="AT8" s="50">
        <v>0</v>
      </c>
      <c r="AU8" s="50">
        <v>0</v>
      </c>
      <c r="AV8" s="50">
        <v>0</v>
      </c>
      <c r="AW8" s="50">
        <v>0</v>
      </c>
      <c r="AX8" s="50">
        <v>0</v>
      </c>
      <c r="AY8" s="50">
        <v>0</v>
      </c>
      <c r="AZ8" s="50">
        <v>0</v>
      </c>
      <c r="BA8" s="50">
        <v>0</v>
      </c>
      <c r="BB8" s="50">
        <v>35400</v>
      </c>
      <c r="BC8" s="50">
        <v>0</v>
      </c>
      <c r="BD8" s="50">
        <v>0</v>
      </c>
      <c r="BE8" s="50">
        <v>0</v>
      </c>
      <c r="BF8" s="50">
        <v>0</v>
      </c>
      <c r="BG8" s="50">
        <v>0</v>
      </c>
      <c r="BH8" s="50">
        <v>0</v>
      </c>
      <c r="BI8" s="50">
        <v>0</v>
      </c>
      <c r="BJ8" s="50">
        <v>0</v>
      </c>
      <c r="BK8" s="50">
        <v>0</v>
      </c>
      <c r="BL8" s="50">
        <v>0</v>
      </c>
      <c r="BM8" s="50">
        <v>0</v>
      </c>
      <c r="BN8" s="50">
        <v>35400</v>
      </c>
      <c r="BO8" s="50">
        <v>0</v>
      </c>
      <c r="BP8" s="50">
        <v>0</v>
      </c>
      <c r="BQ8" s="50">
        <v>0</v>
      </c>
      <c r="BR8" s="50">
        <v>0</v>
      </c>
      <c r="BS8" s="50">
        <v>0</v>
      </c>
      <c r="BT8" s="50">
        <v>0</v>
      </c>
      <c r="BU8" s="50">
        <v>0</v>
      </c>
      <c r="BV8" s="50">
        <v>0</v>
      </c>
      <c r="BW8" s="50">
        <v>0</v>
      </c>
      <c r="BX8" s="50">
        <v>0</v>
      </c>
      <c r="BY8" s="50">
        <v>0</v>
      </c>
      <c r="BZ8" s="50">
        <v>35400</v>
      </c>
      <c r="CA8" s="50">
        <v>0</v>
      </c>
      <c r="CB8" s="50">
        <v>0</v>
      </c>
      <c r="CC8" s="50">
        <v>0</v>
      </c>
      <c r="CD8" s="50">
        <v>0</v>
      </c>
      <c r="CE8" s="50">
        <v>0</v>
      </c>
      <c r="CF8" s="50">
        <v>0</v>
      </c>
      <c r="CG8" s="50">
        <v>0</v>
      </c>
      <c r="CH8" s="50">
        <v>0</v>
      </c>
      <c r="CI8" s="50">
        <v>0</v>
      </c>
      <c r="CJ8" s="50">
        <v>0</v>
      </c>
      <c r="CK8" s="50">
        <v>0</v>
      </c>
      <c r="CL8" s="50">
        <v>35400</v>
      </c>
      <c r="CM8" s="50">
        <v>0</v>
      </c>
      <c r="CN8" s="50">
        <v>0</v>
      </c>
      <c r="CO8" s="50">
        <v>0</v>
      </c>
      <c r="CP8" s="50">
        <v>0</v>
      </c>
      <c r="CQ8" s="50">
        <v>0</v>
      </c>
      <c r="CR8" s="50">
        <v>0</v>
      </c>
      <c r="CS8" s="50">
        <v>0</v>
      </c>
      <c r="CT8" s="50">
        <v>0</v>
      </c>
      <c r="CU8" s="50">
        <v>0</v>
      </c>
      <c r="CV8" s="50">
        <v>0</v>
      </c>
      <c r="CW8" s="50">
        <v>0</v>
      </c>
      <c r="CX8" s="50">
        <v>35400</v>
      </c>
      <c r="CY8" s="50">
        <v>0</v>
      </c>
    </row>
    <row r="9" spans="1:103" ht="12" customHeight="1">
      <c r="A9" s="144" t="s">
        <v>327</v>
      </c>
      <c r="B9" s="50">
        <v>0</v>
      </c>
      <c r="C9" s="50">
        <v>0</v>
      </c>
      <c r="D9" s="50">
        <v>0</v>
      </c>
      <c r="E9" s="50">
        <v>0</v>
      </c>
      <c r="F9" s="50">
        <v>0</v>
      </c>
      <c r="G9" s="50">
        <v>0</v>
      </c>
      <c r="H9" s="50">
        <v>0</v>
      </c>
      <c r="I9" s="50">
        <v>11800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0</v>
      </c>
      <c r="S9" s="50">
        <v>0</v>
      </c>
      <c r="T9" s="50">
        <v>0</v>
      </c>
      <c r="U9" s="50">
        <v>12272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0">
        <v>0</v>
      </c>
      <c r="AC9" s="50">
        <v>0</v>
      </c>
      <c r="AD9" s="50">
        <v>0</v>
      </c>
      <c r="AE9" s="50">
        <v>0</v>
      </c>
      <c r="AF9" s="50">
        <v>0</v>
      </c>
      <c r="AG9" s="50">
        <v>12762.880000000001</v>
      </c>
      <c r="AH9" s="50">
        <v>0</v>
      </c>
      <c r="AI9" s="50">
        <v>0</v>
      </c>
      <c r="AJ9" s="50">
        <v>0</v>
      </c>
      <c r="AK9" s="50">
        <v>0</v>
      </c>
      <c r="AL9" s="50">
        <v>0</v>
      </c>
      <c r="AM9" s="50">
        <v>0</v>
      </c>
      <c r="AN9" s="50">
        <v>0</v>
      </c>
      <c r="AO9" s="50">
        <v>0</v>
      </c>
      <c r="AP9" s="50">
        <v>0</v>
      </c>
      <c r="AQ9" s="50">
        <v>0</v>
      </c>
      <c r="AR9" s="50">
        <v>0</v>
      </c>
      <c r="AS9" s="50">
        <v>13273.395200000001</v>
      </c>
      <c r="AT9" s="50">
        <v>0</v>
      </c>
      <c r="AU9" s="50">
        <v>0</v>
      </c>
      <c r="AV9" s="50">
        <v>0</v>
      </c>
      <c r="AW9" s="50">
        <v>0</v>
      </c>
      <c r="AX9" s="50">
        <v>0</v>
      </c>
      <c r="AY9" s="50">
        <v>0</v>
      </c>
      <c r="AZ9" s="50">
        <v>0</v>
      </c>
      <c r="BA9" s="50">
        <v>0</v>
      </c>
      <c r="BB9" s="50">
        <v>0</v>
      </c>
      <c r="BC9" s="50">
        <v>0</v>
      </c>
      <c r="BD9" s="50">
        <v>0</v>
      </c>
      <c r="BE9" s="50">
        <v>13804.331008000001</v>
      </c>
      <c r="BF9" s="50">
        <v>0</v>
      </c>
      <c r="BG9" s="50">
        <v>0</v>
      </c>
      <c r="BH9" s="50">
        <v>0</v>
      </c>
      <c r="BI9" s="50">
        <v>0</v>
      </c>
      <c r="BJ9" s="50">
        <v>0</v>
      </c>
      <c r="BK9" s="50">
        <v>0</v>
      </c>
      <c r="BL9" s="50">
        <v>0</v>
      </c>
      <c r="BM9" s="50">
        <v>0</v>
      </c>
      <c r="BN9" s="50">
        <v>0</v>
      </c>
      <c r="BO9" s="50">
        <v>0</v>
      </c>
      <c r="BP9" s="50">
        <v>0</v>
      </c>
      <c r="BQ9" s="50">
        <v>14356.504248320001</v>
      </c>
      <c r="BR9" s="50">
        <v>0</v>
      </c>
      <c r="BS9" s="50">
        <v>0</v>
      </c>
      <c r="BT9" s="50">
        <v>0</v>
      </c>
      <c r="BU9" s="50">
        <v>0</v>
      </c>
      <c r="BV9" s="50">
        <v>0</v>
      </c>
      <c r="BW9" s="50">
        <v>0</v>
      </c>
      <c r="BX9" s="50">
        <v>0</v>
      </c>
      <c r="BY9" s="50">
        <v>0</v>
      </c>
      <c r="BZ9" s="50">
        <v>0</v>
      </c>
      <c r="CA9" s="50">
        <v>0</v>
      </c>
      <c r="CB9" s="50">
        <v>0</v>
      </c>
      <c r="CC9" s="50">
        <v>14930.764418252802</v>
      </c>
      <c r="CD9" s="50">
        <v>0</v>
      </c>
      <c r="CE9" s="50">
        <v>0</v>
      </c>
      <c r="CF9" s="50">
        <v>0</v>
      </c>
      <c r="CG9" s="50">
        <v>0</v>
      </c>
      <c r="CH9" s="50">
        <v>0</v>
      </c>
      <c r="CI9" s="50">
        <v>0</v>
      </c>
      <c r="CJ9" s="50">
        <v>0</v>
      </c>
      <c r="CK9" s="50">
        <v>0</v>
      </c>
      <c r="CL9" s="50">
        <v>0</v>
      </c>
      <c r="CM9" s="50">
        <v>0</v>
      </c>
      <c r="CN9" s="50">
        <v>0</v>
      </c>
      <c r="CO9" s="50">
        <v>15527.994994982915</v>
      </c>
      <c r="CP9" s="50">
        <v>0</v>
      </c>
      <c r="CQ9" s="50">
        <v>0</v>
      </c>
      <c r="CR9" s="50">
        <v>0</v>
      </c>
      <c r="CS9" s="50">
        <v>0</v>
      </c>
      <c r="CT9" s="50">
        <v>0</v>
      </c>
      <c r="CU9" s="50">
        <v>0</v>
      </c>
      <c r="CV9" s="50">
        <v>0</v>
      </c>
      <c r="CW9" s="50">
        <v>0</v>
      </c>
      <c r="CX9" s="50">
        <v>0</v>
      </c>
      <c r="CY9" s="50">
        <v>0</v>
      </c>
    </row>
    <row r="10" spans="1:103" ht="12" customHeight="1">
      <c r="A10" s="144" t="s">
        <v>328</v>
      </c>
      <c r="B10" s="190">
        <v>0</v>
      </c>
      <c r="C10" s="190">
        <v>0</v>
      </c>
      <c r="D10" s="190">
        <v>0</v>
      </c>
      <c r="E10" s="190">
        <v>0</v>
      </c>
      <c r="F10" s="190">
        <v>0</v>
      </c>
      <c r="G10" s="190">
        <v>0</v>
      </c>
      <c r="H10" s="190">
        <v>0</v>
      </c>
      <c r="I10" s="190">
        <v>0</v>
      </c>
      <c r="J10" s="190">
        <v>177000</v>
      </c>
      <c r="K10" s="190">
        <v>0</v>
      </c>
      <c r="L10" s="190">
        <v>0</v>
      </c>
      <c r="M10" s="190">
        <v>0</v>
      </c>
      <c r="N10" s="190">
        <v>0</v>
      </c>
      <c r="O10" s="190">
        <v>0</v>
      </c>
      <c r="P10" s="190">
        <v>0</v>
      </c>
      <c r="Q10" s="190">
        <v>0</v>
      </c>
      <c r="R10" s="190">
        <v>0</v>
      </c>
      <c r="S10" s="190">
        <v>0</v>
      </c>
      <c r="T10" s="190">
        <v>0</v>
      </c>
      <c r="U10" s="190">
        <v>0</v>
      </c>
      <c r="V10" s="190">
        <v>184080</v>
      </c>
      <c r="W10" s="190">
        <v>0</v>
      </c>
      <c r="X10" s="190">
        <v>0</v>
      </c>
      <c r="Y10" s="190">
        <v>0</v>
      </c>
      <c r="Z10" s="190">
        <v>0</v>
      </c>
      <c r="AA10" s="190">
        <v>0</v>
      </c>
      <c r="AB10" s="190">
        <v>0</v>
      </c>
      <c r="AC10" s="190">
        <v>0</v>
      </c>
      <c r="AD10" s="190">
        <v>0</v>
      </c>
      <c r="AE10" s="190">
        <v>0</v>
      </c>
      <c r="AF10" s="190">
        <v>0</v>
      </c>
      <c r="AG10" s="190">
        <v>0</v>
      </c>
      <c r="AH10" s="190">
        <v>191443.20000000001</v>
      </c>
      <c r="AI10" s="190">
        <v>0</v>
      </c>
      <c r="AJ10" s="190">
        <v>0</v>
      </c>
      <c r="AK10" s="190">
        <v>0</v>
      </c>
      <c r="AL10" s="190">
        <v>0</v>
      </c>
      <c r="AM10" s="190">
        <v>0</v>
      </c>
      <c r="AN10" s="190">
        <v>0</v>
      </c>
      <c r="AO10" s="190">
        <v>0</v>
      </c>
      <c r="AP10" s="190">
        <v>0</v>
      </c>
      <c r="AQ10" s="190">
        <v>0</v>
      </c>
      <c r="AR10" s="190">
        <v>0</v>
      </c>
      <c r="AS10" s="190">
        <v>0</v>
      </c>
      <c r="AT10" s="190">
        <v>199100.92800000001</v>
      </c>
      <c r="AU10" s="190">
        <v>0</v>
      </c>
      <c r="AV10" s="190">
        <v>0</v>
      </c>
      <c r="AW10" s="190">
        <v>0</v>
      </c>
      <c r="AX10" s="190">
        <v>0</v>
      </c>
      <c r="AY10" s="190">
        <v>0</v>
      </c>
      <c r="AZ10" s="190">
        <v>0</v>
      </c>
      <c r="BA10" s="190">
        <v>0</v>
      </c>
      <c r="BB10" s="190">
        <v>0</v>
      </c>
      <c r="BC10" s="190">
        <v>0</v>
      </c>
      <c r="BD10" s="190">
        <v>0</v>
      </c>
      <c r="BE10" s="190">
        <v>0</v>
      </c>
      <c r="BF10" s="190">
        <v>207064.96512000001</v>
      </c>
      <c r="BG10" s="190">
        <v>0</v>
      </c>
      <c r="BH10" s="190">
        <v>0</v>
      </c>
      <c r="BI10" s="190">
        <v>0</v>
      </c>
      <c r="BJ10" s="190">
        <v>0</v>
      </c>
      <c r="BK10" s="190">
        <v>0</v>
      </c>
      <c r="BL10" s="190">
        <v>0</v>
      </c>
      <c r="BM10" s="190">
        <v>0</v>
      </c>
      <c r="BN10" s="190">
        <v>0</v>
      </c>
      <c r="BO10" s="190">
        <v>0</v>
      </c>
      <c r="BP10" s="190">
        <v>0</v>
      </c>
      <c r="BQ10" s="190">
        <v>0</v>
      </c>
      <c r="BR10" s="190">
        <v>215347.56372480001</v>
      </c>
      <c r="BS10" s="190">
        <v>0</v>
      </c>
      <c r="BT10" s="190">
        <v>0</v>
      </c>
      <c r="BU10" s="190">
        <v>0</v>
      </c>
      <c r="BV10" s="190">
        <v>0</v>
      </c>
      <c r="BW10" s="190">
        <v>0</v>
      </c>
      <c r="BX10" s="190">
        <v>0</v>
      </c>
      <c r="BY10" s="190">
        <v>0</v>
      </c>
      <c r="BZ10" s="190">
        <v>0</v>
      </c>
      <c r="CA10" s="190">
        <v>0</v>
      </c>
      <c r="CB10" s="190">
        <v>0</v>
      </c>
      <c r="CC10" s="190">
        <v>0</v>
      </c>
      <c r="CD10" s="190">
        <v>223961.46627379203</v>
      </c>
      <c r="CE10" s="190">
        <v>0</v>
      </c>
      <c r="CF10" s="190">
        <v>0</v>
      </c>
      <c r="CG10" s="190">
        <v>0</v>
      </c>
      <c r="CH10" s="190">
        <v>0</v>
      </c>
      <c r="CI10" s="190">
        <v>0</v>
      </c>
      <c r="CJ10" s="190">
        <v>0</v>
      </c>
      <c r="CK10" s="190">
        <v>0</v>
      </c>
      <c r="CL10" s="190">
        <v>0</v>
      </c>
      <c r="CM10" s="190">
        <v>0</v>
      </c>
      <c r="CN10" s="190">
        <v>0</v>
      </c>
      <c r="CO10" s="190">
        <v>0</v>
      </c>
      <c r="CP10" s="190">
        <v>232919.92492474371</v>
      </c>
      <c r="CQ10" s="190">
        <v>0</v>
      </c>
      <c r="CR10" s="190">
        <v>0</v>
      </c>
      <c r="CS10" s="190">
        <v>0</v>
      </c>
      <c r="CT10" s="190">
        <v>0</v>
      </c>
      <c r="CU10" s="190">
        <v>0</v>
      </c>
      <c r="CV10" s="190">
        <v>0</v>
      </c>
      <c r="CW10" s="190">
        <v>0</v>
      </c>
      <c r="CX10" s="190">
        <v>0</v>
      </c>
      <c r="CY10" s="190">
        <v>0</v>
      </c>
    </row>
    <row r="11" spans="1:103" ht="12" customHeight="1">
      <c r="A11" s="144" t="s">
        <v>329</v>
      </c>
      <c r="B11" s="50">
        <v>0</v>
      </c>
      <c r="C11" s="50">
        <v>0</v>
      </c>
      <c r="D11" s="50">
        <v>0</v>
      </c>
      <c r="E11" s="50">
        <v>0</v>
      </c>
      <c r="F11" s="50">
        <v>0</v>
      </c>
      <c r="G11" s="50">
        <v>0</v>
      </c>
      <c r="H11" s="50">
        <v>1227200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0</v>
      </c>
      <c r="S11" s="50">
        <v>0</v>
      </c>
      <c r="T11" s="50">
        <v>1276288</v>
      </c>
      <c r="U11" s="50">
        <v>0</v>
      </c>
      <c r="V11" s="50">
        <v>0</v>
      </c>
      <c r="W11" s="50">
        <v>0</v>
      </c>
      <c r="X11" s="50">
        <v>0</v>
      </c>
      <c r="Y11" s="50">
        <v>0</v>
      </c>
      <c r="Z11" s="50">
        <v>0</v>
      </c>
      <c r="AA11" s="50">
        <v>0</v>
      </c>
      <c r="AB11" s="50">
        <v>0</v>
      </c>
      <c r="AC11" s="50">
        <v>0</v>
      </c>
      <c r="AD11" s="50">
        <v>0</v>
      </c>
      <c r="AE11" s="50">
        <v>0</v>
      </c>
      <c r="AF11" s="50">
        <v>1327339.52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0</v>
      </c>
      <c r="AR11" s="50">
        <v>1380433.1008000001</v>
      </c>
      <c r="AS11" s="50">
        <v>0</v>
      </c>
      <c r="AT11" s="50">
        <v>0</v>
      </c>
      <c r="AU11" s="50">
        <v>0</v>
      </c>
      <c r="AV11" s="50">
        <v>0</v>
      </c>
      <c r="AW11" s="50">
        <v>0</v>
      </c>
      <c r="AX11" s="50">
        <v>0</v>
      </c>
      <c r="AY11" s="50">
        <v>0</v>
      </c>
      <c r="AZ11" s="50">
        <v>0</v>
      </c>
      <c r="BA11" s="50">
        <v>0</v>
      </c>
      <c r="BB11" s="50">
        <v>0</v>
      </c>
      <c r="BC11" s="50">
        <v>0</v>
      </c>
      <c r="BD11" s="50">
        <v>1435650.4248320002</v>
      </c>
      <c r="BE11" s="50">
        <v>0</v>
      </c>
      <c r="BF11" s="50">
        <v>0</v>
      </c>
      <c r="BG11" s="50">
        <v>0</v>
      </c>
      <c r="BH11" s="50">
        <v>0</v>
      </c>
      <c r="BI11" s="50">
        <v>0</v>
      </c>
      <c r="BJ11" s="50">
        <v>0</v>
      </c>
      <c r="BK11" s="50">
        <v>0</v>
      </c>
      <c r="BL11" s="50">
        <v>0</v>
      </c>
      <c r="BM11" s="50">
        <v>0</v>
      </c>
      <c r="BN11" s="50">
        <v>0</v>
      </c>
      <c r="BO11" s="50">
        <v>0</v>
      </c>
      <c r="BP11" s="50">
        <v>1493076.4418252802</v>
      </c>
      <c r="BQ11" s="50">
        <v>0</v>
      </c>
      <c r="BR11" s="50">
        <v>0</v>
      </c>
      <c r="BS11" s="50">
        <v>0</v>
      </c>
      <c r="BT11" s="50">
        <v>0</v>
      </c>
      <c r="BU11" s="50">
        <v>0</v>
      </c>
      <c r="BV11" s="50">
        <v>0</v>
      </c>
      <c r="BW11" s="50">
        <v>0</v>
      </c>
      <c r="BX11" s="50">
        <v>0</v>
      </c>
      <c r="BY11" s="50">
        <v>0</v>
      </c>
      <c r="BZ11" s="50">
        <v>0</v>
      </c>
      <c r="CA11" s="50">
        <v>0</v>
      </c>
      <c r="CB11" s="50">
        <v>1552799.4994982914</v>
      </c>
      <c r="CC11" s="50">
        <v>0</v>
      </c>
      <c r="CD11" s="50">
        <v>0</v>
      </c>
      <c r="CE11" s="50">
        <v>0</v>
      </c>
      <c r="CF11" s="50">
        <v>0</v>
      </c>
      <c r="CG11" s="50">
        <v>0</v>
      </c>
      <c r="CH11" s="50">
        <v>0</v>
      </c>
      <c r="CI11" s="50">
        <v>0</v>
      </c>
      <c r="CJ11" s="50">
        <v>0</v>
      </c>
      <c r="CK11" s="50">
        <v>0</v>
      </c>
      <c r="CL11" s="50">
        <v>0</v>
      </c>
      <c r="CM11" s="50">
        <v>0</v>
      </c>
      <c r="CN11" s="50">
        <v>1614911.479478223</v>
      </c>
      <c r="CO11" s="50">
        <v>0</v>
      </c>
      <c r="CP11" s="50">
        <v>0</v>
      </c>
      <c r="CQ11" s="50">
        <v>0</v>
      </c>
      <c r="CR11" s="50">
        <v>0</v>
      </c>
      <c r="CS11" s="50">
        <v>0</v>
      </c>
      <c r="CT11" s="50">
        <v>0</v>
      </c>
      <c r="CU11" s="50">
        <v>0</v>
      </c>
      <c r="CV11" s="50">
        <v>0</v>
      </c>
      <c r="CW11" s="50">
        <v>0</v>
      </c>
      <c r="CX11" s="50">
        <v>0</v>
      </c>
      <c r="CY11" s="50">
        <v>0</v>
      </c>
    </row>
    <row r="12" spans="1:103" ht="12" customHeight="1">
      <c r="A12" s="144" t="s">
        <v>330</v>
      </c>
      <c r="B12" s="50">
        <v>0</v>
      </c>
      <c r="C12" s="50">
        <v>0</v>
      </c>
      <c r="D12" s="50">
        <v>981760</v>
      </c>
      <c r="E12" s="50">
        <v>0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1021030.4</v>
      </c>
      <c r="Q12" s="50">
        <v>0</v>
      </c>
      <c r="R12" s="50">
        <v>0</v>
      </c>
      <c r="S12" s="50">
        <v>0</v>
      </c>
      <c r="T12" s="50">
        <v>0</v>
      </c>
      <c r="U12" s="50">
        <v>0</v>
      </c>
      <c r="V12" s="50">
        <v>0</v>
      </c>
      <c r="W12" s="50">
        <v>0</v>
      </c>
      <c r="X12" s="50">
        <v>0</v>
      </c>
      <c r="Y12" s="50">
        <v>0</v>
      </c>
      <c r="Z12" s="50">
        <v>0</v>
      </c>
      <c r="AA12" s="50">
        <v>0</v>
      </c>
      <c r="AB12" s="50">
        <v>1061871.6160000002</v>
      </c>
      <c r="AC12" s="50">
        <v>0</v>
      </c>
      <c r="AD12" s="50">
        <v>0</v>
      </c>
      <c r="AE12" s="50">
        <v>0</v>
      </c>
      <c r="AF12" s="50">
        <v>0</v>
      </c>
      <c r="AG12" s="50">
        <v>0</v>
      </c>
      <c r="AH12" s="50">
        <v>0</v>
      </c>
      <c r="AI12" s="50">
        <v>0</v>
      </c>
      <c r="AJ12" s="50">
        <v>0</v>
      </c>
      <c r="AK12" s="50">
        <v>0</v>
      </c>
      <c r="AL12" s="50">
        <v>0</v>
      </c>
      <c r="AM12" s="50">
        <v>0</v>
      </c>
      <c r="AN12" s="50">
        <v>1104346.4806400002</v>
      </c>
      <c r="AO12" s="50">
        <v>0</v>
      </c>
      <c r="AP12" s="50">
        <v>0</v>
      </c>
      <c r="AQ12" s="50">
        <v>0</v>
      </c>
      <c r="AR12" s="50">
        <v>0</v>
      </c>
      <c r="AS12" s="50">
        <v>0</v>
      </c>
      <c r="AT12" s="50">
        <v>0</v>
      </c>
      <c r="AU12" s="50">
        <v>0</v>
      </c>
      <c r="AV12" s="50">
        <v>0</v>
      </c>
      <c r="AW12" s="50">
        <v>0</v>
      </c>
      <c r="AX12" s="50">
        <v>0</v>
      </c>
      <c r="AY12" s="50">
        <v>0</v>
      </c>
      <c r="AZ12" s="50">
        <v>1148520.3398656002</v>
      </c>
      <c r="BA12" s="50">
        <v>0</v>
      </c>
      <c r="BB12" s="50">
        <v>0</v>
      </c>
      <c r="BC12" s="50">
        <v>0</v>
      </c>
      <c r="BD12" s="50">
        <v>0</v>
      </c>
      <c r="BE12" s="50">
        <v>0</v>
      </c>
      <c r="BF12" s="50">
        <v>0</v>
      </c>
      <c r="BG12" s="50">
        <v>0</v>
      </c>
      <c r="BH12" s="50">
        <v>0</v>
      </c>
      <c r="BI12" s="50">
        <v>0</v>
      </c>
      <c r="BJ12" s="50">
        <v>0</v>
      </c>
      <c r="BK12" s="50">
        <v>0</v>
      </c>
      <c r="BL12" s="50">
        <v>1194461.1534602242</v>
      </c>
      <c r="BM12" s="50">
        <v>0</v>
      </c>
      <c r="BN12" s="50">
        <v>0</v>
      </c>
      <c r="BO12" s="50">
        <v>0</v>
      </c>
      <c r="BP12" s="50">
        <v>0</v>
      </c>
      <c r="BQ12" s="50">
        <v>0</v>
      </c>
      <c r="BR12" s="50">
        <v>0</v>
      </c>
      <c r="BS12" s="50">
        <v>0</v>
      </c>
      <c r="BT12" s="50">
        <v>0</v>
      </c>
      <c r="BU12" s="50">
        <v>0</v>
      </c>
      <c r="BV12" s="50">
        <v>0</v>
      </c>
      <c r="BW12" s="50">
        <v>0</v>
      </c>
      <c r="BX12" s="50">
        <v>1242239.5995986331</v>
      </c>
      <c r="BY12" s="50">
        <v>0</v>
      </c>
      <c r="BZ12" s="50">
        <v>0</v>
      </c>
      <c r="CA12" s="50">
        <v>0</v>
      </c>
      <c r="CB12" s="50">
        <v>0</v>
      </c>
      <c r="CC12" s="50">
        <v>0</v>
      </c>
      <c r="CD12" s="50">
        <v>0</v>
      </c>
      <c r="CE12" s="50">
        <v>0</v>
      </c>
      <c r="CF12" s="50">
        <v>0</v>
      </c>
      <c r="CG12" s="50">
        <v>0</v>
      </c>
      <c r="CH12" s="50">
        <v>0</v>
      </c>
      <c r="CI12" s="50">
        <v>0</v>
      </c>
      <c r="CJ12" s="50">
        <v>1291929.1835825786</v>
      </c>
      <c r="CK12" s="50">
        <v>0</v>
      </c>
      <c r="CL12" s="50">
        <v>0</v>
      </c>
      <c r="CM12" s="50">
        <v>0</v>
      </c>
      <c r="CN12" s="50">
        <v>0</v>
      </c>
      <c r="CO12" s="50">
        <v>0</v>
      </c>
      <c r="CP12" s="50">
        <v>0</v>
      </c>
      <c r="CQ12" s="50">
        <v>0</v>
      </c>
      <c r="CR12" s="50">
        <v>0</v>
      </c>
      <c r="CS12" s="50">
        <v>0</v>
      </c>
      <c r="CT12" s="50">
        <v>0</v>
      </c>
      <c r="CU12" s="50">
        <v>0</v>
      </c>
      <c r="CV12" s="50">
        <v>1343606.3509258816</v>
      </c>
      <c r="CW12" s="50">
        <v>0</v>
      </c>
      <c r="CX12" s="50">
        <v>0</v>
      </c>
      <c r="CY12" s="50">
        <v>0</v>
      </c>
    </row>
    <row r="13" spans="1:103" ht="12" customHeight="1">
      <c r="A13" s="144" t="s">
        <v>331</v>
      </c>
      <c r="B13" s="190">
        <v>0</v>
      </c>
      <c r="C13" s="190">
        <v>0</v>
      </c>
      <c r="D13" s="190">
        <v>30680</v>
      </c>
      <c r="E13" s="190">
        <v>0</v>
      </c>
      <c r="F13" s="190">
        <v>0</v>
      </c>
      <c r="G13" s="190">
        <v>30680</v>
      </c>
      <c r="H13" s="190">
        <v>0</v>
      </c>
      <c r="I13" s="190">
        <v>0</v>
      </c>
      <c r="J13" s="190">
        <v>30680</v>
      </c>
      <c r="K13" s="190">
        <v>0</v>
      </c>
      <c r="L13" s="190">
        <v>0</v>
      </c>
      <c r="M13" s="190">
        <v>30680</v>
      </c>
      <c r="N13" s="190">
        <v>0</v>
      </c>
      <c r="O13" s="190">
        <v>0</v>
      </c>
      <c r="P13" s="190">
        <v>31907.200000000001</v>
      </c>
      <c r="Q13" s="190">
        <v>0</v>
      </c>
      <c r="R13" s="190">
        <v>0</v>
      </c>
      <c r="S13" s="190">
        <v>31907.200000000001</v>
      </c>
      <c r="T13" s="190">
        <v>0</v>
      </c>
      <c r="U13" s="190">
        <v>0</v>
      </c>
      <c r="V13" s="190">
        <v>31907.200000000001</v>
      </c>
      <c r="W13" s="190">
        <v>0</v>
      </c>
      <c r="X13" s="190">
        <v>0</v>
      </c>
      <c r="Y13" s="190">
        <v>31907.200000000001</v>
      </c>
      <c r="Z13" s="190">
        <v>0</v>
      </c>
      <c r="AA13" s="190">
        <v>0</v>
      </c>
      <c r="AB13" s="190">
        <v>33183.488000000005</v>
      </c>
      <c r="AC13" s="190">
        <v>0</v>
      </c>
      <c r="AD13" s="190">
        <v>0</v>
      </c>
      <c r="AE13" s="190">
        <v>33183.488000000005</v>
      </c>
      <c r="AF13" s="190">
        <v>0</v>
      </c>
      <c r="AG13" s="190">
        <v>0</v>
      </c>
      <c r="AH13" s="190">
        <v>33183.488000000005</v>
      </c>
      <c r="AI13" s="190">
        <v>0</v>
      </c>
      <c r="AJ13" s="190">
        <v>0</v>
      </c>
      <c r="AK13" s="190">
        <v>33183.488000000005</v>
      </c>
      <c r="AL13" s="190">
        <v>0</v>
      </c>
      <c r="AM13" s="190">
        <v>0</v>
      </c>
      <c r="AN13" s="190">
        <v>34510.827520000006</v>
      </c>
      <c r="AO13" s="190">
        <v>0</v>
      </c>
      <c r="AP13" s="190">
        <v>0</v>
      </c>
      <c r="AQ13" s="190">
        <v>34510.827520000006</v>
      </c>
      <c r="AR13" s="190">
        <v>0</v>
      </c>
      <c r="AS13" s="190">
        <v>0</v>
      </c>
      <c r="AT13" s="190">
        <v>34510.827520000006</v>
      </c>
      <c r="AU13" s="190">
        <v>0</v>
      </c>
      <c r="AV13" s="190">
        <v>0</v>
      </c>
      <c r="AW13" s="190">
        <v>34510.827520000006</v>
      </c>
      <c r="AX13" s="190">
        <v>0</v>
      </c>
      <c r="AY13" s="190">
        <v>0</v>
      </c>
      <c r="AZ13" s="190">
        <v>35891.260620800007</v>
      </c>
      <c r="BA13" s="190">
        <v>0</v>
      </c>
      <c r="BB13" s="190">
        <v>0</v>
      </c>
      <c r="BC13" s="190">
        <v>35891.260620800007</v>
      </c>
      <c r="BD13" s="190">
        <v>0</v>
      </c>
      <c r="BE13" s="190">
        <v>0</v>
      </c>
      <c r="BF13" s="190">
        <v>35891.260620800007</v>
      </c>
      <c r="BG13" s="190">
        <v>0</v>
      </c>
      <c r="BH13" s="190">
        <v>0</v>
      </c>
      <c r="BI13" s="190">
        <v>35891.260620800007</v>
      </c>
      <c r="BJ13" s="190">
        <v>0</v>
      </c>
      <c r="BK13" s="190">
        <v>0</v>
      </c>
      <c r="BL13" s="190">
        <v>37326.911045632005</v>
      </c>
      <c r="BM13" s="190">
        <v>0</v>
      </c>
      <c r="BN13" s="190">
        <v>0</v>
      </c>
      <c r="BO13" s="190">
        <v>37326.911045632005</v>
      </c>
      <c r="BP13" s="190">
        <v>0</v>
      </c>
      <c r="BQ13" s="190">
        <v>0</v>
      </c>
      <c r="BR13" s="190">
        <v>37326.911045632005</v>
      </c>
      <c r="BS13" s="190">
        <v>0</v>
      </c>
      <c r="BT13" s="190">
        <v>0</v>
      </c>
      <c r="BU13" s="190">
        <v>37326.911045632005</v>
      </c>
      <c r="BV13" s="190">
        <v>0</v>
      </c>
      <c r="BW13" s="190">
        <v>0</v>
      </c>
      <c r="BX13" s="190">
        <v>38819.987487457285</v>
      </c>
      <c r="BY13" s="190">
        <v>0</v>
      </c>
      <c r="BZ13" s="190">
        <v>0</v>
      </c>
      <c r="CA13" s="190">
        <v>38819.987487457285</v>
      </c>
      <c r="CB13" s="190">
        <v>0</v>
      </c>
      <c r="CC13" s="190">
        <v>0</v>
      </c>
      <c r="CD13" s="190">
        <v>38819.987487457285</v>
      </c>
      <c r="CE13" s="190">
        <v>0</v>
      </c>
      <c r="CF13" s="190">
        <v>0</v>
      </c>
      <c r="CG13" s="190">
        <v>38819.987487457285</v>
      </c>
      <c r="CH13" s="190">
        <v>0</v>
      </c>
      <c r="CI13" s="190">
        <v>0</v>
      </c>
      <c r="CJ13" s="190">
        <v>40372.78698695558</v>
      </c>
      <c r="CK13" s="190">
        <v>0</v>
      </c>
      <c r="CL13" s="190">
        <v>0</v>
      </c>
      <c r="CM13" s="190">
        <v>40372.78698695558</v>
      </c>
      <c r="CN13" s="190">
        <v>0</v>
      </c>
      <c r="CO13" s="190">
        <v>0</v>
      </c>
      <c r="CP13" s="190">
        <v>40372.78698695558</v>
      </c>
      <c r="CQ13" s="190">
        <v>0</v>
      </c>
      <c r="CR13" s="190">
        <v>0</v>
      </c>
      <c r="CS13" s="190">
        <v>40372.78698695558</v>
      </c>
      <c r="CT13" s="190">
        <v>0</v>
      </c>
      <c r="CU13" s="190">
        <v>0</v>
      </c>
      <c r="CV13" s="190">
        <v>41987.698466433802</v>
      </c>
      <c r="CW13" s="190">
        <v>0</v>
      </c>
      <c r="CX13" s="190">
        <v>0</v>
      </c>
      <c r="CY13" s="190">
        <v>41987.698466433802</v>
      </c>
    </row>
    <row r="14" spans="1:103" ht="12" customHeight="1" thickBot="1">
      <c r="A14" s="146" t="s">
        <v>523</v>
      </c>
      <c r="B14" s="151">
        <f t="shared" ref="B14:AG14" si="0">SUM(B3:B13)</f>
        <v>22860167.768409438</v>
      </c>
      <c r="C14" s="151">
        <f t="shared" si="0"/>
        <v>305921.2</v>
      </c>
      <c r="D14" s="151">
        <f t="shared" si="0"/>
        <v>2026296</v>
      </c>
      <c r="E14" s="151">
        <f t="shared" si="0"/>
        <v>329989</v>
      </c>
      <c r="F14" s="151">
        <f t="shared" si="0"/>
        <v>151984</v>
      </c>
      <c r="G14" s="151">
        <f t="shared" si="0"/>
        <v>749536</v>
      </c>
      <c r="H14" s="151">
        <f t="shared" si="0"/>
        <v>1612413</v>
      </c>
      <c r="I14" s="151">
        <f t="shared" si="0"/>
        <v>4022384</v>
      </c>
      <c r="J14" s="151">
        <f t="shared" si="0"/>
        <v>336536</v>
      </c>
      <c r="K14" s="151">
        <f t="shared" si="0"/>
        <v>329989</v>
      </c>
      <c r="L14" s="151">
        <f t="shared" si="0"/>
        <v>362024</v>
      </c>
      <c r="M14" s="151">
        <f t="shared" si="0"/>
        <v>10159536</v>
      </c>
      <c r="N14" s="151">
        <f t="shared" si="0"/>
        <v>811281.3600000001</v>
      </c>
      <c r="O14" s="151">
        <f t="shared" si="0"/>
        <v>4566158.0480000004</v>
      </c>
      <c r="P14" s="151">
        <f t="shared" si="0"/>
        <v>2071947.84</v>
      </c>
      <c r="Q14" s="151">
        <f t="shared" si="0"/>
        <v>311281.36</v>
      </c>
      <c r="R14" s="151">
        <f t="shared" si="0"/>
        <v>156647.35999999999</v>
      </c>
      <c r="S14" s="151">
        <f t="shared" si="0"/>
        <v>755917.44</v>
      </c>
      <c r="T14" s="151">
        <f t="shared" si="0"/>
        <v>1645002.32</v>
      </c>
      <c r="U14" s="151">
        <f t="shared" si="0"/>
        <v>133519.35999999999</v>
      </c>
      <c r="V14" s="151">
        <f t="shared" si="0"/>
        <v>349997.44</v>
      </c>
      <c r="W14" s="151">
        <f t="shared" si="0"/>
        <v>311281.36</v>
      </c>
      <c r="X14" s="151">
        <f t="shared" si="0"/>
        <v>376504.96</v>
      </c>
      <c r="Y14" s="151">
        <f t="shared" si="0"/>
        <v>165917.44000000003</v>
      </c>
      <c r="Z14" s="151">
        <f t="shared" si="0"/>
        <v>823732.61439999996</v>
      </c>
      <c r="AA14" s="151">
        <f t="shared" si="0"/>
        <v>4578884.3699200004</v>
      </c>
      <c r="AB14" s="151">
        <f t="shared" si="0"/>
        <v>2119425.7535999999</v>
      </c>
      <c r="AC14" s="151">
        <f t="shared" si="0"/>
        <v>323732.61440000002</v>
      </c>
      <c r="AD14" s="151">
        <f t="shared" si="0"/>
        <v>161497.25440000001</v>
      </c>
      <c r="AE14" s="151">
        <f t="shared" si="0"/>
        <v>762554.13760000002</v>
      </c>
      <c r="AF14" s="151">
        <f t="shared" si="0"/>
        <v>1710802.4128</v>
      </c>
      <c r="AG14" s="151">
        <f t="shared" si="0"/>
        <v>138860.13440000001</v>
      </c>
      <c r="AH14" s="151">
        <f t="shared" ref="AH14:BM14" si="1">SUM(AH3:AH13)</f>
        <v>363997.33760000003</v>
      </c>
      <c r="AI14" s="151">
        <f t="shared" si="1"/>
        <v>323732.61440000002</v>
      </c>
      <c r="AJ14" s="151">
        <f t="shared" si="1"/>
        <v>391565.15840000007</v>
      </c>
      <c r="AK14" s="151">
        <f t="shared" si="1"/>
        <v>172554.13760000002</v>
      </c>
      <c r="AL14" s="151">
        <f t="shared" si="1"/>
        <v>836681.91897600004</v>
      </c>
      <c r="AM14" s="151">
        <f t="shared" si="1"/>
        <v>4592119.7447168007</v>
      </c>
      <c r="AN14" s="151">
        <f t="shared" si="1"/>
        <v>2168802.7837439999</v>
      </c>
      <c r="AO14" s="151">
        <f t="shared" si="1"/>
        <v>336681.91897600004</v>
      </c>
      <c r="AP14" s="151">
        <f t="shared" si="1"/>
        <v>166541.14457600002</v>
      </c>
      <c r="AQ14" s="151">
        <f t="shared" si="1"/>
        <v>769456.30310400017</v>
      </c>
      <c r="AR14" s="151">
        <f t="shared" si="1"/>
        <v>1779234.5093120001</v>
      </c>
      <c r="AS14" s="151">
        <f t="shared" si="1"/>
        <v>144414.53977600002</v>
      </c>
      <c r="AT14" s="151">
        <f t="shared" si="1"/>
        <v>378557.23110400001</v>
      </c>
      <c r="AU14" s="151">
        <f t="shared" si="1"/>
        <v>336681.91897600004</v>
      </c>
      <c r="AV14" s="151">
        <f t="shared" si="1"/>
        <v>407227.76473600004</v>
      </c>
      <c r="AW14" s="151">
        <f t="shared" si="1"/>
        <v>179456.30310399999</v>
      </c>
      <c r="AX14" s="151">
        <f t="shared" si="1"/>
        <v>850149.19573504012</v>
      </c>
      <c r="AY14" s="151">
        <f t="shared" si="1"/>
        <v>4605884.5345054716</v>
      </c>
      <c r="AZ14" s="151">
        <f t="shared" si="1"/>
        <v>2220154.89509376</v>
      </c>
      <c r="BA14" s="151">
        <f t="shared" si="1"/>
        <v>350149.19573504006</v>
      </c>
      <c r="BB14" s="151">
        <f t="shared" si="1"/>
        <v>171786.79035904002</v>
      </c>
      <c r="BC14" s="151">
        <f t="shared" si="1"/>
        <v>776634.55522815988</v>
      </c>
      <c r="BD14" s="151">
        <f t="shared" si="1"/>
        <v>1850403.8896844801</v>
      </c>
      <c r="BE14" s="151">
        <f t="shared" si="1"/>
        <v>150191.12136704003</v>
      </c>
      <c r="BF14" s="151">
        <f t="shared" si="1"/>
        <v>393699.52034816006</v>
      </c>
      <c r="BG14" s="151">
        <f t="shared" si="1"/>
        <v>350149.19573504006</v>
      </c>
      <c r="BH14" s="151">
        <f t="shared" si="1"/>
        <v>423516.87532544008</v>
      </c>
      <c r="BI14" s="151">
        <f t="shared" si="1"/>
        <v>186634.55522816005</v>
      </c>
      <c r="BJ14" s="151">
        <f t="shared" si="1"/>
        <v>864155.16356444173</v>
      </c>
      <c r="BK14" s="151">
        <f t="shared" si="1"/>
        <v>4620199.9158856906</v>
      </c>
      <c r="BL14" s="151">
        <f t="shared" si="1"/>
        <v>2273561.0908975103</v>
      </c>
      <c r="BM14" s="151">
        <f t="shared" si="1"/>
        <v>364155.16356444167</v>
      </c>
      <c r="BN14" s="151">
        <f t="shared" ref="BN14:CS14" si="2">SUM(BN3:BN13)</f>
        <v>177242.26197340162</v>
      </c>
      <c r="BO14" s="151">
        <f t="shared" si="2"/>
        <v>784099.93743728637</v>
      </c>
      <c r="BP14" s="151">
        <f t="shared" si="2"/>
        <v>1924420.0452718595</v>
      </c>
      <c r="BQ14" s="151">
        <f t="shared" si="2"/>
        <v>156198.76622172163</v>
      </c>
      <c r="BR14" s="151">
        <f t="shared" si="2"/>
        <v>409447.50116208638</v>
      </c>
      <c r="BS14" s="151">
        <f t="shared" si="2"/>
        <v>364155.16356444167</v>
      </c>
      <c r="BT14" s="151">
        <f t="shared" si="2"/>
        <v>440457.55033845769</v>
      </c>
      <c r="BU14" s="151">
        <f t="shared" si="2"/>
        <v>194099.93743728643</v>
      </c>
      <c r="BV14" s="151">
        <f t="shared" si="2"/>
        <v>878721.37010701932</v>
      </c>
      <c r="BW14" s="151">
        <f t="shared" si="2"/>
        <v>4635087.9125211183</v>
      </c>
      <c r="BX14" s="151">
        <f t="shared" si="2"/>
        <v>2329103.5345334108</v>
      </c>
      <c r="BY14" s="151">
        <f t="shared" si="2"/>
        <v>378721.37010701932</v>
      </c>
      <c r="BZ14" s="151">
        <f t="shared" si="2"/>
        <v>182915.95245233769</v>
      </c>
      <c r="CA14" s="151">
        <f t="shared" si="2"/>
        <v>791863.93493477791</v>
      </c>
      <c r="CB14" s="151">
        <f t="shared" si="2"/>
        <v>2001396.8470827339</v>
      </c>
      <c r="CC14" s="151">
        <f t="shared" si="2"/>
        <v>162446.71687059049</v>
      </c>
      <c r="CD14" s="151">
        <f t="shared" si="2"/>
        <v>425825.40120856994</v>
      </c>
      <c r="CE14" s="151">
        <f t="shared" si="2"/>
        <v>378721.37010701932</v>
      </c>
      <c r="CF14" s="151">
        <f t="shared" si="2"/>
        <v>458075.85235199594</v>
      </c>
      <c r="CG14" s="151">
        <f t="shared" si="2"/>
        <v>186335.93993979497</v>
      </c>
      <c r="CH14" s="151">
        <f t="shared" si="2"/>
        <v>893870.22491130012</v>
      </c>
      <c r="CI14" s="151">
        <f t="shared" si="2"/>
        <v>4650571.4290219629</v>
      </c>
      <c r="CJ14" s="151">
        <f t="shared" si="2"/>
        <v>2370718.5611199653</v>
      </c>
      <c r="CK14" s="151">
        <f t="shared" si="2"/>
        <v>393870.22491130012</v>
      </c>
      <c r="CL14" s="151">
        <f t="shared" si="2"/>
        <v>188816.5905504312</v>
      </c>
      <c r="CM14" s="151">
        <f t="shared" si="2"/>
        <v>783789.37753738672</v>
      </c>
      <c r="CN14" s="151">
        <f t="shared" si="2"/>
        <v>2081452.7209660432</v>
      </c>
      <c r="CO14" s="151">
        <f t="shared" si="2"/>
        <v>168944.5855454141</v>
      </c>
      <c r="CP14" s="151">
        <f t="shared" si="2"/>
        <v>426709.30246213044</v>
      </c>
      <c r="CQ14" s="151">
        <f t="shared" si="2"/>
        <v>393870.22491130012</v>
      </c>
      <c r="CR14" s="151">
        <f t="shared" si="2"/>
        <v>476398.8864460758</v>
      </c>
      <c r="CS14" s="151">
        <f t="shared" si="2"/>
        <v>193789.37753738678</v>
      </c>
      <c r="CT14" s="151">
        <f t="shared" ref="CT14:CY14" si="3">SUM(CT3:CT13)</f>
        <v>909625.03390775213</v>
      </c>
      <c r="CU14" s="151">
        <f t="shared" si="3"/>
        <v>2542674.2861828422</v>
      </c>
      <c r="CV14" s="151">
        <f t="shared" si="3"/>
        <v>1545147.3035647641</v>
      </c>
      <c r="CW14" s="151">
        <f t="shared" si="3"/>
        <v>409625.03390775213</v>
      </c>
      <c r="CX14" s="151">
        <f t="shared" si="3"/>
        <v>194953.25417244845</v>
      </c>
      <c r="CY14" s="151">
        <f t="shared" si="3"/>
        <v>791540.95263888221</v>
      </c>
    </row>
    <row r="15" spans="1:103" ht="12" customHeight="1" thickTop="1">
      <c r="D15" s="147"/>
      <c r="AB15" s="147">
        <v>0.04</v>
      </c>
    </row>
    <row r="16" spans="1:103" ht="12" customHeight="1">
      <c r="A16" s="146" t="s">
        <v>522</v>
      </c>
      <c r="B16" s="191">
        <f t="shared" ref="B16:AG16" si="4">B2</f>
        <v>43951</v>
      </c>
      <c r="C16" s="191">
        <f t="shared" si="4"/>
        <v>43982</v>
      </c>
      <c r="D16" s="191">
        <f t="shared" si="4"/>
        <v>44012</v>
      </c>
      <c r="E16" s="191">
        <f t="shared" si="4"/>
        <v>44043</v>
      </c>
      <c r="F16" s="191">
        <f t="shared" si="4"/>
        <v>44074</v>
      </c>
      <c r="G16" s="191">
        <f t="shared" si="4"/>
        <v>44104</v>
      </c>
      <c r="H16" s="191">
        <f t="shared" si="4"/>
        <v>44135</v>
      </c>
      <c r="I16" s="191">
        <f t="shared" si="4"/>
        <v>44165</v>
      </c>
      <c r="J16" s="191">
        <f t="shared" si="4"/>
        <v>44196</v>
      </c>
      <c r="K16" s="191">
        <f t="shared" si="4"/>
        <v>44227</v>
      </c>
      <c r="L16" s="191">
        <f t="shared" si="4"/>
        <v>44255</v>
      </c>
      <c r="M16" s="191">
        <f t="shared" si="4"/>
        <v>44286</v>
      </c>
      <c r="N16" s="191">
        <f t="shared" si="4"/>
        <v>44316</v>
      </c>
      <c r="O16" s="191">
        <f t="shared" si="4"/>
        <v>44347</v>
      </c>
      <c r="P16" s="191">
        <f t="shared" si="4"/>
        <v>44377</v>
      </c>
      <c r="Q16" s="191">
        <f t="shared" si="4"/>
        <v>44408</v>
      </c>
      <c r="R16" s="191">
        <f t="shared" si="4"/>
        <v>44439</v>
      </c>
      <c r="S16" s="191">
        <f t="shared" si="4"/>
        <v>44469</v>
      </c>
      <c r="T16" s="191">
        <f t="shared" si="4"/>
        <v>44500</v>
      </c>
      <c r="U16" s="191">
        <f t="shared" si="4"/>
        <v>44530</v>
      </c>
      <c r="V16" s="191">
        <f t="shared" si="4"/>
        <v>44561</v>
      </c>
      <c r="W16" s="191">
        <f t="shared" si="4"/>
        <v>44592</v>
      </c>
      <c r="X16" s="191">
        <f t="shared" si="4"/>
        <v>44620</v>
      </c>
      <c r="Y16" s="191">
        <f t="shared" si="4"/>
        <v>44651</v>
      </c>
      <c r="Z16" s="191">
        <f t="shared" si="4"/>
        <v>44681</v>
      </c>
      <c r="AA16" s="191">
        <f t="shared" si="4"/>
        <v>44712</v>
      </c>
      <c r="AB16" s="191">
        <f t="shared" si="4"/>
        <v>44742</v>
      </c>
      <c r="AC16" s="191">
        <f t="shared" si="4"/>
        <v>44773</v>
      </c>
      <c r="AD16" s="191">
        <f t="shared" si="4"/>
        <v>44804</v>
      </c>
      <c r="AE16" s="191">
        <f t="shared" si="4"/>
        <v>44834</v>
      </c>
      <c r="AF16" s="191">
        <f t="shared" si="4"/>
        <v>44865</v>
      </c>
      <c r="AG16" s="191">
        <f t="shared" si="4"/>
        <v>44895</v>
      </c>
      <c r="AH16" s="191">
        <f t="shared" ref="AH16:BM16" si="5">AH2</f>
        <v>44926</v>
      </c>
      <c r="AI16" s="191">
        <f t="shared" si="5"/>
        <v>44957</v>
      </c>
      <c r="AJ16" s="191">
        <f t="shared" si="5"/>
        <v>44985</v>
      </c>
      <c r="AK16" s="191">
        <f t="shared" si="5"/>
        <v>45016</v>
      </c>
      <c r="AL16" s="191">
        <f t="shared" si="5"/>
        <v>45046</v>
      </c>
      <c r="AM16" s="191">
        <f t="shared" si="5"/>
        <v>45077</v>
      </c>
      <c r="AN16" s="191">
        <f t="shared" si="5"/>
        <v>45107</v>
      </c>
      <c r="AO16" s="191">
        <f t="shared" si="5"/>
        <v>45138</v>
      </c>
      <c r="AP16" s="191">
        <f t="shared" si="5"/>
        <v>45169</v>
      </c>
      <c r="AQ16" s="191">
        <f t="shared" si="5"/>
        <v>45199</v>
      </c>
      <c r="AR16" s="191">
        <f t="shared" si="5"/>
        <v>45230</v>
      </c>
      <c r="AS16" s="191">
        <f t="shared" si="5"/>
        <v>45260</v>
      </c>
      <c r="AT16" s="191">
        <f t="shared" si="5"/>
        <v>45291</v>
      </c>
      <c r="AU16" s="191">
        <f t="shared" si="5"/>
        <v>45322</v>
      </c>
      <c r="AV16" s="191">
        <f t="shared" si="5"/>
        <v>45351</v>
      </c>
      <c r="AW16" s="191">
        <f t="shared" si="5"/>
        <v>45382</v>
      </c>
      <c r="AX16" s="191">
        <f t="shared" si="5"/>
        <v>45412</v>
      </c>
      <c r="AY16" s="191">
        <f t="shared" si="5"/>
        <v>45443</v>
      </c>
      <c r="AZ16" s="191">
        <f t="shared" si="5"/>
        <v>45473</v>
      </c>
      <c r="BA16" s="191">
        <f t="shared" si="5"/>
        <v>45504</v>
      </c>
      <c r="BB16" s="191">
        <f t="shared" si="5"/>
        <v>45535</v>
      </c>
      <c r="BC16" s="191">
        <f t="shared" si="5"/>
        <v>45565</v>
      </c>
      <c r="BD16" s="191">
        <f t="shared" si="5"/>
        <v>45596</v>
      </c>
      <c r="BE16" s="191">
        <f t="shared" si="5"/>
        <v>45626</v>
      </c>
      <c r="BF16" s="191">
        <f t="shared" si="5"/>
        <v>45657</v>
      </c>
      <c r="BG16" s="191">
        <f t="shared" si="5"/>
        <v>45688</v>
      </c>
      <c r="BH16" s="191">
        <f t="shared" si="5"/>
        <v>45716</v>
      </c>
      <c r="BI16" s="191">
        <f t="shared" si="5"/>
        <v>45747</v>
      </c>
      <c r="BJ16" s="191">
        <f t="shared" si="5"/>
        <v>45777</v>
      </c>
      <c r="BK16" s="191">
        <f t="shared" si="5"/>
        <v>45808</v>
      </c>
      <c r="BL16" s="191">
        <f t="shared" si="5"/>
        <v>45838</v>
      </c>
      <c r="BM16" s="191">
        <f t="shared" si="5"/>
        <v>45869</v>
      </c>
      <c r="BN16" s="191">
        <f t="shared" ref="BN16:CS16" si="6">BN2</f>
        <v>45900</v>
      </c>
      <c r="BO16" s="191">
        <f t="shared" si="6"/>
        <v>45930</v>
      </c>
      <c r="BP16" s="191">
        <f t="shared" si="6"/>
        <v>45961</v>
      </c>
      <c r="BQ16" s="191">
        <f t="shared" si="6"/>
        <v>45991</v>
      </c>
      <c r="BR16" s="191">
        <f t="shared" si="6"/>
        <v>46022</v>
      </c>
      <c r="BS16" s="191">
        <f t="shared" si="6"/>
        <v>46053</v>
      </c>
      <c r="BT16" s="191">
        <f t="shared" si="6"/>
        <v>46081</v>
      </c>
      <c r="BU16" s="191">
        <f t="shared" si="6"/>
        <v>46112</v>
      </c>
      <c r="BV16" s="191">
        <f t="shared" si="6"/>
        <v>46142</v>
      </c>
      <c r="BW16" s="191">
        <f t="shared" si="6"/>
        <v>46173</v>
      </c>
      <c r="BX16" s="191">
        <f t="shared" si="6"/>
        <v>46203</v>
      </c>
      <c r="BY16" s="191">
        <f t="shared" si="6"/>
        <v>46234</v>
      </c>
      <c r="BZ16" s="191">
        <f t="shared" si="6"/>
        <v>46265</v>
      </c>
      <c r="CA16" s="191">
        <f t="shared" si="6"/>
        <v>46295</v>
      </c>
      <c r="CB16" s="191">
        <f t="shared" si="6"/>
        <v>46326</v>
      </c>
      <c r="CC16" s="191">
        <f t="shared" si="6"/>
        <v>46356</v>
      </c>
      <c r="CD16" s="191">
        <f t="shared" si="6"/>
        <v>46387</v>
      </c>
      <c r="CE16" s="191">
        <f t="shared" si="6"/>
        <v>46418</v>
      </c>
      <c r="CF16" s="191">
        <f t="shared" si="6"/>
        <v>46446</v>
      </c>
      <c r="CG16" s="191">
        <f t="shared" si="6"/>
        <v>46477</v>
      </c>
      <c r="CH16" s="191">
        <f t="shared" si="6"/>
        <v>46507</v>
      </c>
      <c r="CI16" s="191">
        <f t="shared" si="6"/>
        <v>46538</v>
      </c>
      <c r="CJ16" s="191">
        <f t="shared" si="6"/>
        <v>46568</v>
      </c>
      <c r="CK16" s="191">
        <f t="shared" si="6"/>
        <v>46599</v>
      </c>
      <c r="CL16" s="191">
        <f t="shared" si="6"/>
        <v>46630</v>
      </c>
      <c r="CM16" s="191">
        <f t="shared" si="6"/>
        <v>46660</v>
      </c>
      <c r="CN16" s="191">
        <f t="shared" si="6"/>
        <v>46691</v>
      </c>
      <c r="CO16" s="191">
        <f t="shared" si="6"/>
        <v>46721</v>
      </c>
      <c r="CP16" s="191">
        <f t="shared" si="6"/>
        <v>46752</v>
      </c>
      <c r="CQ16" s="191">
        <f t="shared" si="6"/>
        <v>46783</v>
      </c>
      <c r="CR16" s="191">
        <f t="shared" si="6"/>
        <v>46812</v>
      </c>
      <c r="CS16" s="191">
        <f t="shared" si="6"/>
        <v>46843</v>
      </c>
      <c r="CT16" s="191">
        <f t="shared" ref="CT16:CY16" si="7">CT2</f>
        <v>46873</v>
      </c>
      <c r="CU16" s="191">
        <f t="shared" si="7"/>
        <v>46904</v>
      </c>
      <c r="CV16" s="191">
        <f t="shared" si="7"/>
        <v>46934</v>
      </c>
      <c r="CW16" s="191">
        <f t="shared" si="7"/>
        <v>46965</v>
      </c>
      <c r="CX16" s="191">
        <f t="shared" si="7"/>
        <v>46996</v>
      </c>
      <c r="CY16" s="191">
        <f t="shared" si="7"/>
        <v>47026</v>
      </c>
    </row>
    <row r="17" spans="1:103" ht="12" customHeight="1">
      <c r="A17" s="144" t="s">
        <v>521</v>
      </c>
      <c r="B17" s="50">
        <v>30680</v>
      </c>
      <c r="C17" s="50">
        <v>0</v>
      </c>
      <c r="D17" s="50">
        <v>0</v>
      </c>
      <c r="E17" s="50">
        <v>30680</v>
      </c>
      <c r="F17" s="50">
        <v>0</v>
      </c>
      <c r="G17" s="50">
        <v>0</v>
      </c>
      <c r="H17" s="50">
        <v>30680</v>
      </c>
      <c r="I17" s="50">
        <v>0</v>
      </c>
      <c r="J17" s="50">
        <v>0</v>
      </c>
      <c r="K17" s="50">
        <v>30680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  <c r="R17" s="50">
        <v>0</v>
      </c>
      <c r="S17" s="50">
        <v>0</v>
      </c>
      <c r="T17" s="50">
        <v>0</v>
      </c>
      <c r="U17" s="50">
        <v>0</v>
      </c>
      <c r="V17" s="50">
        <v>0</v>
      </c>
      <c r="W17" s="50">
        <v>0</v>
      </c>
      <c r="X17" s="50">
        <v>0</v>
      </c>
      <c r="Y17" s="50">
        <v>0</v>
      </c>
      <c r="Z17" s="50">
        <v>0</v>
      </c>
      <c r="AA17" s="50">
        <v>0</v>
      </c>
      <c r="AB17" s="50">
        <v>0</v>
      </c>
      <c r="AC17" s="50">
        <v>0</v>
      </c>
      <c r="AD17" s="50">
        <v>0</v>
      </c>
      <c r="AE17" s="50">
        <v>0</v>
      </c>
      <c r="AF17" s="50">
        <v>0</v>
      </c>
      <c r="AG17" s="50">
        <v>0</v>
      </c>
      <c r="AH17" s="50">
        <v>0</v>
      </c>
      <c r="AI17" s="50">
        <v>0</v>
      </c>
      <c r="AJ17" s="50">
        <v>0</v>
      </c>
      <c r="AK17" s="50">
        <v>0</v>
      </c>
      <c r="AL17" s="50">
        <v>0</v>
      </c>
      <c r="AM17" s="50">
        <v>0</v>
      </c>
      <c r="AN17" s="50">
        <v>0</v>
      </c>
      <c r="AO17" s="50">
        <v>0</v>
      </c>
      <c r="AP17" s="50">
        <v>0</v>
      </c>
      <c r="AQ17" s="50">
        <v>0</v>
      </c>
      <c r="AR17" s="50">
        <v>0</v>
      </c>
      <c r="AS17" s="50">
        <v>0</v>
      </c>
      <c r="AT17" s="50">
        <v>0</v>
      </c>
      <c r="AU17" s="50">
        <v>0</v>
      </c>
      <c r="AV17" s="50">
        <v>0</v>
      </c>
      <c r="AW17" s="50">
        <v>0</v>
      </c>
      <c r="AX17" s="50">
        <v>0</v>
      </c>
      <c r="AY17" s="50">
        <v>0</v>
      </c>
      <c r="AZ17" s="50">
        <v>0</v>
      </c>
      <c r="BA17" s="50">
        <v>0</v>
      </c>
      <c r="BB17" s="50">
        <v>0</v>
      </c>
      <c r="BC17" s="50">
        <v>0</v>
      </c>
      <c r="BD17" s="50">
        <v>0</v>
      </c>
      <c r="BE17" s="50">
        <v>0</v>
      </c>
      <c r="BF17" s="50">
        <v>0</v>
      </c>
      <c r="BG17" s="50">
        <v>0</v>
      </c>
      <c r="BH17" s="50">
        <v>0</v>
      </c>
      <c r="BI17" s="50">
        <v>0</v>
      </c>
      <c r="BJ17" s="50">
        <v>0</v>
      </c>
      <c r="BK17" s="50">
        <v>0</v>
      </c>
      <c r="BL17" s="50">
        <v>0</v>
      </c>
      <c r="BM17" s="50">
        <v>0</v>
      </c>
      <c r="BN17" s="50">
        <v>0</v>
      </c>
      <c r="BO17" s="50">
        <v>0</v>
      </c>
      <c r="BP17" s="50">
        <v>0</v>
      </c>
      <c r="BQ17" s="50">
        <v>0</v>
      </c>
      <c r="BR17" s="50">
        <v>0</v>
      </c>
      <c r="BS17" s="50">
        <v>0</v>
      </c>
      <c r="BT17" s="50">
        <v>0</v>
      </c>
      <c r="BU17" s="50">
        <v>0</v>
      </c>
      <c r="BV17" s="50">
        <v>0</v>
      </c>
      <c r="BW17" s="50">
        <v>0</v>
      </c>
      <c r="BX17" s="50">
        <v>0</v>
      </c>
      <c r="BY17" s="50">
        <v>0</v>
      </c>
      <c r="BZ17" s="50">
        <v>0</v>
      </c>
      <c r="CA17" s="50">
        <v>0</v>
      </c>
      <c r="CB17" s="50">
        <v>0</v>
      </c>
      <c r="CC17" s="50">
        <v>0</v>
      </c>
      <c r="CD17" s="50">
        <v>0</v>
      </c>
      <c r="CE17" s="50">
        <v>0</v>
      </c>
      <c r="CF17" s="50">
        <v>0</v>
      </c>
      <c r="CG17" s="50">
        <v>0</v>
      </c>
      <c r="CH17" s="50">
        <v>0</v>
      </c>
      <c r="CI17" s="50">
        <v>0</v>
      </c>
      <c r="CJ17" s="50">
        <v>0</v>
      </c>
      <c r="CK17" s="50">
        <v>0</v>
      </c>
      <c r="CL17" s="50">
        <v>0</v>
      </c>
      <c r="CM17" s="50">
        <v>0</v>
      </c>
      <c r="CN17" s="50">
        <v>0</v>
      </c>
      <c r="CO17" s="50">
        <v>0</v>
      </c>
      <c r="CP17" s="50">
        <v>0</v>
      </c>
      <c r="CQ17" s="50">
        <v>0</v>
      </c>
      <c r="CR17" s="50">
        <v>0</v>
      </c>
      <c r="CS17" s="50">
        <v>0</v>
      </c>
      <c r="CT17" s="50">
        <v>0</v>
      </c>
      <c r="CU17" s="50">
        <v>0</v>
      </c>
      <c r="CV17" s="50">
        <v>0</v>
      </c>
      <c r="CW17" s="50">
        <v>0</v>
      </c>
      <c r="CX17" s="50">
        <v>0</v>
      </c>
      <c r="CY17" s="50">
        <v>0</v>
      </c>
    </row>
    <row r="18" spans="1:103" ht="12" customHeight="1">
      <c r="A18" s="144" t="s">
        <v>520</v>
      </c>
      <c r="B18" s="50">
        <v>30680</v>
      </c>
      <c r="C18" s="50">
        <v>30680</v>
      </c>
      <c r="D18" s="50">
        <v>30680</v>
      </c>
      <c r="E18" s="50">
        <v>30680</v>
      </c>
      <c r="F18" s="50">
        <v>30680</v>
      </c>
      <c r="G18" s="50">
        <v>30680</v>
      </c>
      <c r="H18" s="50">
        <v>30680</v>
      </c>
      <c r="I18" s="50">
        <v>30680</v>
      </c>
      <c r="J18" s="50">
        <v>30680</v>
      </c>
      <c r="K18" s="50">
        <v>30680</v>
      </c>
      <c r="L18" s="50">
        <v>30680</v>
      </c>
      <c r="M18" s="50">
        <v>30680</v>
      </c>
      <c r="N18" s="50">
        <v>31907.200000000001</v>
      </c>
      <c r="O18" s="50">
        <v>31907.200000000001</v>
      </c>
      <c r="P18" s="50">
        <v>31907.200000000001</v>
      </c>
      <c r="Q18" s="50">
        <v>31907.200000000001</v>
      </c>
      <c r="R18" s="50">
        <v>31907.200000000001</v>
      </c>
      <c r="S18" s="50">
        <v>31907.200000000001</v>
      </c>
      <c r="T18" s="50">
        <v>31907.200000000001</v>
      </c>
      <c r="U18" s="50">
        <v>31907.200000000001</v>
      </c>
      <c r="V18" s="50">
        <v>31907.200000000001</v>
      </c>
      <c r="W18" s="50">
        <v>31907.200000000001</v>
      </c>
      <c r="X18" s="50">
        <v>31907.200000000001</v>
      </c>
      <c r="Y18" s="50">
        <v>31907.200000000001</v>
      </c>
      <c r="Z18" s="50">
        <v>33183.488000000005</v>
      </c>
      <c r="AA18" s="50">
        <v>33183.488000000005</v>
      </c>
      <c r="AB18" s="50">
        <v>33183.488000000005</v>
      </c>
      <c r="AC18" s="50">
        <v>33183.488000000005</v>
      </c>
      <c r="AD18" s="50">
        <v>33183.488000000005</v>
      </c>
      <c r="AE18" s="50">
        <v>33183.488000000005</v>
      </c>
      <c r="AF18" s="50">
        <v>33183.488000000005</v>
      </c>
      <c r="AG18" s="50">
        <v>33183.488000000005</v>
      </c>
      <c r="AH18" s="50">
        <v>33183.488000000005</v>
      </c>
      <c r="AI18" s="50">
        <v>33183.488000000005</v>
      </c>
      <c r="AJ18" s="50">
        <v>33183.488000000005</v>
      </c>
      <c r="AK18" s="50">
        <v>33183.488000000005</v>
      </c>
      <c r="AL18" s="50">
        <v>34510.827520000006</v>
      </c>
      <c r="AM18" s="50">
        <v>34510.827520000006</v>
      </c>
      <c r="AN18" s="50">
        <v>34510.827520000006</v>
      </c>
      <c r="AO18" s="50">
        <v>34510.827520000006</v>
      </c>
      <c r="AP18" s="50">
        <v>34510.827520000006</v>
      </c>
      <c r="AQ18" s="50">
        <v>34510.827520000006</v>
      </c>
      <c r="AR18" s="50">
        <v>34510.827520000006</v>
      </c>
      <c r="AS18" s="50">
        <v>34510.827520000006</v>
      </c>
      <c r="AT18" s="50">
        <v>34510.827520000006</v>
      </c>
      <c r="AU18" s="50">
        <v>34510.827520000006</v>
      </c>
      <c r="AV18" s="50">
        <v>34510.827520000006</v>
      </c>
      <c r="AW18" s="50">
        <v>34510.827520000006</v>
      </c>
      <c r="AX18" s="50">
        <v>35891.260620800007</v>
      </c>
      <c r="AY18" s="50">
        <v>35891.260620800007</v>
      </c>
      <c r="AZ18" s="50">
        <v>35891.260620800007</v>
      </c>
      <c r="BA18" s="50">
        <v>35891.260620800007</v>
      </c>
      <c r="BB18" s="50">
        <v>35891.260620800007</v>
      </c>
      <c r="BC18" s="50">
        <v>35891.260620800007</v>
      </c>
      <c r="BD18" s="50">
        <v>35891.260620800007</v>
      </c>
      <c r="BE18" s="50">
        <v>35891.260620800007</v>
      </c>
      <c r="BF18" s="50">
        <v>35891.260620800007</v>
      </c>
      <c r="BG18" s="50">
        <v>35891.260620800007</v>
      </c>
      <c r="BH18" s="50">
        <v>35891.260620800007</v>
      </c>
      <c r="BI18" s="50">
        <v>35891.260620800007</v>
      </c>
      <c r="BJ18" s="50">
        <v>37326.911045632005</v>
      </c>
      <c r="BK18" s="50">
        <v>37326.911045632005</v>
      </c>
      <c r="BL18" s="50">
        <v>37326.911045632005</v>
      </c>
      <c r="BM18" s="50">
        <v>37326.911045632005</v>
      </c>
      <c r="BN18" s="50">
        <v>37326.911045632005</v>
      </c>
      <c r="BO18" s="50">
        <v>37326.911045632005</v>
      </c>
      <c r="BP18" s="50">
        <v>37326.911045632005</v>
      </c>
      <c r="BQ18" s="50">
        <v>37326.911045632005</v>
      </c>
      <c r="BR18" s="50">
        <v>37326.911045632005</v>
      </c>
      <c r="BS18" s="50">
        <v>37326.911045632005</v>
      </c>
      <c r="BT18" s="50">
        <v>37326.911045632005</v>
      </c>
      <c r="BU18" s="50">
        <v>37326.911045632005</v>
      </c>
      <c r="BV18" s="50">
        <v>38819.987487457285</v>
      </c>
      <c r="BW18" s="50">
        <v>38819.987487457285</v>
      </c>
      <c r="BX18" s="50">
        <v>38819.987487457285</v>
      </c>
      <c r="BY18" s="50">
        <v>38819.987487457285</v>
      </c>
      <c r="BZ18" s="50">
        <v>38819.987487457285</v>
      </c>
      <c r="CA18" s="50">
        <v>38819.987487457285</v>
      </c>
      <c r="CB18" s="50">
        <v>38819.987487457285</v>
      </c>
      <c r="CC18" s="50">
        <v>38819.987487457285</v>
      </c>
      <c r="CD18" s="50">
        <v>38819.987487457285</v>
      </c>
      <c r="CE18" s="50">
        <v>38819.987487457285</v>
      </c>
      <c r="CF18" s="50">
        <v>38819.987487457285</v>
      </c>
      <c r="CG18" s="50">
        <v>38819.987487457285</v>
      </c>
      <c r="CH18" s="50">
        <v>40372.78698695558</v>
      </c>
      <c r="CI18" s="50">
        <v>40372.78698695558</v>
      </c>
      <c r="CJ18" s="50">
        <v>40372.78698695558</v>
      </c>
      <c r="CK18" s="50">
        <v>40372.78698695558</v>
      </c>
      <c r="CL18" s="50">
        <v>40372.78698695558</v>
      </c>
      <c r="CM18" s="50">
        <v>40372.78698695558</v>
      </c>
      <c r="CN18" s="50">
        <v>40372.78698695558</v>
      </c>
      <c r="CO18" s="50">
        <v>40372.78698695558</v>
      </c>
      <c r="CP18" s="50">
        <v>40372.78698695558</v>
      </c>
      <c r="CQ18" s="50">
        <v>40372.78698695558</v>
      </c>
      <c r="CR18" s="50">
        <v>40372.78698695558</v>
      </c>
      <c r="CS18" s="50">
        <v>40372.78698695558</v>
      </c>
      <c r="CT18" s="50">
        <v>41987.698466433802</v>
      </c>
      <c r="CU18" s="50">
        <v>41987.698466433802</v>
      </c>
      <c r="CV18" s="50">
        <v>41987.698466433802</v>
      </c>
      <c r="CW18" s="50">
        <v>41987.698466433802</v>
      </c>
      <c r="CX18" s="50">
        <v>41987.698466433802</v>
      </c>
      <c r="CY18" s="50">
        <v>41987.698466433802</v>
      </c>
    </row>
    <row r="19" spans="1:103" ht="12" customHeight="1">
      <c r="A19" s="144" t="s">
        <v>519</v>
      </c>
      <c r="B19" s="50">
        <v>0</v>
      </c>
      <c r="C19" s="50">
        <v>0</v>
      </c>
      <c r="D19" s="50">
        <v>0</v>
      </c>
      <c r="E19" s="50">
        <v>0</v>
      </c>
      <c r="F19" s="50">
        <v>0</v>
      </c>
      <c r="G19" s="50">
        <v>590000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0</v>
      </c>
      <c r="S19" s="50">
        <v>590000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0">
        <v>0</v>
      </c>
      <c r="AC19" s="50">
        <v>0</v>
      </c>
      <c r="AD19" s="50">
        <v>0</v>
      </c>
      <c r="AE19" s="50">
        <v>590000</v>
      </c>
      <c r="AF19" s="50">
        <v>0</v>
      </c>
      <c r="AG19" s="50">
        <v>0</v>
      </c>
      <c r="AH19" s="50">
        <v>0</v>
      </c>
      <c r="AI19" s="50">
        <v>0</v>
      </c>
      <c r="AJ19" s="50">
        <v>0</v>
      </c>
      <c r="AK19" s="50">
        <v>0</v>
      </c>
      <c r="AL19" s="50">
        <v>0</v>
      </c>
      <c r="AM19" s="50">
        <v>0</v>
      </c>
      <c r="AN19" s="50">
        <v>0</v>
      </c>
      <c r="AO19" s="50">
        <v>0</v>
      </c>
      <c r="AP19" s="50">
        <v>0</v>
      </c>
      <c r="AQ19" s="50">
        <v>590000</v>
      </c>
      <c r="AR19" s="50">
        <v>0</v>
      </c>
      <c r="AS19" s="50">
        <v>0</v>
      </c>
      <c r="AT19" s="50">
        <v>0</v>
      </c>
      <c r="AU19" s="50">
        <v>0</v>
      </c>
      <c r="AV19" s="50">
        <v>0</v>
      </c>
      <c r="AW19" s="50">
        <v>0</v>
      </c>
      <c r="AX19" s="50">
        <v>0</v>
      </c>
      <c r="AY19" s="50">
        <v>0</v>
      </c>
      <c r="AZ19" s="50">
        <v>0</v>
      </c>
      <c r="BA19" s="50">
        <v>0</v>
      </c>
      <c r="BB19" s="50">
        <v>0</v>
      </c>
      <c r="BC19" s="50">
        <v>590000</v>
      </c>
      <c r="BD19" s="50">
        <v>0</v>
      </c>
      <c r="BE19" s="50">
        <v>0</v>
      </c>
      <c r="BF19" s="50">
        <v>0</v>
      </c>
      <c r="BG19" s="50">
        <v>0</v>
      </c>
      <c r="BH19" s="50">
        <v>0</v>
      </c>
      <c r="BI19" s="50">
        <v>0</v>
      </c>
      <c r="BJ19" s="50">
        <v>0</v>
      </c>
      <c r="BK19" s="50">
        <v>0</v>
      </c>
      <c r="BL19" s="50">
        <v>0</v>
      </c>
      <c r="BM19" s="50">
        <v>0</v>
      </c>
      <c r="BN19" s="50">
        <v>0</v>
      </c>
      <c r="BO19" s="50">
        <v>590000</v>
      </c>
      <c r="BP19" s="50">
        <v>0</v>
      </c>
      <c r="BQ19" s="50">
        <v>0</v>
      </c>
      <c r="BR19" s="50">
        <v>0</v>
      </c>
      <c r="BS19" s="50">
        <v>0</v>
      </c>
      <c r="BT19" s="50">
        <v>0</v>
      </c>
      <c r="BU19" s="50">
        <v>0</v>
      </c>
      <c r="BV19" s="50">
        <v>0</v>
      </c>
      <c r="BW19" s="50">
        <v>0</v>
      </c>
      <c r="BX19" s="50">
        <v>0</v>
      </c>
      <c r="BY19" s="50">
        <v>0</v>
      </c>
      <c r="BZ19" s="50">
        <v>0</v>
      </c>
      <c r="CA19" s="50">
        <v>590000</v>
      </c>
      <c r="CB19" s="50">
        <v>0</v>
      </c>
      <c r="CC19" s="50">
        <v>0</v>
      </c>
      <c r="CD19" s="50">
        <v>0</v>
      </c>
      <c r="CE19" s="50">
        <v>0</v>
      </c>
      <c r="CF19" s="50">
        <v>0</v>
      </c>
      <c r="CG19" s="50">
        <v>0</v>
      </c>
      <c r="CH19" s="50">
        <v>0</v>
      </c>
      <c r="CI19" s="50">
        <v>0</v>
      </c>
      <c r="CJ19" s="50">
        <v>0</v>
      </c>
      <c r="CK19" s="50">
        <v>0</v>
      </c>
      <c r="CL19" s="50">
        <v>0</v>
      </c>
      <c r="CM19" s="50">
        <v>590000</v>
      </c>
      <c r="CN19" s="50">
        <v>0</v>
      </c>
      <c r="CO19" s="50">
        <v>0</v>
      </c>
      <c r="CP19" s="50">
        <v>0</v>
      </c>
      <c r="CQ19" s="50">
        <v>0</v>
      </c>
      <c r="CR19" s="50">
        <v>0</v>
      </c>
      <c r="CS19" s="50">
        <v>0</v>
      </c>
      <c r="CT19" s="50">
        <v>0</v>
      </c>
      <c r="CU19" s="50">
        <v>0</v>
      </c>
      <c r="CV19" s="50">
        <v>0</v>
      </c>
      <c r="CW19" s="50">
        <v>0</v>
      </c>
      <c r="CX19" s="50">
        <v>0</v>
      </c>
      <c r="CY19" s="50">
        <v>590000</v>
      </c>
    </row>
    <row r="20" spans="1:103" ht="12" customHeight="1">
      <c r="A20" s="144" t="s">
        <v>518</v>
      </c>
      <c r="B20" s="50">
        <v>0</v>
      </c>
      <c r="C20" s="50">
        <v>189337.2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196910.68800000002</v>
      </c>
      <c r="P20" s="50">
        <v>0</v>
      </c>
      <c r="Q20" s="50">
        <v>0</v>
      </c>
      <c r="R20" s="50">
        <v>0</v>
      </c>
      <c r="S20" s="50">
        <v>0</v>
      </c>
      <c r="T20" s="50">
        <v>0</v>
      </c>
      <c r="U20" s="50">
        <v>0</v>
      </c>
      <c r="V20" s="50">
        <v>0</v>
      </c>
      <c r="W20" s="50">
        <v>0</v>
      </c>
      <c r="X20" s="50">
        <v>0</v>
      </c>
      <c r="Y20" s="50">
        <v>0</v>
      </c>
      <c r="Z20" s="50">
        <v>0</v>
      </c>
      <c r="AA20" s="50">
        <v>204787.11552000002</v>
      </c>
      <c r="AB20" s="50">
        <v>0</v>
      </c>
      <c r="AC20" s="50">
        <v>0</v>
      </c>
      <c r="AD20" s="50">
        <v>0</v>
      </c>
      <c r="AE20" s="50">
        <v>0</v>
      </c>
      <c r="AF20" s="50">
        <v>0</v>
      </c>
      <c r="AG20" s="50">
        <v>0</v>
      </c>
      <c r="AH20" s="50">
        <v>0</v>
      </c>
      <c r="AI20" s="50">
        <v>0</v>
      </c>
      <c r="AJ20" s="50">
        <v>0</v>
      </c>
      <c r="AK20" s="50">
        <v>0</v>
      </c>
      <c r="AL20" s="50">
        <v>0</v>
      </c>
      <c r="AM20" s="50">
        <v>212978.60014080003</v>
      </c>
      <c r="AN20" s="50">
        <v>0</v>
      </c>
      <c r="AO20" s="50">
        <v>0</v>
      </c>
      <c r="AP20" s="50">
        <v>0</v>
      </c>
      <c r="AQ20" s="50">
        <v>0</v>
      </c>
      <c r="AR20" s="50">
        <v>0</v>
      </c>
      <c r="AS20" s="50">
        <v>0</v>
      </c>
      <c r="AT20" s="50">
        <v>0</v>
      </c>
      <c r="AU20" s="50">
        <v>0</v>
      </c>
      <c r="AV20" s="50">
        <v>0</v>
      </c>
      <c r="AW20" s="50">
        <v>0</v>
      </c>
      <c r="AX20" s="50">
        <v>0</v>
      </c>
      <c r="AY20" s="50">
        <v>221497.74414643203</v>
      </c>
      <c r="AZ20" s="50">
        <v>0</v>
      </c>
      <c r="BA20" s="50">
        <v>0</v>
      </c>
      <c r="BB20" s="50">
        <v>0</v>
      </c>
      <c r="BC20" s="50">
        <v>0</v>
      </c>
      <c r="BD20" s="50">
        <v>0</v>
      </c>
      <c r="BE20" s="50">
        <v>0</v>
      </c>
      <c r="BF20" s="50">
        <v>0</v>
      </c>
      <c r="BG20" s="50">
        <v>0</v>
      </c>
      <c r="BH20" s="50">
        <v>0</v>
      </c>
      <c r="BI20" s="50">
        <v>0</v>
      </c>
      <c r="BJ20" s="50">
        <v>0</v>
      </c>
      <c r="BK20" s="50">
        <v>230357.65391228933</v>
      </c>
      <c r="BL20" s="50">
        <v>0</v>
      </c>
      <c r="BM20" s="50">
        <v>0</v>
      </c>
      <c r="BN20" s="50">
        <v>0</v>
      </c>
      <c r="BO20" s="50">
        <v>0</v>
      </c>
      <c r="BP20" s="50">
        <v>0</v>
      </c>
      <c r="BQ20" s="50">
        <v>0</v>
      </c>
      <c r="BR20" s="50">
        <v>0</v>
      </c>
      <c r="BS20" s="50">
        <v>0</v>
      </c>
      <c r="BT20" s="50">
        <v>0</v>
      </c>
      <c r="BU20" s="50">
        <v>0</v>
      </c>
      <c r="BV20" s="50">
        <v>0</v>
      </c>
      <c r="BW20" s="50">
        <v>239571.9600687809</v>
      </c>
      <c r="BX20" s="50">
        <v>0</v>
      </c>
      <c r="BY20" s="50">
        <v>0</v>
      </c>
      <c r="BZ20" s="50">
        <v>0</v>
      </c>
      <c r="CA20" s="50">
        <v>0</v>
      </c>
      <c r="CB20" s="50">
        <v>0</v>
      </c>
      <c r="CC20" s="50">
        <v>0</v>
      </c>
      <c r="CD20" s="50">
        <v>0</v>
      </c>
      <c r="CE20" s="50">
        <v>0</v>
      </c>
      <c r="CF20" s="50">
        <v>0</v>
      </c>
      <c r="CG20" s="50">
        <v>0</v>
      </c>
      <c r="CH20" s="50">
        <v>0</v>
      </c>
      <c r="CI20" s="50">
        <v>249154.83847153213</v>
      </c>
      <c r="CJ20" s="50">
        <v>0</v>
      </c>
      <c r="CK20" s="50">
        <v>0</v>
      </c>
      <c r="CL20" s="50">
        <v>0</v>
      </c>
      <c r="CM20" s="50">
        <v>0</v>
      </c>
      <c r="CN20" s="50">
        <v>0</v>
      </c>
      <c r="CO20" s="50">
        <v>0</v>
      </c>
      <c r="CP20" s="50">
        <v>0</v>
      </c>
      <c r="CQ20" s="50">
        <v>0</v>
      </c>
      <c r="CR20" s="50">
        <v>0</v>
      </c>
      <c r="CS20" s="50">
        <v>0</v>
      </c>
      <c r="CT20" s="50">
        <v>0</v>
      </c>
      <c r="CU20" s="50">
        <v>259121.03201039342</v>
      </c>
      <c r="CV20" s="50">
        <v>0</v>
      </c>
      <c r="CW20" s="50">
        <v>0</v>
      </c>
      <c r="CX20" s="50">
        <v>0</v>
      </c>
      <c r="CY20" s="50">
        <v>0</v>
      </c>
    </row>
    <row r="21" spans="1:103" ht="12" customHeight="1">
      <c r="A21" s="144" t="s">
        <v>517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0</v>
      </c>
      <c r="S21" s="50">
        <v>0</v>
      </c>
      <c r="T21" s="50">
        <v>0</v>
      </c>
      <c r="U21" s="50">
        <v>0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B21" s="50">
        <v>0</v>
      </c>
      <c r="AC21" s="50">
        <v>0</v>
      </c>
      <c r="AD21" s="50">
        <v>0</v>
      </c>
      <c r="AE21" s="50">
        <v>0</v>
      </c>
      <c r="AF21" s="50">
        <v>0</v>
      </c>
      <c r="AG21" s="50">
        <v>0</v>
      </c>
      <c r="AH21" s="50">
        <v>0</v>
      </c>
      <c r="AI21" s="50">
        <v>0</v>
      </c>
      <c r="AJ21" s="50">
        <v>0</v>
      </c>
      <c r="AK21" s="50">
        <v>0</v>
      </c>
      <c r="AL21" s="50">
        <v>0</v>
      </c>
      <c r="AM21" s="50">
        <v>0</v>
      </c>
      <c r="AN21" s="50">
        <v>0</v>
      </c>
      <c r="AO21" s="50">
        <v>0</v>
      </c>
      <c r="AP21" s="50">
        <v>0</v>
      </c>
      <c r="AQ21" s="50">
        <v>0</v>
      </c>
      <c r="AR21" s="50">
        <v>0</v>
      </c>
      <c r="AS21" s="50">
        <v>0</v>
      </c>
      <c r="AT21" s="50">
        <v>0</v>
      </c>
      <c r="AU21" s="50">
        <v>0</v>
      </c>
      <c r="AV21" s="50">
        <v>0</v>
      </c>
      <c r="AW21" s="50">
        <v>0</v>
      </c>
      <c r="AX21" s="50">
        <v>0</v>
      </c>
      <c r="AY21" s="50">
        <v>0</v>
      </c>
      <c r="AZ21" s="50">
        <v>0</v>
      </c>
      <c r="BA21" s="50">
        <v>0</v>
      </c>
      <c r="BB21" s="50">
        <v>0</v>
      </c>
      <c r="BC21" s="50">
        <v>0</v>
      </c>
      <c r="BD21" s="50">
        <v>0</v>
      </c>
      <c r="BE21" s="50">
        <v>0</v>
      </c>
      <c r="BF21" s="50">
        <v>0</v>
      </c>
      <c r="BG21" s="50">
        <v>0</v>
      </c>
      <c r="BH21" s="50">
        <v>0</v>
      </c>
      <c r="BI21" s="50">
        <v>0</v>
      </c>
      <c r="BJ21" s="50">
        <v>0</v>
      </c>
      <c r="BK21" s="50">
        <v>0</v>
      </c>
      <c r="BL21" s="50">
        <v>0</v>
      </c>
      <c r="BM21" s="50">
        <v>0</v>
      </c>
      <c r="BN21" s="50">
        <v>0</v>
      </c>
      <c r="BO21" s="50">
        <v>0</v>
      </c>
      <c r="BP21" s="50">
        <v>0</v>
      </c>
      <c r="BQ21" s="50">
        <v>0</v>
      </c>
      <c r="BR21" s="50">
        <v>0</v>
      </c>
      <c r="BS21" s="50">
        <v>0</v>
      </c>
      <c r="BT21" s="50">
        <v>0</v>
      </c>
      <c r="BU21" s="50">
        <v>0</v>
      </c>
      <c r="BV21" s="50">
        <v>0</v>
      </c>
      <c r="BW21" s="50">
        <v>0</v>
      </c>
      <c r="BX21" s="50">
        <v>0</v>
      </c>
      <c r="BY21" s="50">
        <v>0</v>
      </c>
      <c r="BZ21" s="50">
        <v>0</v>
      </c>
      <c r="CA21" s="50">
        <v>0</v>
      </c>
      <c r="CB21" s="50">
        <v>0</v>
      </c>
      <c r="CC21" s="50">
        <v>0</v>
      </c>
      <c r="CD21" s="50">
        <v>0</v>
      </c>
      <c r="CE21" s="50">
        <v>0</v>
      </c>
      <c r="CF21" s="50">
        <v>0</v>
      </c>
      <c r="CG21" s="50">
        <v>0</v>
      </c>
      <c r="CH21" s="50">
        <v>0</v>
      </c>
      <c r="CI21" s="50">
        <v>0</v>
      </c>
      <c r="CJ21" s="50">
        <v>0</v>
      </c>
      <c r="CK21" s="50">
        <v>0</v>
      </c>
      <c r="CL21" s="50">
        <v>0</v>
      </c>
      <c r="CM21" s="50">
        <v>0</v>
      </c>
      <c r="CN21" s="50">
        <v>0</v>
      </c>
      <c r="CO21" s="50">
        <v>0</v>
      </c>
      <c r="CP21" s="50">
        <v>0</v>
      </c>
      <c r="CQ21" s="50">
        <v>0</v>
      </c>
      <c r="CR21" s="50">
        <v>0</v>
      </c>
      <c r="CS21" s="50">
        <v>0</v>
      </c>
      <c r="CT21" s="50">
        <v>0</v>
      </c>
      <c r="CU21" s="50">
        <v>0</v>
      </c>
      <c r="CV21" s="50">
        <v>0</v>
      </c>
      <c r="CW21" s="50">
        <v>0</v>
      </c>
      <c r="CX21" s="50">
        <v>0</v>
      </c>
      <c r="CY21" s="50">
        <v>0</v>
      </c>
    </row>
    <row r="22" spans="1:103" ht="12" customHeight="1">
      <c r="A22" s="144" t="s">
        <v>516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0">
        <v>0</v>
      </c>
      <c r="T22" s="50">
        <v>0</v>
      </c>
      <c r="U22" s="50">
        <v>0</v>
      </c>
      <c r="V22" s="50">
        <v>0</v>
      </c>
      <c r="W22" s="50">
        <v>0</v>
      </c>
      <c r="X22" s="50">
        <v>0</v>
      </c>
      <c r="Y22" s="50">
        <v>0</v>
      </c>
      <c r="Z22" s="50">
        <v>0</v>
      </c>
      <c r="AA22" s="50">
        <v>0</v>
      </c>
      <c r="AB22" s="50">
        <v>0</v>
      </c>
      <c r="AC22" s="50">
        <v>0</v>
      </c>
      <c r="AD22" s="50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0</v>
      </c>
      <c r="AJ22" s="50">
        <v>0</v>
      </c>
      <c r="AK22" s="50">
        <v>0</v>
      </c>
      <c r="AL22" s="50">
        <v>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v>0</v>
      </c>
      <c r="AS22" s="50">
        <v>0</v>
      </c>
      <c r="AT22" s="50">
        <v>0</v>
      </c>
      <c r="AU22" s="50">
        <v>0</v>
      </c>
      <c r="AV22" s="50">
        <v>0</v>
      </c>
      <c r="AW22" s="50">
        <v>0</v>
      </c>
      <c r="AX22" s="50">
        <v>0</v>
      </c>
      <c r="AY22" s="50">
        <v>0</v>
      </c>
      <c r="AZ22" s="50">
        <v>0</v>
      </c>
      <c r="BA22" s="50">
        <v>0</v>
      </c>
      <c r="BB22" s="50">
        <v>0</v>
      </c>
      <c r="BC22" s="50">
        <v>0</v>
      </c>
      <c r="BD22" s="50">
        <v>0</v>
      </c>
      <c r="BE22" s="50">
        <v>0</v>
      </c>
      <c r="BF22" s="50">
        <v>0</v>
      </c>
      <c r="BG22" s="50">
        <v>0</v>
      </c>
      <c r="BH22" s="50">
        <v>0</v>
      </c>
      <c r="BI22" s="50">
        <v>0</v>
      </c>
      <c r="BJ22" s="50">
        <v>0</v>
      </c>
      <c r="BK22" s="50">
        <v>0</v>
      </c>
      <c r="BL22" s="50">
        <v>0</v>
      </c>
      <c r="BM22" s="50">
        <v>0</v>
      </c>
      <c r="BN22" s="50">
        <v>0</v>
      </c>
      <c r="BO22" s="50">
        <v>0</v>
      </c>
      <c r="BP22" s="50">
        <v>0</v>
      </c>
      <c r="BQ22" s="50">
        <v>0</v>
      </c>
      <c r="BR22" s="50">
        <v>0</v>
      </c>
      <c r="BS22" s="50">
        <v>0</v>
      </c>
      <c r="BT22" s="50">
        <v>0</v>
      </c>
      <c r="BU22" s="50">
        <v>0</v>
      </c>
      <c r="BV22" s="50">
        <v>0</v>
      </c>
      <c r="BW22" s="50">
        <v>0</v>
      </c>
      <c r="BX22" s="50">
        <v>0</v>
      </c>
      <c r="BY22" s="50">
        <v>0</v>
      </c>
      <c r="BZ22" s="50">
        <v>0</v>
      </c>
      <c r="CA22" s="50">
        <v>0</v>
      </c>
      <c r="CB22" s="50">
        <v>0</v>
      </c>
      <c r="CC22" s="50">
        <v>0</v>
      </c>
      <c r="CD22" s="50">
        <v>0</v>
      </c>
      <c r="CE22" s="50">
        <v>0</v>
      </c>
      <c r="CF22" s="50">
        <v>0</v>
      </c>
      <c r="CG22" s="50">
        <v>0</v>
      </c>
      <c r="CH22" s="50">
        <v>0</v>
      </c>
      <c r="CI22" s="50">
        <v>0</v>
      </c>
      <c r="CJ22" s="50">
        <v>0</v>
      </c>
      <c r="CK22" s="50">
        <v>0</v>
      </c>
      <c r="CL22" s="50">
        <v>0</v>
      </c>
      <c r="CM22" s="50">
        <v>0</v>
      </c>
      <c r="CN22" s="50">
        <v>0</v>
      </c>
      <c r="CO22" s="50">
        <v>0</v>
      </c>
      <c r="CP22" s="50">
        <v>0</v>
      </c>
      <c r="CQ22" s="50">
        <v>0</v>
      </c>
      <c r="CR22" s="50">
        <v>0</v>
      </c>
      <c r="CS22" s="50">
        <v>0</v>
      </c>
      <c r="CT22" s="50">
        <v>0</v>
      </c>
      <c r="CU22" s="50">
        <v>0</v>
      </c>
      <c r="CV22" s="50">
        <v>0</v>
      </c>
      <c r="CW22" s="50">
        <v>0</v>
      </c>
      <c r="CX22" s="50">
        <v>0</v>
      </c>
      <c r="CY22" s="50">
        <v>0</v>
      </c>
    </row>
    <row r="23" spans="1:103" ht="12" customHeight="1">
      <c r="A23" s="144" t="s">
        <v>515</v>
      </c>
      <c r="B23" s="50">
        <v>182725</v>
      </c>
      <c r="C23" s="50">
        <v>0</v>
      </c>
      <c r="D23" s="50">
        <v>0</v>
      </c>
      <c r="E23" s="50">
        <v>182725</v>
      </c>
      <c r="F23" s="50">
        <v>0</v>
      </c>
      <c r="G23" s="50">
        <v>0</v>
      </c>
      <c r="H23" s="50">
        <v>182725</v>
      </c>
      <c r="I23" s="50">
        <v>0</v>
      </c>
      <c r="J23" s="50">
        <v>0</v>
      </c>
      <c r="K23" s="50">
        <v>182725</v>
      </c>
      <c r="L23" s="50">
        <v>0</v>
      </c>
      <c r="M23" s="50">
        <v>0</v>
      </c>
      <c r="N23" s="50">
        <v>190034</v>
      </c>
      <c r="O23" s="50">
        <v>0</v>
      </c>
      <c r="P23" s="50">
        <v>0</v>
      </c>
      <c r="Q23" s="50">
        <v>190034</v>
      </c>
      <c r="R23" s="50">
        <v>0</v>
      </c>
      <c r="S23" s="50">
        <v>0</v>
      </c>
      <c r="T23" s="50">
        <v>190034</v>
      </c>
      <c r="U23" s="50">
        <v>0</v>
      </c>
      <c r="V23" s="50">
        <v>0</v>
      </c>
      <c r="W23" s="50">
        <v>190034</v>
      </c>
      <c r="X23" s="50">
        <v>0</v>
      </c>
      <c r="Y23" s="50">
        <v>0</v>
      </c>
      <c r="Z23" s="50">
        <v>197635.36000000002</v>
      </c>
      <c r="AA23" s="50">
        <v>0</v>
      </c>
      <c r="AB23" s="50">
        <v>0</v>
      </c>
      <c r="AC23" s="50">
        <v>197635.36000000002</v>
      </c>
      <c r="AD23" s="50">
        <v>0</v>
      </c>
      <c r="AE23" s="50">
        <v>0</v>
      </c>
      <c r="AF23" s="50">
        <v>197635.36000000002</v>
      </c>
      <c r="AG23" s="50">
        <v>0</v>
      </c>
      <c r="AH23" s="50">
        <v>0</v>
      </c>
      <c r="AI23" s="50">
        <v>197635.36000000002</v>
      </c>
      <c r="AJ23" s="50">
        <v>0</v>
      </c>
      <c r="AK23" s="50">
        <v>0</v>
      </c>
      <c r="AL23" s="50">
        <v>205540.77440000002</v>
      </c>
      <c r="AM23" s="50">
        <v>0</v>
      </c>
      <c r="AN23" s="50">
        <v>0</v>
      </c>
      <c r="AO23" s="50">
        <v>205540.77440000002</v>
      </c>
      <c r="AP23" s="50">
        <v>0</v>
      </c>
      <c r="AQ23" s="50">
        <v>0</v>
      </c>
      <c r="AR23" s="50">
        <v>205540.77440000002</v>
      </c>
      <c r="AS23" s="50">
        <v>0</v>
      </c>
      <c r="AT23" s="50">
        <v>0</v>
      </c>
      <c r="AU23" s="50">
        <v>205540.77440000002</v>
      </c>
      <c r="AV23" s="50">
        <v>0</v>
      </c>
      <c r="AW23" s="50">
        <v>0</v>
      </c>
      <c r="AX23" s="50">
        <v>213762.40537600004</v>
      </c>
      <c r="AY23" s="50">
        <v>0</v>
      </c>
      <c r="AZ23" s="50">
        <v>0</v>
      </c>
      <c r="BA23" s="50">
        <v>213762.40537600004</v>
      </c>
      <c r="BB23" s="50">
        <v>0</v>
      </c>
      <c r="BC23" s="50">
        <v>0</v>
      </c>
      <c r="BD23" s="50">
        <v>213762.40537600004</v>
      </c>
      <c r="BE23" s="50">
        <v>0</v>
      </c>
      <c r="BF23" s="50">
        <v>0</v>
      </c>
      <c r="BG23" s="50">
        <v>213762.40537600004</v>
      </c>
      <c r="BH23" s="50">
        <v>0</v>
      </c>
      <c r="BI23" s="50">
        <v>0</v>
      </c>
      <c r="BJ23" s="50">
        <v>222312.90159104005</v>
      </c>
      <c r="BK23" s="50">
        <v>0</v>
      </c>
      <c r="BL23" s="50">
        <v>0</v>
      </c>
      <c r="BM23" s="50">
        <v>222312.90159104005</v>
      </c>
      <c r="BN23" s="50">
        <v>0</v>
      </c>
      <c r="BO23" s="50">
        <v>0</v>
      </c>
      <c r="BP23" s="50">
        <v>222312.90159104005</v>
      </c>
      <c r="BQ23" s="50">
        <v>0</v>
      </c>
      <c r="BR23" s="50">
        <v>0</v>
      </c>
      <c r="BS23" s="50">
        <v>222312.90159104005</v>
      </c>
      <c r="BT23" s="50">
        <v>0</v>
      </c>
      <c r="BU23" s="50">
        <v>0</v>
      </c>
      <c r="BV23" s="50">
        <v>231205.41765468166</v>
      </c>
      <c r="BW23" s="50">
        <v>0</v>
      </c>
      <c r="BX23" s="50">
        <v>0</v>
      </c>
      <c r="BY23" s="50">
        <v>231205.41765468166</v>
      </c>
      <c r="BZ23" s="50">
        <v>0</v>
      </c>
      <c r="CA23" s="50">
        <v>0</v>
      </c>
      <c r="CB23" s="50">
        <v>231205.41765468166</v>
      </c>
      <c r="CC23" s="50">
        <v>0</v>
      </c>
      <c r="CD23" s="50">
        <v>0</v>
      </c>
      <c r="CE23" s="50">
        <v>231205.41765468166</v>
      </c>
      <c r="CF23" s="50">
        <v>0</v>
      </c>
      <c r="CG23" s="50">
        <v>0</v>
      </c>
      <c r="CH23" s="50">
        <v>240453.63436086892</v>
      </c>
      <c r="CI23" s="50">
        <v>0</v>
      </c>
      <c r="CJ23" s="50">
        <v>0</v>
      </c>
      <c r="CK23" s="50">
        <v>240453.63436086892</v>
      </c>
      <c r="CL23" s="50">
        <v>0</v>
      </c>
      <c r="CM23" s="50">
        <v>0</v>
      </c>
      <c r="CN23" s="50">
        <v>240453.63436086892</v>
      </c>
      <c r="CO23" s="50">
        <v>0</v>
      </c>
      <c r="CP23" s="50">
        <v>0</v>
      </c>
      <c r="CQ23" s="50">
        <v>240453.63436086892</v>
      </c>
      <c r="CR23" s="50">
        <v>0</v>
      </c>
      <c r="CS23" s="50">
        <v>0</v>
      </c>
      <c r="CT23" s="50">
        <v>250071.77973530369</v>
      </c>
      <c r="CU23" s="50">
        <v>0</v>
      </c>
      <c r="CV23" s="50">
        <v>0</v>
      </c>
      <c r="CW23" s="50">
        <v>250071.77973530369</v>
      </c>
      <c r="CX23" s="50">
        <v>0</v>
      </c>
      <c r="CY23" s="50">
        <v>0</v>
      </c>
    </row>
    <row r="24" spans="1:103" ht="12" customHeight="1" thickBot="1">
      <c r="A24" s="146" t="s">
        <v>54</v>
      </c>
      <c r="B24" s="51">
        <f t="shared" ref="B24:AG24" si="8">SUM(B17:B23)</f>
        <v>244085</v>
      </c>
      <c r="C24" s="51">
        <f t="shared" si="8"/>
        <v>220017.2</v>
      </c>
      <c r="D24" s="51">
        <f t="shared" si="8"/>
        <v>30680</v>
      </c>
      <c r="E24" s="51">
        <f t="shared" si="8"/>
        <v>244085</v>
      </c>
      <c r="F24" s="51">
        <f t="shared" si="8"/>
        <v>30680</v>
      </c>
      <c r="G24" s="51">
        <f t="shared" si="8"/>
        <v>620680</v>
      </c>
      <c r="H24" s="51">
        <f t="shared" si="8"/>
        <v>244085</v>
      </c>
      <c r="I24" s="51">
        <f t="shared" si="8"/>
        <v>30680</v>
      </c>
      <c r="J24" s="51">
        <f t="shared" si="8"/>
        <v>30680</v>
      </c>
      <c r="K24" s="51">
        <f t="shared" si="8"/>
        <v>244085</v>
      </c>
      <c r="L24" s="51">
        <f t="shared" si="8"/>
        <v>30680</v>
      </c>
      <c r="M24" s="51">
        <f t="shared" si="8"/>
        <v>30680</v>
      </c>
      <c r="N24" s="51">
        <f t="shared" si="8"/>
        <v>221941.2</v>
      </c>
      <c r="O24" s="51">
        <f t="shared" si="8"/>
        <v>228817.88800000004</v>
      </c>
      <c r="P24" s="51">
        <f t="shared" si="8"/>
        <v>31907.200000000001</v>
      </c>
      <c r="Q24" s="51">
        <f t="shared" si="8"/>
        <v>221941.2</v>
      </c>
      <c r="R24" s="51">
        <f t="shared" si="8"/>
        <v>31907.200000000001</v>
      </c>
      <c r="S24" s="51">
        <f t="shared" si="8"/>
        <v>621907.19999999995</v>
      </c>
      <c r="T24" s="51">
        <f t="shared" si="8"/>
        <v>221941.2</v>
      </c>
      <c r="U24" s="51">
        <f t="shared" si="8"/>
        <v>31907.200000000001</v>
      </c>
      <c r="V24" s="51">
        <f t="shared" si="8"/>
        <v>31907.200000000001</v>
      </c>
      <c r="W24" s="51">
        <f t="shared" si="8"/>
        <v>221941.2</v>
      </c>
      <c r="X24" s="51">
        <f t="shared" si="8"/>
        <v>31907.200000000001</v>
      </c>
      <c r="Y24" s="51">
        <f t="shared" si="8"/>
        <v>31907.200000000001</v>
      </c>
      <c r="Z24" s="51">
        <f t="shared" si="8"/>
        <v>230818.84800000003</v>
      </c>
      <c r="AA24" s="51">
        <f t="shared" si="8"/>
        <v>237970.60352000003</v>
      </c>
      <c r="AB24" s="51">
        <f t="shared" si="8"/>
        <v>33183.488000000005</v>
      </c>
      <c r="AC24" s="51">
        <f t="shared" si="8"/>
        <v>230818.84800000003</v>
      </c>
      <c r="AD24" s="51">
        <f t="shared" si="8"/>
        <v>33183.488000000005</v>
      </c>
      <c r="AE24" s="51">
        <f t="shared" si="8"/>
        <v>623183.48800000001</v>
      </c>
      <c r="AF24" s="51">
        <f t="shared" si="8"/>
        <v>230818.84800000003</v>
      </c>
      <c r="AG24" s="51">
        <f t="shared" si="8"/>
        <v>33183.488000000005</v>
      </c>
      <c r="AH24" s="51">
        <f t="shared" ref="AH24:BM24" si="9">SUM(AH17:AH23)</f>
        <v>33183.488000000005</v>
      </c>
      <c r="AI24" s="51">
        <f t="shared" si="9"/>
        <v>230818.84800000003</v>
      </c>
      <c r="AJ24" s="51">
        <f t="shared" si="9"/>
        <v>33183.488000000005</v>
      </c>
      <c r="AK24" s="51">
        <f t="shared" si="9"/>
        <v>33183.488000000005</v>
      </c>
      <c r="AL24" s="51">
        <f t="shared" si="9"/>
        <v>240051.60192000004</v>
      </c>
      <c r="AM24" s="51">
        <f t="shared" si="9"/>
        <v>247489.42766080005</v>
      </c>
      <c r="AN24" s="51">
        <f t="shared" si="9"/>
        <v>34510.827520000006</v>
      </c>
      <c r="AO24" s="51">
        <f t="shared" si="9"/>
        <v>240051.60192000004</v>
      </c>
      <c r="AP24" s="51">
        <f t="shared" si="9"/>
        <v>34510.827520000006</v>
      </c>
      <c r="AQ24" s="51">
        <f t="shared" si="9"/>
        <v>624510.82752000005</v>
      </c>
      <c r="AR24" s="51">
        <f t="shared" si="9"/>
        <v>240051.60192000004</v>
      </c>
      <c r="AS24" s="51">
        <f t="shared" si="9"/>
        <v>34510.827520000006</v>
      </c>
      <c r="AT24" s="51">
        <f t="shared" si="9"/>
        <v>34510.827520000006</v>
      </c>
      <c r="AU24" s="51">
        <f t="shared" si="9"/>
        <v>240051.60192000004</v>
      </c>
      <c r="AV24" s="51">
        <f t="shared" si="9"/>
        <v>34510.827520000006</v>
      </c>
      <c r="AW24" s="51">
        <f t="shared" si="9"/>
        <v>34510.827520000006</v>
      </c>
      <c r="AX24" s="51">
        <f t="shared" si="9"/>
        <v>249653.66599680006</v>
      </c>
      <c r="AY24" s="51">
        <f t="shared" si="9"/>
        <v>257389.00476723205</v>
      </c>
      <c r="AZ24" s="51">
        <f t="shared" si="9"/>
        <v>35891.260620800007</v>
      </c>
      <c r="BA24" s="51">
        <f t="shared" si="9"/>
        <v>249653.66599680006</v>
      </c>
      <c r="BB24" s="51">
        <f t="shared" si="9"/>
        <v>35891.260620800007</v>
      </c>
      <c r="BC24" s="51">
        <f t="shared" si="9"/>
        <v>625891.26062079996</v>
      </c>
      <c r="BD24" s="51">
        <f t="shared" si="9"/>
        <v>249653.66599680006</v>
      </c>
      <c r="BE24" s="51">
        <f t="shared" si="9"/>
        <v>35891.260620800007</v>
      </c>
      <c r="BF24" s="51">
        <f t="shared" si="9"/>
        <v>35891.260620800007</v>
      </c>
      <c r="BG24" s="51">
        <f t="shared" si="9"/>
        <v>249653.66599680006</v>
      </c>
      <c r="BH24" s="51">
        <f t="shared" si="9"/>
        <v>35891.260620800007</v>
      </c>
      <c r="BI24" s="51">
        <f t="shared" si="9"/>
        <v>35891.260620800007</v>
      </c>
      <c r="BJ24" s="51">
        <f t="shared" si="9"/>
        <v>259639.81263667205</v>
      </c>
      <c r="BK24" s="51">
        <f t="shared" si="9"/>
        <v>267684.56495792134</v>
      </c>
      <c r="BL24" s="51">
        <f t="shared" si="9"/>
        <v>37326.911045632005</v>
      </c>
      <c r="BM24" s="51">
        <f t="shared" si="9"/>
        <v>259639.81263667205</v>
      </c>
      <c r="BN24" s="51">
        <f t="shared" ref="BN24:CS24" si="10">SUM(BN17:BN23)</f>
        <v>37326.911045632005</v>
      </c>
      <c r="BO24" s="51">
        <f t="shared" si="10"/>
        <v>627326.91104563198</v>
      </c>
      <c r="BP24" s="51">
        <f t="shared" si="10"/>
        <v>259639.81263667205</v>
      </c>
      <c r="BQ24" s="51">
        <f t="shared" si="10"/>
        <v>37326.911045632005</v>
      </c>
      <c r="BR24" s="51">
        <f t="shared" si="10"/>
        <v>37326.911045632005</v>
      </c>
      <c r="BS24" s="51">
        <f t="shared" si="10"/>
        <v>259639.81263667205</v>
      </c>
      <c r="BT24" s="51">
        <f t="shared" si="10"/>
        <v>37326.911045632005</v>
      </c>
      <c r="BU24" s="51">
        <f t="shared" si="10"/>
        <v>37326.911045632005</v>
      </c>
      <c r="BV24" s="51">
        <f t="shared" si="10"/>
        <v>270025.40514213894</v>
      </c>
      <c r="BW24" s="51">
        <f t="shared" si="10"/>
        <v>278391.94755623816</v>
      </c>
      <c r="BX24" s="51">
        <f t="shared" si="10"/>
        <v>38819.987487457285</v>
      </c>
      <c r="BY24" s="51">
        <f t="shared" si="10"/>
        <v>270025.40514213894</v>
      </c>
      <c r="BZ24" s="51">
        <f t="shared" si="10"/>
        <v>38819.987487457285</v>
      </c>
      <c r="CA24" s="51">
        <f t="shared" si="10"/>
        <v>628819.98748745723</v>
      </c>
      <c r="CB24" s="51">
        <f t="shared" si="10"/>
        <v>270025.40514213894</v>
      </c>
      <c r="CC24" s="51">
        <f t="shared" si="10"/>
        <v>38819.987487457285</v>
      </c>
      <c r="CD24" s="51">
        <f t="shared" si="10"/>
        <v>38819.987487457285</v>
      </c>
      <c r="CE24" s="51">
        <f t="shared" si="10"/>
        <v>270025.40514213894</v>
      </c>
      <c r="CF24" s="51">
        <f t="shared" si="10"/>
        <v>38819.987487457285</v>
      </c>
      <c r="CG24" s="51">
        <f t="shared" si="10"/>
        <v>38819.987487457285</v>
      </c>
      <c r="CH24" s="51">
        <f t="shared" si="10"/>
        <v>280826.42134782451</v>
      </c>
      <c r="CI24" s="51">
        <f t="shared" si="10"/>
        <v>289527.62545848772</v>
      </c>
      <c r="CJ24" s="51">
        <f t="shared" si="10"/>
        <v>40372.78698695558</v>
      </c>
      <c r="CK24" s="51">
        <f t="shared" si="10"/>
        <v>280826.42134782451</v>
      </c>
      <c r="CL24" s="51">
        <f t="shared" si="10"/>
        <v>40372.78698695558</v>
      </c>
      <c r="CM24" s="51">
        <f t="shared" si="10"/>
        <v>630372.78698695556</v>
      </c>
      <c r="CN24" s="51">
        <f t="shared" si="10"/>
        <v>280826.42134782451</v>
      </c>
      <c r="CO24" s="51">
        <f t="shared" si="10"/>
        <v>40372.78698695558</v>
      </c>
      <c r="CP24" s="51">
        <f t="shared" si="10"/>
        <v>40372.78698695558</v>
      </c>
      <c r="CQ24" s="51">
        <f t="shared" si="10"/>
        <v>280826.42134782451</v>
      </c>
      <c r="CR24" s="51">
        <f t="shared" si="10"/>
        <v>40372.78698695558</v>
      </c>
      <c r="CS24" s="51">
        <f t="shared" si="10"/>
        <v>40372.78698695558</v>
      </c>
      <c r="CT24" s="51">
        <f t="shared" ref="CT24:CY24" si="11">SUM(CT17:CT23)</f>
        <v>292059.47820173751</v>
      </c>
      <c r="CU24" s="51">
        <f t="shared" si="11"/>
        <v>301108.73047682724</v>
      </c>
      <c r="CV24" s="51">
        <f t="shared" si="11"/>
        <v>41987.698466433802</v>
      </c>
      <c r="CW24" s="51">
        <f t="shared" si="11"/>
        <v>292059.47820173751</v>
      </c>
      <c r="CX24" s="51">
        <f t="shared" si="11"/>
        <v>41987.698466433802</v>
      </c>
      <c r="CY24" s="51">
        <f t="shared" si="11"/>
        <v>631987.69846643379</v>
      </c>
    </row>
    <row r="25" spans="1:103" ht="12" customHeight="1" thickTop="1"/>
    <row r="26" spans="1:103" ht="12" customHeight="1">
      <c r="A26" s="146" t="s">
        <v>322</v>
      </c>
      <c r="B26" s="191">
        <f t="shared" ref="B26:AG26" si="12">B2</f>
        <v>43951</v>
      </c>
      <c r="C26" s="191">
        <f t="shared" si="12"/>
        <v>43982</v>
      </c>
      <c r="D26" s="191">
        <f t="shared" si="12"/>
        <v>44012</v>
      </c>
      <c r="E26" s="191">
        <f t="shared" si="12"/>
        <v>44043</v>
      </c>
      <c r="F26" s="191">
        <f t="shared" si="12"/>
        <v>44074</v>
      </c>
      <c r="G26" s="191">
        <f t="shared" si="12"/>
        <v>44104</v>
      </c>
      <c r="H26" s="191">
        <f t="shared" si="12"/>
        <v>44135</v>
      </c>
      <c r="I26" s="191">
        <f t="shared" si="12"/>
        <v>44165</v>
      </c>
      <c r="J26" s="191">
        <f t="shared" si="12"/>
        <v>44196</v>
      </c>
      <c r="K26" s="191">
        <f t="shared" si="12"/>
        <v>44227</v>
      </c>
      <c r="L26" s="191">
        <f t="shared" si="12"/>
        <v>44255</v>
      </c>
      <c r="M26" s="191">
        <f t="shared" si="12"/>
        <v>44286</v>
      </c>
      <c r="N26" s="191">
        <f t="shared" si="12"/>
        <v>44316</v>
      </c>
      <c r="O26" s="191">
        <f t="shared" si="12"/>
        <v>44347</v>
      </c>
      <c r="P26" s="191">
        <f t="shared" si="12"/>
        <v>44377</v>
      </c>
      <c r="Q26" s="191">
        <f t="shared" si="12"/>
        <v>44408</v>
      </c>
      <c r="R26" s="191">
        <f t="shared" si="12"/>
        <v>44439</v>
      </c>
      <c r="S26" s="191">
        <f t="shared" si="12"/>
        <v>44469</v>
      </c>
      <c r="T26" s="191">
        <f t="shared" si="12"/>
        <v>44500</v>
      </c>
      <c r="U26" s="191">
        <f t="shared" si="12"/>
        <v>44530</v>
      </c>
      <c r="V26" s="191">
        <f t="shared" si="12"/>
        <v>44561</v>
      </c>
      <c r="W26" s="191">
        <f t="shared" si="12"/>
        <v>44592</v>
      </c>
      <c r="X26" s="191">
        <f t="shared" si="12"/>
        <v>44620</v>
      </c>
      <c r="Y26" s="191">
        <f t="shared" si="12"/>
        <v>44651</v>
      </c>
      <c r="Z26" s="191">
        <f t="shared" si="12"/>
        <v>44681</v>
      </c>
      <c r="AA26" s="191">
        <f t="shared" si="12"/>
        <v>44712</v>
      </c>
      <c r="AB26" s="191">
        <f t="shared" si="12"/>
        <v>44742</v>
      </c>
      <c r="AC26" s="191">
        <f t="shared" si="12"/>
        <v>44773</v>
      </c>
      <c r="AD26" s="191">
        <f t="shared" si="12"/>
        <v>44804</v>
      </c>
      <c r="AE26" s="191">
        <f t="shared" si="12"/>
        <v>44834</v>
      </c>
      <c r="AF26" s="191">
        <f t="shared" si="12"/>
        <v>44865</v>
      </c>
      <c r="AG26" s="191">
        <f t="shared" si="12"/>
        <v>44895</v>
      </c>
      <c r="AH26" s="191">
        <f t="shared" ref="AH26:BM26" si="13">AH2</f>
        <v>44926</v>
      </c>
      <c r="AI26" s="191">
        <f t="shared" si="13"/>
        <v>44957</v>
      </c>
      <c r="AJ26" s="191">
        <f t="shared" si="13"/>
        <v>44985</v>
      </c>
      <c r="AK26" s="191">
        <f t="shared" si="13"/>
        <v>45016</v>
      </c>
      <c r="AL26" s="191">
        <f t="shared" si="13"/>
        <v>45046</v>
      </c>
      <c r="AM26" s="191">
        <f t="shared" si="13"/>
        <v>45077</v>
      </c>
      <c r="AN26" s="191">
        <f t="shared" si="13"/>
        <v>45107</v>
      </c>
      <c r="AO26" s="191">
        <f t="shared" si="13"/>
        <v>45138</v>
      </c>
      <c r="AP26" s="191">
        <f t="shared" si="13"/>
        <v>45169</v>
      </c>
      <c r="AQ26" s="191">
        <f t="shared" si="13"/>
        <v>45199</v>
      </c>
      <c r="AR26" s="191">
        <f t="shared" si="13"/>
        <v>45230</v>
      </c>
      <c r="AS26" s="191">
        <f t="shared" si="13"/>
        <v>45260</v>
      </c>
      <c r="AT26" s="191">
        <f t="shared" si="13"/>
        <v>45291</v>
      </c>
      <c r="AU26" s="191">
        <f t="shared" si="13"/>
        <v>45322</v>
      </c>
      <c r="AV26" s="191">
        <f t="shared" si="13"/>
        <v>45351</v>
      </c>
      <c r="AW26" s="191">
        <f t="shared" si="13"/>
        <v>45382</v>
      </c>
      <c r="AX26" s="191">
        <f t="shared" si="13"/>
        <v>45412</v>
      </c>
      <c r="AY26" s="191">
        <f t="shared" si="13"/>
        <v>45443</v>
      </c>
      <c r="AZ26" s="191">
        <f t="shared" si="13"/>
        <v>45473</v>
      </c>
      <c r="BA26" s="191">
        <f t="shared" si="13"/>
        <v>45504</v>
      </c>
      <c r="BB26" s="191">
        <f t="shared" si="13"/>
        <v>45535</v>
      </c>
      <c r="BC26" s="191">
        <f t="shared" si="13"/>
        <v>45565</v>
      </c>
      <c r="BD26" s="191">
        <f t="shared" si="13"/>
        <v>45596</v>
      </c>
      <c r="BE26" s="191">
        <f t="shared" si="13"/>
        <v>45626</v>
      </c>
      <c r="BF26" s="191">
        <f t="shared" si="13"/>
        <v>45657</v>
      </c>
      <c r="BG26" s="191">
        <f t="shared" si="13"/>
        <v>45688</v>
      </c>
      <c r="BH26" s="191">
        <f t="shared" si="13"/>
        <v>45716</v>
      </c>
      <c r="BI26" s="191">
        <f t="shared" si="13"/>
        <v>45747</v>
      </c>
      <c r="BJ26" s="191">
        <f t="shared" si="13"/>
        <v>45777</v>
      </c>
      <c r="BK26" s="191">
        <f t="shared" si="13"/>
        <v>45808</v>
      </c>
      <c r="BL26" s="191">
        <f t="shared" si="13"/>
        <v>45838</v>
      </c>
      <c r="BM26" s="191">
        <f t="shared" si="13"/>
        <v>45869</v>
      </c>
      <c r="BN26" s="191">
        <f t="shared" ref="BN26:CS26" si="14">BN2</f>
        <v>45900</v>
      </c>
      <c r="BO26" s="191">
        <f t="shared" si="14"/>
        <v>45930</v>
      </c>
      <c r="BP26" s="191">
        <f t="shared" si="14"/>
        <v>45961</v>
      </c>
      <c r="BQ26" s="191">
        <f t="shared" si="14"/>
        <v>45991</v>
      </c>
      <c r="BR26" s="191">
        <f t="shared" si="14"/>
        <v>46022</v>
      </c>
      <c r="BS26" s="191">
        <f t="shared" si="14"/>
        <v>46053</v>
      </c>
      <c r="BT26" s="191">
        <f t="shared" si="14"/>
        <v>46081</v>
      </c>
      <c r="BU26" s="191">
        <f t="shared" si="14"/>
        <v>46112</v>
      </c>
      <c r="BV26" s="191">
        <f t="shared" si="14"/>
        <v>46142</v>
      </c>
      <c r="BW26" s="191">
        <f t="shared" si="14"/>
        <v>46173</v>
      </c>
      <c r="BX26" s="191">
        <f t="shared" si="14"/>
        <v>46203</v>
      </c>
      <c r="BY26" s="191">
        <f t="shared" si="14"/>
        <v>46234</v>
      </c>
      <c r="BZ26" s="191">
        <f t="shared" si="14"/>
        <v>46265</v>
      </c>
      <c r="CA26" s="191">
        <f t="shared" si="14"/>
        <v>46295</v>
      </c>
      <c r="CB26" s="191">
        <f t="shared" si="14"/>
        <v>46326</v>
      </c>
      <c r="CC26" s="191">
        <f t="shared" si="14"/>
        <v>46356</v>
      </c>
      <c r="CD26" s="191">
        <f t="shared" si="14"/>
        <v>46387</v>
      </c>
      <c r="CE26" s="191">
        <f t="shared" si="14"/>
        <v>46418</v>
      </c>
      <c r="CF26" s="191">
        <f t="shared" si="14"/>
        <v>46446</v>
      </c>
      <c r="CG26" s="191">
        <f t="shared" si="14"/>
        <v>46477</v>
      </c>
      <c r="CH26" s="191">
        <f t="shared" si="14"/>
        <v>46507</v>
      </c>
      <c r="CI26" s="191">
        <f t="shared" si="14"/>
        <v>46538</v>
      </c>
      <c r="CJ26" s="191">
        <f t="shared" si="14"/>
        <v>46568</v>
      </c>
      <c r="CK26" s="191">
        <f t="shared" si="14"/>
        <v>46599</v>
      </c>
      <c r="CL26" s="191">
        <f t="shared" si="14"/>
        <v>46630</v>
      </c>
      <c r="CM26" s="191">
        <f t="shared" si="14"/>
        <v>46660</v>
      </c>
      <c r="CN26" s="191">
        <f t="shared" si="14"/>
        <v>46691</v>
      </c>
      <c r="CO26" s="191">
        <f t="shared" si="14"/>
        <v>46721</v>
      </c>
      <c r="CP26" s="191">
        <f t="shared" si="14"/>
        <v>46752</v>
      </c>
      <c r="CQ26" s="191">
        <f t="shared" si="14"/>
        <v>46783</v>
      </c>
      <c r="CR26" s="191">
        <f t="shared" si="14"/>
        <v>46812</v>
      </c>
      <c r="CS26" s="191">
        <f t="shared" si="14"/>
        <v>46843</v>
      </c>
      <c r="CT26" s="191">
        <f t="shared" ref="CT26:CY26" si="15">CT2</f>
        <v>46873</v>
      </c>
      <c r="CU26" s="191">
        <f t="shared" si="15"/>
        <v>46904</v>
      </c>
      <c r="CV26" s="191">
        <f t="shared" si="15"/>
        <v>46934</v>
      </c>
      <c r="CW26" s="191">
        <f t="shared" si="15"/>
        <v>46965</v>
      </c>
      <c r="CX26" s="191">
        <f t="shared" si="15"/>
        <v>46996</v>
      </c>
      <c r="CY26" s="191">
        <f t="shared" si="15"/>
        <v>47026</v>
      </c>
    </row>
    <row r="27" spans="1:103" ht="12" customHeight="1">
      <c r="A27" s="144" t="s">
        <v>514</v>
      </c>
      <c r="B27" s="50">
        <v>85904</v>
      </c>
      <c r="C27" s="50">
        <v>85904</v>
      </c>
      <c r="D27" s="50">
        <v>85904</v>
      </c>
      <c r="E27" s="50">
        <v>85904</v>
      </c>
      <c r="F27" s="50">
        <v>85904</v>
      </c>
      <c r="G27" s="50">
        <v>85904</v>
      </c>
      <c r="H27" s="50">
        <v>85904</v>
      </c>
      <c r="I27" s="50">
        <v>85904</v>
      </c>
      <c r="J27" s="50">
        <v>85904</v>
      </c>
      <c r="K27" s="50">
        <v>85904</v>
      </c>
      <c r="L27" s="50">
        <v>85904</v>
      </c>
      <c r="M27" s="50">
        <v>85904</v>
      </c>
      <c r="N27" s="50">
        <v>89340.160000000003</v>
      </c>
      <c r="O27" s="50">
        <v>89340.160000000003</v>
      </c>
      <c r="P27" s="50">
        <v>89340.160000000003</v>
      </c>
      <c r="Q27" s="50">
        <v>89340.160000000003</v>
      </c>
      <c r="R27" s="50">
        <v>89340.160000000003</v>
      </c>
      <c r="S27" s="50">
        <v>89340.160000000003</v>
      </c>
      <c r="T27" s="50">
        <v>89340.160000000003</v>
      </c>
      <c r="U27" s="50">
        <v>89340.160000000003</v>
      </c>
      <c r="V27" s="50">
        <v>89340.160000000003</v>
      </c>
      <c r="W27" s="50">
        <v>89340.160000000003</v>
      </c>
      <c r="X27" s="50">
        <v>89340.160000000003</v>
      </c>
      <c r="Y27" s="50">
        <v>89340.160000000003</v>
      </c>
      <c r="Z27" s="50">
        <v>92913.766400000008</v>
      </c>
      <c r="AA27" s="50">
        <v>92913.766400000008</v>
      </c>
      <c r="AB27" s="50">
        <v>92913.766400000008</v>
      </c>
      <c r="AC27" s="50">
        <v>92913.766400000008</v>
      </c>
      <c r="AD27" s="50">
        <v>92913.766400000008</v>
      </c>
      <c r="AE27" s="50">
        <v>92913.766400000008</v>
      </c>
      <c r="AF27" s="50">
        <v>92913.766400000008</v>
      </c>
      <c r="AG27" s="50">
        <v>92913.766400000008</v>
      </c>
      <c r="AH27" s="50">
        <v>92913.766400000008</v>
      </c>
      <c r="AI27" s="50">
        <v>92913.766400000008</v>
      </c>
      <c r="AJ27" s="50">
        <v>92913.766400000008</v>
      </c>
      <c r="AK27" s="50">
        <v>92913.766400000008</v>
      </c>
      <c r="AL27" s="50">
        <v>96630.317056000014</v>
      </c>
      <c r="AM27" s="50">
        <v>96630.317056000014</v>
      </c>
      <c r="AN27" s="50">
        <v>96630.317056000014</v>
      </c>
      <c r="AO27" s="50">
        <v>96630.317056000014</v>
      </c>
      <c r="AP27" s="50">
        <v>96630.317056000014</v>
      </c>
      <c r="AQ27" s="50">
        <v>96630.317056000014</v>
      </c>
      <c r="AR27" s="50">
        <v>96630.317056000014</v>
      </c>
      <c r="AS27" s="50">
        <v>96630.317056000014</v>
      </c>
      <c r="AT27" s="50">
        <v>96630.317056000014</v>
      </c>
      <c r="AU27" s="50">
        <v>96630.317056000014</v>
      </c>
      <c r="AV27" s="50">
        <v>96630.317056000014</v>
      </c>
      <c r="AW27" s="50">
        <v>96630.317056000014</v>
      </c>
      <c r="AX27" s="50">
        <v>100495.52973824002</v>
      </c>
      <c r="AY27" s="50">
        <v>100495.52973824002</v>
      </c>
      <c r="AZ27" s="50">
        <v>100495.52973824002</v>
      </c>
      <c r="BA27" s="50">
        <v>100495.52973824002</v>
      </c>
      <c r="BB27" s="50">
        <v>100495.52973824002</v>
      </c>
      <c r="BC27" s="50">
        <v>100495.52973824002</v>
      </c>
      <c r="BD27" s="50">
        <v>100495.52973824002</v>
      </c>
      <c r="BE27" s="50">
        <v>100495.52973824002</v>
      </c>
      <c r="BF27" s="50">
        <v>100495.52973824002</v>
      </c>
      <c r="BG27" s="50">
        <v>100495.52973824002</v>
      </c>
      <c r="BH27" s="50">
        <v>100495.52973824002</v>
      </c>
      <c r="BI27" s="50">
        <v>100495.52973824002</v>
      </c>
      <c r="BJ27" s="50">
        <v>104515.35092776961</v>
      </c>
      <c r="BK27" s="50">
        <v>104515.35092776961</v>
      </c>
      <c r="BL27" s="50">
        <v>104515.35092776961</v>
      </c>
      <c r="BM27" s="50">
        <v>104515.35092776961</v>
      </c>
      <c r="BN27" s="50">
        <v>104515.35092776961</v>
      </c>
      <c r="BO27" s="50">
        <v>104515.35092776961</v>
      </c>
      <c r="BP27" s="50">
        <v>104515.35092776961</v>
      </c>
      <c r="BQ27" s="50">
        <v>104515.35092776961</v>
      </c>
      <c r="BR27" s="50">
        <v>104515.35092776961</v>
      </c>
      <c r="BS27" s="50">
        <v>104515.35092776961</v>
      </c>
      <c r="BT27" s="50">
        <v>104515.35092776961</v>
      </c>
      <c r="BU27" s="50">
        <v>104515.35092776961</v>
      </c>
      <c r="BV27" s="50">
        <v>108695.9649648804</v>
      </c>
      <c r="BW27" s="50">
        <v>108695.9649648804</v>
      </c>
      <c r="BX27" s="50">
        <v>108695.9649648804</v>
      </c>
      <c r="BY27" s="50">
        <v>108695.9649648804</v>
      </c>
      <c r="BZ27" s="50">
        <v>108695.9649648804</v>
      </c>
      <c r="CA27" s="50">
        <v>108695.9649648804</v>
      </c>
      <c r="CB27" s="50">
        <v>108695.9649648804</v>
      </c>
      <c r="CC27" s="50">
        <v>108695.9649648804</v>
      </c>
      <c r="CD27" s="50">
        <v>108695.9649648804</v>
      </c>
      <c r="CE27" s="50">
        <v>108695.9649648804</v>
      </c>
      <c r="CF27" s="50">
        <v>108695.9649648804</v>
      </c>
      <c r="CG27" s="50">
        <v>108695.9649648804</v>
      </c>
      <c r="CH27" s="50">
        <v>113043.80356347562</v>
      </c>
      <c r="CI27" s="50">
        <v>113043.80356347562</v>
      </c>
      <c r="CJ27" s="50">
        <v>113043.80356347562</v>
      </c>
      <c r="CK27" s="50">
        <v>113043.80356347562</v>
      </c>
      <c r="CL27" s="50">
        <v>113043.80356347562</v>
      </c>
      <c r="CM27" s="50">
        <v>113043.80356347562</v>
      </c>
      <c r="CN27" s="50">
        <v>113043.80356347562</v>
      </c>
      <c r="CO27" s="50">
        <v>113043.80356347562</v>
      </c>
      <c r="CP27" s="50">
        <v>113043.80356347562</v>
      </c>
      <c r="CQ27" s="50">
        <v>113043.80356347562</v>
      </c>
      <c r="CR27" s="50">
        <v>113043.80356347562</v>
      </c>
      <c r="CS27" s="50">
        <v>113043.80356347562</v>
      </c>
      <c r="CT27" s="50">
        <v>117565.55570601465</v>
      </c>
      <c r="CU27" s="50">
        <v>117565.55570601465</v>
      </c>
      <c r="CV27" s="50">
        <v>117565.55570601465</v>
      </c>
      <c r="CW27" s="50">
        <v>117565.55570601465</v>
      </c>
      <c r="CX27" s="50">
        <v>117565.55570601465</v>
      </c>
      <c r="CY27" s="50">
        <v>117565.55570601465</v>
      </c>
    </row>
    <row r="28" spans="1:103" ht="12" customHeight="1">
      <c r="A28" s="144" t="s">
        <v>513</v>
      </c>
      <c r="B28" s="50">
        <v>0</v>
      </c>
      <c r="C28" s="50">
        <v>0</v>
      </c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0">
        <v>0</v>
      </c>
      <c r="AF28" s="50">
        <v>0</v>
      </c>
      <c r="AG28" s="50">
        <v>0</v>
      </c>
      <c r="AH28" s="50">
        <v>0</v>
      </c>
      <c r="AI28" s="50">
        <v>0</v>
      </c>
      <c r="AJ28" s="50">
        <v>0</v>
      </c>
      <c r="AK28" s="50">
        <v>0</v>
      </c>
      <c r="AL28" s="50">
        <v>0</v>
      </c>
      <c r="AM28" s="50">
        <v>0</v>
      </c>
      <c r="AN28" s="50">
        <v>0</v>
      </c>
      <c r="AO28" s="50">
        <v>0</v>
      </c>
      <c r="AP28" s="50">
        <v>0</v>
      </c>
      <c r="AQ28" s="50">
        <v>0</v>
      </c>
      <c r="AR28" s="50">
        <v>0</v>
      </c>
      <c r="AS28" s="50">
        <v>0</v>
      </c>
      <c r="AT28" s="50">
        <v>0</v>
      </c>
      <c r="AU28" s="50">
        <v>0</v>
      </c>
      <c r="AV28" s="50">
        <v>0</v>
      </c>
      <c r="AW28" s="50">
        <v>0</v>
      </c>
      <c r="AX28" s="50">
        <v>0</v>
      </c>
      <c r="AY28" s="50">
        <v>0</v>
      </c>
      <c r="AZ28" s="50">
        <v>0</v>
      </c>
      <c r="BA28" s="50">
        <v>0</v>
      </c>
      <c r="BB28" s="50">
        <v>0</v>
      </c>
      <c r="BC28" s="50">
        <v>0</v>
      </c>
      <c r="BD28" s="50">
        <v>0</v>
      </c>
      <c r="BE28" s="50">
        <v>0</v>
      </c>
      <c r="BF28" s="50">
        <v>0</v>
      </c>
      <c r="BG28" s="50">
        <v>0</v>
      </c>
      <c r="BH28" s="50">
        <v>0</v>
      </c>
      <c r="BI28" s="50">
        <v>0</v>
      </c>
      <c r="BJ28" s="50">
        <v>0</v>
      </c>
      <c r="BK28" s="50">
        <v>0</v>
      </c>
      <c r="BL28" s="50">
        <v>0</v>
      </c>
      <c r="BM28" s="50">
        <v>0</v>
      </c>
      <c r="BN28" s="50">
        <v>0</v>
      </c>
      <c r="BO28" s="50">
        <v>0</v>
      </c>
      <c r="BP28" s="50">
        <v>0</v>
      </c>
      <c r="BQ28" s="50">
        <v>0</v>
      </c>
      <c r="BR28" s="50">
        <v>0</v>
      </c>
      <c r="BS28" s="50">
        <v>0</v>
      </c>
      <c r="BT28" s="50">
        <v>0</v>
      </c>
      <c r="BU28" s="50">
        <v>0</v>
      </c>
      <c r="BV28" s="50">
        <v>0</v>
      </c>
      <c r="BW28" s="50">
        <v>0</v>
      </c>
      <c r="BX28" s="50">
        <v>0</v>
      </c>
      <c r="BY28" s="50">
        <v>0</v>
      </c>
      <c r="BZ28" s="50">
        <v>0</v>
      </c>
      <c r="CA28" s="50">
        <v>0</v>
      </c>
      <c r="CB28" s="50">
        <v>0</v>
      </c>
      <c r="CC28" s="50">
        <v>0</v>
      </c>
      <c r="CD28" s="50">
        <v>0</v>
      </c>
      <c r="CE28" s="50">
        <v>0</v>
      </c>
      <c r="CF28" s="50">
        <v>0</v>
      </c>
      <c r="CG28" s="50">
        <v>0</v>
      </c>
      <c r="CH28" s="50">
        <v>0</v>
      </c>
      <c r="CI28" s="50">
        <v>0</v>
      </c>
      <c r="CJ28" s="50">
        <v>0</v>
      </c>
      <c r="CK28" s="50">
        <v>0</v>
      </c>
      <c r="CL28" s="50">
        <v>0</v>
      </c>
      <c r="CM28" s="50">
        <v>0</v>
      </c>
      <c r="CN28" s="50">
        <v>0</v>
      </c>
      <c r="CO28" s="50">
        <v>0</v>
      </c>
      <c r="CP28" s="50">
        <v>0</v>
      </c>
      <c r="CQ28" s="50">
        <v>0</v>
      </c>
      <c r="CR28" s="50">
        <v>0</v>
      </c>
      <c r="CS28" s="50">
        <v>0</v>
      </c>
      <c r="CT28" s="50">
        <v>0</v>
      </c>
      <c r="CU28" s="50">
        <v>0</v>
      </c>
      <c r="CV28" s="50">
        <v>0</v>
      </c>
      <c r="CW28" s="50">
        <v>0</v>
      </c>
      <c r="CX28" s="50">
        <v>0</v>
      </c>
      <c r="CY28" s="50">
        <v>0</v>
      </c>
    </row>
    <row r="29" spans="1:103" ht="12" customHeight="1">
      <c r="A29" s="144" t="s">
        <v>512</v>
      </c>
      <c r="B29" s="50">
        <v>0</v>
      </c>
      <c r="C29" s="50">
        <v>0</v>
      </c>
      <c r="D29" s="50">
        <v>0</v>
      </c>
      <c r="E29" s="50">
        <v>0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0</v>
      </c>
      <c r="S29" s="50">
        <v>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0">
        <v>0</v>
      </c>
      <c r="AF29" s="50">
        <v>0</v>
      </c>
      <c r="AG29" s="50">
        <v>0</v>
      </c>
      <c r="AH29" s="50">
        <v>0</v>
      </c>
      <c r="AI29" s="50">
        <v>0</v>
      </c>
      <c r="AJ29" s="50">
        <v>0</v>
      </c>
      <c r="AK29" s="50">
        <v>0</v>
      </c>
      <c r="AL29" s="50">
        <v>0</v>
      </c>
      <c r="AM29" s="50">
        <v>0</v>
      </c>
      <c r="AN29" s="50">
        <v>0</v>
      </c>
      <c r="AO29" s="50">
        <v>0</v>
      </c>
      <c r="AP29" s="50">
        <v>0</v>
      </c>
      <c r="AQ29" s="50">
        <v>0</v>
      </c>
      <c r="AR29" s="50">
        <v>0</v>
      </c>
      <c r="AS29" s="50">
        <v>0</v>
      </c>
      <c r="AT29" s="50">
        <v>0</v>
      </c>
      <c r="AU29" s="50">
        <v>0</v>
      </c>
      <c r="AV29" s="50">
        <v>0</v>
      </c>
      <c r="AW29" s="50">
        <v>0</v>
      </c>
      <c r="AX29" s="50">
        <v>0</v>
      </c>
      <c r="AY29" s="50">
        <v>0</v>
      </c>
      <c r="AZ29" s="50">
        <v>0</v>
      </c>
      <c r="BA29" s="50">
        <v>0</v>
      </c>
      <c r="BB29" s="50">
        <v>0</v>
      </c>
      <c r="BC29" s="50">
        <v>0</v>
      </c>
      <c r="BD29" s="50">
        <v>0</v>
      </c>
      <c r="BE29" s="50">
        <v>0</v>
      </c>
      <c r="BF29" s="50">
        <v>0</v>
      </c>
      <c r="BG29" s="50">
        <v>0</v>
      </c>
      <c r="BH29" s="50">
        <v>0</v>
      </c>
      <c r="BI29" s="50">
        <v>0</v>
      </c>
      <c r="BJ29" s="50">
        <v>0</v>
      </c>
      <c r="BK29" s="50">
        <v>0</v>
      </c>
      <c r="BL29" s="50">
        <v>0</v>
      </c>
      <c r="BM29" s="50">
        <v>0</v>
      </c>
      <c r="BN29" s="50">
        <v>0</v>
      </c>
      <c r="BO29" s="50">
        <v>0</v>
      </c>
      <c r="BP29" s="50">
        <v>0</v>
      </c>
      <c r="BQ29" s="50">
        <v>0</v>
      </c>
      <c r="BR29" s="50">
        <v>0</v>
      </c>
      <c r="BS29" s="50">
        <v>0</v>
      </c>
      <c r="BT29" s="50">
        <v>0</v>
      </c>
      <c r="BU29" s="50">
        <v>0</v>
      </c>
      <c r="BV29" s="50">
        <v>0</v>
      </c>
      <c r="BW29" s="50">
        <v>0</v>
      </c>
      <c r="BX29" s="50">
        <v>0</v>
      </c>
      <c r="BY29" s="50">
        <v>0</v>
      </c>
      <c r="BZ29" s="50">
        <v>0</v>
      </c>
      <c r="CA29" s="50">
        <v>0</v>
      </c>
      <c r="CB29" s="50">
        <v>0</v>
      </c>
      <c r="CC29" s="50">
        <v>0</v>
      </c>
      <c r="CD29" s="50">
        <v>0</v>
      </c>
      <c r="CE29" s="50">
        <v>0</v>
      </c>
      <c r="CF29" s="50">
        <v>0</v>
      </c>
      <c r="CG29" s="50">
        <v>0</v>
      </c>
      <c r="CH29" s="50">
        <v>0</v>
      </c>
      <c r="CI29" s="50">
        <v>0</v>
      </c>
      <c r="CJ29" s="50">
        <v>0</v>
      </c>
      <c r="CK29" s="50">
        <v>0</v>
      </c>
      <c r="CL29" s="50">
        <v>0</v>
      </c>
      <c r="CM29" s="50">
        <v>0</v>
      </c>
      <c r="CN29" s="50">
        <v>0</v>
      </c>
      <c r="CO29" s="50">
        <v>0</v>
      </c>
      <c r="CP29" s="50">
        <v>0</v>
      </c>
      <c r="CQ29" s="50">
        <v>0</v>
      </c>
      <c r="CR29" s="50">
        <v>0</v>
      </c>
      <c r="CS29" s="50">
        <v>0</v>
      </c>
      <c r="CT29" s="50">
        <v>0</v>
      </c>
      <c r="CU29" s="50">
        <v>0</v>
      </c>
      <c r="CV29" s="50">
        <v>0</v>
      </c>
      <c r="CW29" s="50">
        <v>0</v>
      </c>
      <c r="CX29" s="50">
        <v>0</v>
      </c>
      <c r="CY29" s="50">
        <v>0</v>
      </c>
    </row>
    <row r="30" spans="1:103" ht="12" customHeight="1">
      <c r="A30" s="144" t="s">
        <v>511</v>
      </c>
      <c r="B30" s="50">
        <v>5000000</v>
      </c>
      <c r="C30" s="50">
        <v>0</v>
      </c>
      <c r="D30" s="50">
        <v>0</v>
      </c>
      <c r="E30" s="50">
        <v>0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10000000</v>
      </c>
      <c r="N30" s="50">
        <v>0</v>
      </c>
      <c r="O30" s="50">
        <v>0</v>
      </c>
      <c r="P30" s="50">
        <v>0</v>
      </c>
      <c r="Q30" s="50">
        <v>0</v>
      </c>
      <c r="R30" s="50">
        <v>0</v>
      </c>
      <c r="S30" s="50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v>0</v>
      </c>
      <c r="AE30" s="50">
        <v>0</v>
      </c>
      <c r="AF30" s="50">
        <v>0</v>
      </c>
      <c r="AG30" s="50">
        <v>0</v>
      </c>
      <c r="AH30" s="50">
        <v>0</v>
      </c>
      <c r="AI30" s="50">
        <v>0</v>
      </c>
      <c r="AJ30" s="50">
        <v>0</v>
      </c>
      <c r="AK30" s="50">
        <v>0</v>
      </c>
      <c r="AL30" s="50">
        <v>0</v>
      </c>
      <c r="AM30" s="50">
        <v>0</v>
      </c>
      <c r="AN30" s="50">
        <v>0</v>
      </c>
      <c r="AO30" s="50">
        <v>0</v>
      </c>
      <c r="AP30" s="50">
        <v>0</v>
      </c>
      <c r="AQ30" s="50">
        <v>0</v>
      </c>
      <c r="AR30" s="50">
        <v>0</v>
      </c>
      <c r="AS30" s="50">
        <v>0</v>
      </c>
      <c r="AT30" s="50">
        <v>0</v>
      </c>
      <c r="AU30" s="50">
        <v>0</v>
      </c>
      <c r="AV30" s="50">
        <v>0</v>
      </c>
      <c r="AW30" s="50">
        <v>0</v>
      </c>
      <c r="AX30" s="50">
        <v>0</v>
      </c>
      <c r="AY30" s="50">
        <v>0</v>
      </c>
      <c r="AZ30" s="50">
        <v>0</v>
      </c>
      <c r="BA30" s="50">
        <v>0</v>
      </c>
      <c r="BB30" s="50">
        <v>0</v>
      </c>
      <c r="BC30" s="50">
        <v>0</v>
      </c>
      <c r="BD30" s="50">
        <v>0</v>
      </c>
      <c r="BE30" s="50">
        <v>0</v>
      </c>
      <c r="BF30" s="50">
        <v>0</v>
      </c>
      <c r="BG30" s="50">
        <v>0</v>
      </c>
      <c r="BH30" s="50">
        <v>0</v>
      </c>
      <c r="BI30" s="50">
        <v>0</v>
      </c>
      <c r="BJ30" s="50">
        <v>0</v>
      </c>
      <c r="BK30" s="50">
        <v>0</v>
      </c>
      <c r="BL30" s="50">
        <v>0</v>
      </c>
      <c r="BM30" s="50">
        <v>0</v>
      </c>
      <c r="BN30" s="50">
        <v>0</v>
      </c>
      <c r="BO30" s="50">
        <v>0</v>
      </c>
      <c r="BP30" s="50">
        <v>0</v>
      </c>
      <c r="BQ30" s="50">
        <v>0</v>
      </c>
      <c r="BR30" s="50">
        <v>0</v>
      </c>
      <c r="BS30" s="50">
        <v>0</v>
      </c>
      <c r="BT30" s="50">
        <v>0</v>
      </c>
      <c r="BU30" s="50">
        <v>0</v>
      </c>
      <c r="BV30" s="50">
        <v>0</v>
      </c>
      <c r="BW30" s="50">
        <v>0</v>
      </c>
      <c r="BX30" s="50">
        <v>0</v>
      </c>
      <c r="BY30" s="50">
        <v>0</v>
      </c>
      <c r="BZ30" s="50">
        <v>0</v>
      </c>
      <c r="CA30" s="50">
        <v>0</v>
      </c>
      <c r="CB30" s="50">
        <v>0</v>
      </c>
      <c r="CC30" s="50">
        <v>0</v>
      </c>
      <c r="CD30" s="50">
        <v>0</v>
      </c>
      <c r="CE30" s="50">
        <v>0</v>
      </c>
      <c r="CF30" s="50">
        <v>0</v>
      </c>
      <c r="CG30" s="50">
        <v>0</v>
      </c>
      <c r="CH30" s="50">
        <v>0</v>
      </c>
      <c r="CI30" s="50">
        <v>0</v>
      </c>
      <c r="CJ30" s="50">
        <v>0</v>
      </c>
      <c r="CK30" s="50">
        <v>0</v>
      </c>
      <c r="CL30" s="50">
        <v>0</v>
      </c>
      <c r="CM30" s="50">
        <v>0</v>
      </c>
      <c r="CN30" s="50">
        <v>0</v>
      </c>
      <c r="CO30" s="50">
        <v>0</v>
      </c>
      <c r="CP30" s="50">
        <v>0</v>
      </c>
      <c r="CQ30" s="50">
        <v>0</v>
      </c>
      <c r="CR30" s="50">
        <v>0</v>
      </c>
      <c r="CS30" s="50">
        <v>0</v>
      </c>
      <c r="CT30" s="50">
        <v>0</v>
      </c>
      <c r="CU30" s="50">
        <v>0</v>
      </c>
      <c r="CV30" s="50">
        <v>0</v>
      </c>
      <c r="CW30" s="50">
        <v>0</v>
      </c>
      <c r="CX30" s="50">
        <v>0</v>
      </c>
      <c r="CY30" s="50">
        <v>0</v>
      </c>
    </row>
    <row r="31" spans="1:103" ht="12" customHeight="1">
      <c r="A31" s="144" t="s">
        <v>510</v>
      </c>
      <c r="B31" s="50">
        <v>7030178.7684094394</v>
      </c>
      <c r="C31" s="50">
        <v>0</v>
      </c>
      <c r="D31" s="50">
        <v>0</v>
      </c>
      <c r="E31" s="50">
        <v>0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0</v>
      </c>
      <c r="S31" s="50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0">
        <v>0</v>
      </c>
      <c r="AF31" s="50">
        <v>0</v>
      </c>
      <c r="AG31" s="50">
        <v>0</v>
      </c>
      <c r="AH31" s="50">
        <v>0</v>
      </c>
      <c r="AI31" s="50">
        <v>0</v>
      </c>
      <c r="AJ31" s="50">
        <v>0</v>
      </c>
      <c r="AK31" s="50">
        <v>0</v>
      </c>
      <c r="AL31" s="50">
        <v>0</v>
      </c>
      <c r="AM31" s="50">
        <v>0</v>
      </c>
      <c r="AN31" s="50">
        <v>0</v>
      </c>
      <c r="AO31" s="50">
        <v>0</v>
      </c>
      <c r="AP31" s="50">
        <v>0</v>
      </c>
      <c r="AQ31" s="50">
        <v>0</v>
      </c>
      <c r="AR31" s="50">
        <v>0</v>
      </c>
      <c r="AS31" s="50">
        <v>0</v>
      </c>
      <c r="AT31" s="50">
        <v>0</v>
      </c>
      <c r="AU31" s="50">
        <v>0</v>
      </c>
      <c r="AV31" s="50">
        <v>0</v>
      </c>
      <c r="AW31" s="50">
        <v>0</v>
      </c>
      <c r="AX31" s="50">
        <v>0</v>
      </c>
      <c r="AY31" s="50">
        <v>0</v>
      </c>
      <c r="AZ31" s="50">
        <v>0</v>
      </c>
      <c r="BA31" s="50">
        <v>0</v>
      </c>
      <c r="BB31" s="50">
        <v>0</v>
      </c>
      <c r="BC31" s="50">
        <v>0</v>
      </c>
      <c r="BD31" s="50">
        <v>0</v>
      </c>
      <c r="BE31" s="50">
        <v>0</v>
      </c>
      <c r="BF31" s="50">
        <v>0</v>
      </c>
      <c r="BG31" s="50">
        <v>0</v>
      </c>
      <c r="BH31" s="50">
        <v>0</v>
      </c>
      <c r="BI31" s="50">
        <v>0</v>
      </c>
      <c r="BJ31" s="50">
        <v>0</v>
      </c>
      <c r="BK31" s="50">
        <v>0</v>
      </c>
      <c r="BL31" s="50">
        <v>0</v>
      </c>
      <c r="BM31" s="50">
        <v>0</v>
      </c>
      <c r="BN31" s="50">
        <v>0</v>
      </c>
      <c r="BO31" s="50">
        <v>0</v>
      </c>
      <c r="BP31" s="50">
        <v>0</v>
      </c>
      <c r="BQ31" s="50">
        <v>0</v>
      </c>
      <c r="BR31" s="50">
        <v>0</v>
      </c>
      <c r="BS31" s="50">
        <v>0</v>
      </c>
      <c r="BT31" s="50">
        <v>0</v>
      </c>
      <c r="BU31" s="50">
        <v>0</v>
      </c>
      <c r="BV31" s="50">
        <v>0</v>
      </c>
      <c r="BW31" s="50">
        <v>0</v>
      </c>
      <c r="BX31" s="50">
        <v>0</v>
      </c>
      <c r="BY31" s="50">
        <v>0</v>
      </c>
      <c r="BZ31" s="50">
        <v>0</v>
      </c>
      <c r="CA31" s="50">
        <v>0</v>
      </c>
      <c r="CB31" s="50">
        <v>0</v>
      </c>
      <c r="CC31" s="50">
        <v>0</v>
      </c>
      <c r="CD31" s="50">
        <v>0</v>
      </c>
      <c r="CE31" s="50">
        <v>0</v>
      </c>
      <c r="CF31" s="50">
        <v>0</v>
      </c>
      <c r="CG31" s="50">
        <v>0</v>
      </c>
      <c r="CH31" s="50">
        <v>0</v>
      </c>
      <c r="CI31" s="50">
        <v>0</v>
      </c>
      <c r="CJ31" s="50">
        <v>0</v>
      </c>
      <c r="CK31" s="50">
        <v>0</v>
      </c>
      <c r="CL31" s="50">
        <v>0</v>
      </c>
      <c r="CM31" s="50">
        <v>0</v>
      </c>
      <c r="CN31" s="50">
        <v>0</v>
      </c>
      <c r="CO31" s="50">
        <v>0</v>
      </c>
      <c r="CP31" s="50">
        <v>0</v>
      </c>
      <c r="CQ31" s="50">
        <v>0</v>
      </c>
      <c r="CR31" s="50">
        <v>0</v>
      </c>
      <c r="CS31" s="50">
        <v>0</v>
      </c>
      <c r="CT31" s="50">
        <v>0</v>
      </c>
      <c r="CU31" s="50">
        <v>0</v>
      </c>
      <c r="CV31" s="50">
        <v>0</v>
      </c>
      <c r="CW31" s="50">
        <v>0</v>
      </c>
      <c r="CX31" s="50">
        <v>0</v>
      </c>
      <c r="CY31" s="50">
        <v>0</v>
      </c>
    </row>
    <row r="32" spans="1:103" ht="12" customHeight="1">
      <c r="A32" s="144" t="s">
        <v>509</v>
      </c>
      <c r="B32" s="50">
        <v>500000</v>
      </c>
      <c r="C32" s="50">
        <v>0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500000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500000</v>
      </c>
      <c r="AA32" s="50">
        <v>0</v>
      </c>
      <c r="AB32" s="50">
        <v>0</v>
      </c>
      <c r="AC32" s="50">
        <v>0</v>
      </c>
      <c r="AD32" s="50">
        <v>0</v>
      </c>
      <c r="AE32" s="50">
        <v>0</v>
      </c>
      <c r="AF32" s="50">
        <v>0</v>
      </c>
      <c r="AG32" s="50">
        <v>0</v>
      </c>
      <c r="AH32" s="50">
        <v>0</v>
      </c>
      <c r="AI32" s="50">
        <v>0</v>
      </c>
      <c r="AJ32" s="50">
        <v>0</v>
      </c>
      <c r="AK32" s="50">
        <v>0</v>
      </c>
      <c r="AL32" s="50">
        <v>500000</v>
      </c>
      <c r="AM32" s="50">
        <v>0</v>
      </c>
      <c r="AN32" s="50">
        <v>0</v>
      </c>
      <c r="AO32" s="50">
        <v>0</v>
      </c>
      <c r="AP32" s="50">
        <v>0</v>
      </c>
      <c r="AQ32" s="50">
        <v>0</v>
      </c>
      <c r="AR32" s="50">
        <v>0</v>
      </c>
      <c r="AS32" s="50">
        <v>0</v>
      </c>
      <c r="AT32" s="50">
        <v>0</v>
      </c>
      <c r="AU32" s="50">
        <v>0</v>
      </c>
      <c r="AV32" s="50">
        <v>0</v>
      </c>
      <c r="AW32" s="50">
        <v>0</v>
      </c>
      <c r="AX32" s="50">
        <v>500000</v>
      </c>
      <c r="AY32" s="50">
        <v>0</v>
      </c>
      <c r="AZ32" s="50">
        <v>0</v>
      </c>
      <c r="BA32" s="50">
        <v>0</v>
      </c>
      <c r="BB32" s="50">
        <v>0</v>
      </c>
      <c r="BC32" s="50">
        <v>0</v>
      </c>
      <c r="BD32" s="50">
        <v>0</v>
      </c>
      <c r="BE32" s="50">
        <v>0</v>
      </c>
      <c r="BF32" s="50">
        <v>0</v>
      </c>
      <c r="BG32" s="50">
        <v>0</v>
      </c>
      <c r="BH32" s="50">
        <v>0</v>
      </c>
      <c r="BI32" s="50">
        <v>0</v>
      </c>
      <c r="BJ32" s="50">
        <v>500000</v>
      </c>
      <c r="BK32" s="50">
        <v>0</v>
      </c>
      <c r="BL32" s="50">
        <v>0</v>
      </c>
      <c r="BM32" s="50">
        <v>0</v>
      </c>
      <c r="BN32" s="50">
        <v>0</v>
      </c>
      <c r="BO32" s="50">
        <v>0</v>
      </c>
      <c r="BP32" s="50">
        <v>0</v>
      </c>
      <c r="BQ32" s="50">
        <v>0</v>
      </c>
      <c r="BR32" s="50">
        <v>0</v>
      </c>
      <c r="BS32" s="50">
        <v>0</v>
      </c>
      <c r="BT32" s="50">
        <v>0</v>
      </c>
      <c r="BU32" s="50">
        <v>0</v>
      </c>
      <c r="BV32" s="50">
        <v>500000</v>
      </c>
      <c r="BW32" s="50">
        <v>0</v>
      </c>
      <c r="BX32" s="50">
        <v>0</v>
      </c>
      <c r="BY32" s="50">
        <v>0</v>
      </c>
      <c r="BZ32" s="50">
        <v>0</v>
      </c>
      <c r="CA32" s="50">
        <v>0</v>
      </c>
      <c r="CB32" s="50">
        <v>0</v>
      </c>
      <c r="CC32" s="50">
        <v>0</v>
      </c>
      <c r="CD32" s="50">
        <v>0</v>
      </c>
      <c r="CE32" s="50">
        <v>0</v>
      </c>
      <c r="CF32" s="50">
        <v>0</v>
      </c>
      <c r="CG32" s="50">
        <v>0</v>
      </c>
      <c r="CH32" s="50">
        <v>500000</v>
      </c>
      <c r="CI32" s="50">
        <v>0</v>
      </c>
      <c r="CJ32" s="50">
        <v>0</v>
      </c>
      <c r="CK32" s="50">
        <v>0</v>
      </c>
      <c r="CL32" s="50">
        <v>0</v>
      </c>
      <c r="CM32" s="50">
        <v>0</v>
      </c>
      <c r="CN32" s="50">
        <v>0</v>
      </c>
      <c r="CO32" s="50">
        <v>0</v>
      </c>
      <c r="CP32" s="50">
        <v>0</v>
      </c>
      <c r="CQ32" s="50">
        <v>0</v>
      </c>
      <c r="CR32" s="50">
        <v>0</v>
      </c>
      <c r="CS32" s="50">
        <v>0</v>
      </c>
      <c r="CT32" s="50">
        <v>500000</v>
      </c>
      <c r="CU32" s="50">
        <v>0</v>
      </c>
      <c r="CV32" s="50">
        <v>0</v>
      </c>
      <c r="CW32" s="50">
        <v>0</v>
      </c>
      <c r="CX32" s="50">
        <v>0</v>
      </c>
      <c r="CY32" s="50">
        <v>0</v>
      </c>
    </row>
    <row r="33" spans="1:103" ht="12" customHeight="1" thickBot="1">
      <c r="A33" s="146" t="s">
        <v>54</v>
      </c>
      <c r="B33" s="51">
        <f t="shared" ref="B33:AG33" si="16">SUM(B27:B32)</f>
        <v>12616082.768409438</v>
      </c>
      <c r="C33" s="51">
        <f t="shared" si="16"/>
        <v>85904</v>
      </c>
      <c r="D33" s="51">
        <f t="shared" si="16"/>
        <v>85904</v>
      </c>
      <c r="E33" s="51">
        <f t="shared" si="16"/>
        <v>85904</v>
      </c>
      <c r="F33" s="51">
        <f t="shared" si="16"/>
        <v>85904</v>
      </c>
      <c r="G33" s="51">
        <f t="shared" si="16"/>
        <v>85904</v>
      </c>
      <c r="H33" s="51">
        <f t="shared" si="16"/>
        <v>85904</v>
      </c>
      <c r="I33" s="51">
        <f t="shared" si="16"/>
        <v>85904</v>
      </c>
      <c r="J33" s="51">
        <f t="shared" si="16"/>
        <v>85904</v>
      </c>
      <c r="K33" s="51">
        <f t="shared" si="16"/>
        <v>85904</v>
      </c>
      <c r="L33" s="51">
        <f t="shared" si="16"/>
        <v>85904</v>
      </c>
      <c r="M33" s="51">
        <f t="shared" si="16"/>
        <v>10085904</v>
      </c>
      <c r="N33" s="51">
        <f t="shared" si="16"/>
        <v>589340.16000000003</v>
      </c>
      <c r="O33" s="51">
        <f t="shared" si="16"/>
        <v>89340.160000000003</v>
      </c>
      <c r="P33" s="51">
        <f t="shared" si="16"/>
        <v>89340.160000000003</v>
      </c>
      <c r="Q33" s="51">
        <f t="shared" si="16"/>
        <v>89340.160000000003</v>
      </c>
      <c r="R33" s="51">
        <f t="shared" si="16"/>
        <v>89340.160000000003</v>
      </c>
      <c r="S33" s="51">
        <f t="shared" si="16"/>
        <v>89340.160000000003</v>
      </c>
      <c r="T33" s="51">
        <f t="shared" si="16"/>
        <v>89340.160000000003</v>
      </c>
      <c r="U33" s="51">
        <f t="shared" si="16"/>
        <v>89340.160000000003</v>
      </c>
      <c r="V33" s="51">
        <f t="shared" si="16"/>
        <v>89340.160000000003</v>
      </c>
      <c r="W33" s="51">
        <f t="shared" si="16"/>
        <v>89340.160000000003</v>
      </c>
      <c r="X33" s="51">
        <f t="shared" si="16"/>
        <v>89340.160000000003</v>
      </c>
      <c r="Y33" s="51">
        <f t="shared" si="16"/>
        <v>89340.160000000003</v>
      </c>
      <c r="Z33" s="51">
        <f t="shared" si="16"/>
        <v>592913.76639999996</v>
      </c>
      <c r="AA33" s="51">
        <f t="shared" si="16"/>
        <v>92913.766400000008</v>
      </c>
      <c r="AB33" s="51">
        <f t="shared" si="16"/>
        <v>92913.766400000008</v>
      </c>
      <c r="AC33" s="51">
        <f t="shared" si="16"/>
        <v>92913.766400000008</v>
      </c>
      <c r="AD33" s="51">
        <f t="shared" si="16"/>
        <v>92913.766400000008</v>
      </c>
      <c r="AE33" s="51">
        <f t="shared" si="16"/>
        <v>92913.766400000008</v>
      </c>
      <c r="AF33" s="51">
        <f t="shared" si="16"/>
        <v>92913.766400000008</v>
      </c>
      <c r="AG33" s="51">
        <f t="shared" si="16"/>
        <v>92913.766400000008</v>
      </c>
      <c r="AH33" s="51">
        <f t="shared" ref="AH33:BM33" si="17">SUM(AH27:AH32)</f>
        <v>92913.766400000008</v>
      </c>
      <c r="AI33" s="51">
        <f t="shared" si="17"/>
        <v>92913.766400000008</v>
      </c>
      <c r="AJ33" s="51">
        <f t="shared" si="17"/>
        <v>92913.766400000008</v>
      </c>
      <c r="AK33" s="51">
        <f t="shared" si="17"/>
        <v>92913.766400000008</v>
      </c>
      <c r="AL33" s="51">
        <f t="shared" si="17"/>
        <v>596630.317056</v>
      </c>
      <c r="AM33" s="51">
        <f t="shared" si="17"/>
        <v>96630.317056000014</v>
      </c>
      <c r="AN33" s="51">
        <f t="shared" si="17"/>
        <v>96630.317056000014</v>
      </c>
      <c r="AO33" s="51">
        <f t="shared" si="17"/>
        <v>96630.317056000014</v>
      </c>
      <c r="AP33" s="51">
        <f t="shared" si="17"/>
        <v>96630.317056000014</v>
      </c>
      <c r="AQ33" s="51">
        <f t="shared" si="17"/>
        <v>96630.317056000014</v>
      </c>
      <c r="AR33" s="51">
        <f t="shared" si="17"/>
        <v>96630.317056000014</v>
      </c>
      <c r="AS33" s="51">
        <f t="shared" si="17"/>
        <v>96630.317056000014</v>
      </c>
      <c r="AT33" s="51">
        <f t="shared" si="17"/>
        <v>96630.317056000014</v>
      </c>
      <c r="AU33" s="51">
        <f t="shared" si="17"/>
        <v>96630.317056000014</v>
      </c>
      <c r="AV33" s="51">
        <f t="shared" si="17"/>
        <v>96630.317056000014</v>
      </c>
      <c r="AW33" s="51">
        <f t="shared" si="17"/>
        <v>96630.317056000014</v>
      </c>
      <c r="AX33" s="51">
        <f t="shared" si="17"/>
        <v>600495.52973824006</v>
      </c>
      <c r="AY33" s="51">
        <f t="shared" si="17"/>
        <v>100495.52973824002</v>
      </c>
      <c r="AZ33" s="51">
        <f t="shared" si="17"/>
        <v>100495.52973824002</v>
      </c>
      <c r="BA33" s="51">
        <f t="shared" si="17"/>
        <v>100495.52973824002</v>
      </c>
      <c r="BB33" s="51">
        <f t="shared" si="17"/>
        <v>100495.52973824002</v>
      </c>
      <c r="BC33" s="51">
        <f t="shared" si="17"/>
        <v>100495.52973824002</v>
      </c>
      <c r="BD33" s="51">
        <f t="shared" si="17"/>
        <v>100495.52973824002</v>
      </c>
      <c r="BE33" s="51">
        <f t="shared" si="17"/>
        <v>100495.52973824002</v>
      </c>
      <c r="BF33" s="51">
        <f t="shared" si="17"/>
        <v>100495.52973824002</v>
      </c>
      <c r="BG33" s="51">
        <f t="shared" si="17"/>
        <v>100495.52973824002</v>
      </c>
      <c r="BH33" s="51">
        <f t="shared" si="17"/>
        <v>100495.52973824002</v>
      </c>
      <c r="BI33" s="51">
        <f t="shared" si="17"/>
        <v>100495.52973824002</v>
      </c>
      <c r="BJ33" s="51">
        <f t="shared" si="17"/>
        <v>604515.35092776967</v>
      </c>
      <c r="BK33" s="51">
        <f t="shared" si="17"/>
        <v>104515.35092776961</v>
      </c>
      <c r="BL33" s="51">
        <f t="shared" si="17"/>
        <v>104515.35092776961</v>
      </c>
      <c r="BM33" s="51">
        <f t="shared" si="17"/>
        <v>104515.35092776961</v>
      </c>
      <c r="BN33" s="51">
        <f t="shared" ref="BN33:CS33" si="18">SUM(BN27:BN32)</f>
        <v>104515.35092776961</v>
      </c>
      <c r="BO33" s="51">
        <f t="shared" si="18"/>
        <v>104515.35092776961</v>
      </c>
      <c r="BP33" s="51">
        <f t="shared" si="18"/>
        <v>104515.35092776961</v>
      </c>
      <c r="BQ33" s="51">
        <f t="shared" si="18"/>
        <v>104515.35092776961</v>
      </c>
      <c r="BR33" s="51">
        <f t="shared" si="18"/>
        <v>104515.35092776961</v>
      </c>
      <c r="BS33" s="51">
        <f t="shared" si="18"/>
        <v>104515.35092776961</v>
      </c>
      <c r="BT33" s="51">
        <f t="shared" si="18"/>
        <v>104515.35092776961</v>
      </c>
      <c r="BU33" s="51">
        <f t="shared" si="18"/>
        <v>104515.35092776961</v>
      </c>
      <c r="BV33" s="51">
        <f t="shared" si="18"/>
        <v>608695.96496488038</v>
      </c>
      <c r="BW33" s="51">
        <f t="shared" si="18"/>
        <v>108695.9649648804</v>
      </c>
      <c r="BX33" s="51">
        <f t="shared" si="18"/>
        <v>108695.9649648804</v>
      </c>
      <c r="BY33" s="51">
        <f t="shared" si="18"/>
        <v>108695.9649648804</v>
      </c>
      <c r="BZ33" s="51">
        <f t="shared" si="18"/>
        <v>108695.9649648804</v>
      </c>
      <c r="CA33" s="51">
        <f t="shared" si="18"/>
        <v>108695.9649648804</v>
      </c>
      <c r="CB33" s="51">
        <f t="shared" si="18"/>
        <v>108695.9649648804</v>
      </c>
      <c r="CC33" s="51">
        <f t="shared" si="18"/>
        <v>108695.9649648804</v>
      </c>
      <c r="CD33" s="51">
        <f t="shared" si="18"/>
        <v>108695.9649648804</v>
      </c>
      <c r="CE33" s="51">
        <f t="shared" si="18"/>
        <v>108695.9649648804</v>
      </c>
      <c r="CF33" s="51">
        <f t="shared" si="18"/>
        <v>108695.9649648804</v>
      </c>
      <c r="CG33" s="51">
        <f t="shared" si="18"/>
        <v>108695.9649648804</v>
      </c>
      <c r="CH33" s="51">
        <f t="shared" si="18"/>
        <v>613043.80356347561</v>
      </c>
      <c r="CI33" s="51">
        <f t="shared" si="18"/>
        <v>113043.80356347562</v>
      </c>
      <c r="CJ33" s="51">
        <f t="shared" si="18"/>
        <v>113043.80356347562</v>
      </c>
      <c r="CK33" s="51">
        <f t="shared" si="18"/>
        <v>113043.80356347562</v>
      </c>
      <c r="CL33" s="51">
        <f t="shared" si="18"/>
        <v>113043.80356347562</v>
      </c>
      <c r="CM33" s="51">
        <f t="shared" si="18"/>
        <v>113043.80356347562</v>
      </c>
      <c r="CN33" s="51">
        <f t="shared" si="18"/>
        <v>113043.80356347562</v>
      </c>
      <c r="CO33" s="51">
        <f t="shared" si="18"/>
        <v>113043.80356347562</v>
      </c>
      <c r="CP33" s="51">
        <f t="shared" si="18"/>
        <v>113043.80356347562</v>
      </c>
      <c r="CQ33" s="51">
        <f t="shared" si="18"/>
        <v>113043.80356347562</v>
      </c>
      <c r="CR33" s="51">
        <f t="shared" si="18"/>
        <v>113043.80356347562</v>
      </c>
      <c r="CS33" s="51">
        <f t="shared" si="18"/>
        <v>113043.80356347562</v>
      </c>
      <c r="CT33" s="51">
        <f t="shared" ref="CT33:CY33" si="19">SUM(CT27:CT32)</f>
        <v>617565.55570601462</v>
      </c>
      <c r="CU33" s="51">
        <f t="shared" si="19"/>
        <v>117565.55570601465</v>
      </c>
      <c r="CV33" s="51">
        <f t="shared" si="19"/>
        <v>117565.55570601465</v>
      </c>
      <c r="CW33" s="51">
        <f t="shared" si="19"/>
        <v>117565.55570601465</v>
      </c>
      <c r="CX33" s="51">
        <f t="shared" si="19"/>
        <v>117565.55570601465</v>
      </c>
      <c r="CY33" s="51">
        <f t="shared" si="19"/>
        <v>117565.55570601465</v>
      </c>
    </row>
    <row r="34" spans="1:103" ht="12" customHeight="1" thickTop="1">
      <c r="A34" s="146"/>
      <c r="B34" s="150"/>
      <c r="C34" s="150"/>
      <c r="D34" s="150"/>
      <c r="E34" s="150"/>
      <c r="F34" s="150"/>
      <c r="G34" s="150"/>
      <c r="H34" s="150"/>
      <c r="I34" s="150"/>
      <c r="J34" s="150"/>
      <c r="K34" s="150"/>
      <c r="L34" s="150"/>
      <c r="M34" s="150"/>
      <c r="N34" s="150"/>
      <c r="O34" s="150"/>
      <c r="P34" s="150"/>
      <c r="Q34" s="150"/>
      <c r="R34" s="150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  <c r="AF34" s="150"/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  <c r="BI34" s="150"/>
      <c r="BJ34" s="150"/>
      <c r="BK34" s="150"/>
      <c r="BL34" s="150"/>
      <c r="BM34" s="150"/>
      <c r="BN34" s="150"/>
      <c r="BO34" s="150"/>
      <c r="BP34" s="150"/>
      <c r="BQ34" s="150"/>
      <c r="BR34" s="150"/>
      <c r="BS34" s="150"/>
      <c r="BT34" s="150"/>
      <c r="BU34" s="150"/>
      <c r="BV34" s="150"/>
      <c r="BW34" s="150"/>
      <c r="BX34" s="150"/>
      <c r="BY34" s="150"/>
      <c r="BZ34" s="150"/>
      <c r="CA34" s="150"/>
      <c r="CB34" s="150"/>
      <c r="CC34" s="150"/>
      <c r="CD34" s="150"/>
      <c r="CE34" s="150"/>
      <c r="CF34" s="150"/>
      <c r="CG34" s="150"/>
      <c r="CH34" s="150"/>
      <c r="CI34" s="150"/>
      <c r="CJ34" s="150"/>
      <c r="CK34" s="150"/>
      <c r="CL34" s="150"/>
      <c r="CM34" s="150"/>
      <c r="CN34" s="150"/>
      <c r="CO34" s="150"/>
      <c r="CP34" s="150"/>
      <c r="CQ34" s="150"/>
      <c r="CR34" s="150"/>
      <c r="CS34" s="150"/>
      <c r="CT34" s="150"/>
      <c r="CU34" s="150"/>
      <c r="CV34" s="150"/>
      <c r="CW34" s="150"/>
      <c r="CX34" s="150"/>
      <c r="CY34" s="150"/>
    </row>
    <row r="35" spans="1:103" ht="12" customHeight="1">
      <c r="A35" s="146" t="s">
        <v>508</v>
      </c>
      <c r="B35" s="191">
        <f t="shared" ref="B35:AG35" si="20">B26</f>
        <v>43951</v>
      </c>
      <c r="C35" s="191">
        <f t="shared" si="20"/>
        <v>43982</v>
      </c>
      <c r="D35" s="191">
        <f t="shared" si="20"/>
        <v>44012</v>
      </c>
      <c r="E35" s="191">
        <f t="shared" si="20"/>
        <v>44043</v>
      </c>
      <c r="F35" s="191">
        <f t="shared" si="20"/>
        <v>44074</v>
      </c>
      <c r="G35" s="191">
        <f t="shared" si="20"/>
        <v>44104</v>
      </c>
      <c r="H35" s="191">
        <f t="shared" si="20"/>
        <v>44135</v>
      </c>
      <c r="I35" s="191">
        <f t="shared" si="20"/>
        <v>44165</v>
      </c>
      <c r="J35" s="191">
        <f t="shared" si="20"/>
        <v>44196</v>
      </c>
      <c r="K35" s="191">
        <f t="shared" si="20"/>
        <v>44227</v>
      </c>
      <c r="L35" s="191">
        <f t="shared" si="20"/>
        <v>44255</v>
      </c>
      <c r="M35" s="191">
        <f t="shared" si="20"/>
        <v>44286</v>
      </c>
      <c r="N35" s="191">
        <f t="shared" si="20"/>
        <v>44316</v>
      </c>
      <c r="O35" s="191">
        <f t="shared" si="20"/>
        <v>44347</v>
      </c>
      <c r="P35" s="191">
        <f t="shared" si="20"/>
        <v>44377</v>
      </c>
      <c r="Q35" s="191">
        <f t="shared" si="20"/>
        <v>44408</v>
      </c>
      <c r="R35" s="191">
        <f t="shared" si="20"/>
        <v>44439</v>
      </c>
      <c r="S35" s="191">
        <f t="shared" si="20"/>
        <v>44469</v>
      </c>
      <c r="T35" s="191">
        <f t="shared" si="20"/>
        <v>44500</v>
      </c>
      <c r="U35" s="191">
        <f t="shared" si="20"/>
        <v>44530</v>
      </c>
      <c r="V35" s="191">
        <f t="shared" si="20"/>
        <v>44561</v>
      </c>
      <c r="W35" s="191">
        <f t="shared" si="20"/>
        <v>44592</v>
      </c>
      <c r="X35" s="191">
        <f t="shared" si="20"/>
        <v>44620</v>
      </c>
      <c r="Y35" s="191">
        <f t="shared" si="20"/>
        <v>44651</v>
      </c>
      <c r="Z35" s="191">
        <f t="shared" si="20"/>
        <v>44681</v>
      </c>
      <c r="AA35" s="191">
        <f t="shared" si="20"/>
        <v>44712</v>
      </c>
      <c r="AB35" s="191">
        <f t="shared" si="20"/>
        <v>44742</v>
      </c>
      <c r="AC35" s="191">
        <f t="shared" si="20"/>
        <v>44773</v>
      </c>
      <c r="AD35" s="191">
        <f t="shared" si="20"/>
        <v>44804</v>
      </c>
      <c r="AE35" s="191">
        <f t="shared" si="20"/>
        <v>44834</v>
      </c>
      <c r="AF35" s="191">
        <f t="shared" si="20"/>
        <v>44865</v>
      </c>
      <c r="AG35" s="191">
        <f t="shared" si="20"/>
        <v>44895</v>
      </c>
      <c r="AH35" s="191">
        <f t="shared" ref="AH35:BM35" si="21">AH26</f>
        <v>44926</v>
      </c>
      <c r="AI35" s="191">
        <f t="shared" si="21"/>
        <v>44957</v>
      </c>
      <c r="AJ35" s="191">
        <f t="shared" si="21"/>
        <v>44985</v>
      </c>
      <c r="AK35" s="191">
        <f t="shared" si="21"/>
        <v>45016</v>
      </c>
      <c r="AL35" s="191">
        <f t="shared" si="21"/>
        <v>45046</v>
      </c>
      <c r="AM35" s="191">
        <f t="shared" si="21"/>
        <v>45077</v>
      </c>
      <c r="AN35" s="191">
        <f t="shared" si="21"/>
        <v>45107</v>
      </c>
      <c r="AO35" s="191">
        <f t="shared" si="21"/>
        <v>45138</v>
      </c>
      <c r="AP35" s="191">
        <f t="shared" si="21"/>
        <v>45169</v>
      </c>
      <c r="AQ35" s="191">
        <f t="shared" si="21"/>
        <v>45199</v>
      </c>
      <c r="AR35" s="191">
        <f t="shared" si="21"/>
        <v>45230</v>
      </c>
      <c r="AS35" s="191">
        <f t="shared" si="21"/>
        <v>45260</v>
      </c>
      <c r="AT35" s="191">
        <f t="shared" si="21"/>
        <v>45291</v>
      </c>
      <c r="AU35" s="191">
        <f t="shared" si="21"/>
        <v>45322</v>
      </c>
      <c r="AV35" s="191">
        <f t="shared" si="21"/>
        <v>45351</v>
      </c>
      <c r="AW35" s="191">
        <f t="shared" si="21"/>
        <v>45382</v>
      </c>
      <c r="AX35" s="191">
        <f t="shared" si="21"/>
        <v>45412</v>
      </c>
      <c r="AY35" s="191">
        <f t="shared" si="21"/>
        <v>45443</v>
      </c>
      <c r="AZ35" s="191">
        <f t="shared" si="21"/>
        <v>45473</v>
      </c>
      <c r="BA35" s="191">
        <f t="shared" si="21"/>
        <v>45504</v>
      </c>
      <c r="BB35" s="191">
        <f t="shared" si="21"/>
        <v>45535</v>
      </c>
      <c r="BC35" s="191">
        <f t="shared" si="21"/>
        <v>45565</v>
      </c>
      <c r="BD35" s="191">
        <f t="shared" si="21"/>
        <v>45596</v>
      </c>
      <c r="BE35" s="191">
        <f t="shared" si="21"/>
        <v>45626</v>
      </c>
      <c r="BF35" s="191">
        <f t="shared" si="21"/>
        <v>45657</v>
      </c>
      <c r="BG35" s="191">
        <f t="shared" si="21"/>
        <v>45688</v>
      </c>
      <c r="BH35" s="191">
        <f t="shared" si="21"/>
        <v>45716</v>
      </c>
      <c r="BI35" s="191">
        <f t="shared" si="21"/>
        <v>45747</v>
      </c>
      <c r="BJ35" s="191">
        <f t="shared" si="21"/>
        <v>45777</v>
      </c>
      <c r="BK35" s="191">
        <f t="shared" si="21"/>
        <v>45808</v>
      </c>
      <c r="BL35" s="191">
        <f t="shared" si="21"/>
        <v>45838</v>
      </c>
      <c r="BM35" s="191">
        <f t="shared" si="21"/>
        <v>45869</v>
      </c>
      <c r="BN35" s="191">
        <f t="shared" ref="BN35:CS35" si="22">BN26</f>
        <v>45900</v>
      </c>
      <c r="BO35" s="191">
        <f t="shared" si="22"/>
        <v>45930</v>
      </c>
      <c r="BP35" s="191">
        <f t="shared" si="22"/>
        <v>45961</v>
      </c>
      <c r="BQ35" s="191">
        <f t="shared" si="22"/>
        <v>45991</v>
      </c>
      <c r="BR35" s="191">
        <f t="shared" si="22"/>
        <v>46022</v>
      </c>
      <c r="BS35" s="191">
        <f t="shared" si="22"/>
        <v>46053</v>
      </c>
      <c r="BT35" s="191">
        <f t="shared" si="22"/>
        <v>46081</v>
      </c>
      <c r="BU35" s="191">
        <f t="shared" si="22"/>
        <v>46112</v>
      </c>
      <c r="BV35" s="191">
        <f t="shared" si="22"/>
        <v>46142</v>
      </c>
      <c r="BW35" s="191">
        <f t="shared" si="22"/>
        <v>46173</v>
      </c>
      <c r="BX35" s="191">
        <f t="shared" si="22"/>
        <v>46203</v>
      </c>
      <c r="BY35" s="191">
        <f t="shared" si="22"/>
        <v>46234</v>
      </c>
      <c r="BZ35" s="191">
        <f t="shared" si="22"/>
        <v>46265</v>
      </c>
      <c r="CA35" s="191">
        <f t="shared" si="22"/>
        <v>46295</v>
      </c>
      <c r="CB35" s="191">
        <f t="shared" si="22"/>
        <v>46326</v>
      </c>
      <c r="CC35" s="191">
        <f t="shared" si="22"/>
        <v>46356</v>
      </c>
      <c r="CD35" s="191">
        <f t="shared" si="22"/>
        <v>46387</v>
      </c>
      <c r="CE35" s="191">
        <f t="shared" si="22"/>
        <v>46418</v>
      </c>
      <c r="CF35" s="191">
        <f t="shared" si="22"/>
        <v>46446</v>
      </c>
      <c r="CG35" s="191">
        <f t="shared" si="22"/>
        <v>46477</v>
      </c>
      <c r="CH35" s="191">
        <f t="shared" si="22"/>
        <v>46507</v>
      </c>
      <c r="CI35" s="191">
        <f t="shared" si="22"/>
        <v>46538</v>
      </c>
      <c r="CJ35" s="191">
        <f t="shared" si="22"/>
        <v>46568</v>
      </c>
      <c r="CK35" s="191">
        <f t="shared" si="22"/>
        <v>46599</v>
      </c>
      <c r="CL35" s="191">
        <f t="shared" si="22"/>
        <v>46630</v>
      </c>
      <c r="CM35" s="191">
        <f t="shared" si="22"/>
        <v>46660</v>
      </c>
      <c r="CN35" s="191">
        <f t="shared" si="22"/>
        <v>46691</v>
      </c>
      <c r="CO35" s="191">
        <f t="shared" si="22"/>
        <v>46721</v>
      </c>
      <c r="CP35" s="191">
        <f t="shared" si="22"/>
        <v>46752</v>
      </c>
      <c r="CQ35" s="191">
        <f t="shared" si="22"/>
        <v>46783</v>
      </c>
      <c r="CR35" s="191">
        <f t="shared" si="22"/>
        <v>46812</v>
      </c>
      <c r="CS35" s="191">
        <f t="shared" si="22"/>
        <v>46843</v>
      </c>
      <c r="CT35" s="191">
        <f t="shared" ref="CT35:CY35" si="23">CT26</f>
        <v>46873</v>
      </c>
      <c r="CU35" s="191">
        <f t="shared" si="23"/>
        <v>46904</v>
      </c>
      <c r="CV35" s="191">
        <f t="shared" si="23"/>
        <v>46934</v>
      </c>
      <c r="CW35" s="191">
        <f t="shared" si="23"/>
        <v>46965</v>
      </c>
      <c r="CX35" s="191">
        <f t="shared" si="23"/>
        <v>46996</v>
      </c>
      <c r="CY35" s="191">
        <f t="shared" si="23"/>
        <v>47026</v>
      </c>
    </row>
    <row r="36" spans="1:103" ht="12" customHeight="1">
      <c r="A36" s="144" t="s">
        <v>507</v>
      </c>
      <c r="B36" s="50">
        <v>0</v>
      </c>
      <c r="C36" s="50">
        <v>0</v>
      </c>
      <c r="D36" s="50">
        <v>12272</v>
      </c>
      <c r="E36" s="50">
        <v>0</v>
      </c>
      <c r="F36" s="50">
        <v>0</v>
      </c>
      <c r="G36" s="50">
        <v>12272</v>
      </c>
      <c r="H36" s="50">
        <v>0</v>
      </c>
      <c r="I36" s="50">
        <v>0</v>
      </c>
      <c r="J36" s="50">
        <v>12272</v>
      </c>
      <c r="K36" s="50">
        <v>0</v>
      </c>
      <c r="L36" s="50">
        <v>0</v>
      </c>
      <c r="M36" s="50">
        <v>12272</v>
      </c>
      <c r="N36" s="50">
        <v>0</v>
      </c>
      <c r="O36" s="50">
        <v>0</v>
      </c>
      <c r="P36" s="50">
        <v>12762.880000000001</v>
      </c>
      <c r="Q36" s="50">
        <v>0</v>
      </c>
      <c r="R36" s="50">
        <v>0</v>
      </c>
      <c r="S36" s="50">
        <v>12762.880000000001</v>
      </c>
      <c r="T36" s="50">
        <v>0</v>
      </c>
      <c r="U36" s="50">
        <v>0</v>
      </c>
      <c r="V36" s="50">
        <v>12762.880000000001</v>
      </c>
      <c r="W36" s="50">
        <v>0</v>
      </c>
      <c r="X36" s="50">
        <v>0</v>
      </c>
      <c r="Y36" s="50">
        <v>12762.880000000001</v>
      </c>
      <c r="Z36" s="50">
        <v>0</v>
      </c>
      <c r="AA36" s="50">
        <v>0</v>
      </c>
      <c r="AB36" s="50">
        <v>13273.395200000001</v>
      </c>
      <c r="AC36" s="50">
        <v>0</v>
      </c>
      <c r="AD36" s="50">
        <v>0</v>
      </c>
      <c r="AE36" s="50">
        <v>13273.395200000001</v>
      </c>
      <c r="AF36" s="50">
        <v>0</v>
      </c>
      <c r="AG36" s="50">
        <v>0</v>
      </c>
      <c r="AH36" s="50">
        <v>13273.395200000001</v>
      </c>
      <c r="AI36" s="50">
        <v>0</v>
      </c>
      <c r="AJ36" s="50">
        <v>0</v>
      </c>
      <c r="AK36" s="50">
        <v>13273.395200000001</v>
      </c>
      <c r="AL36" s="50">
        <v>0</v>
      </c>
      <c r="AM36" s="50">
        <v>0</v>
      </c>
      <c r="AN36" s="50">
        <v>13804.331008000001</v>
      </c>
      <c r="AO36" s="50">
        <v>0</v>
      </c>
      <c r="AP36" s="50">
        <v>0</v>
      </c>
      <c r="AQ36" s="50">
        <v>13804.331008000001</v>
      </c>
      <c r="AR36" s="50">
        <v>0</v>
      </c>
      <c r="AS36" s="50">
        <v>0</v>
      </c>
      <c r="AT36" s="50">
        <v>13804.331008000001</v>
      </c>
      <c r="AU36" s="50">
        <v>0</v>
      </c>
      <c r="AV36" s="50">
        <v>0</v>
      </c>
      <c r="AW36" s="50">
        <v>13804.331008000001</v>
      </c>
      <c r="AX36" s="50">
        <v>0</v>
      </c>
      <c r="AY36" s="50">
        <v>0</v>
      </c>
      <c r="AZ36" s="50">
        <v>14356.504248320001</v>
      </c>
      <c r="BA36" s="50">
        <v>0</v>
      </c>
      <c r="BB36" s="50">
        <v>0</v>
      </c>
      <c r="BC36" s="50">
        <v>14356.504248320001</v>
      </c>
      <c r="BD36" s="50">
        <v>0</v>
      </c>
      <c r="BE36" s="50">
        <v>0</v>
      </c>
      <c r="BF36" s="50">
        <v>14356.504248320001</v>
      </c>
      <c r="BG36" s="50">
        <v>0</v>
      </c>
      <c r="BH36" s="50">
        <v>0</v>
      </c>
      <c r="BI36" s="50">
        <v>14356.504248320001</v>
      </c>
      <c r="BJ36" s="50">
        <v>0</v>
      </c>
      <c r="BK36" s="50">
        <v>0</v>
      </c>
      <c r="BL36" s="50">
        <v>14930.764418252802</v>
      </c>
      <c r="BM36" s="50">
        <v>0</v>
      </c>
      <c r="BN36" s="50">
        <v>0</v>
      </c>
      <c r="BO36" s="50">
        <v>14930.764418252802</v>
      </c>
      <c r="BP36" s="50">
        <v>0</v>
      </c>
      <c r="BQ36" s="50">
        <v>0</v>
      </c>
      <c r="BR36" s="50">
        <v>14930.764418252802</v>
      </c>
      <c r="BS36" s="50">
        <v>0</v>
      </c>
      <c r="BT36" s="50">
        <v>0</v>
      </c>
      <c r="BU36" s="50">
        <v>14930.764418252802</v>
      </c>
      <c r="BV36" s="50">
        <v>0</v>
      </c>
      <c r="BW36" s="50">
        <v>0</v>
      </c>
      <c r="BX36" s="50">
        <v>15527.994994982915</v>
      </c>
      <c r="BY36" s="50">
        <v>0</v>
      </c>
      <c r="BZ36" s="50">
        <v>0</v>
      </c>
      <c r="CA36" s="50">
        <v>15527.994994982915</v>
      </c>
      <c r="CB36" s="50">
        <v>0</v>
      </c>
      <c r="CC36" s="50">
        <v>0</v>
      </c>
      <c r="CD36" s="50">
        <v>15527.994994982915</v>
      </c>
      <c r="CE36" s="50">
        <v>0</v>
      </c>
      <c r="CF36" s="50">
        <v>0</v>
      </c>
      <c r="CG36" s="50">
        <v>0</v>
      </c>
      <c r="CH36" s="50">
        <v>0</v>
      </c>
      <c r="CI36" s="50">
        <v>0</v>
      </c>
      <c r="CJ36" s="50">
        <v>0</v>
      </c>
      <c r="CK36" s="50">
        <v>0</v>
      </c>
      <c r="CL36" s="50">
        <v>0</v>
      </c>
      <c r="CM36" s="50">
        <v>0</v>
      </c>
      <c r="CN36" s="50">
        <v>0</v>
      </c>
      <c r="CO36" s="50">
        <v>0</v>
      </c>
      <c r="CP36" s="50">
        <v>0</v>
      </c>
      <c r="CQ36" s="50">
        <v>0</v>
      </c>
      <c r="CR36" s="50">
        <v>0</v>
      </c>
      <c r="CS36" s="50">
        <v>0</v>
      </c>
      <c r="CT36" s="50">
        <v>0</v>
      </c>
      <c r="CU36" s="50">
        <v>0</v>
      </c>
      <c r="CV36" s="50">
        <v>0</v>
      </c>
      <c r="CW36" s="50">
        <v>0</v>
      </c>
      <c r="CX36" s="50">
        <v>0</v>
      </c>
      <c r="CY36" s="50">
        <v>0</v>
      </c>
    </row>
    <row r="37" spans="1:103" ht="12" customHeight="1">
      <c r="A37" s="144" t="s">
        <v>506</v>
      </c>
      <c r="B37" s="50">
        <v>0</v>
      </c>
      <c r="C37" s="50">
        <v>0</v>
      </c>
      <c r="D37" s="50">
        <v>885000</v>
      </c>
      <c r="E37" s="50">
        <v>0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885000</v>
      </c>
      <c r="Q37" s="50">
        <v>0</v>
      </c>
      <c r="R37" s="50">
        <v>0</v>
      </c>
      <c r="S37" s="50">
        <v>0</v>
      </c>
      <c r="T37" s="50">
        <v>0</v>
      </c>
      <c r="U37" s="50">
        <v>0</v>
      </c>
      <c r="V37" s="50">
        <v>0</v>
      </c>
      <c r="W37" s="50">
        <v>0</v>
      </c>
      <c r="X37" s="50">
        <v>0</v>
      </c>
      <c r="Y37" s="50">
        <v>0</v>
      </c>
      <c r="Z37" s="50">
        <v>0</v>
      </c>
      <c r="AA37" s="50">
        <v>0</v>
      </c>
      <c r="AB37" s="50">
        <v>885000</v>
      </c>
      <c r="AC37" s="50">
        <v>0</v>
      </c>
      <c r="AD37" s="50">
        <v>0</v>
      </c>
      <c r="AE37" s="50">
        <v>0</v>
      </c>
      <c r="AF37" s="50">
        <v>0</v>
      </c>
      <c r="AG37" s="50">
        <v>0</v>
      </c>
      <c r="AH37" s="50">
        <v>0</v>
      </c>
      <c r="AI37" s="50">
        <v>0</v>
      </c>
      <c r="AJ37" s="50">
        <v>0</v>
      </c>
      <c r="AK37" s="50">
        <v>0</v>
      </c>
      <c r="AL37" s="50">
        <v>0</v>
      </c>
      <c r="AM37" s="50">
        <v>0</v>
      </c>
      <c r="AN37" s="50">
        <v>885000</v>
      </c>
      <c r="AO37" s="50">
        <v>0</v>
      </c>
      <c r="AP37" s="50">
        <v>0</v>
      </c>
      <c r="AQ37" s="50">
        <v>0</v>
      </c>
      <c r="AR37" s="50">
        <v>0</v>
      </c>
      <c r="AS37" s="50">
        <v>0</v>
      </c>
      <c r="AT37" s="50">
        <v>0</v>
      </c>
      <c r="AU37" s="50">
        <v>0</v>
      </c>
      <c r="AV37" s="50">
        <v>0</v>
      </c>
      <c r="AW37" s="50">
        <v>0</v>
      </c>
      <c r="AX37" s="50">
        <v>0</v>
      </c>
      <c r="AY37" s="50">
        <v>0</v>
      </c>
      <c r="AZ37" s="50">
        <v>885000</v>
      </c>
      <c r="BA37" s="50">
        <v>0</v>
      </c>
      <c r="BB37" s="50">
        <v>0</v>
      </c>
      <c r="BC37" s="50">
        <v>0</v>
      </c>
      <c r="BD37" s="50">
        <v>0</v>
      </c>
      <c r="BE37" s="50">
        <v>0</v>
      </c>
      <c r="BF37" s="50">
        <v>0</v>
      </c>
      <c r="BG37" s="50">
        <v>0</v>
      </c>
      <c r="BH37" s="50">
        <v>0</v>
      </c>
      <c r="BI37" s="50">
        <v>0</v>
      </c>
      <c r="BJ37" s="50">
        <v>0</v>
      </c>
      <c r="BK37" s="50">
        <v>0</v>
      </c>
      <c r="BL37" s="50">
        <v>885000</v>
      </c>
      <c r="BM37" s="50">
        <v>0</v>
      </c>
      <c r="BN37" s="50">
        <v>0</v>
      </c>
      <c r="BO37" s="50">
        <v>0</v>
      </c>
      <c r="BP37" s="50">
        <v>0</v>
      </c>
      <c r="BQ37" s="50">
        <v>0</v>
      </c>
      <c r="BR37" s="50">
        <v>0</v>
      </c>
      <c r="BS37" s="50">
        <v>0</v>
      </c>
      <c r="BT37" s="50">
        <v>0</v>
      </c>
      <c r="BU37" s="50">
        <v>0</v>
      </c>
      <c r="BV37" s="50">
        <v>0</v>
      </c>
      <c r="BW37" s="50">
        <v>0</v>
      </c>
      <c r="BX37" s="50">
        <v>885000</v>
      </c>
      <c r="BY37" s="50">
        <v>0</v>
      </c>
      <c r="BZ37" s="50">
        <v>0</v>
      </c>
      <c r="CA37" s="50">
        <v>0</v>
      </c>
      <c r="CB37" s="50">
        <v>0</v>
      </c>
      <c r="CC37" s="50">
        <v>0</v>
      </c>
      <c r="CD37" s="50">
        <v>0</v>
      </c>
      <c r="CE37" s="50">
        <v>0</v>
      </c>
      <c r="CF37" s="50">
        <v>0</v>
      </c>
      <c r="CG37" s="50">
        <v>0</v>
      </c>
      <c r="CH37" s="50">
        <v>0</v>
      </c>
      <c r="CI37" s="50">
        <v>0</v>
      </c>
      <c r="CJ37" s="50">
        <v>885000</v>
      </c>
      <c r="CK37" s="50">
        <v>0</v>
      </c>
      <c r="CL37" s="50">
        <v>0</v>
      </c>
      <c r="CM37" s="50">
        <v>0</v>
      </c>
      <c r="CN37" s="50">
        <v>0</v>
      </c>
      <c r="CO37" s="50">
        <v>0</v>
      </c>
      <c r="CP37" s="50">
        <v>0</v>
      </c>
      <c r="CQ37" s="50">
        <v>0</v>
      </c>
      <c r="CR37" s="50">
        <v>0</v>
      </c>
      <c r="CS37" s="50">
        <v>0</v>
      </c>
      <c r="CT37" s="50">
        <v>0</v>
      </c>
      <c r="CU37" s="50">
        <v>0</v>
      </c>
      <c r="CV37" s="50">
        <v>0</v>
      </c>
      <c r="CW37" s="50">
        <v>0</v>
      </c>
      <c r="CX37" s="50">
        <v>0</v>
      </c>
      <c r="CY37" s="50">
        <v>0</v>
      </c>
    </row>
    <row r="38" spans="1:103" ht="12" customHeight="1">
      <c r="A38" s="144" t="s">
        <v>505</v>
      </c>
      <c r="B38" s="50">
        <v>10000000</v>
      </c>
      <c r="C38" s="50">
        <v>0</v>
      </c>
      <c r="D38" s="50">
        <v>0</v>
      </c>
      <c r="E38" s="50">
        <v>0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0</v>
      </c>
      <c r="S38" s="50">
        <v>0</v>
      </c>
      <c r="T38" s="50">
        <v>0</v>
      </c>
      <c r="U38" s="50">
        <v>0</v>
      </c>
      <c r="V38" s="50">
        <v>0</v>
      </c>
      <c r="W38" s="50">
        <v>0</v>
      </c>
      <c r="X38" s="50">
        <v>0</v>
      </c>
      <c r="Y38" s="50">
        <v>0</v>
      </c>
      <c r="Z38" s="50">
        <v>0</v>
      </c>
      <c r="AA38" s="50">
        <v>0</v>
      </c>
      <c r="AB38" s="50">
        <v>0</v>
      </c>
      <c r="AC38" s="50">
        <v>0</v>
      </c>
      <c r="AD38" s="50">
        <v>0</v>
      </c>
      <c r="AE38" s="50">
        <v>0</v>
      </c>
      <c r="AF38" s="50">
        <v>0</v>
      </c>
      <c r="AG38" s="50">
        <v>0</v>
      </c>
      <c r="AH38" s="50">
        <v>0</v>
      </c>
      <c r="AI38" s="50">
        <v>0</v>
      </c>
      <c r="AJ38" s="50">
        <v>0</v>
      </c>
      <c r="AK38" s="50">
        <v>0</v>
      </c>
      <c r="AL38" s="50">
        <v>0</v>
      </c>
      <c r="AM38" s="50">
        <v>0</v>
      </c>
      <c r="AN38" s="50">
        <v>0</v>
      </c>
      <c r="AO38" s="50">
        <v>0</v>
      </c>
      <c r="AP38" s="50">
        <v>0</v>
      </c>
      <c r="AQ38" s="50">
        <v>0</v>
      </c>
      <c r="AR38" s="50">
        <v>0</v>
      </c>
      <c r="AS38" s="50">
        <v>0</v>
      </c>
      <c r="AT38" s="50">
        <v>0</v>
      </c>
      <c r="AU38" s="50">
        <v>0</v>
      </c>
      <c r="AV38" s="50">
        <v>0</v>
      </c>
      <c r="AW38" s="50">
        <v>0</v>
      </c>
      <c r="AX38" s="50">
        <v>0</v>
      </c>
      <c r="AY38" s="50">
        <v>0</v>
      </c>
      <c r="AZ38" s="50">
        <v>0</v>
      </c>
      <c r="BA38" s="50">
        <v>0</v>
      </c>
      <c r="BB38" s="50">
        <v>0</v>
      </c>
      <c r="BC38" s="50">
        <v>0</v>
      </c>
      <c r="BD38" s="50">
        <v>0</v>
      </c>
      <c r="BE38" s="50">
        <v>0</v>
      </c>
      <c r="BF38" s="50">
        <v>0</v>
      </c>
      <c r="BG38" s="50">
        <v>0</v>
      </c>
      <c r="BH38" s="50">
        <v>0</v>
      </c>
      <c r="BI38" s="50">
        <v>0</v>
      </c>
      <c r="BJ38" s="50">
        <v>0</v>
      </c>
      <c r="BK38" s="50">
        <v>0</v>
      </c>
      <c r="BL38" s="50">
        <v>0</v>
      </c>
      <c r="BM38" s="50">
        <v>0</v>
      </c>
      <c r="BN38" s="50">
        <v>0</v>
      </c>
      <c r="BO38" s="50">
        <v>0</v>
      </c>
      <c r="BP38" s="50">
        <v>0</v>
      </c>
      <c r="BQ38" s="50">
        <v>0</v>
      </c>
      <c r="BR38" s="50">
        <v>0</v>
      </c>
      <c r="BS38" s="50">
        <v>0</v>
      </c>
      <c r="BT38" s="50">
        <v>0</v>
      </c>
      <c r="BU38" s="50">
        <v>0</v>
      </c>
      <c r="BV38" s="50">
        <v>0</v>
      </c>
      <c r="BW38" s="50">
        <v>0</v>
      </c>
      <c r="BX38" s="50">
        <v>0</v>
      </c>
      <c r="BY38" s="50">
        <v>0</v>
      </c>
      <c r="BZ38" s="50">
        <v>0</v>
      </c>
      <c r="CA38" s="50">
        <v>0</v>
      </c>
      <c r="CB38" s="50">
        <v>0</v>
      </c>
      <c r="CC38" s="50">
        <v>0</v>
      </c>
      <c r="CD38" s="50">
        <v>0</v>
      </c>
      <c r="CE38" s="50">
        <v>0</v>
      </c>
      <c r="CF38" s="50">
        <v>0</v>
      </c>
      <c r="CG38" s="50">
        <v>0</v>
      </c>
      <c r="CH38" s="50">
        <v>0</v>
      </c>
      <c r="CI38" s="50">
        <v>0</v>
      </c>
      <c r="CJ38" s="50">
        <v>0</v>
      </c>
      <c r="CK38" s="50">
        <v>0</v>
      </c>
      <c r="CL38" s="50">
        <v>0</v>
      </c>
      <c r="CM38" s="50">
        <v>0</v>
      </c>
      <c r="CN38" s="50">
        <v>0</v>
      </c>
      <c r="CO38" s="50">
        <v>0</v>
      </c>
      <c r="CP38" s="50">
        <v>0</v>
      </c>
      <c r="CQ38" s="50">
        <v>0</v>
      </c>
      <c r="CR38" s="50">
        <v>0</v>
      </c>
      <c r="CS38" s="50">
        <v>0</v>
      </c>
      <c r="CT38" s="50">
        <v>0</v>
      </c>
      <c r="CU38" s="50">
        <v>0</v>
      </c>
      <c r="CV38" s="50">
        <v>0</v>
      </c>
      <c r="CW38" s="50">
        <v>0</v>
      </c>
      <c r="CX38" s="50">
        <v>0</v>
      </c>
      <c r="CY38" s="50">
        <v>0</v>
      </c>
    </row>
    <row r="39" spans="1:103" ht="12" customHeight="1">
      <c r="A39" s="144" t="s">
        <v>504</v>
      </c>
      <c r="B39" s="50">
        <v>0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f>120000000*2%*118%</f>
        <v>2832000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f>P39</f>
        <v>2832000</v>
      </c>
      <c r="AC39" s="50">
        <v>0</v>
      </c>
      <c r="AD39" s="50">
        <v>0</v>
      </c>
      <c r="AE39" s="50">
        <v>0</v>
      </c>
      <c r="AF39" s="50">
        <v>0</v>
      </c>
      <c r="AG39" s="50">
        <v>0</v>
      </c>
      <c r="AH39" s="50">
        <v>0</v>
      </c>
      <c r="AI39" s="50">
        <v>0</v>
      </c>
      <c r="AJ39" s="50">
        <v>0</v>
      </c>
      <c r="AK39" s="50">
        <v>0</v>
      </c>
      <c r="AL39" s="50">
        <v>0</v>
      </c>
      <c r="AM39" s="50">
        <v>0</v>
      </c>
      <c r="AN39" s="50">
        <f>AB39</f>
        <v>2832000</v>
      </c>
      <c r="AO39" s="50">
        <v>0</v>
      </c>
      <c r="AP39" s="50">
        <v>0</v>
      </c>
      <c r="AQ39" s="50">
        <v>0</v>
      </c>
      <c r="AR39" s="50">
        <v>0</v>
      </c>
      <c r="AS39" s="50">
        <v>0</v>
      </c>
      <c r="AT39" s="50">
        <v>0</v>
      </c>
      <c r="AU39" s="50">
        <v>0</v>
      </c>
      <c r="AV39" s="50">
        <v>0</v>
      </c>
      <c r="AW39" s="50">
        <v>0</v>
      </c>
      <c r="AX39" s="50">
        <v>0</v>
      </c>
      <c r="AY39" s="50">
        <v>0</v>
      </c>
      <c r="AZ39" s="50">
        <f>AN39*115%</f>
        <v>3256799.9999999995</v>
      </c>
      <c r="BA39" s="50">
        <v>0</v>
      </c>
      <c r="BB39" s="50">
        <v>0</v>
      </c>
      <c r="BC39" s="50">
        <v>0</v>
      </c>
      <c r="BD39" s="50">
        <v>0</v>
      </c>
      <c r="BE39" s="50">
        <v>0</v>
      </c>
      <c r="BF39" s="50">
        <v>0</v>
      </c>
      <c r="BG39" s="50">
        <v>0</v>
      </c>
      <c r="BH39" s="50">
        <v>0</v>
      </c>
      <c r="BI39" s="50">
        <v>0</v>
      </c>
      <c r="BJ39" s="50">
        <v>0</v>
      </c>
      <c r="BK39" s="50">
        <v>0</v>
      </c>
      <c r="BL39" s="50">
        <f>AZ39</f>
        <v>3256799.9999999995</v>
      </c>
      <c r="BM39" s="50">
        <v>0</v>
      </c>
      <c r="BN39" s="50">
        <v>0</v>
      </c>
      <c r="BO39" s="50">
        <v>0</v>
      </c>
      <c r="BP39" s="50">
        <v>0</v>
      </c>
      <c r="BQ39" s="50">
        <v>0</v>
      </c>
      <c r="BR39" s="50">
        <v>0</v>
      </c>
      <c r="BS39" s="50">
        <v>0</v>
      </c>
      <c r="BT39" s="50">
        <v>0</v>
      </c>
      <c r="BU39" s="50">
        <v>0</v>
      </c>
      <c r="BV39" s="50">
        <v>0</v>
      </c>
      <c r="BW39" s="50">
        <v>0</v>
      </c>
      <c r="BX39" s="50">
        <f>BL39</f>
        <v>3256799.9999999995</v>
      </c>
      <c r="BY39" s="50">
        <v>0</v>
      </c>
      <c r="BZ39" s="50">
        <v>0</v>
      </c>
      <c r="CA39" s="50">
        <v>0</v>
      </c>
      <c r="CB39" s="50">
        <v>0</v>
      </c>
      <c r="CC39" s="50">
        <v>0</v>
      </c>
      <c r="CD39" s="50">
        <v>0</v>
      </c>
      <c r="CE39" s="50">
        <v>0</v>
      </c>
      <c r="CF39" s="50">
        <v>0</v>
      </c>
      <c r="CG39" s="50">
        <v>0</v>
      </c>
      <c r="CH39" s="50">
        <v>0</v>
      </c>
      <c r="CI39" s="50">
        <v>0</v>
      </c>
      <c r="CJ39" s="50">
        <f>BX39*115%</f>
        <v>3745319.9999999991</v>
      </c>
      <c r="CK39" s="50">
        <v>0</v>
      </c>
      <c r="CL39" s="50">
        <v>0</v>
      </c>
      <c r="CM39" s="50">
        <v>0</v>
      </c>
      <c r="CN39" s="50">
        <v>0</v>
      </c>
      <c r="CO39" s="50">
        <v>0</v>
      </c>
      <c r="CP39" s="50">
        <v>0</v>
      </c>
      <c r="CQ39" s="50">
        <v>0</v>
      </c>
      <c r="CR39" s="50">
        <v>0</v>
      </c>
      <c r="CS39" s="50">
        <v>0</v>
      </c>
      <c r="CT39" s="50">
        <v>0</v>
      </c>
      <c r="CU39" s="50">
        <v>0</v>
      </c>
      <c r="CV39" s="50">
        <f>CJ39/4</f>
        <v>936329.99999999977</v>
      </c>
      <c r="CW39" s="50">
        <v>0</v>
      </c>
      <c r="CX39" s="50">
        <v>0</v>
      </c>
      <c r="CY39" s="50">
        <v>0</v>
      </c>
    </row>
    <row r="40" spans="1:103" ht="12" customHeight="1">
      <c r="A40" s="144" t="s">
        <v>503</v>
      </c>
      <c r="B40" s="50">
        <v>0</v>
      </c>
      <c r="C40" s="50">
        <v>0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50">
        <v>0</v>
      </c>
      <c r="AQ40" s="50">
        <v>0</v>
      </c>
      <c r="AR40" s="50">
        <v>0</v>
      </c>
      <c r="AS40" s="50">
        <v>0</v>
      </c>
      <c r="AT40" s="50">
        <v>0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0</v>
      </c>
      <c r="BF40" s="50">
        <v>0</v>
      </c>
      <c r="BG40" s="50">
        <v>0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50">
        <v>0</v>
      </c>
      <c r="BQ40" s="50">
        <v>0</v>
      </c>
      <c r="BR40" s="50">
        <v>0</v>
      </c>
      <c r="BS40" s="50">
        <v>0</v>
      </c>
      <c r="BT40" s="50">
        <v>0</v>
      </c>
      <c r="BU40" s="50">
        <v>0</v>
      </c>
      <c r="BV40" s="50">
        <v>0</v>
      </c>
      <c r="BW40" s="50">
        <v>0</v>
      </c>
      <c r="BX40" s="50">
        <v>0</v>
      </c>
      <c r="BY40" s="50">
        <v>0</v>
      </c>
      <c r="BZ40" s="50">
        <v>0</v>
      </c>
      <c r="CA40" s="50">
        <v>0</v>
      </c>
      <c r="CB40" s="50">
        <v>0</v>
      </c>
      <c r="CC40" s="50">
        <v>0</v>
      </c>
      <c r="CD40" s="50">
        <v>0</v>
      </c>
      <c r="CE40" s="50">
        <v>0</v>
      </c>
      <c r="CF40" s="50">
        <v>0</v>
      </c>
      <c r="CG40" s="50">
        <v>0</v>
      </c>
      <c r="CH40" s="50">
        <v>0</v>
      </c>
      <c r="CI40" s="50">
        <v>0</v>
      </c>
      <c r="CJ40" s="50">
        <v>0</v>
      </c>
      <c r="CK40" s="50">
        <v>0</v>
      </c>
      <c r="CL40" s="50">
        <v>0</v>
      </c>
      <c r="CM40" s="50">
        <v>0</v>
      </c>
      <c r="CN40" s="50">
        <v>0</v>
      </c>
      <c r="CO40" s="50">
        <v>0</v>
      </c>
      <c r="CP40" s="50">
        <v>0</v>
      </c>
      <c r="CQ40" s="50">
        <v>0</v>
      </c>
      <c r="CR40" s="50">
        <v>0</v>
      </c>
      <c r="CS40" s="50">
        <v>0</v>
      </c>
      <c r="CT40" s="50">
        <v>0</v>
      </c>
      <c r="CU40" s="50">
        <v>0</v>
      </c>
      <c r="CV40" s="50">
        <v>0</v>
      </c>
      <c r="CW40" s="50">
        <v>0</v>
      </c>
      <c r="CX40" s="50">
        <v>0</v>
      </c>
      <c r="CY40" s="50">
        <v>0</v>
      </c>
    </row>
    <row r="41" spans="1:103" ht="12" customHeight="1" thickBot="1">
      <c r="A41" s="146" t="s">
        <v>54</v>
      </c>
      <c r="B41" s="51">
        <f t="shared" ref="B41:AG41" si="24">SUM(B36:B40)</f>
        <v>10000000</v>
      </c>
      <c r="C41" s="51">
        <f t="shared" si="24"/>
        <v>0</v>
      </c>
      <c r="D41" s="51">
        <f t="shared" si="24"/>
        <v>897272</v>
      </c>
      <c r="E41" s="51">
        <f t="shared" si="24"/>
        <v>0</v>
      </c>
      <c r="F41" s="51">
        <f t="shared" si="24"/>
        <v>0</v>
      </c>
      <c r="G41" s="51">
        <f t="shared" si="24"/>
        <v>12272</v>
      </c>
      <c r="H41" s="51">
        <f t="shared" si="24"/>
        <v>0</v>
      </c>
      <c r="I41" s="51">
        <f t="shared" si="24"/>
        <v>0</v>
      </c>
      <c r="J41" s="51">
        <f t="shared" si="24"/>
        <v>12272</v>
      </c>
      <c r="K41" s="51">
        <f t="shared" si="24"/>
        <v>0</v>
      </c>
      <c r="L41" s="51">
        <f t="shared" si="24"/>
        <v>0</v>
      </c>
      <c r="M41" s="51">
        <f t="shared" si="24"/>
        <v>12272</v>
      </c>
      <c r="N41" s="51">
        <f t="shared" si="24"/>
        <v>0</v>
      </c>
      <c r="O41" s="51">
        <f t="shared" si="24"/>
        <v>0</v>
      </c>
      <c r="P41" s="51">
        <f t="shared" si="24"/>
        <v>3729762.88</v>
      </c>
      <c r="Q41" s="51">
        <f t="shared" si="24"/>
        <v>0</v>
      </c>
      <c r="R41" s="51">
        <f t="shared" si="24"/>
        <v>0</v>
      </c>
      <c r="S41" s="51">
        <f t="shared" si="24"/>
        <v>12762.880000000001</v>
      </c>
      <c r="T41" s="51">
        <f t="shared" si="24"/>
        <v>0</v>
      </c>
      <c r="U41" s="51">
        <f t="shared" si="24"/>
        <v>0</v>
      </c>
      <c r="V41" s="51">
        <f t="shared" si="24"/>
        <v>12762.880000000001</v>
      </c>
      <c r="W41" s="51">
        <f t="shared" si="24"/>
        <v>0</v>
      </c>
      <c r="X41" s="51">
        <f t="shared" si="24"/>
        <v>0</v>
      </c>
      <c r="Y41" s="51">
        <f t="shared" si="24"/>
        <v>12762.880000000001</v>
      </c>
      <c r="Z41" s="51">
        <f t="shared" si="24"/>
        <v>0</v>
      </c>
      <c r="AA41" s="51">
        <f t="shared" si="24"/>
        <v>0</v>
      </c>
      <c r="AB41" s="51">
        <f t="shared" si="24"/>
        <v>3730273.3952000001</v>
      </c>
      <c r="AC41" s="51">
        <f t="shared" si="24"/>
        <v>0</v>
      </c>
      <c r="AD41" s="51">
        <f t="shared" si="24"/>
        <v>0</v>
      </c>
      <c r="AE41" s="51">
        <f t="shared" si="24"/>
        <v>13273.395200000001</v>
      </c>
      <c r="AF41" s="51">
        <f t="shared" si="24"/>
        <v>0</v>
      </c>
      <c r="AG41" s="51">
        <f t="shared" si="24"/>
        <v>0</v>
      </c>
      <c r="AH41" s="51">
        <f t="shared" ref="AH41:BM41" si="25">SUM(AH36:AH40)</f>
        <v>13273.395200000001</v>
      </c>
      <c r="AI41" s="51">
        <f t="shared" si="25"/>
        <v>0</v>
      </c>
      <c r="AJ41" s="51">
        <f t="shared" si="25"/>
        <v>0</v>
      </c>
      <c r="AK41" s="51">
        <f t="shared" si="25"/>
        <v>13273.395200000001</v>
      </c>
      <c r="AL41" s="51">
        <f t="shared" si="25"/>
        <v>0</v>
      </c>
      <c r="AM41" s="51">
        <f t="shared" si="25"/>
        <v>0</v>
      </c>
      <c r="AN41" s="51">
        <f t="shared" si="25"/>
        <v>3730804.3310079998</v>
      </c>
      <c r="AO41" s="51">
        <f t="shared" si="25"/>
        <v>0</v>
      </c>
      <c r="AP41" s="51">
        <f t="shared" si="25"/>
        <v>0</v>
      </c>
      <c r="AQ41" s="51">
        <f t="shared" si="25"/>
        <v>13804.331008000001</v>
      </c>
      <c r="AR41" s="51">
        <f t="shared" si="25"/>
        <v>0</v>
      </c>
      <c r="AS41" s="51">
        <f t="shared" si="25"/>
        <v>0</v>
      </c>
      <c r="AT41" s="51">
        <f t="shared" si="25"/>
        <v>13804.331008000001</v>
      </c>
      <c r="AU41" s="51">
        <f t="shared" si="25"/>
        <v>0</v>
      </c>
      <c r="AV41" s="51">
        <f t="shared" si="25"/>
        <v>0</v>
      </c>
      <c r="AW41" s="51">
        <f t="shared" si="25"/>
        <v>13804.331008000001</v>
      </c>
      <c r="AX41" s="51">
        <f t="shared" si="25"/>
        <v>0</v>
      </c>
      <c r="AY41" s="51">
        <f t="shared" si="25"/>
        <v>0</v>
      </c>
      <c r="AZ41" s="51">
        <f t="shared" si="25"/>
        <v>4156156.5042483197</v>
      </c>
      <c r="BA41" s="51">
        <f t="shared" si="25"/>
        <v>0</v>
      </c>
      <c r="BB41" s="51">
        <f t="shared" si="25"/>
        <v>0</v>
      </c>
      <c r="BC41" s="51">
        <f t="shared" si="25"/>
        <v>14356.504248320001</v>
      </c>
      <c r="BD41" s="51">
        <f t="shared" si="25"/>
        <v>0</v>
      </c>
      <c r="BE41" s="51">
        <f t="shared" si="25"/>
        <v>0</v>
      </c>
      <c r="BF41" s="51">
        <f t="shared" si="25"/>
        <v>14356.504248320001</v>
      </c>
      <c r="BG41" s="51">
        <f t="shared" si="25"/>
        <v>0</v>
      </c>
      <c r="BH41" s="51">
        <f t="shared" si="25"/>
        <v>0</v>
      </c>
      <c r="BI41" s="51">
        <f t="shared" si="25"/>
        <v>14356.504248320001</v>
      </c>
      <c r="BJ41" s="51">
        <f t="shared" si="25"/>
        <v>0</v>
      </c>
      <c r="BK41" s="51">
        <f t="shared" si="25"/>
        <v>0</v>
      </c>
      <c r="BL41" s="51">
        <f t="shared" si="25"/>
        <v>4156730.7644182523</v>
      </c>
      <c r="BM41" s="51">
        <f t="shared" si="25"/>
        <v>0</v>
      </c>
      <c r="BN41" s="51">
        <f t="shared" ref="BN41:CS41" si="26">SUM(BN36:BN40)</f>
        <v>0</v>
      </c>
      <c r="BO41" s="51">
        <f t="shared" si="26"/>
        <v>14930.764418252802</v>
      </c>
      <c r="BP41" s="51">
        <f t="shared" si="26"/>
        <v>0</v>
      </c>
      <c r="BQ41" s="51">
        <f t="shared" si="26"/>
        <v>0</v>
      </c>
      <c r="BR41" s="51">
        <f t="shared" si="26"/>
        <v>14930.764418252802</v>
      </c>
      <c r="BS41" s="51">
        <f t="shared" si="26"/>
        <v>0</v>
      </c>
      <c r="BT41" s="51">
        <f t="shared" si="26"/>
        <v>0</v>
      </c>
      <c r="BU41" s="51">
        <f t="shared" si="26"/>
        <v>14930.764418252802</v>
      </c>
      <c r="BV41" s="51">
        <f t="shared" si="26"/>
        <v>0</v>
      </c>
      <c r="BW41" s="51">
        <f t="shared" si="26"/>
        <v>0</v>
      </c>
      <c r="BX41" s="51">
        <f t="shared" si="26"/>
        <v>4157327.9949949826</v>
      </c>
      <c r="BY41" s="51">
        <f t="shared" si="26"/>
        <v>0</v>
      </c>
      <c r="BZ41" s="51">
        <f t="shared" si="26"/>
        <v>0</v>
      </c>
      <c r="CA41" s="51">
        <f t="shared" si="26"/>
        <v>15527.994994982915</v>
      </c>
      <c r="CB41" s="51">
        <f t="shared" si="26"/>
        <v>0</v>
      </c>
      <c r="CC41" s="51">
        <f t="shared" si="26"/>
        <v>0</v>
      </c>
      <c r="CD41" s="51">
        <f t="shared" si="26"/>
        <v>15527.994994982915</v>
      </c>
      <c r="CE41" s="51">
        <f t="shared" si="26"/>
        <v>0</v>
      </c>
      <c r="CF41" s="51">
        <f t="shared" si="26"/>
        <v>0</v>
      </c>
      <c r="CG41" s="51">
        <f t="shared" si="26"/>
        <v>0</v>
      </c>
      <c r="CH41" s="51">
        <f t="shared" si="26"/>
        <v>0</v>
      </c>
      <c r="CI41" s="51">
        <f t="shared" si="26"/>
        <v>0</v>
      </c>
      <c r="CJ41" s="51">
        <f t="shared" si="26"/>
        <v>4630319.9999999991</v>
      </c>
      <c r="CK41" s="51">
        <f t="shared" si="26"/>
        <v>0</v>
      </c>
      <c r="CL41" s="51">
        <f t="shared" si="26"/>
        <v>0</v>
      </c>
      <c r="CM41" s="51">
        <f t="shared" si="26"/>
        <v>0</v>
      </c>
      <c r="CN41" s="51">
        <f t="shared" si="26"/>
        <v>0</v>
      </c>
      <c r="CO41" s="51">
        <f t="shared" si="26"/>
        <v>0</v>
      </c>
      <c r="CP41" s="51">
        <f t="shared" si="26"/>
        <v>0</v>
      </c>
      <c r="CQ41" s="51">
        <f t="shared" si="26"/>
        <v>0</v>
      </c>
      <c r="CR41" s="51">
        <f t="shared" si="26"/>
        <v>0</v>
      </c>
      <c r="CS41" s="51">
        <f t="shared" si="26"/>
        <v>0</v>
      </c>
      <c r="CT41" s="51">
        <f t="shared" ref="CT41:CY41" si="27">SUM(CT36:CT40)</f>
        <v>0</v>
      </c>
      <c r="CU41" s="51">
        <f t="shared" si="27"/>
        <v>0</v>
      </c>
      <c r="CV41" s="51">
        <f t="shared" si="27"/>
        <v>936329.99999999977</v>
      </c>
      <c r="CW41" s="51">
        <f t="shared" si="27"/>
        <v>0</v>
      </c>
      <c r="CX41" s="51">
        <f t="shared" si="27"/>
        <v>0</v>
      </c>
      <c r="CY41" s="51">
        <f t="shared" si="27"/>
        <v>0</v>
      </c>
    </row>
    <row r="42" spans="1:103" ht="12" customHeight="1" thickTop="1"/>
    <row r="43" spans="1:103" ht="12" hidden="1" customHeight="1">
      <c r="A43" s="146" t="s">
        <v>502</v>
      </c>
    </row>
    <row r="44" spans="1:103" ht="12" hidden="1" customHeight="1">
      <c r="A44" s="144" t="s">
        <v>501</v>
      </c>
    </row>
    <row r="45" spans="1:103" ht="12" hidden="1" customHeight="1">
      <c r="A45" s="144" t="s">
        <v>498</v>
      </c>
    </row>
    <row r="46" spans="1:103" ht="12" hidden="1" customHeight="1">
      <c r="A46" s="144" t="s">
        <v>497</v>
      </c>
    </row>
    <row r="47" spans="1:103" ht="12" hidden="1" customHeight="1" thickBot="1">
      <c r="A47" s="146" t="s">
        <v>54</v>
      </c>
    </row>
    <row r="48" spans="1:103" ht="12" hidden="1" customHeight="1" thickTop="1"/>
    <row r="49" spans="1:1" ht="12" hidden="1" customHeight="1">
      <c r="A49" s="146" t="s">
        <v>500</v>
      </c>
    </row>
    <row r="50" spans="1:1" ht="12" hidden="1" customHeight="1">
      <c r="A50" s="144" t="s">
        <v>499</v>
      </c>
    </row>
    <row r="51" spans="1:1" ht="12" hidden="1" customHeight="1">
      <c r="A51" s="144" t="s">
        <v>498</v>
      </c>
    </row>
    <row r="52" spans="1:1" ht="12" hidden="1" customHeight="1">
      <c r="A52" s="144" t="s">
        <v>497</v>
      </c>
    </row>
    <row r="53" spans="1:1" ht="12" hidden="1" customHeight="1" thickBot="1">
      <c r="A53" s="146" t="s">
        <v>54</v>
      </c>
    </row>
    <row r="54" spans="1:1" ht="12" hidden="1" customHeight="1" thickTop="1" thickBot="1">
      <c r="A54" s="146"/>
    </row>
    <row r="55" spans="1:1" ht="12" hidden="1" customHeight="1" thickTop="1" thickBot="1">
      <c r="A55" s="146" t="s">
        <v>496</v>
      </c>
    </row>
    <row r="56" spans="1:1" ht="12" hidden="1" customHeight="1" thickTop="1"/>
    <row r="57" spans="1:1" ht="12" hidden="1" customHeight="1">
      <c r="A57" s="146" t="s">
        <v>495</v>
      </c>
    </row>
    <row r="58" spans="1:1" ht="12" hidden="1" customHeight="1">
      <c r="A58" s="144" t="s">
        <v>213</v>
      </c>
    </row>
    <row r="59" spans="1:1" ht="12" hidden="1" customHeight="1" thickBot="1">
      <c r="A59" s="146" t="s">
        <v>54</v>
      </c>
    </row>
    <row r="60" spans="1:1" ht="12" hidden="1" customHeight="1" thickTop="1"/>
    <row r="61" spans="1:1" ht="12" hidden="1" customHeight="1">
      <c r="A61" s="144" t="s">
        <v>494</v>
      </c>
    </row>
    <row r="62" spans="1:1" ht="12" hidden="1" customHeight="1"/>
  </sheetData>
  <autoFilter ref="A2:CY62" xr:uid="{00000000-0009-0000-0000-000017000000}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CY44"/>
  <sheetViews>
    <sheetView workbookViewId="0">
      <pane xSplit="1" ySplit="1" topLeftCell="Z2" activePane="bottomRight" state="frozen"/>
      <selection activeCell="N6" sqref="N6"/>
      <selection pane="topRight" activeCell="N6" sqref="N6"/>
      <selection pane="bottomLeft" activeCell="N6" sqref="N6"/>
      <selection pane="bottomRight"/>
    </sheetView>
  </sheetViews>
  <sheetFormatPr defaultColWidth="9.33203125" defaultRowHeight="12" customHeight="1"/>
  <cols>
    <col min="1" max="1" width="50.33203125" style="25" customWidth="1"/>
    <col min="2" max="6" width="10.33203125" style="25" hidden="1" customWidth="1"/>
    <col min="7" max="7" width="12" style="25" hidden="1" customWidth="1"/>
    <col min="8" max="18" width="10.33203125" style="25" hidden="1" customWidth="1"/>
    <col min="19" max="19" width="12" style="25" hidden="1" customWidth="1"/>
    <col min="20" max="25" width="10.33203125" style="25" hidden="1" customWidth="1"/>
    <col min="26" max="30" width="10.33203125" style="25" customWidth="1"/>
    <col min="31" max="31" width="12" style="25" customWidth="1"/>
    <col min="32" max="42" width="10.33203125" style="25" customWidth="1"/>
    <col min="43" max="43" width="12" style="25" customWidth="1"/>
    <col min="44" max="54" width="10.33203125" style="25" customWidth="1"/>
    <col min="55" max="55" width="12" style="25" customWidth="1"/>
    <col min="56" max="66" width="10.33203125" style="25" customWidth="1"/>
    <col min="67" max="67" width="12" style="25" customWidth="1"/>
    <col min="68" max="78" width="10.33203125" style="25" customWidth="1"/>
    <col min="79" max="79" width="12" style="25" customWidth="1"/>
    <col min="80" max="90" width="10.33203125" style="25" customWidth="1"/>
    <col min="91" max="91" width="12" style="25" customWidth="1"/>
    <col min="92" max="103" width="10.33203125" style="25" customWidth="1"/>
    <col min="104" max="16384" width="9.33203125" style="25"/>
  </cols>
  <sheetData>
    <row r="1" spans="1:103" s="181" customFormat="1" ht="12" customHeight="1">
      <c r="A1" s="179" t="s">
        <v>538</v>
      </c>
      <c r="B1" s="180">
        <v>43951</v>
      </c>
      <c r="C1" s="180">
        <v>43982</v>
      </c>
      <c r="D1" s="180">
        <v>44012</v>
      </c>
      <c r="E1" s="180">
        <v>44043</v>
      </c>
      <c r="F1" s="180">
        <v>44074</v>
      </c>
      <c r="G1" s="180">
        <v>44104</v>
      </c>
      <c r="H1" s="180">
        <v>44135</v>
      </c>
      <c r="I1" s="180">
        <v>44165</v>
      </c>
      <c r="J1" s="180">
        <v>44196</v>
      </c>
      <c r="K1" s="180">
        <v>44227</v>
      </c>
      <c r="L1" s="180">
        <v>44255</v>
      </c>
      <c r="M1" s="180">
        <v>44286</v>
      </c>
      <c r="N1" s="180">
        <v>44316</v>
      </c>
      <c r="O1" s="180">
        <v>44347</v>
      </c>
      <c r="P1" s="180">
        <v>44377</v>
      </c>
      <c r="Q1" s="180">
        <v>44408</v>
      </c>
      <c r="R1" s="180">
        <v>44439</v>
      </c>
      <c r="S1" s="180">
        <v>44469</v>
      </c>
      <c r="T1" s="180">
        <v>44500</v>
      </c>
      <c r="U1" s="180">
        <v>44530</v>
      </c>
      <c r="V1" s="180">
        <v>44561</v>
      </c>
      <c r="W1" s="180">
        <v>44592</v>
      </c>
      <c r="X1" s="180">
        <v>44620</v>
      </c>
      <c r="Y1" s="180">
        <v>44651</v>
      </c>
      <c r="Z1" s="180">
        <v>44681</v>
      </c>
      <c r="AA1" s="180">
        <v>44712</v>
      </c>
      <c r="AB1" s="180">
        <v>44742</v>
      </c>
      <c r="AC1" s="180">
        <v>44773</v>
      </c>
      <c r="AD1" s="180">
        <v>44804</v>
      </c>
      <c r="AE1" s="180">
        <v>44834</v>
      </c>
      <c r="AF1" s="180">
        <v>44865</v>
      </c>
      <c r="AG1" s="180">
        <v>44895</v>
      </c>
      <c r="AH1" s="180">
        <v>44926</v>
      </c>
      <c r="AI1" s="180">
        <v>44957</v>
      </c>
      <c r="AJ1" s="180">
        <v>44985</v>
      </c>
      <c r="AK1" s="180">
        <v>45016</v>
      </c>
      <c r="AL1" s="180">
        <v>45046</v>
      </c>
      <c r="AM1" s="180">
        <v>45077</v>
      </c>
      <c r="AN1" s="180">
        <v>45107</v>
      </c>
      <c r="AO1" s="180">
        <v>45138</v>
      </c>
      <c r="AP1" s="180">
        <v>45169</v>
      </c>
      <c r="AQ1" s="180">
        <v>45199</v>
      </c>
      <c r="AR1" s="180">
        <v>45230</v>
      </c>
      <c r="AS1" s="180">
        <v>45260</v>
      </c>
      <c r="AT1" s="180">
        <v>45291</v>
      </c>
      <c r="AU1" s="180">
        <v>45322</v>
      </c>
      <c r="AV1" s="180">
        <v>45351</v>
      </c>
      <c r="AW1" s="180">
        <v>45382</v>
      </c>
      <c r="AX1" s="180">
        <v>45412</v>
      </c>
      <c r="AY1" s="180">
        <v>45443</v>
      </c>
      <c r="AZ1" s="180">
        <v>45473</v>
      </c>
      <c r="BA1" s="180">
        <v>45504</v>
      </c>
      <c r="BB1" s="180">
        <v>45535</v>
      </c>
      <c r="BC1" s="180">
        <v>45565</v>
      </c>
      <c r="BD1" s="180">
        <v>45596</v>
      </c>
      <c r="BE1" s="180">
        <v>45626</v>
      </c>
      <c r="BF1" s="180">
        <v>45657</v>
      </c>
      <c r="BG1" s="180">
        <v>45688</v>
      </c>
      <c r="BH1" s="180">
        <v>45716</v>
      </c>
      <c r="BI1" s="180">
        <v>45747</v>
      </c>
      <c r="BJ1" s="180">
        <v>45777</v>
      </c>
      <c r="BK1" s="180">
        <v>45808</v>
      </c>
      <c r="BL1" s="180">
        <v>45838</v>
      </c>
      <c r="BM1" s="180">
        <v>45869</v>
      </c>
      <c r="BN1" s="180">
        <v>45900</v>
      </c>
      <c r="BO1" s="180">
        <v>45930</v>
      </c>
      <c r="BP1" s="180">
        <v>45961</v>
      </c>
      <c r="BQ1" s="180">
        <v>45991</v>
      </c>
      <c r="BR1" s="180">
        <v>46022</v>
      </c>
      <c r="BS1" s="180">
        <v>46053</v>
      </c>
      <c r="BT1" s="180">
        <v>46081</v>
      </c>
      <c r="BU1" s="180">
        <v>46112</v>
      </c>
      <c r="BV1" s="180">
        <v>46142</v>
      </c>
      <c r="BW1" s="180">
        <v>46173</v>
      </c>
      <c r="BX1" s="180">
        <v>46203</v>
      </c>
      <c r="BY1" s="180">
        <v>46234</v>
      </c>
      <c r="BZ1" s="180">
        <v>46265</v>
      </c>
      <c r="CA1" s="180">
        <v>46295</v>
      </c>
      <c r="CB1" s="180">
        <v>46326</v>
      </c>
      <c r="CC1" s="180">
        <v>46356</v>
      </c>
      <c r="CD1" s="180">
        <v>46387</v>
      </c>
      <c r="CE1" s="180">
        <v>46418</v>
      </c>
      <c r="CF1" s="180">
        <v>46446</v>
      </c>
      <c r="CG1" s="180">
        <v>46477</v>
      </c>
      <c r="CH1" s="180">
        <v>46507</v>
      </c>
      <c r="CI1" s="180">
        <v>46538</v>
      </c>
      <c r="CJ1" s="180">
        <v>46568</v>
      </c>
      <c r="CK1" s="180">
        <v>46599</v>
      </c>
      <c r="CL1" s="180">
        <v>46630</v>
      </c>
      <c r="CM1" s="180">
        <v>46660</v>
      </c>
      <c r="CN1" s="180">
        <v>46691</v>
      </c>
      <c r="CO1" s="180">
        <v>46721</v>
      </c>
      <c r="CP1" s="180">
        <v>46752</v>
      </c>
      <c r="CQ1" s="180">
        <v>46783</v>
      </c>
      <c r="CR1" s="180">
        <v>46812</v>
      </c>
      <c r="CS1" s="180">
        <v>46843</v>
      </c>
      <c r="CT1" s="180">
        <v>46873</v>
      </c>
      <c r="CU1" s="180">
        <v>46904</v>
      </c>
      <c r="CV1" s="180">
        <v>46934</v>
      </c>
      <c r="CW1" s="180">
        <v>46965</v>
      </c>
      <c r="CX1" s="180">
        <v>46996</v>
      </c>
      <c r="CY1" s="180">
        <v>47026</v>
      </c>
    </row>
    <row r="2" spans="1:103" ht="12" customHeight="1">
      <c r="A2" s="25" t="s">
        <v>276</v>
      </c>
      <c r="B2" s="155">
        <v>73840</v>
      </c>
      <c r="C2" s="155">
        <v>73840</v>
      </c>
      <c r="D2" s="155">
        <v>73840</v>
      </c>
      <c r="E2" s="155">
        <v>73840</v>
      </c>
      <c r="F2" s="155">
        <v>73840</v>
      </c>
      <c r="G2" s="155">
        <v>73840</v>
      </c>
      <c r="H2" s="155">
        <v>73840</v>
      </c>
      <c r="I2" s="155">
        <v>73840</v>
      </c>
      <c r="J2" s="155">
        <v>73840</v>
      </c>
      <c r="K2" s="155">
        <v>73840</v>
      </c>
      <c r="L2" s="155">
        <v>73840</v>
      </c>
      <c r="M2" s="155">
        <v>73840</v>
      </c>
      <c r="N2" s="155">
        <v>76793.600000000006</v>
      </c>
      <c r="O2" s="155">
        <v>76793.600000000006</v>
      </c>
      <c r="P2" s="155">
        <v>76793.600000000006</v>
      </c>
      <c r="Q2" s="155">
        <v>76793.600000000006</v>
      </c>
      <c r="R2" s="155">
        <v>76793.600000000006</v>
      </c>
      <c r="S2" s="155">
        <v>76793.600000000006</v>
      </c>
      <c r="T2" s="155">
        <v>76793.600000000006</v>
      </c>
      <c r="U2" s="155">
        <v>76793.600000000006</v>
      </c>
      <c r="V2" s="155">
        <v>76793.600000000006</v>
      </c>
      <c r="W2" s="155">
        <v>76793.600000000006</v>
      </c>
      <c r="X2" s="155">
        <v>76793.600000000006</v>
      </c>
      <c r="Y2" s="155">
        <v>76793.600000000006</v>
      </c>
      <c r="Z2" s="155">
        <v>79865.344000000012</v>
      </c>
      <c r="AA2" s="155">
        <v>79865.344000000012</v>
      </c>
      <c r="AB2" s="155">
        <v>79865.344000000012</v>
      </c>
      <c r="AC2" s="155">
        <v>79865.344000000012</v>
      </c>
      <c r="AD2" s="155">
        <v>79865.344000000012</v>
      </c>
      <c r="AE2" s="155">
        <v>79865.344000000012</v>
      </c>
      <c r="AF2" s="155">
        <v>79865.344000000012</v>
      </c>
      <c r="AG2" s="155">
        <v>79865.344000000012</v>
      </c>
      <c r="AH2" s="155">
        <v>79865.344000000012</v>
      </c>
      <c r="AI2" s="155">
        <v>79865.344000000012</v>
      </c>
      <c r="AJ2" s="155">
        <v>79865.344000000012</v>
      </c>
      <c r="AK2" s="155">
        <v>79865.344000000012</v>
      </c>
      <c r="AL2" s="155">
        <v>83059.957760000019</v>
      </c>
      <c r="AM2" s="155">
        <v>83059.957760000019</v>
      </c>
      <c r="AN2" s="155">
        <v>83059.957760000019</v>
      </c>
      <c r="AO2" s="155">
        <v>83059.957760000019</v>
      </c>
      <c r="AP2" s="155">
        <v>83059.957760000019</v>
      </c>
      <c r="AQ2" s="155">
        <v>83059.957760000019</v>
      </c>
      <c r="AR2" s="155">
        <v>83059.957760000019</v>
      </c>
      <c r="AS2" s="155">
        <v>83059.957760000019</v>
      </c>
      <c r="AT2" s="155">
        <v>83059.957760000019</v>
      </c>
      <c r="AU2" s="155">
        <v>83059.957760000019</v>
      </c>
      <c r="AV2" s="155">
        <v>83059.957760000019</v>
      </c>
      <c r="AW2" s="155">
        <v>83059.957760000019</v>
      </c>
      <c r="AX2" s="155">
        <v>86382.356070400012</v>
      </c>
      <c r="AY2" s="155">
        <v>86382.356070400012</v>
      </c>
      <c r="AZ2" s="155">
        <v>86382.356070400012</v>
      </c>
      <c r="BA2" s="155">
        <v>86382.356070400012</v>
      </c>
      <c r="BB2" s="155">
        <v>86382.356070400012</v>
      </c>
      <c r="BC2" s="155">
        <v>86382.356070400012</v>
      </c>
      <c r="BD2" s="155">
        <v>86382.356070400012</v>
      </c>
      <c r="BE2" s="155">
        <v>86382.356070400012</v>
      </c>
      <c r="BF2" s="155">
        <v>86382.356070400012</v>
      </c>
      <c r="BG2" s="155">
        <v>86382.356070400012</v>
      </c>
      <c r="BH2" s="155">
        <v>86382.356070400012</v>
      </c>
      <c r="BI2" s="155">
        <v>86382.356070400012</v>
      </c>
      <c r="BJ2" s="155">
        <v>89837.650313216029</v>
      </c>
      <c r="BK2" s="155">
        <v>89837.650313216029</v>
      </c>
      <c r="BL2" s="155">
        <v>89837.650313216029</v>
      </c>
      <c r="BM2" s="155">
        <v>89837.650313216029</v>
      </c>
      <c r="BN2" s="155">
        <v>89837.650313216029</v>
      </c>
      <c r="BO2" s="155">
        <v>89837.650313216029</v>
      </c>
      <c r="BP2" s="155">
        <v>89837.650313216029</v>
      </c>
      <c r="BQ2" s="155">
        <v>89837.650313216029</v>
      </c>
      <c r="BR2" s="155">
        <v>89837.650313216029</v>
      </c>
      <c r="BS2" s="155">
        <v>89837.650313216029</v>
      </c>
      <c r="BT2" s="155">
        <v>89837.650313216029</v>
      </c>
      <c r="BU2" s="155">
        <v>89837.650313216029</v>
      </c>
      <c r="BV2" s="155">
        <v>93431.156325744669</v>
      </c>
      <c r="BW2" s="155">
        <v>93431.156325744669</v>
      </c>
      <c r="BX2" s="155">
        <v>93431.156325744669</v>
      </c>
      <c r="BY2" s="155">
        <v>93431.156325744669</v>
      </c>
      <c r="BZ2" s="155">
        <v>93431.156325744669</v>
      </c>
      <c r="CA2" s="155">
        <v>93431.156325744669</v>
      </c>
      <c r="CB2" s="155">
        <v>93431.156325744669</v>
      </c>
      <c r="CC2" s="155">
        <v>93431.156325744669</v>
      </c>
      <c r="CD2" s="155">
        <v>93431.156325744669</v>
      </c>
      <c r="CE2" s="155">
        <v>93431.156325744669</v>
      </c>
      <c r="CF2" s="155">
        <v>93431.156325744669</v>
      </c>
      <c r="CG2" s="155">
        <v>93431.156325744669</v>
      </c>
      <c r="CH2" s="155">
        <v>97168.402578774461</v>
      </c>
      <c r="CI2" s="155">
        <v>97168.402578774461</v>
      </c>
      <c r="CJ2" s="155">
        <v>97168.402578774461</v>
      </c>
      <c r="CK2" s="155">
        <v>97168.402578774461</v>
      </c>
      <c r="CL2" s="155">
        <v>97168.402578774461</v>
      </c>
      <c r="CM2" s="155">
        <v>97168.402578774461</v>
      </c>
      <c r="CN2" s="155">
        <v>97168.402578774461</v>
      </c>
      <c r="CO2" s="155">
        <v>97168.402578774461</v>
      </c>
      <c r="CP2" s="155">
        <v>97168.402578774461</v>
      </c>
      <c r="CQ2" s="155">
        <v>97168.402578774461</v>
      </c>
      <c r="CR2" s="155">
        <v>97168.402578774461</v>
      </c>
      <c r="CS2" s="155">
        <v>97168.402578774461</v>
      </c>
      <c r="CT2" s="155">
        <v>101055.13868192544</v>
      </c>
      <c r="CU2" s="155">
        <v>101055.13868192544</v>
      </c>
      <c r="CV2" s="155">
        <v>101055.13868192544</v>
      </c>
      <c r="CW2" s="155">
        <v>101055.13868192544</v>
      </c>
      <c r="CX2" s="155">
        <v>101055.13868192544</v>
      </c>
      <c r="CY2" s="155">
        <v>101055.13868192544</v>
      </c>
    </row>
    <row r="3" spans="1:103" ht="12" customHeight="1">
      <c r="A3" s="25" t="s">
        <v>279</v>
      </c>
      <c r="B3" s="152">
        <v>1170000</v>
      </c>
      <c r="C3" s="152">
        <v>1170000</v>
      </c>
      <c r="D3" s="152">
        <v>1170000</v>
      </c>
      <c r="E3" s="152">
        <v>1170000</v>
      </c>
      <c r="F3" s="152">
        <v>1170000</v>
      </c>
      <c r="G3" s="152">
        <v>1170000</v>
      </c>
      <c r="H3" s="152">
        <v>1170000</v>
      </c>
      <c r="I3" s="152">
        <v>1170000</v>
      </c>
      <c r="J3" s="152">
        <v>1170000</v>
      </c>
      <c r="K3" s="152">
        <v>1170000</v>
      </c>
      <c r="L3" s="152">
        <v>1170000</v>
      </c>
      <c r="M3" s="152">
        <v>1170000</v>
      </c>
      <c r="N3" s="152">
        <v>535392</v>
      </c>
      <c r="O3" s="152">
        <v>535392</v>
      </c>
      <c r="P3" s="152">
        <v>535392</v>
      </c>
      <c r="Q3" s="152">
        <v>535392</v>
      </c>
      <c r="R3" s="152">
        <v>535392</v>
      </c>
      <c r="S3" s="152">
        <v>535392</v>
      </c>
      <c r="T3" s="152">
        <v>486720</v>
      </c>
      <c r="U3" s="152">
        <v>486720</v>
      </c>
      <c r="V3" s="152">
        <v>486720</v>
      </c>
      <c r="W3" s="152">
        <v>486720</v>
      </c>
      <c r="X3" s="152">
        <v>486720</v>
      </c>
      <c r="Y3" s="152">
        <v>486720</v>
      </c>
      <c r="Z3" s="152">
        <v>506188.80000000005</v>
      </c>
      <c r="AA3" s="152">
        <v>506188.80000000005</v>
      </c>
      <c r="AB3" s="152">
        <v>506188.80000000005</v>
      </c>
      <c r="AC3" s="152">
        <v>506188.80000000005</v>
      </c>
      <c r="AD3" s="152">
        <v>506188.80000000005</v>
      </c>
      <c r="AE3" s="152">
        <v>506188.80000000005</v>
      </c>
      <c r="AF3" s="152">
        <v>506188.80000000005</v>
      </c>
      <c r="AG3" s="152">
        <v>506188.80000000005</v>
      </c>
      <c r="AH3" s="152">
        <v>506188.80000000005</v>
      </c>
      <c r="AI3" s="152">
        <v>506188.80000000005</v>
      </c>
      <c r="AJ3" s="152">
        <v>506188.80000000005</v>
      </c>
      <c r="AK3" s="152">
        <v>506188.80000000005</v>
      </c>
      <c r="AL3" s="152">
        <v>526436.35200000007</v>
      </c>
      <c r="AM3" s="152">
        <v>526436.35200000007</v>
      </c>
      <c r="AN3" s="152">
        <v>526436.35200000007</v>
      </c>
      <c r="AO3" s="152">
        <v>526436.35200000007</v>
      </c>
      <c r="AP3" s="152">
        <v>526436.35200000007</v>
      </c>
      <c r="AQ3" s="152">
        <v>526436.35200000007</v>
      </c>
      <c r="AR3" s="152">
        <v>526436.35200000007</v>
      </c>
      <c r="AS3" s="152">
        <v>526436.35200000007</v>
      </c>
      <c r="AT3" s="152">
        <v>526436.35200000007</v>
      </c>
      <c r="AU3" s="152">
        <v>526436.35200000007</v>
      </c>
      <c r="AV3" s="152">
        <v>526436.35200000007</v>
      </c>
      <c r="AW3" s="152">
        <v>526436.35200000007</v>
      </c>
      <c r="AX3" s="152">
        <v>547493.80608000001</v>
      </c>
      <c r="AY3" s="152">
        <v>547493.80608000001</v>
      </c>
      <c r="AZ3" s="152">
        <v>547493.80608000001</v>
      </c>
      <c r="BA3" s="152">
        <v>547493.80608000001</v>
      </c>
      <c r="BB3" s="152">
        <v>547493.80608000001</v>
      </c>
      <c r="BC3" s="152">
        <v>547493.80608000001</v>
      </c>
      <c r="BD3" s="152">
        <v>547493.80608000001</v>
      </c>
      <c r="BE3" s="152">
        <v>547493.80608000001</v>
      </c>
      <c r="BF3" s="152">
        <v>547493.80608000001</v>
      </c>
      <c r="BG3" s="152">
        <v>547493.80608000001</v>
      </c>
      <c r="BH3" s="152">
        <v>547493.80608000001</v>
      </c>
      <c r="BI3" s="152">
        <v>547493.80608000001</v>
      </c>
      <c r="BJ3" s="152">
        <v>569393.55832320009</v>
      </c>
      <c r="BK3" s="152">
        <v>569393.55832320009</v>
      </c>
      <c r="BL3" s="152">
        <v>569393.55832320009</v>
      </c>
      <c r="BM3" s="152">
        <v>569393.55832320009</v>
      </c>
      <c r="BN3" s="152">
        <v>569393.55832320009</v>
      </c>
      <c r="BO3" s="152">
        <v>569393.55832320009</v>
      </c>
      <c r="BP3" s="152">
        <v>569393.55832320009</v>
      </c>
      <c r="BQ3" s="152">
        <v>569393.55832320009</v>
      </c>
      <c r="BR3" s="152">
        <v>569393.55832320009</v>
      </c>
      <c r="BS3" s="152">
        <v>569393.55832320009</v>
      </c>
      <c r="BT3" s="152">
        <v>569393.55832320009</v>
      </c>
      <c r="BU3" s="152">
        <v>569393.55832320009</v>
      </c>
      <c r="BV3" s="152">
        <v>592169.30065612821</v>
      </c>
      <c r="BW3" s="152">
        <v>592169.30065612821</v>
      </c>
      <c r="BX3" s="152">
        <v>592169.30065612821</v>
      </c>
      <c r="BY3" s="152">
        <v>592169.30065612821</v>
      </c>
      <c r="BZ3" s="152">
        <v>592169.30065612821</v>
      </c>
      <c r="CA3" s="152">
        <v>592169.30065612821</v>
      </c>
      <c r="CB3" s="152">
        <v>592169.30065612821</v>
      </c>
      <c r="CC3" s="152">
        <v>592169.30065612821</v>
      </c>
      <c r="CD3" s="152">
        <v>592169.30065612821</v>
      </c>
      <c r="CE3" s="152">
        <v>592169.30065612821</v>
      </c>
      <c r="CF3" s="152">
        <v>592169.30065612821</v>
      </c>
      <c r="CG3" s="152">
        <v>592169.30065612821</v>
      </c>
      <c r="CH3" s="152">
        <v>615856.07268237334</v>
      </c>
      <c r="CI3" s="152">
        <v>615856.07268237334</v>
      </c>
      <c r="CJ3" s="152">
        <v>615856.07268237334</v>
      </c>
      <c r="CK3" s="152">
        <v>615856.07268237334</v>
      </c>
      <c r="CL3" s="152">
        <v>615856.07268237334</v>
      </c>
      <c r="CM3" s="152">
        <v>615856.07268237334</v>
      </c>
      <c r="CN3" s="152">
        <v>615856.07268237334</v>
      </c>
      <c r="CO3" s="152">
        <v>615856.07268237334</v>
      </c>
      <c r="CP3" s="152">
        <v>615856.07268237334</v>
      </c>
      <c r="CQ3" s="152">
        <v>615856.07268237334</v>
      </c>
      <c r="CR3" s="152">
        <v>615856.07268237334</v>
      </c>
      <c r="CS3" s="152">
        <v>615856.07268237334</v>
      </c>
      <c r="CT3" s="152">
        <v>640490.31558966835</v>
      </c>
      <c r="CU3" s="152">
        <v>640490.31558966835</v>
      </c>
      <c r="CV3" s="152">
        <v>640490.31558966835</v>
      </c>
      <c r="CW3" s="152">
        <v>640490.31558966835</v>
      </c>
      <c r="CX3" s="152">
        <v>640490.31558966835</v>
      </c>
      <c r="CY3" s="152">
        <v>640490.31558966835</v>
      </c>
    </row>
    <row r="4" spans="1:103" ht="12" customHeight="1">
      <c r="A4" s="25" t="s">
        <v>280</v>
      </c>
      <c r="B4" s="152">
        <v>104000</v>
      </c>
      <c r="C4" s="152">
        <v>104000</v>
      </c>
      <c r="D4" s="152">
        <v>104000</v>
      </c>
      <c r="E4" s="152">
        <v>104000</v>
      </c>
      <c r="F4" s="152">
        <v>104000</v>
      </c>
      <c r="G4" s="152">
        <v>104000</v>
      </c>
      <c r="H4" s="152">
        <v>104000</v>
      </c>
      <c r="I4" s="152">
        <v>104000</v>
      </c>
      <c r="J4" s="152">
        <v>104000</v>
      </c>
      <c r="K4" s="152">
        <v>104000</v>
      </c>
      <c r="L4" s="152">
        <v>104000</v>
      </c>
      <c r="M4" s="152">
        <v>104000</v>
      </c>
      <c r="N4" s="152">
        <v>108160</v>
      </c>
      <c r="O4" s="152">
        <v>108160</v>
      </c>
      <c r="P4" s="152">
        <v>108160</v>
      </c>
      <c r="Q4" s="152">
        <v>108160</v>
      </c>
      <c r="R4" s="152">
        <v>108160</v>
      </c>
      <c r="S4" s="152">
        <v>108160</v>
      </c>
      <c r="T4" s="152">
        <v>108160</v>
      </c>
      <c r="U4" s="152">
        <v>108160</v>
      </c>
      <c r="V4" s="152">
        <v>108160</v>
      </c>
      <c r="W4" s="152">
        <v>108160</v>
      </c>
      <c r="X4" s="152">
        <v>108160</v>
      </c>
      <c r="Y4" s="152">
        <v>108160</v>
      </c>
      <c r="Z4" s="152">
        <v>112486.40000000001</v>
      </c>
      <c r="AA4" s="152">
        <v>112486.40000000001</v>
      </c>
      <c r="AB4" s="152">
        <v>112486.40000000001</v>
      </c>
      <c r="AC4" s="152">
        <v>112486.40000000001</v>
      </c>
      <c r="AD4" s="152">
        <v>112486.40000000001</v>
      </c>
      <c r="AE4" s="152">
        <v>112486.40000000001</v>
      </c>
      <c r="AF4" s="152">
        <v>112486.40000000001</v>
      </c>
      <c r="AG4" s="152">
        <v>112486.40000000001</v>
      </c>
      <c r="AH4" s="152">
        <v>112486.40000000001</v>
      </c>
      <c r="AI4" s="152">
        <v>112486.40000000001</v>
      </c>
      <c r="AJ4" s="152">
        <v>112486.40000000001</v>
      </c>
      <c r="AK4" s="152">
        <v>112486.40000000001</v>
      </c>
      <c r="AL4" s="152">
        <v>116985.85600000001</v>
      </c>
      <c r="AM4" s="152">
        <v>116985.85600000001</v>
      </c>
      <c r="AN4" s="152">
        <v>116985.85600000001</v>
      </c>
      <c r="AO4" s="152">
        <v>116985.85600000001</v>
      </c>
      <c r="AP4" s="152">
        <v>116985.85600000001</v>
      </c>
      <c r="AQ4" s="152">
        <v>116985.85600000001</v>
      </c>
      <c r="AR4" s="152">
        <v>116985.85600000001</v>
      </c>
      <c r="AS4" s="152">
        <v>116985.85600000001</v>
      </c>
      <c r="AT4" s="152">
        <v>116985.85600000001</v>
      </c>
      <c r="AU4" s="152">
        <v>116985.85600000001</v>
      </c>
      <c r="AV4" s="152">
        <v>116985.85600000001</v>
      </c>
      <c r="AW4" s="152">
        <v>116985.85600000001</v>
      </c>
      <c r="AX4" s="152">
        <v>121665.29024000002</v>
      </c>
      <c r="AY4" s="152">
        <v>121665.29024000002</v>
      </c>
      <c r="AZ4" s="152">
        <v>121665.29024000002</v>
      </c>
      <c r="BA4" s="152">
        <v>121665.29024000002</v>
      </c>
      <c r="BB4" s="152">
        <v>121665.29024000002</v>
      </c>
      <c r="BC4" s="152">
        <v>121665.29024000002</v>
      </c>
      <c r="BD4" s="152">
        <v>121665.29024000002</v>
      </c>
      <c r="BE4" s="152">
        <v>121665.29024000002</v>
      </c>
      <c r="BF4" s="152">
        <v>121665.29024000002</v>
      </c>
      <c r="BG4" s="152">
        <v>121665.29024000002</v>
      </c>
      <c r="BH4" s="152">
        <v>121665.29024000002</v>
      </c>
      <c r="BI4" s="152">
        <v>121665.29024000002</v>
      </c>
      <c r="BJ4" s="152">
        <v>126531.90184960002</v>
      </c>
      <c r="BK4" s="152">
        <v>126531.90184960002</v>
      </c>
      <c r="BL4" s="152">
        <v>126531.90184960002</v>
      </c>
      <c r="BM4" s="152">
        <v>126531.90184960002</v>
      </c>
      <c r="BN4" s="152">
        <v>126531.90184960002</v>
      </c>
      <c r="BO4" s="152">
        <v>126531.90184960002</v>
      </c>
      <c r="BP4" s="152">
        <v>126531.90184960002</v>
      </c>
      <c r="BQ4" s="152">
        <v>126531.90184960002</v>
      </c>
      <c r="BR4" s="152">
        <v>126531.90184960002</v>
      </c>
      <c r="BS4" s="152">
        <v>126531.90184960002</v>
      </c>
      <c r="BT4" s="152">
        <v>126531.90184960002</v>
      </c>
      <c r="BU4" s="152">
        <v>126531.90184960002</v>
      </c>
      <c r="BV4" s="152">
        <v>131593.17792358404</v>
      </c>
      <c r="BW4" s="152">
        <v>131593.17792358404</v>
      </c>
      <c r="BX4" s="152">
        <v>131593.17792358404</v>
      </c>
      <c r="BY4" s="152">
        <v>131593.17792358404</v>
      </c>
      <c r="BZ4" s="152">
        <v>131593.17792358404</v>
      </c>
      <c r="CA4" s="152">
        <v>131593.17792358404</v>
      </c>
      <c r="CB4" s="152">
        <v>131593.17792358404</v>
      </c>
      <c r="CC4" s="152">
        <v>131593.17792358404</v>
      </c>
      <c r="CD4" s="152">
        <v>131593.17792358404</v>
      </c>
      <c r="CE4" s="152">
        <v>131593.17792358404</v>
      </c>
      <c r="CF4" s="152">
        <v>131593.17792358404</v>
      </c>
      <c r="CG4" s="152">
        <v>131593.17792358404</v>
      </c>
      <c r="CH4" s="152">
        <v>136856.9050405274</v>
      </c>
      <c r="CI4" s="152">
        <v>136856.9050405274</v>
      </c>
      <c r="CJ4" s="152">
        <v>136856.9050405274</v>
      </c>
      <c r="CK4" s="152">
        <v>136856.9050405274</v>
      </c>
      <c r="CL4" s="152">
        <v>136856.9050405274</v>
      </c>
      <c r="CM4" s="152">
        <v>136856.9050405274</v>
      </c>
      <c r="CN4" s="152">
        <v>136856.9050405274</v>
      </c>
      <c r="CO4" s="152">
        <v>136856.9050405274</v>
      </c>
      <c r="CP4" s="152">
        <v>136856.9050405274</v>
      </c>
      <c r="CQ4" s="152">
        <v>136856.9050405274</v>
      </c>
      <c r="CR4" s="152">
        <v>136856.9050405274</v>
      </c>
      <c r="CS4" s="152">
        <v>136856.9050405274</v>
      </c>
      <c r="CT4" s="152">
        <v>142331.18124214851</v>
      </c>
      <c r="CU4" s="152">
        <v>142331.18124214851</v>
      </c>
      <c r="CV4" s="152">
        <v>142331.18124214851</v>
      </c>
      <c r="CW4" s="152">
        <v>142331.18124214851</v>
      </c>
      <c r="CX4" s="152">
        <v>142331.18124214851</v>
      </c>
      <c r="CY4" s="152">
        <v>142331.18124214851</v>
      </c>
    </row>
    <row r="5" spans="1:103" ht="12" customHeight="1">
      <c r="A5" s="25" t="s">
        <v>282</v>
      </c>
      <c r="B5" s="152">
        <v>312000</v>
      </c>
      <c r="C5" s="152">
        <v>312000</v>
      </c>
      <c r="D5" s="152">
        <v>312000</v>
      </c>
      <c r="E5" s="152">
        <v>312000</v>
      </c>
      <c r="F5" s="152">
        <v>312000</v>
      </c>
      <c r="G5" s="152">
        <v>312000</v>
      </c>
      <c r="H5" s="152">
        <v>312000</v>
      </c>
      <c r="I5" s="152">
        <v>312000</v>
      </c>
      <c r="J5" s="152">
        <v>312000</v>
      </c>
      <c r="K5" s="152">
        <v>312000</v>
      </c>
      <c r="L5" s="152">
        <v>312000</v>
      </c>
      <c r="M5" s="152">
        <v>312000</v>
      </c>
      <c r="N5" s="152">
        <v>324480</v>
      </c>
      <c r="O5" s="152">
        <v>324480</v>
      </c>
      <c r="P5" s="152">
        <v>324480</v>
      </c>
      <c r="Q5" s="152">
        <v>324480</v>
      </c>
      <c r="R5" s="152">
        <v>324480</v>
      </c>
      <c r="S5" s="152">
        <v>324480</v>
      </c>
      <c r="T5" s="152">
        <v>324480</v>
      </c>
      <c r="U5" s="152">
        <v>324480</v>
      </c>
      <c r="V5" s="152">
        <v>324480</v>
      </c>
      <c r="W5" s="152">
        <v>324480</v>
      </c>
      <c r="X5" s="152">
        <v>324480</v>
      </c>
      <c r="Y5" s="152">
        <v>324480</v>
      </c>
      <c r="Z5" s="152">
        <v>337459.20000000001</v>
      </c>
      <c r="AA5" s="152">
        <v>337459.20000000001</v>
      </c>
      <c r="AB5" s="152">
        <v>337459.20000000001</v>
      </c>
      <c r="AC5" s="152">
        <v>337459.20000000001</v>
      </c>
      <c r="AD5" s="152">
        <v>337459.20000000001</v>
      </c>
      <c r="AE5" s="152">
        <v>337459.20000000001</v>
      </c>
      <c r="AF5" s="152">
        <v>337459.20000000001</v>
      </c>
      <c r="AG5" s="152">
        <v>337459.20000000001</v>
      </c>
      <c r="AH5" s="152">
        <v>337459.20000000001</v>
      </c>
      <c r="AI5" s="152">
        <v>337459.20000000001</v>
      </c>
      <c r="AJ5" s="152">
        <v>337459.20000000001</v>
      </c>
      <c r="AK5" s="152">
        <v>337459.20000000001</v>
      </c>
      <c r="AL5" s="152">
        <v>350957.56800000003</v>
      </c>
      <c r="AM5" s="152">
        <v>350957.56800000003</v>
      </c>
      <c r="AN5" s="152">
        <v>350957.56800000003</v>
      </c>
      <c r="AO5" s="152">
        <v>350957.56800000003</v>
      </c>
      <c r="AP5" s="152">
        <v>350957.56800000003</v>
      </c>
      <c r="AQ5" s="152">
        <v>350957.56800000003</v>
      </c>
      <c r="AR5" s="152">
        <v>350957.56800000003</v>
      </c>
      <c r="AS5" s="152">
        <v>350957.56800000003</v>
      </c>
      <c r="AT5" s="152">
        <v>350957.56800000003</v>
      </c>
      <c r="AU5" s="152">
        <v>350957.56800000003</v>
      </c>
      <c r="AV5" s="152">
        <v>350957.56800000003</v>
      </c>
      <c r="AW5" s="152">
        <v>350957.56800000003</v>
      </c>
      <c r="AX5" s="152">
        <v>364995.87072000006</v>
      </c>
      <c r="AY5" s="152">
        <v>364995.87072000006</v>
      </c>
      <c r="AZ5" s="152">
        <v>364995.87072000006</v>
      </c>
      <c r="BA5" s="152">
        <v>364995.87072000006</v>
      </c>
      <c r="BB5" s="152">
        <v>364995.87072000006</v>
      </c>
      <c r="BC5" s="152">
        <v>364995.87072000006</v>
      </c>
      <c r="BD5" s="152">
        <v>364995.87072000006</v>
      </c>
      <c r="BE5" s="152">
        <v>364995.87072000006</v>
      </c>
      <c r="BF5" s="152">
        <v>364995.87072000006</v>
      </c>
      <c r="BG5" s="152">
        <v>364995.87072000006</v>
      </c>
      <c r="BH5" s="152">
        <v>364995.87072000006</v>
      </c>
      <c r="BI5" s="152">
        <v>364995.87072000006</v>
      </c>
      <c r="BJ5" s="152">
        <v>379595.70554880006</v>
      </c>
      <c r="BK5" s="152">
        <v>379595.70554880006</v>
      </c>
      <c r="BL5" s="152">
        <v>379595.70554880006</v>
      </c>
      <c r="BM5" s="152">
        <v>379595.70554880006</v>
      </c>
      <c r="BN5" s="152">
        <v>379595.70554880006</v>
      </c>
      <c r="BO5" s="152">
        <v>379595.70554880006</v>
      </c>
      <c r="BP5" s="152">
        <v>379595.70554880006</v>
      </c>
      <c r="BQ5" s="152">
        <v>379595.70554880006</v>
      </c>
      <c r="BR5" s="152">
        <v>379595.70554880006</v>
      </c>
      <c r="BS5" s="152">
        <v>379595.70554880006</v>
      </c>
      <c r="BT5" s="152">
        <v>379595.70554880006</v>
      </c>
      <c r="BU5" s="152">
        <v>379595.70554880006</v>
      </c>
      <c r="BV5" s="152">
        <v>394779.53377075208</v>
      </c>
      <c r="BW5" s="152">
        <v>394779.53377075208</v>
      </c>
      <c r="BX5" s="152">
        <v>394779.53377075208</v>
      </c>
      <c r="BY5" s="152">
        <v>394779.53377075208</v>
      </c>
      <c r="BZ5" s="152">
        <v>394779.53377075208</v>
      </c>
      <c r="CA5" s="152">
        <v>394779.53377075208</v>
      </c>
      <c r="CB5" s="152">
        <v>394779.53377075208</v>
      </c>
      <c r="CC5" s="152">
        <v>394779.53377075208</v>
      </c>
      <c r="CD5" s="152">
        <v>394779.53377075208</v>
      </c>
      <c r="CE5" s="152">
        <v>394779.53377075208</v>
      </c>
      <c r="CF5" s="152">
        <v>394779.53377075208</v>
      </c>
      <c r="CG5" s="152">
        <v>394779.53377075208</v>
      </c>
      <c r="CH5" s="152">
        <v>410570.71512158215</v>
      </c>
      <c r="CI5" s="152">
        <v>410570.71512158215</v>
      </c>
      <c r="CJ5" s="152">
        <v>410570.71512158215</v>
      </c>
      <c r="CK5" s="152">
        <v>410570.71512158215</v>
      </c>
      <c r="CL5" s="152">
        <v>410570.71512158215</v>
      </c>
      <c r="CM5" s="152">
        <v>410570.71512158215</v>
      </c>
      <c r="CN5" s="152">
        <v>410570.71512158215</v>
      </c>
      <c r="CO5" s="152">
        <v>410570.71512158215</v>
      </c>
      <c r="CP5" s="152">
        <v>410570.71512158215</v>
      </c>
      <c r="CQ5" s="152">
        <v>410570.71512158215</v>
      </c>
      <c r="CR5" s="152">
        <v>410570.71512158215</v>
      </c>
      <c r="CS5" s="152">
        <v>410570.71512158215</v>
      </c>
      <c r="CT5" s="152">
        <v>426993.54372644547</v>
      </c>
      <c r="CU5" s="152">
        <v>426993.54372644547</v>
      </c>
      <c r="CV5" s="152">
        <v>426993.54372644547</v>
      </c>
      <c r="CW5" s="152">
        <v>426993.54372644547</v>
      </c>
      <c r="CX5" s="152">
        <v>426993.54372644547</v>
      </c>
      <c r="CY5" s="152">
        <v>426993.54372644547</v>
      </c>
    </row>
    <row r="6" spans="1:103" ht="12" customHeight="1">
      <c r="A6" s="182" t="s">
        <v>283</v>
      </c>
      <c r="B6" s="152">
        <v>15600</v>
      </c>
      <c r="C6" s="152">
        <v>15600</v>
      </c>
      <c r="D6" s="152">
        <v>15600</v>
      </c>
      <c r="E6" s="152">
        <v>15600</v>
      </c>
      <c r="F6" s="152">
        <v>15600</v>
      </c>
      <c r="G6" s="152">
        <v>15600</v>
      </c>
      <c r="H6" s="152">
        <v>15600</v>
      </c>
      <c r="I6" s="152">
        <v>15600</v>
      </c>
      <c r="J6" s="152">
        <v>15600</v>
      </c>
      <c r="K6" s="152">
        <v>15600</v>
      </c>
      <c r="L6" s="152">
        <v>15600</v>
      </c>
      <c r="M6" s="152">
        <v>15600</v>
      </c>
      <c r="N6" s="152">
        <v>16224</v>
      </c>
      <c r="O6" s="152">
        <v>16224</v>
      </c>
      <c r="P6" s="152">
        <v>16224</v>
      </c>
      <c r="Q6" s="152">
        <v>16224</v>
      </c>
      <c r="R6" s="152">
        <v>16224</v>
      </c>
      <c r="S6" s="152">
        <v>16224</v>
      </c>
      <c r="T6" s="152">
        <v>16224</v>
      </c>
      <c r="U6" s="152">
        <v>16224</v>
      </c>
      <c r="V6" s="152">
        <v>16224</v>
      </c>
      <c r="W6" s="152">
        <v>16224</v>
      </c>
      <c r="X6" s="152">
        <v>16224</v>
      </c>
      <c r="Y6" s="152">
        <v>16224</v>
      </c>
      <c r="Z6" s="152">
        <v>16872.96</v>
      </c>
      <c r="AA6" s="152">
        <v>16872.96</v>
      </c>
      <c r="AB6" s="152">
        <v>16872.96</v>
      </c>
      <c r="AC6" s="152">
        <v>16872.96</v>
      </c>
      <c r="AD6" s="152">
        <v>16872.96</v>
      </c>
      <c r="AE6" s="152">
        <v>16872.96</v>
      </c>
      <c r="AF6" s="152">
        <v>16872.96</v>
      </c>
      <c r="AG6" s="152">
        <v>16872.96</v>
      </c>
      <c r="AH6" s="152">
        <v>16872.96</v>
      </c>
      <c r="AI6" s="152">
        <v>16872.96</v>
      </c>
      <c r="AJ6" s="152">
        <v>16872.96</v>
      </c>
      <c r="AK6" s="152">
        <v>16872.96</v>
      </c>
      <c r="AL6" s="152">
        <v>17547.878400000001</v>
      </c>
      <c r="AM6" s="152">
        <v>17547.878400000001</v>
      </c>
      <c r="AN6" s="152">
        <v>17547.878400000001</v>
      </c>
      <c r="AO6" s="152">
        <v>17547.878400000001</v>
      </c>
      <c r="AP6" s="152">
        <v>17547.878400000001</v>
      </c>
      <c r="AQ6" s="152">
        <v>17547.878400000001</v>
      </c>
      <c r="AR6" s="152">
        <v>17547.878400000001</v>
      </c>
      <c r="AS6" s="152">
        <v>17547.878400000001</v>
      </c>
      <c r="AT6" s="152">
        <v>17547.878400000001</v>
      </c>
      <c r="AU6" s="152">
        <v>17547.878400000001</v>
      </c>
      <c r="AV6" s="152">
        <v>17547.878400000001</v>
      </c>
      <c r="AW6" s="152">
        <v>17547.878400000001</v>
      </c>
      <c r="AX6" s="152">
        <v>18249.793536000001</v>
      </c>
      <c r="AY6" s="152">
        <v>18249.793536000001</v>
      </c>
      <c r="AZ6" s="152">
        <v>18249.793536000001</v>
      </c>
      <c r="BA6" s="152">
        <v>18249.793536000001</v>
      </c>
      <c r="BB6" s="152">
        <v>18249.793536000001</v>
      </c>
      <c r="BC6" s="152">
        <v>18249.793536000001</v>
      </c>
      <c r="BD6" s="152">
        <v>18249.793536000001</v>
      </c>
      <c r="BE6" s="152">
        <v>18249.793536000001</v>
      </c>
      <c r="BF6" s="152">
        <v>18249.793536000001</v>
      </c>
      <c r="BG6" s="152">
        <v>18249.793536000001</v>
      </c>
      <c r="BH6" s="152">
        <v>18249.793536000001</v>
      </c>
      <c r="BI6" s="152">
        <v>18249.793536000001</v>
      </c>
      <c r="BJ6" s="152">
        <v>18979.785277440002</v>
      </c>
      <c r="BK6" s="152">
        <v>18979.785277440002</v>
      </c>
      <c r="BL6" s="152">
        <v>18979.785277440002</v>
      </c>
      <c r="BM6" s="152">
        <v>18979.785277440002</v>
      </c>
      <c r="BN6" s="152">
        <v>18979.785277440002</v>
      </c>
      <c r="BO6" s="152">
        <v>18979.785277440002</v>
      </c>
      <c r="BP6" s="152">
        <v>18979.785277440002</v>
      </c>
      <c r="BQ6" s="152">
        <v>18979.785277440002</v>
      </c>
      <c r="BR6" s="152">
        <v>18979.785277440002</v>
      </c>
      <c r="BS6" s="152">
        <v>18979.785277440002</v>
      </c>
      <c r="BT6" s="152">
        <v>18979.785277440002</v>
      </c>
      <c r="BU6" s="152">
        <v>18979.785277440002</v>
      </c>
      <c r="BV6" s="152">
        <v>19738.976688537601</v>
      </c>
      <c r="BW6" s="152">
        <v>19738.976688537601</v>
      </c>
      <c r="BX6" s="152">
        <v>19738.976688537601</v>
      </c>
      <c r="BY6" s="152">
        <v>19738.976688537601</v>
      </c>
      <c r="BZ6" s="152">
        <v>19738.976688537601</v>
      </c>
      <c r="CA6" s="152">
        <v>19738.976688537601</v>
      </c>
      <c r="CB6" s="152">
        <v>19738.976688537601</v>
      </c>
      <c r="CC6" s="152">
        <v>19738.976688537601</v>
      </c>
      <c r="CD6" s="152">
        <v>19738.976688537601</v>
      </c>
      <c r="CE6" s="152">
        <v>19738.976688537601</v>
      </c>
      <c r="CF6" s="152">
        <v>19738.976688537601</v>
      </c>
      <c r="CG6" s="152">
        <v>19738.976688537601</v>
      </c>
      <c r="CH6" s="152">
        <v>20528.535756079105</v>
      </c>
      <c r="CI6" s="152">
        <v>20528.535756079105</v>
      </c>
      <c r="CJ6" s="152">
        <v>20528.535756079105</v>
      </c>
      <c r="CK6" s="152">
        <v>20528.535756079105</v>
      </c>
      <c r="CL6" s="152">
        <v>20528.535756079105</v>
      </c>
      <c r="CM6" s="152">
        <v>20528.535756079105</v>
      </c>
      <c r="CN6" s="152">
        <v>20528.535756079105</v>
      </c>
      <c r="CO6" s="152">
        <v>20528.535756079105</v>
      </c>
      <c r="CP6" s="152">
        <v>20528.535756079105</v>
      </c>
      <c r="CQ6" s="152">
        <v>20528.535756079105</v>
      </c>
      <c r="CR6" s="152">
        <v>20528.535756079105</v>
      </c>
      <c r="CS6" s="152">
        <v>20528.535756079105</v>
      </c>
      <c r="CT6" s="152">
        <v>21349.677186322271</v>
      </c>
      <c r="CU6" s="152">
        <v>21349.677186322271</v>
      </c>
      <c r="CV6" s="152">
        <v>21349.677186322271</v>
      </c>
      <c r="CW6" s="152">
        <v>21349.677186322271</v>
      </c>
      <c r="CX6" s="152">
        <v>21349.677186322271</v>
      </c>
      <c r="CY6" s="152">
        <v>21349.677186322271</v>
      </c>
    </row>
    <row r="7" spans="1:103" ht="12" customHeight="1">
      <c r="A7" s="182" t="s">
        <v>284</v>
      </c>
      <c r="B7" s="152">
        <v>10400</v>
      </c>
      <c r="C7" s="152">
        <v>10400</v>
      </c>
      <c r="D7" s="152">
        <v>10400</v>
      </c>
      <c r="E7" s="152">
        <v>10400</v>
      </c>
      <c r="F7" s="152">
        <v>10400</v>
      </c>
      <c r="G7" s="152">
        <v>10400</v>
      </c>
      <c r="H7" s="152">
        <v>10400</v>
      </c>
      <c r="I7" s="152">
        <v>10400</v>
      </c>
      <c r="J7" s="152">
        <v>10400</v>
      </c>
      <c r="K7" s="152">
        <v>10400</v>
      </c>
      <c r="L7" s="152">
        <v>10400</v>
      </c>
      <c r="M7" s="152">
        <v>10400</v>
      </c>
      <c r="N7" s="152">
        <v>10816</v>
      </c>
      <c r="O7" s="152">
        <v>10816</v>
      </c>
      <c r="P7" s="152">
        <v>10816</v>
      </c>
      <c r="Q7" s="152">
        <v>10816</v>
      </c>
      <c r="R7" s="152">
        <v>10816</v>
      </c>
      <c r="S7" s="152">
        <v>10816</v>
      </c>
      <c r="T7" s="152">
        <v>10816</v>
      </c>
      <c r="U7" s="152">
        <v>10816</v>
      </c>
      <c r="V7" s="152">
        <v>10816</v>
      </c>
      <c r="W7" s="152">
        <v>10816</v>
      </c>
      <c r="X7" s="152">
        <v>10816</v>
      </c>
      <c r="Y7" s="152">
        <v>10816</v>
      </c>
      <c r="Z7" s="152">
        <v>11248.640000000001</v>
      </c>
      <c r="AA7" s="152">
        <v>11248.640000000001</v>
      </c>
      <c r="AB7" s="152">
        <v>11248.640000000001</v>
      </c>
      <c r="AC7" s="152">
        <v>11248.640000000001</v>
      </c>
      <c r="AD7" s="152">
        <v>11248.640000000001</v>
      </c>
      <c r="AE7" s="152">
        <v>11248.640000000001</v>
      </c>
      <c r="AF7" s="152">
        <v>11248.640000000001</v>
      </c>
      <c r="AG7" s="152">
        <v>11248.640000000001</v>
      </c>
      <c r="AH7" s="152">
        <v>11248.640000000001</v>
      </c>
      <c r="AI7" s="152">
        <v>11248.640000000001</v>
      </c>
      <c r="AJ7" s="152">
        <v>11248.640000000001</v>
      </c>
      <c r="AK7" s="152">
        <v>11248.640000000001</v>
      </c>
      <c r="AL7" s="152">
        <v>11698.585600000002</v>
      </c>
      <c r="AM7" s="152">
        <v>11698.585600000002</v>
      </c>
      <c r="AN7" s="152">
        <v>11698.585600000002</v>
      </c>
      <c r="AO7" s="152">
        <v>11698.585600000002</v>
      </c>
      <c r="AP7" s="152">
        <v>11698.585600000002</v>
      </c>
      <c r="AQ7" s="152">
        <v>11698.585600000002</v>
      </c>
      <c r="AR7" s="152">
        <v>11698.585600000002</v>
      </c>
      <c r="AS7" s="152">
        <v>11698.585600000002</v>
      </c>
      <c r="AT7" s="152">
        <v>11698.585600000002</v>
      </c>
      <c r="AU7" s="152">
        <v>11698.585600000002</v>
      </c>
      <c r="AV7" s="152">
        <v>11698.585600000002</v>
      </c>
      <c r="AW7" s="152">
        <v>11698.585600000002</v>
      </c>
      <c r="AX7" s="152">
        <v>12166.529024000003</v>
      </c>
      <c r="AY7" s="152">
        <v>12166.529024000003</v>
      </c>
      <c r="AZ7" s="152">
        <v>12166.529024000003</v>
      </c>
      <c r="BA7" s="152">
        <v>12166.529024000003</v>
      </c>
      <c r="BB7" s="152">
        <v>12166.529024000003</v>
      </c>
      <c r="BC7" s="152">
        <v>12166.529024000003</v>
      </c>
      <c r="BD7" s="152">
        <v>12166.529024000003</v>
      </c>
      <c r="BE7" s="152">
        <v>12166.529024000003</v>
      </c>
      <c r="BF7" s="152">
        <v>12166.529024000003</v>
      </c>
      <c r="BG7" s="152">
        <v>12166.529024000003</v>
      </c>
      <c r="BH7" s="152">
        <v>12166.529024000003</v>
      </c>
      <c r="BI7" s="152">
        <v>12166.529024000003</v>
      </c>
      <c r="BJ7" s="152">
        <v>12653.190184960004</v>
      </c>
      <c r="BK7" s="152">
        <v>12653.190184960004</v>
      </c>
      <c r="BL7" s="152">
        <v>12653.190184960004</v>
      </c>
      <c r="BM7" s="152">
        <v>12653.190184960004</v>
      </c>
      <c r="BN7" s="152">
        <v>12653.190184960004</v>
      </c>
      <c r="BO7" s="152">
        <v>12653.190184960004</v>
      </c>
      <c r="BP7" s="152">
        <v>12653.190184960004</v>
      </c>
      <c r="BQ7" s="152">
        <v>12653.190184960004</v>
      </c>
      <c r="BR7" s="152">
        <v>12653.190184960004</v>
      </c>
      <c r="BS7" s="152">
        <v>12653.190184960004</v>
      </c>
      <c r="BT7" s="152">
        <v>12653.190184960004</v>
      </c>
      <c r="BU7" s="152">
        <v>12653.190184960004</v>
      </c>
      <c r="BV7" s="152">
        <v>13159.317792358404</v>
      </c>
      <c r="BW7" s="152">
        <v>13159.317792358404</v>
      </c>
      <c r="BX7" s="152">
        <v>13159.317792358404</v>
      </c>
      <c r="BY7" s="152">
        <v>13159.317792358404</v>
      </c>
      <c r="BZ7" s="152">
        <v>13159.317792358404</v>
      </c>
      <c r="CA7" s="152">
        <v>13159.317792358404</v>
      </c>
      <c r="CB7" s="152">
        <v>13159.317792358404</v>
      </c>
      <c r="CC7" s="152">
        <v>13159.317792358404</v>
      </c>
      <c r="CD7" s="152">
        <v>13159.317792358404</v>
      </c>
      <c r="CE7" s="152">
        <v>13159.317792358404</v>
      </c>
      <c r="CF7" s="152">
        <v>13159.317792358404</v>
      </c>
      <c r="CG7" s="152">
        <v>13159.317792358404</v>
      </c>
      <c r="CH7" s="152">
        <v>13685.690504052742</v>
      </c>
      <c r="CI7" s="152">
        <v>13685.690504052742</v>
      </c>
      <c r="CJ7" s="152">
        <v>13685.690504052742</v>
      </c>
      <c r="CK7" s="152">
        <v>13685.690504052742</v>
      </c>
      <c r="CL7" s="152">
        <v>13685.690504052742</v>
      </c>
      <c r="CM7" s="152">
        <v>13685.690504052742</v>
      </c>
      <c r="CN7" s="152">
        <v>13685.690504052742</v>
      </c>
      <c r="CO7" s="152">
        <v>13685.690504052742</v>
      </c>
      <c r="CP7" s="152">
        <v>13685.690504052742</v>
      </c>
      <c r="CQ7" s="152">
        <v>13685.690504052742</v>
      </c>
      <c r="CR7" s="152">
        <v>13685.690504052742</v>
      </c>
      <c r="CS7" s="152">
        <v>13685.690504052742</v>
      </c>
      <c r="CT7" s="152">
        <v>14233.118124214852</v>
      </c>
      <c r="CU7" s="152">
        <v>14233.118124214852</v>
      </c>
      <c r="CV7" s="152">
        <v>14233.118124214852</v>
      </c>
      <c r="CW7" s="152">
        <v>14233.118124214852</v>
      </c>
      <c r="CX7" s="152">
        <v>14233.118124214852</v>
      </c>
      <c r="CY7" s="152">
        <v>14233.118124214852</v>
      </c>
    </row>
    <row r="8" spans="1:103" ht="12" customHeight="1">
      <c r="A8" s="25" t="s">
        <v>537</v>
      </c>
      <c r="B8" s="152">
        <v>72800</v>
      </c>
      <c r="C8" s="152">
        <v>72800</v>
      </c>
      <c r="D8" s="152">
        <v>72800</v>
      </c>
      <c r="E8" s="152">
        <v>72800</v>
      </c>
      <c r="F8" s="152">
        <v>72800</v>
      </c>
      <c r="G8" s="152">
        <v>72800</v>
      </c>
      <c r="H8" s="152">
        <v>72800</v>
      </c>
      <c r="I8" s="152">
        <v>72800</v>
      </c>
      <c r="J8" s="152">
        <v>72800</v>
      </c>
      <c r="K8" s="152">
        <v>72800</v>
      </c>
      <c r="L8" s="152">
        <v>72800</v>
      </c>
      <c r="M8" s="152">
        <v>72800</v>
      </c>
      <c r="N8" s="152">
        <v>75712</v>
      </c>
      <c r="O8" s="152">
        <v>75712</v>
      </c>
      <c r="P8" s="152">
        <v>75712</v>
      </c>
      <c r="Q8" s="152">
        <v>75712</v>
      </c>
      <c r="R8" s="152">
        <v>75712</v>
      </c>
      <c r="S8" s="152">
        <v>75712</v>
      </c>
      <c r="T8" s="152">
        <v>75712</v>
      </c>
      <c r="U8" s="152">
        <v>75712</v>
      </c>
      <c r="V8" s="152">
        <v>75712</v>
      </c>
      <c r="W8" s="152">
        <v>75712</v>
      </c>
      <c r="X8" s="152">
        <v>75712</v>
      </c>
      <c r="Y8" s="152">
        <v>75712</v>
      </c>
      <c r="Z8" s="152">
        <v>78740.479999999996</v>
      </c>
      <c r="AA8" s="152">
        <v>78740.479999999996</v>
      </c>
      <c r="AB8" s="152">
        <v>78740.479999999996</v>
      </c>
      <c r="AC8" s="152">
        <v>78740.479999999996</v>
      </c>
      <c r="AD8" s="152">
        <v>78740.479999999996</v>
      </c>
      <c r="AE8" s="152">
        <v>78740.479999999996</v>
      </c>
      <c r="AF8" s="152">
        <v>78740.479999999996</v>
      </c>
      <c r="AG8" s="152">
        <v>78740.479999999996</v>
      </c>
      <c r="AH8" s="152">
        <v>78740.479999999996</v>
      </c>
      <c r="AI8" s="152">
        <v>78740.479999999996</v>
      </c>
      <c r="AJ8" s="152">
        <v>78740.479999999996</v>
      </c>
      <c r="AK8" s="152">
        <v>78740.479999999996</v>
      </c>
      <c r="AL8" s="152">
        <v>81890.099199999997</v>
      </c>
      <c r="AM8" s="152">
        <v>81890.099199999997</v>
      </c>
      <c r="AN8" s="152">
        <v>81890.099199999997</v>
      </c>
      <c r="AO8" s="152">
        <v>81890.099199999997</v>
      </c>
      <c r="AP8" s="152">
        <v>81890.099199999997</v>
      </c>
      <c r="AQ8" s="152">
        <v>81890.099199999997</v>
      </c>
      <c r="AR8" s="152">
        <v>81890.099199999997</v>
      </c>
      <c r="AS8" s="152">
        <v>81890.099199999997</v>
      </c>
      <c r="AT8" s="152">
        <v>81890.099199999997</v>
      </c>
      <c r="AU8" s="152">
        <v>81890.099199999997</v>
      </c>
      <c r="AV8" s="152">
        <v>81890.099199999997</v>
      </c>
      <c r="AW8" s="152">
        <v>81890.099199999997</v>
      </c>
      <c r="AX8" s="152">
        <v>85165.703167999993</v>
      </c>
      <c r="AY8" s="152">
        <v>85165.703167999993</v>
      </c>
      <c r="AZ8" s="152">
        <v>85165.703167999993</v>
      </c>
      <c r="BA8" s="152">
        <v>85165.703167999993</v>
      </c>
      <c r="BB8" s="152">
        <v>85165.703167999993</v>
      </c>
      <c r="BC8" s="152">
        <v>85165.703167999993</v>
      </c>
      <c r="BD8" s="152">
        <v>85165.703167999993</v>
      </c>
      <c r="BE8" s="152">
        <v>85165.703167999993</v>
      </c>
      <c r="BF8" s="152">
        <v>85165.703167999993</v>
      </c>
      <c r="BG8" s="152">
        <v>85165.703167999993</v>
      </c>
      <c r="BH8" s="152">
        <v>85165.703167999993</v>
      </c>
      <c r="BI8" s="152">
        <v>85165.703167999993</v>
      </c>
      <c r="BJ8" s="152">
        <v>88572.331294719988</v>
      </c>
      <c r="BK8" s="152">
        <v>88572.331294719988</v>
      </c>
      <c r="BL8" s="152">
        <v>88572.331294719988</v>
      </c>
      <c r="BM8" s="152">
        <v>88572.331294719988</v>
      </c>
      <c r="BN8" s="152">
        <v>88572.331294719988</v>
      </c>
      <c r="BO8" s="152">
        <v>88572.331294719988</v>
      </c>
      <c r="BP8" s="152">
        <v>88572.331294719988</v>
      </c>
      <c r="BQ8" s="152">
        <v>88572.331294719988</v>
      </c>
      <c r="BR8" s="152">
        <v>88572.331294719988</v>
      </c>
      <c r="BS8" s="152">
        <v>88572.331294719988</v>
      </c>
      <c r="BT8" s="152">
        <v>88572.331294719988</v>
      </c>
      <c r="BU8" s="152">
        <v>88572.331294719988</v>
      </c>
      <c r="BV8" s="152">
        <v>92115.224546508791</v>
      </c>
      <c r="BW8" s="152">
        <v>92115.224546508791</v>
      </c>
      <c r="BX8" s="152">
        <v>92115.224546508791</v>
      </c>
      <c r="BY8" s="152">
        <v>92115.224546508791</v>
      </c>
      <c r="BZ8" s="152">
        <v>92115.224546508791</v>
      </c>
      <c r="CA8" s="152">
        <v>92115.224546508791</v>
      </c>
      <c r="CB8" s="152">
        <v>92115.224546508791</v>
      </c>
      <c r="CC8" s="152">
        <v>92115.224546508791</v>
      </c>
      <c r="CD8" s="152">
        <v>92115.224546508791</v>
      </c>
      <c r="CE8" s="152">
        <v>92115.224546508791</v>
      </c>
      <c r="CF8" s="152">
        <v>92115.224546508791</v>
      </c>
      <c r="CG8" s="152">
        <v>92115.224546508791</v>
      </c>
      <c r="CH8" s="152">
        <v>95799.833528369141</v>
      </c>
      <c r="CI8" s="152">
        <v>95799.833528369141</v>
      </c>
      <c r="CJ8" s="152">
        <v>95799.833528369141</v>
      </c>
      <c r="CK8" s="152">
        <v>95799.833528369141</v>
      </c>
      <c r="CL8" s="152">
        <v>95799.833528369141</v>
      </c>
      <c r="CM8" s="152">
        <v>95799.833528369141</v>
      </c>
      <c r="CN8" s="152">
        <v>95799.833528369141</v>
      </c>
      <c r="CO8" s="152">
        <v>95799.833528369141</v>
      </c>
      <c r="CP8" s="152">
        <v>95799.833528369141</v>
      </c>
      <c r="CQ8" s="152">
        <v>95799.833528369141</v>
      </c>
      <c r="CR8" s="152">
        <v>95799.833528369141</v>
      </c>
      <c r="CS8" s="152">
        <v>95799.833528369141</v>
      </c>
      <c r="CT8" s="152">
        <v>99631.826869503915</v>
      </c>
      <c r="CU8" s="152">
        <v>99631.826869503915</v>
      </c>
      <c r="CV8" s="152">
        <v>99631.826869503915</v>
      </c>
      <c r="CW8" s="152">
        <v>99631.826869503915</v>
      </c>
      <c r="CX8" s="152">
        <v>99631.826869503915</v>
      </c>
      <c r="CY8" s="152">
        <v>99631.826869503915</v>
      </c>
    </row>
    <row r="9" spans="1:103" ht="12" customHeight="1">
      <c r="A9" s="25" t="s">
        <v>286</v>
      </c>
      <c r="B9" s="152">
        <v>62400</v>
      </c>
      <c r="C9" s="152">
        <v>62400</v>
      </c>
      <c r="D9" s="152">
        <v>62400</v>
      </c>
      <c r="E9" s="152">
        <v>62400</v>
      </c>
      <c r="F9" s="152">
        <v>62400</v>
      </c>
      <c r="G9" s="152">
        <v>62400</v>
      </c>
      <c r="H9" s="152">
        <v>62400</v>
      </c>
      <c r="I9" s="152">
        <v>62400</v>
      </c>
      <c r="J9" s="152">
        <v>62400</v>
      </c>
      <c r="K9" s="152">
        <v>62400</v>
      </c>
      <c r="L9" s="152">
        <v>62400</v>
      </c>
      <c r="M9" s="152">
        <v>62400</v>
      </c>
      <c r="N9" s="152">
        <v>64896</v>
      </c>
      <c r="O9" s="152">
        <v>64896</v>
      </c>
      <c r="P9" s="152">
        <v>64896</v>
      </c>
      <c r="Q9" s="152">
        <v>64896</v>
      </c>
      <c r="R9" s="152">
        <v>64896</v>
      </c>
      <c r="S9" s="152">
        <v>64896</v>
      </c>
      <c r="T9" s="152">
        <v>64896</v>
      </c>
      <c r="U9" s="152">
        <v>64896</v>
      </c>
      <c r="V9" s="152">
        <v>64896</v>
      </c>
      <c r="W9" s="152">
        <v>64896</v>
      </c>
      <c r="X9" s="152">
        <v>64896</v>
      </c>
      <c r="Y9" s="152">
        <v>64896</v>
      </c>
      <c r="Z9" s="152">
        <v>67491.839999999997</v>
      </c>
      <c r="AA9" s="152">
        <v>67491.839999999997</v>
      </c>
      <c r="AB9" s="152">
        <v>67491.839999999997</v>
      </c>
      <c r="AC9" s="152">
        <v>67491.839999999997</v>
      </c>
      <c r="AD9" s="152">
        <v>67491.839999999997</v>
      </c>
      <c r="AE9" s="152">
        <v>67491.839999999997</v>
      </c>
      <c r="AF9" s="152">
        <v>67491.839999999997</v>
      </c>
      <c r="AG9" s="152">
        <v>67491.839999999997</v>
      </c>
      <c r="AH9" s="152">
        <v>67491.839999999997</v>
      </c>
      <c r="AI9" s="152">
        <v>67491.839999999997</v>
      </c>
      <c r="AJ9" s="152">
        <v>67491.839999999997</v>
      </c>
      <c r="AK9" s="152">
        <v>67491.839999999997</v>
      </c>
      <c r="AL9" s="152">
        <v>70191.513600000006</v>
      </c>
      <c r="AM9" s="152">
        <v>70191.513600000006</v>
      </c>
      <c r="AN9" s="152">
        <v>70191.513600000006</v>
      </c>
      <c r="AO9" s="152">
        <v>70191.513600000006</v>
      </c>
      <c r="AP9" s="152">
        <v>70191.513600000006</v>
      </c>
      <c r="AQ9" s="152">
        <v>70191.513600000006</v>
      </c>
      <c r="AR9" s="152">
        <v>70191.513600000006</v>
      </c>
      <c r="AS9" s="152">
        <v>70191.513600000006</v>
      </c>
      <c r="AT9" s="152">
        <v>70191.513600000006</v>
      </c>
      <c r="AU9" s="152">
        <v>70191.513600000006</v>
      </c>
      <c r="AV9" s="152">
        <v>70191.513600000006</v>
      </c>
      <c r="AW9" s="152">
        <v>70191.513600000006</v>
      </c>
      <c r="AX9" s="152">
        <v>72999.174144000004</v>
      </c>
      <c r="AY9" s="152">
        <v>72999.174144000004</v>
      </c>
      <c r="AZ9" s="152">
        <v>72999.174144000004</v>
      </c>
      <c r="BA9" s="152">
        <v>72999.174144000004</v>
      </c>
      <c r="BB9" s="152">
        <v>72999.174144000004</v>
      </c>
      <c r="BC9" s="152">
        <v>72999.174144000004</v>
      </c>
      <c r="BD9" s="152">
        <v>72999.174144000004</v>
      </c>
      <c r="BE9" s="152">
        <v>72999.174144000004</v>
      </c>
      <c r="BF9" s="152">
        <v>72999.174144000004</v>
      </c>
      <c r="BG9" s="152">
        <v>72999.174144000004</v>
      </c>
      <c r="BH9" s="152">
        <v>72999.174144000004</v>
      </c>
      <c r="BI9" s="152">
        <v>72999.174144000004</v>
      </c>
      <c r="BJ9" s="152">
        <v>75919.141109760007</v>
      </c>
      <c r="BK9" s="152">
        <v>75919.141109760007</v>
      </c>
      <c r="BL9" s="152">
        <v>75919.141109760007</v>
      </c>
      <c r="BM9" s="152">
        <v>75919.141109760007</v>
      </c>
      <c r="BN9" s="152">
        <v>75919.141109760007</v>
      </c>
      <c r="BO9" s="152">
        <v>75919.141109760007</v>
      </c>
      <c r="BP9" s="152">
        <v>75919.141109760007</v>
      </c>
      <c r="BQ9" s="152">
        <v>75919.141109760007</v>
      </c>
      <c r="BR9" s="152">
        <v>75919.141109760007</v>
      </c>
      <c r="BS9" s="152">
        <v>75919.141109760007</v>
      </c>
      <c r="BT9" s="152">
        <v>75919.141109760007</v>
      </c>
      <c r="BU9" s="152">
        <v>75919.141109760007</v>
      </c>
      <c r="BV9" s="152">
        <v>78955.906754150405</v>
      </c>
      <c r="BW9" s="152">
        <v>78955.906754150405</v>
      </c>
      <c r="BX9" s="152">
        <v>78955.906754150405</v>
      </c>
      <c r="BY9" s="152">
        <v>78955.906754150405</v>
      </c>
      <c r="BZ9" s="152">
        <v>78955.906754150405</v>
      </c>
      <c r="CA9" s="152">
        <v>78955.906754150405</v>
      </c>
      <c r="CB9" s="152">
        <v>78955.906754150405</v>
      </c>
      <c r="CC9" s="152">
        <v>78955.906754150405</v>
      </c>
      <c r="CD9" s="152">
        <v>78955.906754150405</v>
      </c>
      <c r="CE9" s="152">
        <v>78955.906754150405</v>
      </c>
      <c r="CF9" s="152">
        <v>78955.906754150405</v>
      </c>
      <c r="CG9" s="152">
        <v>78955.906754150405</v>
      </c>
      <c r="CH9" s="152">
        <v>82114.143024316421</v>
      </c>
      <c r="CI9" s="152">
        <v>82114.143024316421</v>
      </c>
      <c r="CJ9" s="152">
        <v>82114.143024316421</v>
      </c>
      <c r="CK9" s="152">
        <v>82114.143024316421</v>
      </c>
      <c r="CL9" s="152">
        <v>82114.143024316421</v>
      </c>
      <c r="CM9" s="152">
        <v>82114.143024316421</v>
      </c>
      <c r="CN9" s="152">
        <v>82114.143024316421</v>
      </c>
      <c r="CO9" s="152">
        <v>82114.143024316421</v>
      </c>
      <c r="CP9" s="152">
        <v>82114.143024316421</v>
      </c>
      <c r="CQ9" s="152">
        <v>82114.143024316421</v>
      </c>
      <c r="CR9" s="152">
        <v>82114.143024316421</v>
      </c>
      <c r="CS9" s="152">
        <v>82114.143024316421</v>
      </c>
      <c r="CT9" s="152">
        <v>85398.708745289085</v>
      </c>
      <c r="CU9" s="152">
        <v>85398.708745289085</v>
      </c>
      <c r="CV9" s="152">
        <v>85398.708745289085</v>
      </c>
      <c r="CW9" s="152">
        <v>85398.708745289085</v>
      </c>
      <c r="CX9" s="152">
        <v>85398.708745289085</v>
      </c>
      <c r="CY9" s="152">
        <v>85398.708745289085</v>
      </c>
    </row>
    <row r="10" spans="1:103" ht="12" customHeight="1">
      <c r="A10" s="25" t="s">
        <v>288</v>
      </c>
      <c r="B10" s="152">
        <v>327600</v>
      </c>
      <c r="C10" s="152">
        <v>327600</v>
      </c>
      <c r="D10" s="152">
        <v>327600</v>
      </c>
      <c r="E10" s="152">
        <v>327600</v>
      </c>
      <c r="F10" s="152">
        <v>327600</v>
      </c>
      <c r="G10" s="152">
        <v>327600</v>
      </c>
      <c r="H10" s="152">
        <v>327600</v>
      </c>
      <c r="I10" s="152">
        <v>327600</v>
      </c>
      <c r="J10" s="152">
        <v>327600</v>
      </c>
      <c r="K10" s="152">
        <v>262080</v>
      </c>
      <c r="L10" s="152">
        <v>262080</v>
      </c>
      <c r="M10" s="152">
        <v>262080</v>
      </c>
      <c r="N10" s="152">
        <v>272563.20000000001</v>
      </c>
      <c r="O10" s="152">
        <v>272563.20000000001</v>
      </c>
      <c r="P10" s="152">
        <v>272563.20000000001</v>
      </c>
      <c r="Q10" s="152">
        <v>272563.20000000001</v>
      </c>
      <c r="R10" s="152">
        <v>272563.20000000001</v>
      </c>
      <c r="S10" s="152">
        <v>272563.20000000001</v>
      </c>
      <c r="T10" s="152">
        <v>272563.20000000001</v>
      </c>
      <c r="U10" s="152">
        <v>272563.20000000001</v>
      </c>
      <c r="V10" s="152">
        <v>272563.20000000001</v>
      </c>
      <c r="W10" s="152">
        <v>272563.20000000001</v>
      </c>
      <c r="X10" s="152">
        <v>272563.20000000001</v>
      </c>
      <c r="Y10" s="152">
        <v>272563.20000000001</v>
      </c>
      <c r="Z10" s="152">
        <v>283465.728</v>
      </c>
      <c r="AA10" s="152">
        <v>283465.728</v>
      </c>
      <c r="AB10" s="152">
        <v>283465.728</v>
      </c>
      <c r="AC10" s="152">
        <v>283465.728</v>
      </c>
      <c r="AD10" s="152">
        <v>283465.728</v>
      </c>
      <c r="AE10" s="152">
        <v>283465.728</v>
      </c>
      <c r="AF10" s="152">
        <v>283465.728</v>
      </c>
      <c r="AG10" s="152">
        <v>283465.728</v>
      </c>
      <c r="AH10" s="152">
        <v>283465.728</v>
      </c>
      <c r="AI10" s="152">
        <v>283465.728</v>
      </c>
      <c r="AJ10" s="152">
        <v>283465.728</v>
      </c>
      <c r="AK10" s="152">
        <v>283465.728</v>
      </c>
      <c r="AL10" s="152">
        <v>294804.35712</v>
      </c>
      <c r="AM10" s="152">
        <v>294804.35712</v>
      </c>
      <c r="AN10" s="152">
        <v>294804.35712</v>
      </c>
      <c r="AO10" s="152">
        <v>294804.35712</v>
      </c>
      <c r="AP10" s="152">
        <v>294804.35712</v>
      </c>
      <c r="AQ10" s="152">
        <v>294804.35712</v>
      </c>
      <c r="AR10" s="152">
        <v>294804.35712</v>
      </c>
      <c r="AS10" s="152">
        <v>294804.35712</v>
      </c>
      <c r="AT10" s="152">
        <v>294804.35712</v>
      </c>
      <c r="AU10" s="152">
        <v>294804.35712</v>
      </c>
      <c r="AV10" s="152">
        <v>294804.35712</v>
      </c>
      <c r="AW10" s="152">
        <v>294804.35712</v>
      </c>
      <c r="AX10" s="152">
        <v>306596.53140480001</v>
      </c>
      <c r="AY10" s="152">
        <v>306596.53140480001</v>
      </c>
      <c r="AZ10" s="152">
        <v>306596.53140480001</v>
      </c>
      <c r="BA10" s="152">
        <v>306596.53140480001</v>
      </c>
      <c r="BB10" s="152">
        <v>306596.53140480001</v>
      </c>
      <c r="BC10" s="152">
        <v>306596.53140480001</v>
      </c>
      <c r="BD10" s="152">
        <v>306596.53140480001</v>
      </c>
      <c r="BE10" s="152">
        <v>306596.53140480001</v>
      </c>
      <c r="BF10" s="152">
        <v>306596.53140480001</v>
      </c>
      <c r="BG10" s="152">
        <v>306596.53140480001</v>
      </c>
      <c r="BH10" s="152">
        <v>306596.53140480001</v>
      </c>
      <c r="BI10" s="152">
        <v>306596.53140480001</v>
      </c>
      <c r="BJ10" s="152">
        <v>318860.39266099205</v>
      </c>
      <c r="BK10" s="152">
        <v>318860.39266099205</v>
      </c>
      <c r="BL10" s="152">
        <v>318860.39266099205</v>
      </c>
      <c r="BM10" s="152">
        <v>318860.39266099205</v>
      </c>
      <c r="BN10" s="152">
        <v>318860.39266099205</v>
      </c>
      <c r="BO10" s="152">
        <v>318860.39266099205</v>
      </c>
      <c r="BP10" s="152">
        <v>318860.39266099205</v>
      </c>
      <c r="BQ10" s="152">
        <v>318860.39266099205</v>
      </c>
      <c r="BR10" s="152">
        <v>318860.39266099205</v>
      </c>
      <c r="BS10" s="152">
        <v>318860.39266099205</v>
      </c>
      <c r="BT10" s="152">
        <v>318860.39266099205</v>
      </c>
      <c r="BU10" s="152">
        <v>318860.39266099205</v>
      </c>
      <c r="BV10" s="152">
        <v>331614.80836743175</v>
      </c>
      <c r="BW10" s="152">
        <v>331614.80836743175</v>
      </c>
      <c r="BX10" s="152">
        <v>331614.80836743175</v>
      </c>
      <c r="BY10" s="152">
        <v>331614.80836743175</v>
      </c>
      <c r="BZ10" s="152">
        <v>331614.80836743175</v>
      </c>
      <c r="CA10" s="152">
        <v>331614.80836743175</v>
      </c>
      <c r="CB10" s="152">
        <v>331614.80836743175</v>
      </c>
      <c r="CC10" s="152">
        <v>331614.80836743175</v>
      </c>
      <c r="CD10" s="152">
        <v>331614.80836743175</v>
      </c>
      <c r="CE10" s="152">
        <v>331614.80836743175</v>
      </c>
      <c r="CF10" s="152">
        <v>331614.80836743175</v>
      </c>
      <c r="CG10" s="152">
        <v>331614.80836743175</v>
      </c>
      <c r="CH10" s="152">
        <v>344879.400702129</v>
      </c>
      <c r="CI10" s="152">
        <v>344879.400702129</v>
      </c>
      <c r="CJ10" s="152">
        <v>344879.400702129</v>
      </c>
      <c r="CK10" s="152">
        <v>344879.400702129</v>
      </c>
      <c r="CL10" s="152">
        <v>344879.400702129</v>
      </c>
      <c r="CM10" s="152">
        <v>344879.400702129</v>
      </c>
      <c r="CN10" s="152">
        <v>344879.400702129</v>
      </c>
      <c r="CO10" s="152">
        <v>344879.400702129</v>
      </c>
      <c r="CP10" s="152">
        <v>344879.400702129</v>
      </c>
      <c r="CQ10" s="152">
        <v>344879.400702129</v>
      </c>
      <c r="CR10" s="152">
        <v>344879.400702129</v>
      </c>
      <c r="CS10" s="152">
        <v>344879.400702129</v>
      </c>
      <c r="CT10" s="152">
        <v>358674.57673021418</v>
      </c>
      <c r="CU10" s="152">
        <v>358674.57673021418</v>
      </c>
      <c r="CV10" s="152">
        <v>358674.57673021418</v>
      </c>
      <c r="CW10" s="152">
        <v>358674.57673021418</v>
      </c>
      <c r="CX10" s="152">
        <v>358674.57673021418</v>
      </c>
      <c r="CY10" s="152">
        <v>358674.57673021418</v>
      </c>
    </row>
    <row r="11" spans="1:103" ht="12" customHeight="1">
      <c r="A11" s="25" t="s">
        <v>289</v>
      </c>
      <c r="B11" s="152">
        <v>104000</v>
      </c>
      <c r="C11" s="152">
        <v>104000</v>
      </c>
      <c r="D11" s="152">
        <v>104000</v>
      </c>
      <c r="E11" s="152">
        <v>104000</v>
      </c>
      <c r="F11" s="152">
        <v>104000</v>
      </c>
      <c r="G11" s="152">
        <v>104000</v>
      </c>
      <c r="H11" s="152">
        <v>104000</v>
      </c>
      <c r="I11" s="152">
        <v>104000</v>
      </c>
      <c r="J11" s="152">
        <v>104000</v>
      </c>
      <c r="K11" s="152">
        <v>62400</v>
      </c>
      <c r="L11" s="152">
        <v>62400</v>
      </c>
      <c r="M11" s="152">
        <v>62400</v>
      </c>
      <c r="N11" s="152">
        <v>64896</v>
      </c>
      <c r="O11" s="152">
        <v>64896</v>
      </c>
      <c r="P11" s="152">
        <v>64896</v>
      </c>
      <c r="Q11" s="152">
        <v>64896</v>
      </c>
      <c r="R11" s="152">
        <v>64896</v>
      </c>
      <c r="S11" s="152">
        <v>64896</v>
      </c>
      <c r="T11" s="152">
        <v>64896</v>
      </c>
      <c r="U11" s="152">
        <v>64896</v>
      </c>
      <c r="V11" s="152">
        <v>64896</v>
      </c>
      <c r="W11" s="152">
        <v>64896</v>
      </c>
      <c r="X11" s="152">
        <v>64896</v>
      </c>
      <c r="Y11" s="152">
        <v>64896</v>
      </c>
      <c r="Z11" s="152">
        <v>67491.839999999997</v>
      </c>
      <c r="AA11" s="152">
        <v>67491.839999999997</v>
      </c>
      <c r="AB11" s="152">
        <v>67491.839999999997</v>
      </c>
      <c r="AC11" s="152">
        <v>67491.839999999997</v>
      </c>
      <c r="AD11" s="152">
        <v>67491.839999999997</v>
      </c>
      <c r="AE11" s="152">
        <v>67491.839999999997</v>
      </c>
      <c r="AF11" s="152">
        <v>67491.839999999997</v>
      </c>
      <c r="AG11" s="152">
        <v>67491.839999999997</v>
      </c>
      <c r="AH11" s="152">
        <v>67491.839999999997</v>
      </c>
      <c r="AI11" s="152">
        <v>67491.839999999997</v>
      </c>
      <c r="AJ11" s="152">
        <v>67491.839999999997</v>
      </c>
      <c r="AK11" s="152">
        <v>67491.839999999997</v>
      </c>
      <c r="AL11" s="152">
        <v>70191.513600000006</v>
      </c>
      <c r="AM11" s="152">
        <v>70191.513600000006</v>
      </c>
      <c r="AN11" s="152">
        <v>70191.513600000006</v>
      </c>
      <c r="AO11" s="152">
        <v>70191.513600000006</v>
      </c>
      <c r="AP11" s="152">
        <v>70191.513600000006</v>
      </c>
      <c r="AQ11" s="152">
        <v>70191.513600000006</v>
      </c>
      <c r="AR11" s="152">
        <v>70191.513600000006</v>
      </c>
      <c r="AS11" s="152">
        <v>70191.513600000006</v>
      </c>
      <c r="AT11" s="152">
        <v>70191.513600000006</v>
      </c>
      <c r="AU11" s="152">
        <v>70191.513600000006</v>
      </c>
      <c r="AV11" s="152">
        <v>70191.513600000006</v>
      </c>
      <c r="AW11" s="152">
        <v>70191.513600000006</v>
      </c>
      <c r="AX11" s="152">
        <v>72999.174144000004</v>
      </c>
      <c r="AY11" s="152">
        <v>72999.174144000004</v>
      </c>
      <c r="AZ11" s="152">
        <v>72999.174144000004</v>
      </c>
      <c r="BA11" s="152">
        <v>72999.174144000004</v>
      </c>
      <c r="BB11" s="152">
        <v>72999.174144000004</v>
      </c>
      <c r="BC11" s="152">
        <v>72999.174144000004</v>
      </c>
      <c r="BD11" s="152">
        <v>72999.174144000004</v>
      </c>
      <c r="BE11" s="152">
        <v>72999.174144000004</v>
      </c>
      <c r="BF11" s="152">
        <v>72999.174144000004</v>
      </c>
      <c r="BG11" s="152">
        <v>72999.174144000004</v>
      </c>
      <c r="BH11" s="152">
        <v>72999.174144000004</v>
      </c>
      <c r="BI11" s="152">
        <v>72999.174144000004</v>
      </c>
      <c r="BJ11" s="152">
        <v>75919.141109760007</v>
      </c>
      <c r="BK11" s="152">
        <v>75919.141109760007</v>
      </c>
      <c r="BL11" s="152">
        <v>75919.141109760007</v>
      </c>
      <c r="BM11" s="152">
        <v>75919.141109760007</v>
      </c>
      <c r="BN11" s="152">
        <v>75919.141109760007</v>
      </c>
      <c r="BO11" s="152">
        <v>75919.141109760007</v>
      </c>
      <c r="BP11" s="152">
        <v>75919.141109760007</v>
      </c>
      <c r="BQ11" s="152">
        <v>75919.141109760007</v>
      </c>
      <c r="BR11" s="152">
        <v>75919.141109760007</v>
      </c>
      <c r="BS11" s="152">
        <v>75919.141109760007</v>
      </c>
      <c r="BT11" s="152">
        <v>75919.141109760007</v>
      </c>
      <c r="BU11" s="152">
        <v>75919.141109760007</v>
      </c>
      <c r="BV11" s="152">
        <v>78955.906754150405</v>
      </c>
      <c r="BW11" s="152">
        <v>78955.906754150405</v>
      </c>
      <c r="BX11" s="152">
        <v>78955.906754150405</v>
      </c>
      <c r="BY11" s="152">
        <v>78955.906754150405</v>
      </c>
      <c r="BZ11" s="152">
        <v>78955.906754150405</v>
      </c>
      <c r="CA11" s="152">
        <v>78955.906754150405</v>
      </c>
      <c r="CB11" s="152">
        <v>78955.906754150405</v>
      </c>
      <c r="CC11" s="152">
        <v>78955.906754150405</v>
      </c>
      <c r="CD11" s="152">
        <v>78955.906754150405</v>
      </c>
      <c r="CE11" s="152">
        <v>78955.906754150405</v>
      </c>
      <c r="CF11" s="152">
        <v>78955.906754150405</v>
      </c>
      <c r="CG11" s="152">
        <v>78955.906754150405</v>
      </c>
      <c r="CH11" s="152">
        <v>82114.143024316421</v>
      </c>
      <c r="CI11" s="152">
        <v>82114.143024316421</v>
      </c>
      <c r="CJ11" s="152">
        <v>82114.143024316421</v>
      </c>
      <c r="CK11" s="152">
        <v>82114.143024316421</v>
      </c>
      <c r="CL11" s="152">
        <v>82114.143024316421</v>
      </c>
      <c r="CM11" s="152">
        <v>82114.143024316421</v>
      </c>
      <c r="CN11" s="152">
        <v>82114.143024316421</v>
      </c>
      <c r="CO11" s="152">
        <v>82114.143024316421</v>
      </c>
      <c r="CP11" s="152">
        <v>82114.143024316421</v>
      </c>
      <c r="CQ11" s="152">
        <v>82114.143024316421</v>
      </c>
      <c r="CR11" s="152">
        <v>82114.143024316421</v>
      </c>
      <c r="CS11" s="152">
        <v>82114.143024316421</v>
      </c>
      <c r="CT11" s="152">
        <v>85398.708745289085</v>
      </c>
      <c r="CU11" s="152">
        <v>85398.708745289085</v>
      </c>
      <c r="CV11" s="152">
        <v>85398.708745289085</v>
      </c>
      <c r="CW11" s="152">
        <v>85398.708745289085</v>
      </c>
      <c r="CX11" s="152">
        <v>85398.708745289085</v>
      </c>
      <c r="CY11" s="152">
        <v>85398.708745289085</v>
      </c>
    </row>
    <row r="12" spans="1:103" ht="12" customHeight="1">
      <c r="A12" s="25" t="s">
        <v>290</v>
      </c>
      <c r="B12" s="152">
        <v>62400</v>
      </c>
      <c r="C12" s="152">
        <v>62400</v>
      </c>
      <c r="D12" s="152">
        <v>62400</v>
      </c>
      <c r="E12" s="152">
        <v>62400</v>
      </c>
      <c r="F12" s="152">
        <v>62400</v>
      </c>
      <c r="G12" s="152">
        <v>62400</v>
      </c>
      <c r="H12" s="152">
        <v>62400</v>
      </c>
      <c r="I12" s="152">
        <v>62400</v>
      </c>
      <c r="J12" s="152">
        <v>62400</v>
      </c>
      <c r="K12" s="152">
        <v>62400</v>
      </c>
      <c r="L12" s="152">
        <v>62400</v>
      </c>
      <c r="M12" s="152">
        <v>62400</v>
      </c>
      <c r="N12" s="152">
        <v>64896</v>
      </c>
      <c r="O12" s="152">
        <v>64896</v>
      </c>
      <c r="P12" s="152">
        <v>64896</v>
      </c>
      <c r="Q12" s="152">
        <v>64896</v>
      </c>
      <c r="R12" s="152">
        <v>64896</v>
      </c>
      <c r="S12" s="152">
        <v>64896</v>
      </c>
      <c r="T12" s="152">
        <v>64896</v>
      </c>
      <c r="U12" s="152">
        <v>64896</v>
      </c>
      <c r="V12" s="152">
        <v>64896</v>
      </c>
      <c r="W12" s="152">
        <v>64896</v>
      </c>
      <c r="X12" s="152">
        <v>64896</v>
      </c>
      <c r="Y12" s="152">
        <v>64896</v>
      </c>
      <c r="Z12" s="152">
        <v>67491.839999999997</v>
      </c>
      <c r="AA12" s="152">
        <v>67491.839999999997</v>
      </c>
      <c r="AB12" s="152">
        <v>67491.839999999997</v>
      </c>
      <c r="AC12" s="152">
        <v>67491.839999999997</v>
      </c>
      <c r="AD12" s="152">
        <v>67491.839999999997</v>
      </c>
      <c r="AE12" s="152">
        <v>67491.839999999997</v>
      </c>
      <c r="AF12" s="152">
        <v>67491.839999999997</v>
      </c>
      <c r="AG12" s="152">
        <v>67491.839999999997</v>
      </c>
      <c r="AH12" s="152">
        <v>67491.839999999997</v>
      </c>
      <c r="AI12" s="152">
        <v>67491.839999999997</v>
      </c>
      <c r="AJ12" s="152">
        <v>67491.839999999997</v>
      </c>
      <c r="AK12" s="152">
        <v>67491.839999999997</v>
      </c>
      <c r="AL12" s="152">
        <v>70191.513600000006</v>
      </c>
      <c r="AM12" s="152">
        <v>70191.513600000006</v>
      </c>
      <c r="AN12" s="152">
        <v>70191.513600000006</v>
      </c>
      <c r="AO12" s="152">
        <v>70191.513600000006</v>
      </c>
      <c r="AP12" s="152">
        <v>70191.513600000006</v>
      </c>
      <c r="AQ12" s="152">
        <v>70191.513600000006</v>
      </c>
      <c r="AR12" s="152">
        <v>70191.513600000006</v>
      </c>
      <c r="AS12" s="152">
        <v>70191.513600000006</v>
      </c>
      <c r="AT12" s="152">
        <v>70191.513600000006</v>
      </c>
      <c r="AU12" s="152">
        <v>70191.513600000006</v>
      </c>
      <c r="AV12" s="152">
        <v>70191.513600000006</v>
      </c>
      <c r="AW12" s="152">
        <v>70191.513600000006</v>
      </c>
      <c r="AX12" s="152">
        <v>72999.174144000004</v>
      </c>
      <c r="AY12" s="152">
        <v>72999.174144000004</v>
      </c>
      <c r="AZ12" s="152">
        <v>72999.174144000004</v>
      </c>
      <c r="BA12" s="152">
        <v>72999.174144000004</v>
      </c>
      <c r="BB12" s="152">
        <v>72999.174144000004</v>
      </c>
      <c r="BC12" s="152">
        <v>72999.174144000004</v>
      </c>
      <c r="BD12" s="152">
        <v>72999.174144000004</v>
      </c>
      <c r="BE12" s="152">
        <v>72999.174144000004</v>
      </c>
      <c r="BF12" s="152">
        <v>72999.174144000004</v>
      </c>
      <c r="BG12" s="152">
        <v>72999.174144000004</v>
      </c>
      <c r="BH12" s="152">
        <v>72999.174144000004</v>
      </c>
      <c r="BI12" s="152">
        <v>72999.174144000004</v>
      </c>
      <c r="BJ12" s="152">
        <v>75919.141109760007</v>
      </c>
      <c r="BK12" s="152">
        <v>75919.141109760007</v>
      </c>
      <c r="BL12" s="152">
        <v>75919.141109760007</v>
      </c>
      <c r="BM12" s="152">
        <v>75919.141109760007</v>
      </c>
      <c r="BN12" s="152">
        <v>75919.141109760007</v>
      </c>
      <c r="BO12" s="152">
        <v>75919.141109760007</v>
      </c>
      <c r="BP12" s="152">
        <v>75919.141109760007</v>
      </c>
      <c r="BQ12" s="152">
        <v>75919.141109760007</v>
      </c>
      <c r="BR12" s="152">
        <v>75919.141109760007</v>
      </c>
      <c r="BS12" s="152">
        <v>75919.141109760007</v>
      </c>
      <c r="BT12" s="152">
        <v>75919.141109760007</v>
      </c>
      <c r="BU12" s="152">
        <v>75919.141109760007</v>
      </c>
      <c r="BV12" s="152">
        <v>78955.906754150405</v>
      </c>
      <c r="BW12" s="152">
        <v>78955.906754150405</v>
      </c>
      <c r="BX12" s="152">
        <v>78955.906754150405</v>
      </c>
      <c r="BY12" s="152">
        <v>78955.906754150405</v>
      </c>
      <c r="BZ12" s="152">
        <v>78955.906754150405</v>
      </c>
      <c r="CA12" s="152">
        <v>78955.906754150405</v>
      </c>
      <c r="CB12" s="152">
        <v>78955.906754150405</v>
      </c>
      <c r="CC12" s="152">
        <v>78955.906754150405</v>
      </c>
      <c r="CD12" s="152">
        <v>78955.906754150405</v>
      </c>
      <c r="CE12" s="152">
        <v>78955.906754150405</v>
      </c>
      <c r="CF12" s="152">
        <v>78955.906754150405</v>
      </c>
      <c r="CG12" s="152">
        <v>78955.906754150405</v>
      </c>
      <c r="CH12" s="152">
        <v>82114.143024316421</v>
      </c>
      <c r="CI12" s="152">
        <v>82114.143024316421</v>
      </c>
      <c r="CJ12" s="152">
        <v>82114.143024316421</v>
      </c>
      <c r="CK12" s="152">
        <v>82114.143024316421</v>
      </c>
      <c r="CL12" s="152">
        <v>82114.143024316421</v>
      </c>
      <c r="CM12" s="152">
        <v>82114.143024316421</v>
      </c>
      <c r="CN12" s="152">
        <v>82114.143024316421</v>
      </c>
      <c r="CO12" s="152">
        <v>82114.143024316421</v>
      </c>
      <c r="CP12" s="152">
        <v>82114.143024316421</v>
      </c>
      <c r="CQ12" s="152">
        <v>82114.143024316421</v>
      </c>
      <c r="CR12" s="152">
        <v>82114.143024316421</v>
      </c>
      <c r="CS12" s="152">
        <v>82114.143024316421</v>
      </c>
      <c r="CT12" s="152">
        <v>85398.708745289085</v>
      </c>
      <c r="CU12" s="152">
        <v>85398.708745289085</v>
      </c>
      <c r="CV12" s="152">
        <v>85398.708745289085</v>
      </c>
      <c r="CW12" s="152">
        <v>85398.708745289085</v>
      </c>
      <c r="CX12" s="152">
        <v>85398.708745289085</v>
      </c>
      <c r="CY12" s="152">
        <v>85398.708745289085</v>
      </c>
    </row>
    <row r="13" spans="1:103" ht="12" customHeight="1">
      <c r="A13" s="25" t="s">
        <v>291</v>
      </c>
      <c r="B13" s="152">
        <v>72800</v>
      </c>
      <c r="C13" s="152">
        <v>72800</v>
      </c>
      <c r="D13" s="152">
        <v>72800</v>
      </c>
      <c r="E13" s="152">
        <v>72800</v>
      </c>
      <c r="F13" s="152">
        <v>72800</v>
      </c>
      <c r="G13" s="152">
        <v>72800</v>
      </c>
      <c r="H13" s="152">
        <v>72800</v>
      </c>
      <c r="I13" s="152">
        <v>72800</v>
      </c>
      <c r="J13" s="152">
        <v>72800</v>
      </c>
      <c r="K13" s="152">
        <v>72800</v>
      </c>
      <c r="L13" s="152">
        <v>72800</v>
      </c>
      <c r="M13" s="152">
        <v>72800</v>
      </c>
      <c r="N13" s="152">
        <v>75712</v>
      </c>
      <c r="O13" s="152">
        <v>75712</v>
      </c>
      <c r="P13" s="152">
        <v>75712</v>
      </c>
      <c r="Q13" s="152">
        <v>75712</v>
      </c>
      <c r="R13" s="152">
        <v>75712</v>
      </c>
      <c r="S13" s="152">
        <v>75712</v>
      </c>
      <c r="T13" s="152">
        <v>75712</v>
      </c>
      <c r="U13" s="152">
        <v>75712</v>
      </c>
      <c r="V13" s="152">
        <v>75712</v>
      </c>
      <c r="W13" s="152">
        <v>75712</v>
      </c>
      <c r="X13" s="152">
        <v>75712</v>
      </c>
      <c r="Y13" s="152">
        <v>75712</v>
      </c>
      <c r="Z13" s="152">
        <v>78740.479999999996</v>
      </c>
      <c r="AA13" s="152">
        <v>78740.479999999996</v>
      </c>
      <c r="AB13" s="152">
        <v>78740.479999999996</v>
      </c>
      <c r="AC13" s="152">
        <v>78740.479999999996</v>
      </c>
      <c r="AD13" s="152">
        <v>78740.479999999996</v>
      </c>
      <c r="AE13" s="152">
        <v>78740.479999999996</v>
      </c>
      <c r="AF13" s="152">
        <v>78740.479999999996</v>
      </c>
      <c r="AG13" s="152">
        <v>78740.479999999996</v>
      </c>
      <c r="AH13" s="152">
        <v>78740.479999999996</v>
      </c>
      <c r="AI13" s="152">
        <v>78740.479999999996</v>
      </c>
      <c r="AJ13" s="152">
        <v>78740.479999999996</v>
      </c>
      <c r="AK13" s="152">
        <v>78740.479999999996</v>
      </c>
      <c r="AL13" s="152">
        <v>81890.099199999997</v>
      </c>
      <c r="AM13" s="152">
        <v>81890.099199999997</v>
      </c>
      <c r="AN13" s="152">
        <v>81890.099199999997</v>
      </c>
      <c r="AO13" s="152">
        <v>81890.099199999997</v>
      </c>
      <c r="AP13" s="152">
        <v>81890.099199999997</v>
      </c>
      <c r="AQ13" s="152">
        <v>81890.099199999997</v>
      </c>
      <c r="AR13" s="152">
        <v>81890.099199999997</v>
      </c>
      <c r="AS13" s="152">
        <v>81890.099199999997</v>
      </c>
      <c r="AT13" s="152">
        <v>81890.099199999997</v>
      </c>
      <c r="AU13" s="152">
        <v>81890.099199999997</v>
      </c>
      <c r="AV13" s="152">
        <v>81890.099199999997</v>
      </c>
      <c r="AW13" s="152">
        <v>81890.099199999997</v>
      </c>
      <c r="AX13" s="152">
        <v>85165.703167999993</v>
      </c>
      <c r="AY13" s="152">
        <v>85165.703167999993</v>
      </c>
      <c r="AZ13" s="152">
        <v>85165.703167999993</v>
      </c>
      <c r="BA13" s="152">
        <v>85165.703167999993</v>
      </c>
      <c r="BB13" s="152">
        <v>85165.703167999993</v>
      </c>
      <c r="BC13" s="152">
        <v>85165.703167999993</v>
      </c>
      <c r="BD13" s="152">
        <v>85165.703167999993</v>
      </c>
      <c r="BE13" s="152">
        <v>85165.703167999993</v>
      </c>
      <c r="BF13" s="152">
        <v>85165.703167999993</v>
      </c>
      <c r="BG13" s="152">
        <v>85165.703167999993</v>
      </c>
      <c r="BH13" s="152">
        <v>85165.703167999993</v>
      </c>
      <c r="BI13" s="152">
        <v>85165.703167999993</v>
      </c>
      <c r="BJ13" s="152">
        <v>88572.331294719988</v>
      </c>
      <c r="BK13" s="152">
        <v>88572.331294719988</v>
      </c>
      <c r="BL13" s="152">
        <v>88572.331294719988</v>
      </c>
      <c r="BM13" s="152">
        <v>88572.331294719988</v>
      </c>
      <c r="BN13" s="152">
        <v>88572.331294719988</v>
      </c>
      <c r="BO13" s="152">
        <v>88572.331294719988</v>
      </c>
      <c r="BP13" s="152">
        <v>88572.331294719988</v>
      </c>
      <c r="BQ13" s="152">
        <v>88572.331294719988</v>
      </c>
      <c r="BR13" s="152">
        <v>88572.331294719988</v>
      </c>
      <c r="BS13" s="152">
        <v>88572.331294719988</v>
      </c>
      <c r="BT13" s="152">
        <v>88572.331294719988</v>
      </c>
      <c r="BU13" s="152">
        <v>88572.331294719988</v>
      </c>
      <c r="BV13" s="152">
        <v>92115.224546508791</v>
      </c>
      <c r="BW13" s="152">
        <v>92115.224546508791</v>
      </c>
      <c r="BX13" s="152">
        <v>92115.224546508791</v>
      </c>
      <c r="BY13" s="152">
        <v>92115.224546508791</v>
      </c>
      <c r="BZ13" s="152">
        <v>92115.224546508791</v>
      </c>
      <c r="CA13" s="152">
        <v>92115.224546508791</v>
      </c>
      <c r="CB13" s="152">
        <v>92115.224546508791</v>
      </c>
      <c r="CC13" s="152">
        <v>92115.224546508791</v>
      </c>
      <c r="CD13" s="152">
        <v>92115.224546508791</v>
      </c>
      <c r="CE13" s="152">
        <v>92115.224546508791</v>
      </c>
      <c r="CF13" s="152">
        <v>92115.224546508791</v>
      </c>
      <c r="CG13" s="152">
        <v>92115.224546508791</v>
      </c>
      <c r="CH13" s="152">
        <v>95799.833528369141</v>
      </c>
      <c r="CI13" s="152">
        <v>95799.833528369141</v>
      </c>
      <c r="CJ13" s="152">
        <v>95799.833528369141</v>
      </c>
      <c r="CK13" s="152">
        <v>95799.833528369141</v>
      </c>
      <c r="CL13" s="152">
        <v>95799.833528369141</v>
      </c>
      <c r="CM13" s="152">
        <v>95799.833528369141</v>
      </c>
      <c r="CN13" s="152">
        <v>95799.833528369141</v>
      </c>
      <c r="CO13" s="152">
        <v>95799.833528369141</v>
      </c>
      <c r="CP13" s="152">
        <v>95799.833528369141</v>
      </c>
      <c r="CQ13" s="152">
        <v>95799.833528369141</v>
      </c>
      <c r="CR13" s="152">
        <v>95799.833528369141</v>
      </c>
      <c r="CS13" s="152">
        <v>95799.833528369141</v>
      </c>
      <c r="CT13" s="152">
        <v>99631.826869503915</v>
      </c>
      <c r="CU13" s="152">
        <v>99631.826869503915</v>
      </c>
      <c r="CV13" s="152">
        <v>99631.826869503915</v>
      </c>
      <c r="CW13" s="152">
        <v>99631.826869503915</v>
      </c>
      <c r="CX13" s="152">
        <v>99631.826869503915</v>
      </c>
      <c r="CY13" s="152">
        <v>99631.826869503915</v>
      </c>
    </row>
    <row r="14" spans="1:103" ht="12" customHeight="1">
      <c r="A14" s="25" t="s">
        <v>292</v>
      </c>
      <c r="B14" s="152">
        <v>62400</v>
      </c>
      <c r="C14" s="152">
        <v>62400</v>
      </c>
      <c r="D14" s="152">
        <v>62400</v>
      </c>
      <c r="E14" s="152">
        <v>62400</v>
      </c>
      <c r="F14" s="152">
        <v>62400</v>
      </c>
      <c r="G14" s="152">
        <v>62400</v>
      </c>
      <c r="H14" s="152">
        <v>62400</v>
      </c>
      <c r="I14" s="152">
        <v>62400</v>
      </c>
      <c r="J14" s="152">
        <v>62400</v>
      </c>
      <c r="K14" s="152">
        <v>62400</v>
      </c>
      <c r="L14" s="152">
        <v>62400</v>
      </c>
      <c r="M14" s="152">
        <v>62400</v>
      </c>
      <c r="N14" s="152">
        <v>64896</v>
      </c>
      <c r="O14" s="152">
        <v>64896</v>
      </c>
      <c r="P14" s="152">
        <v>64896</v>
      </c>
      <c r="Q14" s="152">
        <v>64896</v>
      </c>
      <c r="R14" s="152">
        <v>64896</v>
      </c>
      <c r="S14" s="152">
        <v>64896</v>
      </c>
      <c r="T14" s="152">
        <v>64896</v>
      </c>
      <c r="U14" s="152">
        <v>64896</v>
      </c>
      <c r="V14" s="152">
        <v>64896</v>
      </c>
      <c r="W14" s="152">
        <v>64896</v>
      </c>
      <c r="X14" s="152">
        <v>64896</v>
      </c>
      <c r="Y14" s="152">
        <v>64896</v>
      </c>
      <c r="Z14" s="152">
        <v>67491.839999999997</v>
      </c>
      <c r="AA14" s="152">
        <v>67491.839999999997</v>
      </c>
      <c r="AB14" s="152">
        <v>67491.839999999997</v>
      </c>
      <c r="AC14" s="152">
        <v>67491.839999999997</v>
      </c>
      <c r="AD14" s="152">
        <v>67491.839999999997</v>
      </c>
      <c r="AE14" s="152">
        <v>67491.839999999997</v>
      </c>
      <c r="AF14" s="152">
        <v>67491.839999999997</v>
      </c>
      <c r="AG14" s="152">
        <v>67491.839999999997</v>
      </c>
      <c r="AH14" s="152">
        <v>67491.839999999997</v>
      </c>
      <c r="AI14" s="152">
        <v>67491.839999999997</v>
      </c>
      <c r="AJ14" s="152">
        <v>67491.839999999997</v>
      </c>
      <c r="AK14" s="152">
        <v>67491.839999999997</v>
      </c>
      <c r="AL14" s="152">
        <v>70191.513600000006</v>
      </c>
      <c r="AM14" s="152">
        <v>70191.513600000006</v>
      </c>
      <c r="AN14" s="152">
        <v>70191.513600000006</v>
      </c>
      <c r="AO14" s="152">
        <v>70191.513600000006</v>
      </c>
      <c r="AP14" s="152">
        <v>70191.513600000006</v>
      </c>
      <c r="AQ14" s="152">
        <v>70191.513600000006</v>
      </c>
      <c r="AR14" s="152">
        <v>70191.513600000006</v>
      </c>
      <c r="AS14" s="152">
        <v>70191.513600000006</v>
      </c>
      <c r="AT14" s="152">
        <v>70191.513600000006</v>
      </c>
      <c r="AU14" s="152">
        <v>70191.513600000006</v>
      </c>
      <c r="AV14" s="152">
        <v>70191.513600000006</v>
      </c>
      <c r="AW14" s="152">
        <v>70191.513600000006</v>
      </c>
      <c r="AX14" s="152">
        <v>72999.174144000004</v>
      </c>
      <c r="AY14" s="152">
        <v>72999.174144000004</v>
      </c>
      <c r="AZ14" s="152">
        <v>72999.174144000004</v>
      </c>
      <c r="BA14" s="152">
        <v>72999.174144000004</v>
      </c>
      <c r="BB14" s="152">
        <v>72999.174144000004</v>
      </c>
      <c r="BC14" s="152">
        <v>72999.174144000004</v>
      </c>
      <c r="BD14" s="152">
        <v>72999.174144000004</v>
      </c>
      <c r="BE14" s="152">
        <v>72999.174144000004</v>
      </c>
      <c r="BF14" s="152">
        <v>72999.174144000004</v>
      </c>
      <c r="BG14" s="152">
        <v>72999.174144000004</v>
      </c>
      <c r="BH14" s="152">
        <v>72999.174144000004</v>
      </c>
      <c r="BI14" s="152">
        <v>72999.174144000004</v>
      </c>
      <c r="BJ14" s="152">
        <v>75919.141109760007</v>
      </c>
      <c r="BK14" s="152">
        <v>75919.141109760007</v>
      </c>
      <c r="BL14" s="152">
        <v>75919.141109760007</v>
      </c>
      <c r="BM14" s="152">
        <v>75919.141109760007</v>
      </c>
      <c r="BN14" s="152">
        <v>75919.141109760007</v>
      </c>
      <c r="BO14" s="152">
        <v>75919.141109760007</v>
      </c>
      <c r="BP14" s="152">
        <v>75919.141109760007</v>
      </c>
      <c r="BQ14" s="152">
        <v>75919.141109760007</v>
      </c>
      <c r="BR14" s="152">
        <v>75919.141109760007</v>
      </c>
      <c r="BS14" s="152">
        <v>75919.141109760007</v>
      </c>
      <c r="BT14" s="152">
        <v>75919.141109760007</v>
      </c>
      <c r="BU14" s="152">
        <v>75919.141109760007</v>
      </c>
      <c r="BV14" s="152">
        <v>78955.906754150405</v>
      </c>
      <c r="BW14" s="152">
        <v>78955.906754150405</v>
      </c>
      <c r="BX14" s="152">
        <v>78955.906754150405</v>
      </c>
      <c r="BY14" s="152">
        <v>78955.906754150405</v>
      </c>
      <c r="BZ14" s="152">
        <v>78955.906754150405</v>
      </c>
      <c r="CA14" s="152">
        <v>78955.906754150405</v>
      </c>
      <c r="CB14" s="152">
        <v>78955.906754150405</v>
      </c>
      <c r="CC14" s="152">
        <v>78955.906754150405</v>
      </c>
      <c r="CD14" s="152">
        <v>78955.906754150405</v>
      </c>
      <c r="CE14" s="152">
        <v>78955.906754150405</v>
      </c>
      <c r="CF14" s="152">
        <v>78955.906754150405</v>
      </c>
      <c r="CG14" s="152">
        <v>78955.906754150405</v>
      </c>
      <c r="CH14" s="152">
        <v>82114.143024316421</v>
      </c>
      <c r="CI14" s="152">
        <v>82114.143024316421</v>
      </c>
      <c r="CJ14" s="152">
        <v>82114.143024316421</v>
      </c>
      <c r="CK14" s="152">
        <v>82114.143024316421</v>
      </c>
      <c r="CL14" s="152">
        <v>82114.143024316421</v>
      </c>
      <c r="CM14" s="152">
        <v>82114.143024316421</v>
      </c>
      <c r="CN14" s="152">
        <v>82114.143024316421</v>
      </c>
      <c r="CO14" s="152">
        <v>82114.143024316421</v>
      </c>
      <c r="CP14" s="152">
        <v>82114.143024316421</v>
      </c>
      <c r="CQ14" s="152">
        <v>82114.143024316421</v>
      </c>
      <c r="CR14" s="152">
        <v>82114.143024316421</v>
      </c>
      <c r="CS14" s="152">
        <v>82114.143024316421</v>
      </c>
      <c r="CT14" s="152">
        <v>85398.708745289085</v>
      </c>
      <c r="CU14" s="152">
        <v>85398.708745289085</v>
      </c>
      <c r="CV14" s="152">
        <v>85398.708745289085</v>
      </c>
      <c r="CW14" s="152">
        <v>85398.708745289085</v>
      </c>
      <c r="CX14" s="152">
        <v>85398.708745289085</v>
      </c>
      <c r="CY14" s="152">
        <v>85398.708745289085</v>
      </c>
    </row>
    <row r="15" spans="1:103" ht="12" customHeight="1">
      <c r="A15" s="25" t="s">
        <v>293</v>
      </c>
      <c r="B15" s="152">
        <v>72800</v>
      </c>
      <c r="C15" s="152">
        <v>72800</v>
      </c>
      <c r="D15" s="152">
        <v>72800</v>
      </c>
      <c r="E15" s="152">
        <v>72800</v>
      </c>
      <c r="F15" s="152">
        <v>72800</v>
      </c>
      <c r="G15" s="152">
        <v>72800</v>
      </c>
      <c r="H15" s="152">
        <v>72800</v>
      </c>
      <c r="I15" s="152">
        <v>72800</v>
      </c>
      <c r="J15" s="152">
        <v>72800</v>
      </c>
      <c r="K15" s="152">
        <v>72800</v>
      </c>
      <c r="L15" s="152">
        <v>72800</v>
      </c>
      <c r="M15" s="152">
        <v>72800</v>
      </c>
      <c r="N15" s="152">
        <v>75712</v>
      </c>
      <c r="O15" s="152">
        <v>75712</v>
      </c>
      <c r="P15" s="152">
        <v>75712</v>
      </c>
      <c r="Q15" s="152">
        <v>75712</v>
      </c>
      <c r="R15" s="152">
        <v>75712</v>
      </c>
      <c r="S15" s="152">
        <v>75712</v>
      </c>
      <c r="T15" s="152">
        <v>75712</v>
      </c>
      <c r="U15" s="152">
        <v>75712</v>
      </c>
      <c r="V15" s="152">
        <v>75712</v>
      </c>
      <c r="W15" s="152">
        <v>75712</v>
      </c>
      <c r="X15" s="152">
        <v>75712</v>
      </c>
      <c r="Y15" s="152">
        <v>75712</v>
      </c>
      <c r="Z15" s="152">
        <v>78740.479999999996</v>
      </c>
      <c r="AA15" s="152">
        <v>78740.479999999996</v>
      </c>
      <c r="AB15" s="152">
        <v>78740.479999999996</v>
      </c>
      <c r="AC15" s="152">
        <v>78740.479999999996</v>
      </c>
      <c r="AD15" s="152">
        <v>78740.479999999996</v>
      </c>
      <c r="AE15" s="152">
        <v>78740.479999999996</v>
      </c>
      <c r="AF15" s="152">
        <v>78740.479999999996</v>
      </c>
      <c r="AG15" s="152">
        <v>78740.479999999996</v>
      </c>
      <c r="AH15" s="152">
        <v>78740.479999999996</v>
      </c>
      <c r="AI15" s="152">
        <v>78740.479999999996</v>
      </c>
      <c r="AJ15" s="152">
        <v>78740.479999999996</v>
      </c>
      <c r="AK15" s="152">
        <v>78740.479999999996</v>
      </c>
      <c r="AL15" s="152">
        <v>81890.099199999997</v>
      </c>
      <c r="AM15" s="152">
        <v>81890.099199999997</v>
      </c>
      <c r="AN15" s="152">
        <v>81890.099199999997</v>
      </c>
      <c r="AO15" s="152">
        <v>81890.099199999997</v>
      </c>
      <c r="AP15" s="152">
        <v>81890.099199999997</v>
      </c>
      <c r="AQ15" s="152">
        <v>81890.099199999997</v>
      </c>
      <c r="AR15" s="152">
        <v>81890.099199999997</v>
      </c>
      <c r="AS15" s="152">
        <v>81890.099199999997</v>
      </c>
      <c r="AT15" s="152">
        <v>81890.099199999997</v>
      </c>
      <c r="AU15" s="152">
        <v>81890.099199999997</v>
      </c>
      <c r="AV15" s="152">
        <v>81890.099199999997</v>
      </c>
      <c r="AW15" s="152">
        <v>81890.099199999997</v>
      </c>
      <c r="AX15" s="152">
        <v>85165.703167999993</v>
      </c>
      <c r="AY15" s="152">
        <v>85165.703167999993</v>
      </c>
      <c r="AZ15" s="152">
        <v>85165.703167999993</v>
      </c>
      <c r="BA15" s="152">
        <v>85165.703167999993</v>
      </c>
      <c r="BB15" s="152">
        <v>85165.703167999993</v>
      </c>
      <c r="BC15" s="152">
        <v>85165.703167999993</v>
      </c>
      <c r="BD15" s="152">
        <v>85165.703167999993</v>
      </c>
      <c r="BE15" s="152">
        <v>85165.703167999993</v>
      </c>
      <c r="BF15" s="152">
        <v>85165.703167999993</v>
      </c>
      <c r="BG15" s="152">
        <v>85165.703167999993</v>
      </c>
      <c r="BH15" s="152">
        <v>85165.703167999993</v>
      </c>
      <c r="BI15" s="152">
        <v>85165.703167999993</v>
      </c>
      <c r="BJ15" s="152">
        <v>88572.331294719988</v>
      </c>
      <c r="BK15" s="152">
        <v>88572.331294719988</v>
      </c>
      <c r="BL15" s="152">
        <v>88572.331294719988</v>
      </c>
      <c r="BM15" s="152">
        <v>88572.331294719988</v>
      </c>
      <c r="BN15" s="152">
        <v>88572.331294719988</v>
      </c>
      <c r="BO15" s="152">
        <v>88572.331294719988</v>
      </c>
      <c r="BP15" s="152">
        <v>88572.331294719988</v>
      </c>
      <c r="BQ15" s="152">
        <v>88572.331294719988</v>
      </c>
      <c r="BR15" s="152">
        <v>88572.331294719988</v>
      </c>
      <c r="BS15" s="152">
        <v>88572.331294719988</v>
      </c>
      <c r="BT15" s="152">
        <v>88572.331294719988</v>
      </c>
      <c r="BU15" s="152">
        <v>88572.331294719988</v>
      </c>
      <c r="BV15" s="152">
        <v>92115.224546508791</v>
      </c>
      <c r="BW15" s="152">
        <v>92115.224546508791</v>
      </c>
      <c r="BX15" s="152">
        <v>92115.224546508791</v>
      </c>
      <c r="BY15" s="152">
        <v>92115.224546508791</v>
      </c>
      <c r="BZ15" s="152">
        <v>92115.224546508791</v>
      </c>
      <c r="CA15" s="152">
        <v>92115.224546508791</v>
      </c>
      <c r="CB15" s="152">
        <v>92115.224546508791</v>
      </c>
      <c r="CC15" s="152">
        <v>92115.224546508791</v>
      </c>
      <c r="CD15" s="152">
        <v>92115.224546508791</v>
      </c>
      <c r="CE15" s="152">
        <v>92115.224546508791</v>
      </c>
      <c r="CF15" s="152">
        <v>92115.224546508791</v>
      </c>
      <c r="CG15" s="152">
        <v>92115.224546508791</v>
      </c>
      <c r="CH15" s="152">
        <v>95799.833528369141</v>
      </c>
      <c r="CI15" s="152">
        <v>95799.833528369141</v>
      </c>
      <c r="CJ15" s="152">
        <v>95799.833528369141</v>
      </c>
      <c r="CK15" s="152">
        <v>95799.833528369141</v>
      </c>
      <c r="CL15" s="152">
        <v>95799.833528369141</v>
      </c>
      <c r="CM15" s="152">
        <v>95799.833528369141</v>
      </c>
      <c r="CN15" s="152">
        <v>95799.833528369141</v>
      </c>
      <c r="CO15" s="152">
        <v>95799.833528369141</v>
      </c>
      <c r="CP15" s="152">
        <v>95799.833528369141</v>
      </c>
      <c r="CQ15" s="152">
        <v>95799.833528369141</v>
      </c>
      <c r="CR15" s="152">
        <v>95799.833528369141</v>
      </c>
      <c r="CS15" s="152">
        <v>95799.833528369141</v>
      </c>
      <c r="CT15" s="152">
        <v>99631.826869503915</v>
      </c>
      <c r="CU15" s="152">
        <v>99631.826869503915</v>
      </c>
      <c r="CV15" s="152">
        <v>99631.826869503915</v>
      </c>
      <c r="CW15" s="152">
        <v>99631.826869503915</v>
      </c>
      <c r="CX15" s="152">
        <v>99631.826869503915</v>
      </c>
      <c r="CY15" s="152">
        <v>99631.826869503915</v>
      </c>
    </row>
    <row r="16" spans="1:103" ht="12" customHeight="1">
      <c r="A16" s="25" t="s">
        <v>294</v>
      </c>
      <c r="B16" s="152">
        <v>210000</v>
      </c>
      <c r="C16" s="152">
        <v>210000</v>
      </c>
      <c r="D16" s="152">
        <v>210000</v>
      </c>
      <c r="E16" s="152">
        <v>210000</v>
      </c>
      <c r="F16" s="152">
        <v>210000</v>
      </c>
      <c r="G16" s="152">
        <v>210000</v>
      </c>
      <c r="H16" s="152">
        <v>210000</v>
      </c>
      <c r="I16" s="152">
        <v>210000</v>
      </c>
      <c r="J16" s="152">
        <v>210000</v>
      </c>
      <c r="K16" s="152">
        <v>210000</v>
      </c>
      <c r="L16" s="152">
        <v>210000</v>
      </c>
      <c r="M16" s="152">
        <v>210000</v>
      </c>
      <c r="N16" s="152">
        <v>218400</v>
      </c>
      <c r="O16" s="152">
        <v>218400</v>
      </c>
      <c r="P16" s="152">
        <v>218400</v>
      </c>
      <c r="Q16" s="152">
        <v>218400</v>
      </c>
      <c r="R16" s="152">
        <v>218400</v>
      </c>
      <c r="S16" s="152">
        <v>218400</v>
      </c>
      <c r="T16" s="152">
        <v>218400</v>
      </c>
      <c r="U16" s="152">
        <v>218400</v>
      </c>
      <c r="V16" s="152">
        <v>218400</v>
      </c>
      <c r="W16" s="152">
        <v>218400</v>
      </c>
      <c r="X16" s="152">
        <v>218400</v>
      </c>
      <c r="Y16" s="152">
        <v>218400</v>
      </c>
      <c r="Z16" s="152">
        <v>227136</v>
      </c>
      <c r="AA16" s="152">
        <v>227136</v>
      </c>
      <c r="AB16" s="152">
        <v>227136</v>
      </c>
      <c r="AC16" s="152">
        <v>227136</v>
      </c>
      <c r="AD16" s="152">
        <v>227136</v>
      </c>
      <c r="AE16" s="152">
        <v>227136</v>
      </c>
      <c r="AF16" s="152">
        <v>227136</v>
      </c>
      <c r="AG16" s="152">
        <v>227136</v>
      </c>
      <c r="AH16" s="152">
        <v>227136</v>
      </c>
      <c r="AI16" s="152">
        <v>227136</v>
      </c>
      <c r="AJ16" s="152">
        <v>227136</v>
      </c>
      <c r="AK16" s="152">
        <v>227136</v>
      </c>
      <c r="AL16" s="152">
        <v>236221.44</v>
      </c>
      <c r="AM16" s="152">
        <v>236221.44</v>
      </c>
      <c r="AN16" s="152">
        <v>236221.44</v>
      </c>
      <c r="AO16" s="152">
        <v>236221.44</v>
      </c>
      <c r="AP16" s="152">
        <v>236221.44</v>
      </c>
      <c r="AQ16" s="152">
        <v>236221.44</v>
      </c>
      <c r="AR16" s="152">
        <v>236221.44</v>
      </c>
      <c r="AS16" s="152">
        <v>236221.44</v>
      </c>
      <c r="AT16" s="152">
        <v>236221.44</v>
      </c>
      <c r="AU16" s="152">
        <v>236221.44</v>
      </c>
      <c r="AV16" s="152">
        <v>236221.44</v>
      </c>
      <c r="AW16" s="152">
        <v>236221.44</v>
      </c>
      <c r="AX16" s="152">
        <v>245670.29760000002</v>
      </c>
      <c r="AY16" s="152">
        <v>245670.29760000002</v>
      </c>
      <c r="AZ16" s="152">
        <v>245670.29760000002</v>
      </c>
      <c r="BA16" s="152">
        <v>245670.29760000002</v>
      </c>
      <c r="BB16" s="152">
        <v>245670.29760000002</v>
      </c>
      <c r="BC16" s="152">
        <v>245670.29760000002</v>
      </c>
      <c r="BD16" s="152">
        <v>245670.29760000002</v>
      </c>
      <c r="BE16" s="152">
        <v>245670.29760000002</v>
      </c>
      <c r="BF16" s="152">
        <v>245670.29760000002</v>
      </c>
      <c r="BG16" s="152">
        <v>245670.29760000002</v>
      </c>
      <c r="BH16" s="152">
        <v>245670.29760000002</v>
      </c>
      <c r="BI16" s="152">
        <v>245670.29760000002</v>
      </c>
      <c r="BJ16" s="152">
        <v>255497.10950400002</v>
      </c>
      <c r="BK16" s="152">
        <v>255497.10950400002</v>
      </c>
      <c r="BL16" s="152">
        <v>255497.10950400002</v>
      </c>
      <c r="BM16" s="152">
        <v>255497.10950400002</v>
      </c>
      <c r="BN16" s="152">
        <v>255497.10950400002</v>
      </c>
      <c r="BO16" s="152">
        <v>255497.10950400002</v>
      </c>
      <c r="BP16" s="152">
        <v>255497.10950400002</v>
      </c>
      <c r="BQ16" s="152">
        <v>255497.10950400002</v>
      </c>
      <c r="BR16" s="152">
        <v>255497.10950400002</v>
      </c>
      <c r="BS16" s="152">
        <v>255497.10950400002</v>
      </c>
      <c r="BT16" s="152">
        <v>255497.10950400002</v>
      </c>
      <c r="BU16" s="152">
        <v>255497.10950400002</v>
      </c>
      <c r="BV16" s="152">
        <v>265716.99388416001</v>
      </c>
      <c r="BW16" s="152">
        <v>265716.99388416001</v>
      </c>
      <c r="BX16" s="152">
        <v>265716.99388416001</v>
      </c>
      <c r="BY16" s="152">
        <v>265716.99388416001</v>
      </c>
      <c r="BZ16" s="152">
        <v>265716.99388416001</v>
      </c>
      <c r="CA16" s="152">
        <v>265716.99388416001</v>
      </c>
      <c r="CB16" s="152">
        <v>265716.99388416001</v>
      </c>
      <c r="CC16" s="152">
        <v>265716.99388416001</v>
      </c>
      <c r="CD16" s="152">
        <v>265716.99388416001</v>
      </c>
      <c r="CE16" s="152">
        <v>265716.99388416001</v>
      </c>
      <c r="CF16" s="152">
        <v>265716.99388416001</v>
      </c>
      <c r="CG16" s="152">
        <v>265716.99388416001</v>
      </c>
      <c r="CH16" s="152">
        <v>276345.67363952642</v>
      </c>
      <c r="CI16" s="152">
        <v>276345.67363952642</v>
      </c>
      <c r="CJ16" s="152">
        <v>276345.67363952642</v>
      </c>
      <c r="CK16" s="152">
        <v>276345.67363952642</v>
      </c>
      <c r="CL16" s="152">
        <v>276345.67363952642</v>
      </c>
      <c r="CM16" s="152">
        <v>276345.67363952642</v>
      </c>
      <c r="CN16" s="152">
        <v>276345.67363952642</v>
      </c>
      <c r="CO16" s="152">
        <v>276345.67363952642</v>
      </c>
      <c r="CP16" s="152">
        <v>276345.67363952642</v>
      </c>
      <c r="CQ16" s="152">
        <v>276345.67363952642</v>
      </c>
      <c r="CR16" s="152">
        <v>276345.67363952642</v>
      </c>
      <c r="CS16" s="152">
        <v>276345.67363952642</v>
      </c>
      <c r="CT16" s="152">
        <v>287399.50058510748</v>
      </c>
      <c r="CU16" s="152">
        <v>287399.50058510748</v>
      </c>
      <c r="CV16" s="152">
        <v>287399.50058510748</v>
      </c>
      <c r="CW16" s="152">
        <v>287399.50058510748</v>
      </c>
      <c r="CX16" s="152">
        <v>287399.50058510748</v>
      </c>
      <c r="CY16" s="152">
        <v>287399.50058510748</v>
      </c>
    </row>
    <row r="17" spans="1:103" ht="12" customHeight="1">
      <c r="A17" s="25" t="s">
        <v>295</v>
      </c>
      <c r="B17" s="152">
        <v>150000</v>
      </c>
      <c r="C17" s="152">
        <v>150000</v>
      </c>
      <c r="D17" s="152">
        <v>150000</v>
      </c>
      <c r="E17" s="152">
        <v>150000</v>
      </c>
      <c r="F17" s="152">
        <v>150000</v>
      </c>
      <c r="G17" s="152">
        <v>150000</v>
      </c>
      <c r="H17" s="152">
        <v>150000</v>
      </c>
      <c r="I17" s="152">
        <v>150000</v>
      </c>
      <c r="J17" s="152">
        <v>150000</v>
      </c>
      <c r="K17" s="152">
        <v>150000</v>
      </c>
      <c r="L17" s="152">
        <v>150000</v>
      </c>
      <c r="M17" s="152">
        <v>150000</v>
      </c>
      <c r="N17" s="152">
        <v>156000</v>
      </c>
      <c r="O17" s="152">
        <v>156000</v>
      </c>
      <c r="P17" s="152">
        <v>156000</v>
      </c>
      <c r="Q17" s="152">
        <v>156000</v>
      </c>
      <c r="R17" s="152">
        <v>156000</v>
      </c>
      <c r="S17" s="152">
        <v>156000</v>
      </c>
      <c r="T17" s="152">
        <v>156000</v>
      </c>
      <c r="U17" s="152">
        <v>156000</v>
      </c>
      <c r="V17" s="152">
        <v>156000</v>
      </c>
      <c r="W17" s="152">
        <v>156000</v>
      </c>
      <c r="X17" s="152">
        <v>156000</v>
      </c>
      <c r="Y17" s="152">
        <v>156000</v>
      </c>
      <c r="Z17" s="152">
        <v>162240</v>
      </c>
      <c r="AA17" s="152">
        <v>162240</v>
      </c>
      <c r="AB17" s="152">
        <v>162240</v>
      </c>
      <c r="AC17" s="152">
        <v>162240</v>
      </c>
      <c r="AD17" s="152">
        <v>162240</v>
      </c>
      <c r="AE17" s="152">
        <v>162240</v>
      </c>
      <c r="AF17" s="152">
        <v>162240</v>
      </c>
      <c r="AG17" s="152">
        <v>162240</v>
      </c>
      <c r="AH17" s="152">
        <v>162240</v>
      </c>
      <c r="AI17" s="152">
        <v>162240</v>
      </c>
      <c r="AJ17" s="152">
        <v>162240</v>
      </c>
      <c r="AK17" s="152">
        <v>162240</v>
      </c>
      <c r="AL17" s="152">
        <v>168729.60000000001</v>
      </c>
      <c r="AM17" s="152">
        <v>168729.60000000001</v>
      </c>
      <c r="AN17" s="152">
        <v>168729.60000000001</v>
      </c>
      <c r="AO17" s="152">
        <v>168729.60000000001</v>
      </c>
      <c r="AP17" s="152">
        <v>168729.60000000001</v>
      </c>
      <c r="AQ17" s="152">
        <v>168729.60000000001</v>
      </c>
      <c r="AR17" s="152">
        <v>168729.60000000001</v>
      </c>
      <c r="AS17" s="152">
        <v>168729.60000000001</v>
      </c>
      <c r="AT17" s="152">
        <v>168729.60000000001</v>
      </c>
      <c r="AU17" s="152">
        <v>168729.60000000001</v>
      </c>
      <c r="AV17" s="152">
        <v>168729.60000000001</v>
      </c>
      <c r="AW17" s="152">
        <v>168729.60000000001</v>
      </c>
      <c r="AX17" s="152">
        <v>175478.78400000001</v>
      </c>
      <c r="AY17" s="152">
        <v>175478.78400000001</v>
      </c>
      <c r="AZ17" s="152">
        <v>175478.78400000001</v>
      </c>
      <c r="BA17" s="152">
        <v>175478.78400000001</v>
      </c>
      <c r="BB17" s="152">
        <v>175478.78400000001</v>
      </c>
      <c r="BC17" s="152">
        <v>175478.78400000001</v>
      </c>
      <c r="BD17" s="152">
        <v>175478.78400000001</v>
      </c>
      <c r="BE17" s="152">
        <v>175478.78400000001</v>
      </c>
      <c r="BF17" s="152">
        <v>175478.78400000001</v>
      </c>
      <c r="BG17" s="152">
        <v>175478.78400000001</v>
      </c>
      <c r="BH17" s="152">
        <v>175478.78400000001</v>
      </c>
      <c r="BI17" s="152">
        <v>175478.78400000001</v>
      </c>
      <c r="BJ17" s="152">
        <v>182497.93536000003</v>
      </c>
      <c r="BK17" s="152">
        <v>182497.93536000003</v>
      </c>
      <c r="BL17" s="152">
        <v>182497.93536000003</v>
      </c>
      <c r="BM17" s="152">
        <v>182497.93536000003</v>
      </c>
      <c r="BN17" s="152">
        <v>182497.93536000003</v>
      </c>
      <c r="BO17" s="152">
        <v>182497.93536000003</v>
      </c>
      <c r="BP17" s="152">
        <v>182497.93536000003</v>
      </c>
      <c r="BQ17" s="152">
        <v>182497.93536000003</v>
      </c>
      <c r="BR17" s="152">
        <v>182497.93536000003</v>
      </c>
      <c r="BS17" s="152">
        <v>182497.93536000003</v>
      </c>
      <c r="BT17" s="152">
        <v>182497.93536000003</v>
      </c>
      <c r="BU17" s="152">
        <v>182497.93536000003</v>
      </c>
      <c r="BV17" s="152">
        <v>189797.85277440003</v>
      </c>
      <c r="BW17" s="152">
        <v>189797.85277440003</v>
      </c>
      <c r="BX17" s="152">
        <v>189797.85277440003</v>
      </c>
      <c r="BY17" s="152">
        <v>189797.85277440003</v>
      </c>
      <c r="BZ17" s="152">
        <v>189797.85277440003</v>
      </c>
      <c r="CA17" s="152">
        <v>189797.85277440003</v>
      </c>
      <c r="CB17" s="152">
        <v>189797.85277440003</v>
      </c>
      <c r="CC17" s="152">
        <v>189797.85277440003</v>
      </c>
      <c r="CD17" s="152">
        <v>189797.85277440003</v>
      </c>
      <c r="CE17" s="152">
        <v>189797.85277440003</v>
      </c>
      <c r="CF17" s="152">
        <v>189797.85277440003</v>
      </c>
      <c r="CG17" s="152">
        <v>189797.85277440003</v>
      </c>
      <c r="CH17" s="152">
        <v>197389.76688537604</v>
      </c>
      <c r="CI17" s="152">
        <v>197389.76688537604</v>
      </c>
      <c r="CJ17" s="152">
        <v>197389.76688537604</v>
      </c>
      <c r="CK17" s="152">
        <v>197389.76688537604</v>
      </c>
      <c r="CL17" s="152">
        <v>197389.76688537604</v>
      </c>
      <c r="CM17" s="152">
        <v>197389.76688537604</v>
      </c>
      <c r="CN17" s="152">
        <v>197389.76688537604</v>
      </c>
      <c r="CO17" s="152">
        <v>197389.76688537604</v>
      </c>
      <c r="CP17" s="152">
        <v>197389.76688537604</v>
      </c>
      <c r="CQ17" s="152">
        <v>197389.76688537604</v>
      </c>
      <c r="CR17" s="152">
        <v>197389.76688537604</v>
      </c>
      <c r="CS17" s="152">
        <v>197389.76688537604</v>
      </c>
      <c r="CT17" s="152">
        <v>205285.35756079108</v>
      </c>
      <c r="CU17" s="152">
        <v>205285.35756079108</v>
      </c>
      <c r="CV17" s="152">
        <v>205285.35756079108</v>
      </c>
      <c r="CW17" s="152">
        <v>205285.35756079108</v>
      </c>
      <c r="CX17" s="152">
        <v>205285.35756079108</v>
      </c>
      <c r="CY17" s="152">
        <v>205285.35756079108</v>
      </c>
    </row>
    <row r="18" spans="1:103" ht="12" customHeight="1">
      <c r="A18" s="25" t="s">
        <v>296</v>
      </c>
      <c r="B18" s="152">
        <v>231000.00000000003</v>
      </c>
      <c r="C18" s="152">
        <v>231000.00000000003</v>
      </c>
      <c r="D18" s="152">
        <v>231000.00000000003</v>
      </c>
      <c r="E18" s="152">
        <v>231000.00000000003</v>
      </c>
      <c r="F18" s="152">
        <v>231000.00000000003</v>
      </c>
      <c r="G18" s="152">
        <v>254100.00000000006</v>
      </c>
      <c r="H18" s="152">
        <v>254100.00000000006</v>
      </c>
      <c r="I18" s="152">
        <v>254100.00000000006</v>
      </c>
      <c r="J18" s="152">
        <v>254100.00000000006</v>
      </c>
      <c r="K18" s="152">
        <v>254100.00000000006</v>
      </c>
      <c r="L18" s="152">
        <v>254100.00000000006</v>
      </c>
      <c r="M18" s="152">
        <v>254100.00000000006</v>
      </c>
      <c r="N18" s="152">
        <v>254100.00000000006</v>
      </c>
      <c r="O18" s="152">
        <v>254100.00000000006</v>
      </c>
      <c r="P18" s="152">
        <v>254100.00000000006</v>
      </c>
      <c r="Q18" s="152">
        <v>254100.00000000006</v>
      </c>
      <c r="R18" s="152">
        <v>254100.00000000006</v>
      </c>
      <c r="S18" s="152">
        <v>279510.00000000006</v>
      </c>
      <c r="T18" s="152">
        <v>279510.00000000006</v>
      </c>
      <c r="U18" s="152">
        <v>279510.00000000006</v>
      </c>
      <c r="V18" s="152">
        <v>279510.00000000006</v>
      </c>
      <c r="W18" s="152">
        <v>279510.00000000006</v>
      </c>
      <c r="X18" s="152">
        <v>279510.00000000006</v>
      </c>
      <c r="Y18" s="152">
        <v>279510.00000000006</v>
      </c>
      <c r="Z18" s="152">
        <v>279510.00000000006</v>
      </c>
      <c r="AA18" s="152">
        <v>279510.00000000006</v>
      </c>
      <c r="AB18" s="152">
        <v>279510.00000000006</v>
      </c>
      <c r="AC18" s="152">
        <v>279510.00000000006</v>
      </c>
      <c r="AD18" s="152">
        <v>279510.00000000006</v>
      </c>
      <c r="AE18" s="152">
        <v>307461.00000000012</v>
      </c>
      <c r="AF18" s="152">
        <v>307461.00000000012</v>
      </c>
      <c r="AG18" s="152">
        <v>307461.00000000012</v>
      </c>
      <c r="AH18" s="152">
        <v>307461.00000000012</v>
      </c>
      <c r="AI18" s="152">
        <v>307461.00000000012</v>
      </c>
      <c r="AJ18" s="152">
        <v>307461.00000000012</v>
      </c>
      <c r="AK18" s="152">
        <v>307461.00000000012</v>
      </c>
      <c r="AL18" s="152">
        <v>307461.00000000012</v>
      </c>
      <c r="AM18" s="152">
        <v>307461.00000000012</v>
      </c>
      <c r="AN18" s="152">
        <v>307461.00000000012</v>
      </c>
      <c r="AO18" s="152">
        <v>307461.00000000012</v>
      </c>
      <c r="AP18" s="152">
        <v>307461.00000000012</v>
      </c>
      <c r="AQ18" s="152">
        <v>338207.10000000015</v>
      </c>
      <c r="AR18" s="152">
        <v>338207.10000000015</v>
      </c>
      <c r="AS18" s="152">
        <v>338207.10000000015</v>
      </c>
      <c r="AT18" s="152">
        <v>338207.10000000015</v>
      </c>
      <c r="AU18" s="152">
        <v>338207.10000000015</v>
      </c>
      <c r="AV18" s="152">
        <v>338207.10000000015</v>
      </c>
      <c r="AW18" s="152">
        <v>338207.10000000015</v>
      </c>
      <c r="AX18" s="152">
        <v>338207.10000000015</v>
      </c>
      <c r="AY18" s="152">
        <v>338207.10000000015</v>
      </c>
      <c r="AZ18" s="152">
        <v>338207.10000000015</v>
      </c>
      <c r="BA18" s="152">
        <v>338207.10000000015</v>
      </c>
      <c r="BB18" s="152">
        <v>338207.10000000015</v>
      </c>
      <c r="BC18" s="152">
        <v>372027.81000000017</v>
      </c>
      <c r="BD18" s="152">
        <v>372027.81000000017</v>
      </c>
      <c r="BE18" s="152">
        <v>372027.81000000017</v>
      </c>
      <c r="BF18" s="152">
        <v>372027.81000000017</v>
      </c>
      <c r="BG18" s="152">
        <v>372027.81000000017</v>
      </c>
      <c r="BH18" s="152">
        <v>372027.81000000017</v>
      </c>
      <c r="BI18" s="152">
        <v>372027.81000000017</v>
      </c>
      <c r="BJ18" s="152">
        <v>372027.81000000017</v>
      </c>
      <c r="BK18" s="152">
        <v>372027.81000000017</v>
      </c>
      <c r="BL18" s="152">
        <v>372027.81000000017</v>
      </c>
      <c r="BM18" s="152">
        <v>372027.81000000017</v>
      </c>
      <c r="BN18" s="152">
        <v>372027.81000000017</v>
      </c>
      <c r="BO18" s="152">
        <v>409230.59100000025</v>
      </c>
      <c r="BP18" s="152">
        <v>409230.59100000025</v>
      </c>
      <c r="BQ18" s="152">
        <v>409230.59100000025</v>
      </c>
      <c r="BR18" s="152">
        <v>409230.59100000025</v>
      </c>
      <c r="BS18" s="152">
        <v>409230.59100000025</v>
      </c>
      <c r="BT18" s="152">
        <v>409230.59100000025</v>
      </c>
      <c r="BU18" s="152">
        <v>409230.59100000025</v>
      </c>
      <c r="BV18" s="152">
        <v>409230.59100000025</v>
      </c>
      <c r="BW18" s="152">
        <v>409230.59100000025</v>
      </c>
      <c r="BX18" s="152">
        <v>409230.59100000025</v>
      </c>
      <c r="BY18" s="152">
        <v>409230.59100000025</v>
      </c>
      <c r="BZ18" s="152">
        <v>409230.59100000025</v>
      </c>
      <c r="CA18" s="152">
        <v>450153.65010000032</v>
      </c>
      <c r="CB18" s="152">
        <v>450153.65010000032</v>
      </c>
      <c r="CC18" s="152">
        <v>450153.65010000032</v>
      </c>
      <c r="CD18" s="152">
        <v>450153.65010000032</v>
      </c>
      <c r="CE18" s="152">
        <v>450153.65010000032</v>
      </c>
      <c r="CF18" s="152">
        <v>450153.65010000032</v>
      </c>
      <c r="CG18" s="152">
        <v>450153.65010000032</v>
      </c>
      <c r="CH18" s="152">
        <v>450153.65010000032</v>
      </c>
      <c r="CI18" s="152">
        <v>450153.65010000032</v>
      </c>
      <c r="CJ18" s="152">
        <v>450153.65010000032</v>
      </c>
      <c r="CK18" s="152">
        <v>450153.65010000032</v>
      </c>
      <c r="CL18" s="152">
        <v>450153.65010000032</v>
      </c>
      <c r="CM18" s="152">
        <v>495169.01511000039</v>
      </c>
      <c r="CN18" s="152">
        <v>495169.01511000039</v>
      </c>
      <c r="CO18" s="152">
        <v>495169.01511000039</v>
      </c>
      <c r="CP18" s="152">
        <v>495169.01511000039</v>
      </c>
      <c r="CQ18" s="152">
        <v>495169.01511000039</v>
      </c>
      <c r="CR18" s="152">
        <v>495169.01511000039</v>
      </c>
      <c r="CS18" s="152">
        <v>495169.01511000039</v>
      </c>
      <c r="CT18" s="152">
        <v>495169.01511000039</v>
      </c>
      <c r="CU18" s="152">
        <v>495169.01511000039</v>
      </c>
      <c r="CV18" s="152">
        <v>495169.01511000039</v>
      </c>
      <c r="CW18" s="152">
        <v>495169.01511000039</v>
      </c>
      <c r="CX18" s="152">
        <v>495169.01511000039</v>
      </c>
      <c r="CY18" s="152">
        <v>544685.91662100051</v>
      </c>
    </row>
    <row r="19" spans="1:103" ht="12" customHeight="1">
      <c r="A19" s="25" t="s">
        <v>298</v>
      </c>
      <c r="B19" s="152">
        <v>238831.99999999997</v>
      </c>
      <c r="C19" s="152">
        <v>238831.99999999997</v>
      </c>
      <c r="D19" s="152">
        <v>238831.99999999997</v>
      </c>
      <c r="E19" s="152">
        <v>238831.99999999997</v>
      </c>
      <c r="F19" s="152">
        <v>238831.99999999997</v>
      </c>
      <c r="G19" s="152">
        <v>238831.99999999997</v>
      </c>
      <c r="H19" s="152">
        <v>238831.99999999997</v>
      </c>
      <c r="I19" s="152">
        <v>238831.99999999997</v>
      </c>
      <c r="J19" s="152">
        <v>238831.99999999997</v>
      </c>
      <c r="K19" s="152">
        <v>238831.99999999997</v>
      </c>
      <c r="L19" s="152">
        <v>238831.99999999997</v>
      </c>
      <c r="M19" s="152">
        <v>238831.99999999997</v>
      </c>
      <c r="N19" s="152">
        <v>262715.2</v>
      </c>
      <c r="O19" s="152">
        <v>262715.2</v>
      </c>
      <c r="P19" s="152">
        <v>262715.2</v>
      </c>
      <c r="Q19" s="152">
        <v>262715.2</v>
      </c>
      <c r="R19" s="152">
        <v>262715.2</v>
      </c>
      <c r="S19" s="152">
        <v>262715.2</v>
      </c>
      <c r="T19" s="152">
        <v>262715.2</v>
      </c>
      <c r="U19" s="152">
        <v>262715.2</v>
      </c>
      <c r="V19" s="152">
        <v>262715.2</v>
      </c>
      <c r="W19" s="152">
        <v>262715.2</v>
      </c>
      <c r="X19" s="152">
        <v>262715.2</v>
      </c>
      <c r="Y19" s="152">
        <v>262715.2</v>
      </c>
      <c r="Z19" s="152">
        <v>288986.72000000003</v>
      </c>
      <c r="AA19" s="152">
        <v>288986.72000000003</v>
      </c>
      <c r="AB19" s="152">
        <v>288986.72000000003</v>
      </c>
      <c r="AC19" s="152">
        <v>288986.72000000003</v>
      </c>
      <c r="AD19" s="152">
        <v>288986.72000000003</v>
      </c>
      <c r="AE19" s="152">
        <v>288986.72000000003</v>
      </c>
      <c r="AF19" s="152">
        <v>288986.72000000003</v>
      </c>
      <c r="AG19" s="152">
        <v>288986.72000000003</v>
      </c>
      <c r="AH19" s="152">
        <v>288986.72000000003</v>
      </c>
      <c r="AI19" s="152">
        <v>288986.72000000003</v>
      </c>
      <c r="AJ19" s="152">
        <v>288986.72000000003</v>
      </c>
      <c r="AK19" s="152">
        <v>288986.72000000003</v>
      </c>
      <c r="AL19" s="152">
        <v>317885.39200000005</v>
      </c>
      <c r="AM19" s="152">
        <v>317885.39200000005</v>
      </c>
      <c r="AN19" s="152">
        <v>317885.39200000005</v>
      </c>
      <c r="AO19" s="152">
        <v>317885.39200000005</v>
      </c>
      <c r="AP19" s="152">
        <v>317885.39200000005</v>
      </c>
      <c r="AQ19" s="152">
        <v>317885.39200000005</v>
      </c>
      <c r="AR19" s="152">
        <v>317885.39200000005</v>
      </c>
      <c r="AS19" s="152">
        <v>317885.39200000005</v>
      </c>
      <c r="AT19" s="152">
        <v>317885.39200000005</v>
      </c>
      <c r="AU19" s="152">
        <v>317885.39200000005</v>
      </c>
      <c r="AV19" s="152">
        <v>317885.39200000005</v>
      </c>
      <c r="AW19" s="152">
        <v>317885.39200000005</v>
      </c>
      <c r="AX19" s="152">
        <v>349673.93120000011</v>
      </c>
      <c r="AY19" s="152">
        <v>349673.93120000011</v>
      </c>
      <c r="AZ19" s="152">
        <v>349673.93120000011</v>
      </c>
      <c r="BA19" s="152">
        <v>349673.93120000011</v>
      </c>
      <c r="BB19" s="152">
        <v>349673.93120000011</v>
      </c>
      <c r="BC19" s="152">
        <v>349673.93120000011</v>
      </c>
      <c r="BD19" s="152">
        <v>349673.93120000011</v>
      </c>
      <c r="BE19" s="152">
        <v>349673.93120000011</v>
      </c>
      <c r="BF19" s="152">
        <v>349673.93120000011</v>
      </c>
      <c r="BG19" s="152">
        <v>349673.93120000011</v>
      </c>
      <c r="BH19" s="152">
        <v>349673.93120000011</v>
      </c>
      <c r="BI19" s="152">
        <v>349673.93120000011</v>
      </c>
      <c r="BJ19" s="152">
        <v>384641.32432000013</v>
      </c>
      <c r="BK19" s="152">
        <v>384641.32432000013</v>
      </c>
      <c r="BL19" s="152">
        <v>384641.32432000013</v>
      </c>
      <c r="BM19" s="152">
        <v>384641.32432000013</v>
      </c>
      <c r="BN19" s="152">
        <v>384641.32432000013</v>
      </c>
      <c r="BO19" s="152">
        <v>384641.32432000013</v>
      </c>
      <c r="BP19" s="152">
        <v>384641.32432000013</v>
      </c>
      <c r="BQ19" s="152">
        <v>384641.32432000013</v>
      </c>
      <c r="BR19" s="152">
        <v>384641.32432000013</v>
      </c>
      <c r="BS19" s="152">
        <v>384641.32432000013</v>
      </c>
      <c r="BT19" s="152">
        <v>384641.32432000013</v>
      </c>
      <c r="BU19" s="152">
        <v>384641.32432000013</v>
      </c>
      <c r="BV19" s="152">
        <v>423105.4567520002</v>
      </c>
      <c r="BW19" s="152">
        <v>423105.4567520002</v>
      </c>
      <c r="BX19" s="152">
        <v>423105.4567520002</v>
      </c>
      <c r="BY19" s="152">
        <v>423105.4567520002</v>
      </c>
      <c r="BZ19" s="152">
        <v>423105.4567520002</v>
      </c>
      <c r="CA19" s="152">
        <v>423105.4567520002</v>
      </c>
      <c r="CB19" s="152">
        <v>423105.4567520002</v>
      </c>
      <c r="CC19" s="152">
        <v>423105.4567520002</v>
      </c>
      <c r="CD19" s="152">
        <v>423105.4567520002</v>
      </c>
      <c r="CE19" s="152">
        <v>423105.4567520002</v>
      </c>
      <c r="CF19" s="152">
        <v>423105.4567520002</v>
      </c>
      <c r="CG19" s="152">
        <v>423105.4567520002</v>
      </c>
      <c r="CH19" s="152">
        <v>465416.00242720026</v>
      </c>
      <c r="CI19" s="152">
        <v>465416.00242720026</v>
      </c>
      <c r="CJ19" s="152">
        <v>465416.00242720026</v>
      </c>
      <c r="CK19" s="152">
        <v>465416.00242720026</v>
      </c>
      <c r="CL19" s="152">
        <v>465416.00242720026</v>
      </c>
      <c r="CM19" s="152">
        <v>465416.00242720026</v>
      </c>
      <c r="CN19" s="152">
        <v>465416.00242720026</v>
      </c>
      <c r="CO19" s="152">
        <v>465416.00242720026</v>
      </c>
      <c r="CP19" s="152">
        <v>465416.00242720026</v>
      </c>
      <c r="CQ19" s="152">
        <v>465416.00242720026</v>
      </c>
      <c r="CR19" s="152">
        <v>465416.00242720026</v>
      </c>
      <c r="CS19" s="152">
        <v>465416.00242720026</v>
      </c>
      <c r="CT19" s="152">
        <v>511957.60266992031</v>
      </c>
      <c r="CU19" s="152">
        <v>511957.60266992031</v>
      </c>
      <c r="CV19" s="152">
        <v>511957.60266992031</v>
      </c>
      <c r="CW19" s="152">
        <v>511957.60266992031</v>
      </c>
      <c r="CX19" s="152">
        <v>511957.60266992031</v>
      </c>
      <c r="CY19" s="152">
        <v>511957.60266992031</v>
      </c>
    </row>
    <row r="20" spans="1:103" ht="12" customHeight="1">
      <c r="A20" s="25" t="s">
        <v>299</v>
      </c>
      <c r="B20" s="152">
        <v>118800.00000000001</v>
      </c>
      <c r="C20" s="152">
        <v>118800.00000000001</v>
      </c>
      <c r="D20" s="152">
        <v>118800.00000000001</v>
      </c>
      <c r="E20" s="152">
        <v>118800.00000000001</v>
      </c>
      <c r="F20" s="152">
        <v>118800.00000000001</v>
      </c>
      <c r="G20" s="152">
        <v>118800.00000000001</v>
      </c>
      <c r="H20" s="152">
        <v>118800.00000000001</v>
      </c>
      <c r="I20" s="152">
        <v>118800.00000000001</v>
      </c>
      <c r="J20" s="152">
        <v>118800.00000000001</v>
      </c>
      <c r="K20" s="152">
        <v>118800.00000000001</v>
      </c>
      <c r="L20" s="152">
        <v>118800.00000000001</v>
      </c>
      <c r="M20" s="152">
        <v>118800.00000000001</v>
      </c>
      <c r="N20" s="152">
        <v>130680.00000000003</v>
      </c>
      <c r="O20" s="152">
        <v>130680.00000000003</v>
      </c>
      <c r="P20" s="152">
        <v>130680.00000000003</v>
      </c>
      <c r="Q20" s="152">
        <v>130680.00000000003</v>
      </c>
      <c r="R20" s="152">
        <v>130680.00000000003</v>
      </c>
      <c r="S20" s="152">
        <v>130680.00000000003</v>
      </c>
      <c r="T20" s="152">
        <v>130680.00000000003</v>
      </c>
      <c r="U20" s="152">
        <v>130680.00000000003</v>
      </c>
      <c r="V20" s="152">
        <v>130680.00000000003</v>
      </c>
      <c r="W20" s="152">
        <v>130680.00000000003</v>
      </c>
      <c r="X20" s="152">
        <v>130680.00000000003</v>
      </c>
      <c r="Y20" s="152">
        <v>130680.00000000003</v>
      </c>
      <c r="Z20" s="152">
        <v>143748.00000000003</v>
      </c>
      <c r="AA20" s="152">
        <v>143748.00000000003</v>
      </c>
      <c r="AB20" s="152">
        <v>143748.00000000003</v>
      </c>
      <c r="AC20" s="152">
        <v>143748.00000000003</v>
      </c>
      <c r="AD20" s="152">
        <v>143748.00000000003</v>
      </c>
      <c r="AE20" s="152">
        <v>143748.00000000003</v>
      </c>
      <c r="AF20" s="152">
        <v>143748.00000000003</v>
      </c>
      <c r="AG20" s="152">
        <v>143748.00000000003</v>
      </c>
      <c r="AH20" s="152">
        <v>143748.00000000003</v>
      </c>
      <c r="AI20" s="152">
        <v>143748.00000000003</v>
      </c>
      <c r="AJ20" s="152">
        <v>143748.00000000003</v>
      </c>
      <c r="AK20" s="152">
        <v>143748.00000000003</v>
      </c>
      <c r="AL20" s="152">
        <v>158122.80000000005</v>
      </c>
      <c r="AM20" s="152">
        <v>158122.80000000005</v>
      </c>
      <c r="AN20" s="152">
        <v>158122.80000000005</v>
      </c>
      <c r="AO20" s="152">
        <v>158122.80000000005</v>
      </c>
      <c r="AP20" s="152">
        <v>158122.80000000005</v>
      </c>
      <c r="AQ20" s="152">
        <v>158122.80000000005</v>
      </c>
      <c r="AR20" s="152">
        <v>158122.80000000005</v>
      </c>
      <c r="AS20" s="152">
        <v>158122.80000000005</v>
      </c>
      <c r="AT20" s="152">
        <v>158122.80000000005</v>
      </c>
      <c r="AU20" s="152">
        <v>158122.80000000005</v>
      </c>
      <c r="AV20" s="152">
        <v>158122.80000000005</v>
      </c>
      <c r="AW20" s="152">
        <v>158122.80000000005</v>
      </c>
      <c r="AX20" s="152">
        <v>173935.08000000007</v>
      </c>
      <c r="AY20" s="152">
        <v>173935.08000000007</v>
      </c>
      <c r="AZ20" s="152">
        <v>173935.08000000007</v>
      </c>
      <c r="BA20" s="152">
        <v>173935.08000000007</v>
      </c>
      <c r="BB20" s="152">
        <v>173935.08000000007</v>
      </c>
      <c r="BC20" s="152">
        <v>173935.08000000007</v>
      </c>
      <c r="BD20" s="152">
        <v>173935.08000000007</v>
      </c>
      <c r="BE20" s="152">
        <v>173935.08000000007</v>
      </c>
      <c r="BF20" s="152">
        <v>173935.08000000007</v>
      </c>
      <c r="BG20" s="152">
        <v>173935.08000000007</v>
      </c>
      <c r="BH20" s="152">
        <v>173935.08000000007</v>
      </c>
      <c r="BI20" s="152">
        <v>173935.08000000007</v>
      </c>
      <c r="BJ20" s="152">
        <v>191328.58800000011</v>
      </c>
      <c r="BK20" s="152">
        <v>191328.58800000011</v>
      </c>
      <c r="BL20" s="152">
        <v>191328.58800000011</v>
      </c>
      <c r="BM20" s="152">
        <v>191328.58800000011</v>
      </c>
      <c r="BN20" s="152">
        <v>191328.58800000011</v>
      </c>
      <c r="BO20" s="152">
        <v>191328.58800000011</v>
      </c>
      <c r="BP20" s="152">
        <v>191328.58800000011</v>
      </c>
      <c r="BQ20" s="152">
        <v>191328.58800000011</v>
      </c>
      <c r="BR20" s="152">
        <v>191328.58800000011</v>
      </c>
      <c r="BS20" s="152">
        <v>191328.58800000011</v>
      </c>
      <c r="BT20" s="152">
        <v>191328.58800000011</v>
      </c>
      <c r="BU20" s="152">
        <v>191328.58800000011</v>
      </c>
      <c r="BV20" s="152">
        <v>210461.44680000012</v>
      </c>
      <c r="BW20" s="152">
        <v>210461.44680000012</v>
      </c>
      <c r="BX20" s="152">
        <v>210461.44680000012</v>
      </c>
      <c r="BY20" s="152">
        <v>210461.44680000012</v>
      </c>
      <c r="BZ20" s="152">
        <v>210461.44680000012</v>
      </c>
      <c r="CA20" s="152">
        <v>210461.44680000012</v>
      </c>
      <c r="CB20" s="152">
        <v>210461.44680000012</v>
      </c>
      <c r="CC20" s="152">
        <v>210461.44680000012</v>
      </c>
      <c r="CD20" s="152">
        <v>210461.44680000012</v>
      </c>
      <c r="CE20" s="152">
        <v>210461.44680000012</v>
      </c>
      <c r="CF20" s="152">
        <v>210461.44680000012</v>
      </c>
      <c r="CG20" s="152">
        <v>210461.44680000012</v>
      </c>
      <c r="CH20" s="152">
        <v>231507.59148000015</v>
      </c>
      <c r="CI20" s="152">
        <v>231507.59148000015</v>
      </c>
      <c r="CJ20" s="152">
        <v>231507.59148000015</v>
      </c>
      <c r="CK20" s="152">
        <v>231507.59148000015</v>
      </c>
      <c r="CL20" s="152">
        <v>231507.59148000015</v>
      </c>
      <c r="CM20" s="152">
        <v>231507.59148000015</v>
      </c>
      <c r="CN20" s="152">
        <v>231507.59148000015</v>
      </c>
      <c r="CO20" s="152">
        <v>231507.59148000015</v>
      </c>
      <c r="CP20" s="152">
        <v>231507.59148000015</v>
      </c>
      <c r="CQ20" s="152">
        <v>231507.59148000015</v>
      </c>
      <c r="CR20" s="152">
        <v>231507.59148000015</v>
      </c>
      <c r="CS20" s="152">
        <v>231507.59148000015</v>
      </c>
      <c r="CT20" s="152">
        <v>254658.35062800019</v>
      </c>
      <c r="CU20" s="152">
        <v>254658.35062800019</v>
      </c>
      <c r="CV20" s="152">
        <v>254658.35062800019</v>
      </c>
      <c r="CW20" s="152">
        <v>254658.35062800019</v>
      </c>
      <c r="CX20" s="152">
        <v>254658.35062800019</v>
      </c>
      <c r="CY20" s="152">
        <v>254658.35062800019</v>
      </c>
    </row>
    <row r="21" spans="1:103" ht="12" customHeight="1">
      <c r="A21" s="25" t="s">
        <v>536</v>
      </c>
      <c r="B21" s="152">
        <v>26620.000000000004</v>
      </c>
      <c r="C21" s="152">
        <v>26620.000000000004</v>
      </c>
      <c r="D21" s="152">
        <v>26620.000000000004</v>
      </c>
      <c r="E21" s="152">
        <v>26620.000000000004</v>
      </c>
      <c r="F21" s="152">
        <v>26620.000000000004</v>
      </c>
      <c r="G21" s="152">
        <v>26620.000000000004</v>
      </c>
      <c r="H21" s="152">
        <v>26620.000000000004</v>
      </c>
      <c r="I21" s="152">
        <v>26620.000000000004</v>
      </c>
      <c r="J21" s="152">
        <v>26620.000000000004</v>
      </c>
      <c r="K21" s="152">
        <v>26620.000000000004</v>
      </c>
      <c r="L21" s="152">
        <v>26620.000000000004</v>
      </c>
      <c r="M21" s="152">
        <v>26620.000000000004</v>
      </c>
      <c r="N21" s="152">
        <v>0</v>
      </c>
      <c r="O21" s="152">
        <v>0</v>
      </c>
      <c r="P21" s="152">
        <v>0</v>
      </c>
      <c r="Q21" s="152">
        <v>0</v>
      </c>
      <c r="R21" s="152">
        <v>0</v>
      </c>
      <c r="S21" s="152">
        <v>0</v>
      </c>
      <c r="T21" s="152">
        <v>0</v>
      </c>
      <c r="U21" s="152">
        <v>0</v>
      </c>
      <c r="V21" s="152">
        <v>0</v>
      </c>
      <c r="W21" s="152">
        <v>0</v>
      </c>
      <c r="X21" s="152">
        <v>0</v>
      </c>
      <c r="Y21" s="152">
        <v>0</v>
      </c>
      <c r="Z21" s="152">
        <v>0</v>
      </c>
      <c r="AA21" s="152">
        <v>0</v>
      </c>
      <c r="AB21" s="152">
        <v>0</v>
      </c>
      <c r="AC21" s="152">
        <v>0</v>
      </c>
      <c r="AD21" s="152">
        <v>0</v>
      </c>
      <c r="AE21" s="152">
        <v>0</v>
      </c>
      <c r="AF21" s="152">
        <v>0</v>
      </c>
      <c r="AG21" s="152">
        <v>0</v>
      </c>
      <c r="AH21" s="152">
        <v>0</v>
      </c>
      <c r="AI21" s="152">
        <v>0</v>
      </c>
      <c r="AJ21" s="152">
        <v>0</v>
      </c>
      <c r="AK21" s="152">
        <v>0</v>
      </c>
      <c r="AL21" s="152">
        <v>0</v>
      </c>
      <c r="AM21" s="152">
        <v>0</v>
      </c>
      <c r="AN21" s="152">
        <v>0</v>
      </c>
      <c r="AO21" s="152">
        <v>0</v>
      </c>
      <c r="AP21" s="152">
        <v>0</v>
      </c>
      <c r="AQ21" s="152">
        <v>0</v>
      </c>
      <c r="AR21" s="152">
        <v>0</v>
      </c>
      <c r="AS21" s="152">
        <v>0</v>
      </c>
      <c r="AT21" s="152">
        <v>0</v>
      </c>
      <c r="AU21" s="152">
        <v>0</v>
      </c>
      <c r="AV21" s="152">
        <v>0</v>
      </c>
      <c r="AW21" s="152">
        <v>0</v>
      </c>
      <c r="AX21" s="152">
        <v>0</v>
      </c>
      <c r="AY21" s="152">
        <v>0</v>
      </c>
      <c r="AZ21" s="152">
        <v>0</v>
      </c>
      <c r="BA21" s="152">
        <v>0</v>
      </c>
      <c r="BB21" s="152">
        <v>0</v>
      </c>
      <c r="BC21" s="152">
        <v>0</v>
      </c>
      <c r="BD21" s="152">
        <v>0</v>
      </c>
      <c r="BE21" s="152">
        <v>0</v>
      </c>
      <c r="BF21" s="152">
        <v>0</v>
      </c>
      <c r="BG21" s="152">
        <v>0</v>
      </c>
      <c r="BH21" s="152">
        <v>0</v>
      </c>
      <c r="BI21" s="152">
        <v>0</v>
      </c>
      <c r="BJ21" s="152">
        <v>0</v>
      </c>
      <c r="BK21" s="152">
        <v>0</v>
      </c>
      <c r="BL21" s="152">
        <v>0</v>
      </c>
      <c r="BM21" s="152">
        <v>0</v>
      </c>
      <c r="BN21" s="152">
        <v>0</v>
      </c>
      <c r="BO21" s="152">
        <v>0</v>
      </c>
      <c r="BP21" s="152">
        <v>0</v>
      </c>
      <c r="BQ21" s="152">
        <v>0</v>
      </c>
      <c r="BR21" s="152">
        <v>0</v>
      </c>
      <c r="BS21" s="152">
        <v>0</v>
      </c>
      <c r="BT21" s="152">
        <v>0</v>
      </c>
      <c r="BU21" s="152">
        <v>0</v>
      </c>
      <c r="BV21" s="152">
        <v>0</v>
      </c>
      <c r="BW21" s="152">
        <v>0</v>
      </c>
      <c r="BX21" s="152">
        <v>0</v>
      </c>
      <c r="BY21" s="152">
        <v>0</v>
      </c>
      <c r="BZ21" s="152">
        <v>0</v>
      </c>
      <c r="CA21" s="152">
        <v>0</v>
      </c>
      <c r="CB21" s="152">
        <v>0</v>
      </c>
      <c r="CC21" s="152">
        <v>0</v>
      </c>
      <c r="CD21" s="152">
        <v>0</v>
      </c>
      <c r="CE21" s="152">
        <v>0</v>
      </c>
      <c r="CF21" s="152">
        <v>0</v>
      </c>
      <c r="CG21" s="152">
        <v>0</v>
      </c>
      <c r="CH21" s="152">
        <v>0</v>
      </c>
      <c r="CI21" s="152">
        <v>0</v>
      </c>
      <c r="CJ21" s="152">
        <v>0</v>
      </c>
      <c r="CK21" s="152">
        <v>0</v>
      </c>
      <c r="CL21" s="152">
        <v>0</v>
      </c>
      <c r="CM21" s="152">
        <v>0</v>
      </c>
      <c r="CN21" s="152">
        <v>0</v>
      </c>
      <c r="CO21" s="152">
        <v>0</v>
      </c>
      <c r="CP21" s="152">
        <v>0</v>
      </c>
      <c r="CQ21" s="152">
        <v>0</v>
      </c>
      <c r="CR21" s="152">
        <v>0</v>
      </c>
      <c r="CS21" s="152">
        <v>0</v>
      </c>
      <c r="CT21" s="152">
        <v>0</v>
      </c>
      <c r="CU21" s="152">
        <v>0</v>
      </c>
      <c r="CV21" s="152">
        <v>0</v>
      </c>
      <c r="CW21" s="152">
        <v>0</v>
      </c>
      <c r="CX21" s="152">
        <v>0</v>
      </c>
      <c r="CY21" s="152">
        <v>0</v>
      </c>
    </row>
    <row r="22" spans="1:103" ht="12" customHeight="1">
      <c r="A22" s="25" t="s">
        <v>535</v>
      </c>
      <c r="B22" s="152">
        <v>38500</v>
      </c>
      <c r="C22" s="152">
        <v>38500</v>
      </c>
      <c r="D22" s="152">
        <v>38500</v>
      </c>
      <c r="E22" s="152">
        <v>0</v>
      </c>
      <c r="F22" s="152">
        <v>0</v>
      </c>
      <c r="G22" s="152">
        <v>0</v>
      </c>
      <c r="H22" s="152">
        <v>0</v>
      </c>
      <c r="I22" s="152">
        <v>0</v>
      </c>
      <c r="J22" s="152">
        <v>0</v>
      </c>
      <c r="K22" s="152">
        <v>0</v>
      </c>
      <c r="L22" s="152">
        <v>0</v>
      </c>
      <c r="M22" s="152">
        <v>0</v>
      </c>
      <c r="N22" s="152">
        <v>0</v>
      </c>
      <c r="O22" s="152">
        <v>0</v>
      </c>
      <c r="P22" s="152">
        <v>0</v>
      </c>
      <c r="Q22" s="152">
        <v>0</v>
      </c>
      <c r="R22" s="152">
        <v>0</v>
      </c>
      <c r="S22" s="152">
        <v>0</v>
      </c>
      <c r="T22" s="152">
        <v>0</v>
      </c>
      <c r="U22" s="152">
        <v>0</v>
      </c>
      <c r="V22" s="152">
        <v>0</v>
      </c>
      <c r="W22" s="152">
        <v>0</v>
      </c>
      <c r="X22" s="152">
        <v>0</v>
      </c>
      <c r="Y22" s="152">
        <v>0</v>
      </c>
      <c r="Z22" s="152">
        <v>0</v>
      </c>
      <c r="AA22" s="152">
        <v>0</v>
      </c>
      <c r="AB22" s="152">
        <v>0</v>
      </c>
      <c r="AC22" s="152">
        <v>0</v>
      </c>
      <c r="AD22" s="152">
        <v>0</v>
      </c>
      <c r="AE22" s="152">
        <v>0</v>
      </c>
      <c r="AF22" s="152">
        <v>0</v>
      </c>
      <c r="AG22" s="152">
        <v>0</v>
      </c>
      <c r="AH22" s="152">
        <v>0</v>
      </c>
      <c r="AI22" s="152">
        <v>0</v>
      </c>
      <c r="AJ22" s="152">
        <v>0</v>
      </c>
      <c r="AK22" s="152">
        <v>0</v>
      </c>
      <c r="AL22" s="152">
        <v>0</v>
      </c>
      <c r="AM22" s="152">
        <v>0</v>
      </c>
      <c r="AN22" s="152">
        <v>0</v>
      </c>
      <c r="AO22" s="152">
        <v>0</v>
      </c>
      <c r="AP22" s="152">
        <v>0</v>
      </c>
      <c r="AQ22" s="152">
        <v>0</v>
      </c>
      <c r="AR22" s="152">
        <v>0</v>
      </c>
      <c r="AS22" s="152">
        <v>0</v>
      </c>
      <c r="AT22" s="152">
        <v>0</v>
      </c>
      <c r="AU22" s="152">
        <v>0</v>
      </c>
      <c r="AV22" s="152">
        <v>0</v>
      </c>
      <c r="AW22" s="152">
        <v>0</v>
      </c>
      <c r="AX22" s="152">
        <v>0</v>
      </c>
      <c r="AY22" s="152">
        <v>0</v>
      </c>
      <c r="AZ22" s="152">
        <v>0</v>
      </c>
      <c r="BA22" s="152">
        <v>0</v>
      </c>
      <c r="BB22" s="152">
        <v>0</v>
      </c>
      <c r="BC22" s="152">
        <v>0</v>
      </c>
      <c r="BD22" s="152">
        <v>0</v>
      </c>
      <c r="BE22" s="152">
        <v>0</v>
      </c>
      <c r="BF22" s="152">
        <v>0</v>
      </c>
      <c r="BG22" s="152">
        <v>0</v>
      </c>
      <c r="BH22" s="152">
        <v>0</v>
      </c>
      <c r="BI22" s="152">
        <v>0</v>
      </c>
      <c r="BJ22" s="152">
        <v>0</v>
      </c>
      <c r="BK22" s="152">
        <v>0</v>
      </c>
      <c r="BL22" s="152">
        <v>0</v>
      </c>
      <c r="BM22" s="152">
        <v>0</v>
      </c>
      <c r="BN22" s="152">
        <v>0</v>
      </c>
      <c r="BO22" s="152">
        <v>0</v>
      </c>
      <c r="BP22" s="152">
        <v>0</v>
      </c>
      <c r="BQ22" s="152">
        <v>0</v>
      </c>
      <c r="BR22" s="152">
        <v>0</v>
      </c>
      <c r="BS22" s="152">
        <v>0</v>
      </c>
      <c r="BT22" s="152">
        <v>0</v>
      </c>
      <c r="BU22" s="152">
        <v>0</v>
      </c>
      <c r="BV22" s="152">
        <v>0</v>
      </c>
      <c r="BW22" s="152">
        <v>0</v>
      </c>
      <c r="BX22" s="152">
        <v>0</v>
      </c>
      <c r="BY22" s="152">
        <v>0</v>
      </c>
      <c r="BZ22" s="152">
        <v>0</v>
      </c>
      <c r="CA22" s="152">
        <v>0</v>
      </c>
      <c r="CB22" s="152">
        <v>0</v>
      </c>
      <c r="CC22" s="152">
        <v>0</v>
      </c>
      <c r="CD22" s="152">
        <v>0</v>
      </c>
      <c r="CE22" s="152">
        <v>0</v>
      </c>
      <c r="CF22" s="152">
        <v>0</v>
      </c>
      <c r="CG22" s="152">
        <v>0</v>
      </c>
      <c r="CH22" s="152">
        <v>0</v>
      </c>
      <c r="CI22" s="152">
        <v>0</v>
      </c>
      <c r="CJ22" s="152">
        <v>0</v>
      </c>
      <c r="CK22" s="152">
        <v>0</v>
      </c>
      <c r="CL22" s="152">
        <v>0</v>
      </c>
      <c r="CM22" s="152">
        <v>0</v>
      </c>
      <c r="CN22" s="152">
        <v>0</v>
      </c>
      <c r="CO22" s="152">
        <v>0</v>
      </c>
      <c r="CP22" s="152">
        <v>0</v>
      </c>
      <c r="CQ22" s="152">
        <v>0</v>
      </c>
      <c r="CR22" s="152">
        <v>0</v>
      </c>
      <c r="CS22" s="152">
        <v>0</v>
      </c>
      <c r="CT22" s="152">
        <v>0</v>
      </c>
      <c r="CU22" s="152">
        <v>0</v>
      </c>
      <c r="CV22" s="152">
        <v>0</v>
      </c>
      <c r="CW22" s="152">
        <v>0</v>
      </c>
      <c r="CX22" s="152">
        <v>0</v>
      </c>
      <c r="CY22" s="152">
        <v>0</v>
      </c>
    </row>
    <row r="23" spans="1:103" ht="12" customHeight="1">
      <c r="A23" s="25" t="s">
        <v>534</v>
      </c>
      <c r="B23" s="152">
        <v>182000</v>
      </c>
      <c r="C23" s="152">
        <v>182000</v>
      </c>
      <c r="D23" s="152">
        <v>182000</v>
      </c>
      <c r="E23" s="152">
        <v>182000</v>
      </c>
      <c r="F23" s="152">
        <v>182000</v>
      </c>
      <c r="G23" s="152">
        <v>182000</v>
      </c>
      <c r="H23" s="152">
        <v>182000</v>
      </c>
      <c r="I23" s="152">
        <v>182000</v>
      </c>
      <c r="J23" s="152">
        <v>182000</v>
      </c>
      <c r="K23" s="152">
        <v>182000</v>
      </c>
      <c r="L23" s="152">
        <v>182000</v>
      </c>
      <c r="M23" s="152">
        <v>182000</v>
      </c>
      <c r="N23" s="152">
        <v>189280</v>
      </c>
      <c r="O23" s="152">
        <v>189280</v>
      </c>
      <c r="P23" s="152">
        <v>189280</v>
      </c>
      <c r="Q23" s="152">
        <v>189280</v>
      </c>
      <c r="R23" s="152">
        <v>189280</v>
      </c>
      <c r="S23" s="152">
        <v>189280</v>
      </c>
      <c r="T23" s="152">
        <v>189280</v>
      </c>
      <c r="U23" s="152">
        <v>189280</v>
      </c>
      <c r="V23" s="152">
        <v>189280</v>
      </c>
      <c r="W23" s="152">
        <v>189280</v>
      </c>
      <c r="X23" s="152">
        <v>189280</v>
      </c>
      <c r="Y23" s="152">
        <v>189280</v>
      </c>
      <c r="Z23" s="152">
        <v>196851.20000000001</v>
      </c>
      <c r="AA23" s="152">
        <v>196851.20000000001</v>
      </c>
      <c r="AB23" s="152">
        <v>196851.20000000001</v>
      </c>
      <c r="AC23" s="152">
        <v>196851.20000000001</v>
      </c>
      <c r="AD23" s="152">
        <v>196851.20000000001</v>
      </c>
      <c r="AE23" s="152">
        <v>196851.20000000001</v>
      </c>
      <c r="AF23" s="152">
        <v>196851.20000000001</v>
      </c>
      <c r="AG23" s="152">
        <v>196851.20000000001</v>
      </c>
      <c r="AH23" s="152">
        <v>196851.20000000001</v>
      </c>
      <c r="AI23" s="152">
        <v>196851.20000000001</v>
      </c>
      <c r="AJ23" s="152">
        <v>196851.20000000001</v>
      </c>
      <c r="AK23" s="152">
        <v>196851.20000000001</v>
      </c>
      <c r="AL23" s="152">
        <v>204725.24800000002</v>
      </c>
      <c r="AM23" s="152">
        <v>204725.24800000002</v>
      </c>
      <c r="AN23" s="152">
        <v>204725.24800000002</v>
      </c>
      <c r="AO23" s="152">
        <v>204725.24800000002</v>
      </c>
      <c r="AP23" s="152">
        <v>204725.24800000002</v>
      </c>
      <c r="AQ23" s="152">
        <v>204725.24800000002</v>
      </c>
      <c r="AR23" s="152">
        <v>204725.24800000002</v>
      </c>
      <c r="AS23" s="152">
        <v>204725.24800000002</v>
      </c>
      <c r="AT23" s="152">
        <v>204725.24800000002</v>
      </c>
      <c r="AU23" s="152">
        <v>204725.24800000002</v>
      </c>
      <c r="AV23" s="152">
        <v>204725.24800000002</v>
      </c>
      <c r="AW23" s="152">
        <v>204725.24800000002</v>
      </c>
      <c r="AX23" s="152">
        <v>212914.25792000003</v>
      </c>
      <c r="AY23" s="152">
        <v>212914.25792000003</v>
      </c>
      <c r="AZ23" s="152">
        <v>212914.25792000003</v>
      </c>
      <c r="BA23" s="152">
        <v>212914.25792000003</v>
      </c>
      <c r="BB23" s="152">
        <v>212914.25792000003</v>
      </c>
      <c r="BC23" s="152">
        <v>212914.25792000003</v>
      </c>
      <c r="BD23" s="152">
        <v>212914.25792000003</v>
      </c>
      <c r="BE23" s="152">
        <v>212914.25792000003</v>
      </c>
      <c r="BF23" s="152">
        <v>212914.25792000003</v>
      </c>
      <c r="BG23" s="152">
        <v>212914.25792000003</v>
      </c>
      <c r="BH23" s="152">
        <v>212914.25792000003</v>
      </c>
      <c r="BI23" s="152">
        <v>212914.25792000003</v>
      </c>
      <c r="BJ23" s="152">
        <v>221430.82823680004</v>
      </c>
      <c r="BK23" s="152">
        <v>221430.82823680004</v>
      </c>
      <c r="BL23" s="152">
        <v>221430.82823680004</v>
      </c>
      <c r="BM23" s="152">
        <v>221430.82823680004</v>
      </c>
      <c r="BN23" s="152">
        <v>221430.82823680004</v>
      </c>
      <c r="BO23" s="152">
        <v>221430.82823680004</v>
      </c>
      <c r="BP23" s="152">
        <v>221430.82823680004</v>
      </c>
      <c r="BQ23" s="152">
        <v>221430.82823680004</v>
      </c>
      <c r="BR23" s="152">
        <v>221430.82823680004</v>
      </c>
      <c r="BS23" s="152">
        <v>221430.82823680004</v>
      </c>
      <c r="BT23" s="152">
        <v>221430.82823680004</v>
      </c>
      <c r="BU23" s="152">
        <v>221430.82823680004</v>
      </c>
      <c r="BV23" s="152">
        <v>230288.06136627204</v>
      </c>
      <c r="BW23" s="152">
        <v>230288.06136627204</v>
      </c>
      <c r="BX23" s="152">
        <v>230288.06136627204</v>
      </c>
      <c r="BY23" s="152">
        <v>230288.06136627204</v>
      </c>
      <c r="BZ23" s="152">
        <v>230288.06136627204</v>
      </c>
      <c r="CA23" s="152">
        <v>230288.06136627204</v>
      </c>
      <c r="CB23" s="152">
        <v>230288.06136627204</v>
      </c>
      <c r="CC23" s="152">
        <v>230288.06136627204</v>
      </c>
      <c r="CD23" s="152">
        <v>230288.06136627204</v>
      </c>
      <c r="CE23" s="152">
        <v>230288.06136627204</v>
      </c>
      <c r="CF23" s="152">
        <v>230288.06136627204</v>
      </c>
      <c r="CG23" s="152">
        <v>230288.06136627204</v>
      </c>
      <c r="CH23" s="152">
        <v>239499.58382092294</v>
      </c>
      <c r="CI23" s="152">
        <v>239499.58382092294</v>
      </c>
      <c r="CJ23" s="152">
        <v>239499.58382092294</v>
      </c>
      <c r="CK23" s="152">
        <v>239499.58382092294</v>
      </c>
      <c r="CL23" s="152">
        <v>239499.58382092294</v>
      </c>
      <c r="CM23" s="152">
        <v>239499.58382092294</v>
      </c>
      <c r="CN23" s="152">
        <v>239499.58382092294</v>
      </c>
      <c r="CO23" s="152">
        <v>239499.58382092294</v>
      </c>
      <c r="CP23" s="152">
        <v>239499.58382092294</v>
      </c>
      <c r="CQ23" s="152">
        <v>239499.58382092294</v>
      </c>
      <c r="CR23" s="152">
        <v>239499.58382092294</v>
      </c>
      <c r="CS23" s="152">
        <v>239499.58382092294</v>
      </c>
      <c r="CT23" s="152">
        <v>249079.56717375986</v>
      </c>
      <c r="CU23" s="152">
        <v>249079.56717375986</v>
      </c>
      <c r="CV23" s="152">
        <v>249079.56717375986</v>
      </c>
      <c r="CW23" s="152">
        <v>249079.56717375986</v>
      </c>
      <c r="CX23" s="152">
        <v>249079.56717375986</v>
      </c>
      <c r="CY23" s="152">
        <v>249079.56717375986</v>
      </c>
    </row>
    <row r="24" spans="1:103" ht="12" customHeight="1">
      <c r="A24" s="25" t="s">
        <v>301</v>
      </c>
      <c r="B24" s="152">
        <v>15600</v>
      </c>
      <c r="C24" s="152">
        <v>15600</v>
      </c>
      <c r="D24" s="152">
        <v>15600</v>
      </c>
      <c r="E24" s="152">
        <v>15600</v>
      </c>
      <c r="F24" s="152">
        <v>15600</v>
      </c>
      <c r="G24" s="152">
        <v>15600</v>
      </c>
      <c r="H24" s="152">
        <v>15600</v>
      </c>
      <c r="I24" s="152">
        <v>15600</v>
      </c>
      <c r="J24" s="152">
        <v>15600</v>
      </c>
      <c r="K24" s="152">
        <v>15600</v>
      </c>
      <c r="L24" s="152">
        <v>15600</v>
      </c>
      <c r="M24" s="152">
        <v>15600</v>
      </c>
      <c r="N24" s="152">
        <v>16224</v>
      </c>
      <c r="O24" s="152">
        <v>16224</v>
      </c>
      <c r="P24" s="152">
        <v>16224</v>
      </c>
      <c r="Q24" s="152">
        <v>16224</v>
      </c>
      <c r="R24" s="152">
        <v>16224</v>
      </c>
      <c r="S24" s="152">
        <v>16224</v>
      </c>
      <c r="T24" s="152">
        <v>16224</v>
      </c>
      <c r="U24" s="152">
        <v>16224</v>
      </c>
      <c r="V24" s="152">
        <v>16224</v>
      </c>
      <c r="W24" s="152">
        <v>16224</v>
      </c>
      <c r="X24" s="152">
        <v>16224</v>
      </c>
      <c r="Y24" s="152">
        <v>16224</v>
      </c>
      <c r="Z24" s="152">
        <v>16872.96</v>
      </c>
      <c r="AA24" s="152">
        <v>16872.96</v>
      </c>
      <c r="AB24" s="152">
        <v>16872.96</v>
      </c>
      <c r="AC24" s="152">
        <v>16872.96</v>
      </c>
      <c r="AD24" s="152">
        <v>16872.96</v>
      </c>
      <c r="AE24" s="152">
        <v>16872.96</v>
      </c>
      <c r="AF24" s="152">
        <v>16872.96</v>
      </c>
      <c r="AG24" s="152">
        <v>16872.96</v>
      </c>
      <c r="AH24" s="152">
        <v>16872.96</v>
      </c>
      <c r="AI24" s="152">
        <v>16872.96</v>
      </c>
      <c r="AJ24" s="152">
        <v>16872.96</v>
      </c>
      <c r="AK24" s="152">
        <v>16872.96</v>
      </c>
      <c r="AL24" s="152">
        <v>17547.878400000001</v>
      </c>
      <c r="AM24" s="152">
        <v>17547.878400000001</v>
      </c>
      <c r="AN24" s="152">
        <v>17547.878400000001</v>
      </c>
      <c r="AO24" s="152">
        <v>17547.878400000001</v>
      </c>
      <c r="AP24" s="152">
        <v>17547.878400000001</v>
      </c>
      <c r="AQ24" s="152">
        <v>17547.878400000001</v>
      </c>
      <c r="AR24" s="152">
        <v>17547.878400000001</v>
      </c>
      <c r="AS24" s="152">
        <v>17547.878400000001</v>
      </c>
      <c r="AT24" s="152">
        <v>17547.878400000001</v>
      </c>
      <c r="AU24" s="152">
        <v>17547.878400000001</v>
      </c>
      <c r="AV24" s="152">
        <v>17547.878400000001</v>
      </c>
      <c r="AW24" s="152">
        <v>17547.878400000001</v>
      </c>
      <c r="AX24" s="152">
        <v>18249.793536000001</v>
      </c>
      <c r="AY24" s="152">
        <v>18249.793536000001</v>
      </c>
      <c r="AZ24" s="152">
        <v>18249.793536000001</v>
      </c>
      <c r="BA24" s="152">
        <v>18249.793536000001</v>
      </c>
      <c r="BB24" s="152">
        <v>18249.793536000001</v>
      </c>
      <c r="BC24" s="152">
        <v>18249.793536000001</v>
      </c>
      <c r="BD24" s="152">
        <v>18249.793536000001</v>
      </c>
      <c r="BE24" s="152">
        <v>18249.793536000001</v>
      </c>
      <c r="BF24" s="152">
        <v>18249.793536000001</v>
      </c>
      <c r="BG24" s="152">
        <v>18249.793536000001</v>
      </c>
      <c r="BH24" s="152">
        <v>18249.793536000001</v>
      </c>
      <c r="BI24" s="152">
        <v>18249.793536000001</v>
      </c>
      <c r="BJ24" s="152">
        <v>18979.785277440002</v>
      </c>
      <c r="BK24" s="152">
        <v>18979.785277440002</v>
      </c>
      <c r="BL24" s="152">
        <v>18979.785277440002</v>
      </c>
      <c r="BM24" s="152">
        <v>18979.785277440002</v>
      </c>
      <c r="BN24" s="152">
        <v>18979.785277440002</v>
      </c>
      <c r="BO24" s="152">
        <v>18979.785277440002</v>
      </c>
      <c r="BP24" s="152">
        <v>18979.785277440002</v>
      </c>
      <c r="BQ24" s="152">
        <v>18979.785277440002</v>
      </c>
      <c r="BR24" s="152">
        <v>18979.785277440002</v>
      </c>
      <c r="BS24" s="152">
        <v>18979.785277440002</v>
      </c>
      <c r="BT24" s="152">
        <v>18979.785277440002</v>
      </c>
      <c r="BU24" s="152">
        <v>18979.785277440002</v>
      </c>
      <c r="BV24" s="152">
        <v>19738.976688537601</v>
      </c>
      <c r="BW24" s="152">
        <v>19738.976688537601</v>
      </c>
      <c r="BX24" s="152">
        <v>19738.976688537601</v>
      </c>
      <c r="BY24" s="152">
        <v>19738.976688537601</v>
      </c>
      <c r="BZ24" s="152">
        <v>19738.976688537601</v>
      </c>
      <c r="CA24" s="152">
        <v>19738.976688537601</v>
      </c>
      <c r="CB24" s="152">
        <v>19738.976688537601</v>
      </c>
      <c r="CC24" s="152">
        <v>19738.976688537601</v>
      </c>
      <c r="CD24" s="152">
        <v>19738.976688537601</v>
      </c>
      <c r="CE24" s="152">
        <v>19738.976688537601</v>
      </c>
      <c r="CF24" s="152">
        <v>19738.976688537601</v>
      </c>
      <c r="CG24" s="152">
        <v>19738.976688537601</v>
      </c>
      <c r="CH24" s="152">
        <v>20528.535756079105</v>
      </c>
      <c r="CI24" s="152">
        <v>20528.535756079105</v>
      </c>
      <c r="CJ24" s="152">
        <v>20528.535756079105</v>
      </c>
      <c r="CK24" s="152">
        <v>20528.535756079105</v>
      </c>
      <c r="CL24" s="152">
        <v>20528.535756079105</v>
      </c>
      <c r="CM24" s="152">
        <v>20528.535756079105</v>
      </c>
      <c r="CN24" s="152">
        <v>20528.535756079105</v>
      </c>
      <c r="CO24" s="152">
        <v>20528.535756079105</v>
      </c>
      <c r="CP24" s="152">
        <v>20528.535756079105</v>
      </c>
      <c r="CQ24" s="152">
        <v>20528.535756079105</v>
      </c>
      <c r="CR24" s="152">
        <v>20528.535756079105</v>
      </c>
      <c r="CS24" s="152">
        <v>20528.535756079105</v>
      </c>
      <c r="CT24" s="152">
        <v>21349.677186322271</v>
      </c>
      <c r="CU24" s="152">
        <v>21349.677186322271</v>
      </c>
      <c r="CV24" s="152">
        <v>21349.677186322271</v>
      </c>
      <c r="CW24" s="152">
        <v>21349.677186322271</v>
      </c>
      <c r="CX24" s="152">
        <v>21349.677186322271</v>
      </c>
      <c r="CY24" s="152">
        <v>21349.677186322271</v>
      </c>
    </row>
    <row r="25" spans="1:103" ht="12" customHeight="1">
      <c r="A25" s="25" t="s">
        <v>302</v>
      </c>
      <c r="B25" s="152">
        <v>15600</v>
      </c>
      <c r="C25" s="152">
        <v>15600</v>
      </c>
      <c r="D25" s="152">
        <v>15600</v>
      </c>
      <c r="E25" s="152">
        <v>15600</v>
      </c>
      <c r="F25" s="152">
        <v>15600</v>
      </c>
      <c r="G25" s="152">
        <v>15600</v>
      </c>
      <c r="H25" s="152">
        <v>15600</v>
      </c>
      <c r="I25" s="152">
        <v>15600</v>
      </c>
      <c r="J25" s="152">
        <v>15600</v>
      </c>
      <c r="K25" s="152">
        <v>15600</v>
      </c>
      <c r="L25" s="152">
        <v>15600</v>
      </c>
      <c r="M25" s="152">
        <v>15600</v>
      </c>
      <c r="N25" s="152">
        <v>16224</v>
      </c>
      <c r="O25" s="152">
        <v>16224</v>
      </c>
      <c r="P25" s="152">
        <v>16224</v>
      </c>
      <c r="Q25" s="152">
        <v>16224</v>
      </c>
      <c r="R25" s="152">
        <v>16224</v>
      </c>
      <c r="S25" s="152">
        <v>16224</v>
      </c>
      <c r="T25" s="152">
        <v>16224</v>
      </c>
      <c r="U25" s="152">
        <v>16224</v>
      </c>
      <c r="V25" s="152">
        <v>16224</v>
      </c>
      <c r="W25" s="152">
        <v>16224</v>
      </c>
      <c r="X25" s="152">
        <v>16224</v>
      </c>
      <c r="Y25" s="152">
        <v>16224</v>
      </c>
      <c r="Z25" s="152">
        <v>16872.96</v>
      </c>
      <c r="AA25" s="152">
        <v>16872.96</v>
      </c>
      <c r="AB25" s="152">
        <v>16872.96</v>
      </c>
      <c r="AC25" s="152">
        <v>16872.96</v>
      </c>
      <c r="AD25" s="152">
        <v>16872.96</v>
      </c>
      <c r="AE25" s="152">
        <v>16872.96</v>
      </c>
      <c r="AF25" s="152">
        <v>16872.96</v>
      </c>
      <c r="AG25" s="152">
        <v>16872.96</v>
      </c>
      <c r="AH25" s="152">
        <v>16872.96</v>
      </c>
      <c r="AI25" s="152">
        <v>16872.96</v>
      </c>
      <c r="AJ25" s="152">
        <v>16872.96</v>
      </c>
      <c r="AK25" s="152">
        <v>16872.96</v>
      </c>
      <c r="AL25" s="152">
        <v>17547.878400000001</v>
      </c>
      <c r="AM25" s="152">
        <v>17547.878400000001</v>
      </c>
      <c r="AN25" s="152">
        <v>17547.878400000001</v>
      </c>
      <c r="AO25" s="152">
        <v>17547.878400000001</v>
      </c>
      <c r="AP25" s="152">
        <v>17547.878400000001</v>
      </c>
      <c r="AQ25" s="152">
        <v>17547.878400000001</v>
      </c>
      <c r="AR25" s="152">
        <v>17547.878400000001</v>
      </c>
      <c r="AS25" s="152">
        <v>17547.878400000001</v>
      </c>
      <c r="AT25" s="152">
        <v>17547.878400000001</v>
      </c>
      <c r="AU25" s="152">
        <v>17547.878400000001</v>
      </c>
      <c r="AV25" s="152">
        <v>17547.878400000001</v>
      </c>
      <c r="AW25" s="152">
        <v>17547.878400000001</v>
      </c>
      <c r="AX25" s="152">
        <v>18249.793536000001</v>
      </c>
      <c r="AY25" s="152">
        <v>18249.793536000001</v>
      </c>
      <c r="AZ25" s="152">
        <v>18249.793536000001</v>
      </c>
      <c r="BA25" s="152">
        <v>18249.793536000001</v>
      </c>
      <c r="BB25" s="152">
        <v>18249.793536000001</v>
      </c>
      <c r="BC25" s="152">
        <v>18249.793536000001</v>
      </c>
      <c r="BD25" s="152">
        <v>18249.793536000001</v>
      </c>
      <c r="BE25" s="152">
        <v>18249.793536000001</v>
      </c>
      <c r="BF25" s="152">
        <v>18249.793536000001</v>
      </c>
      <c r="BG25" s="152">
        <v>18249.793536000001</v>
      </c>
      <c r="BH25" s="152">
        <v>18249.793536000001</v>
      </c>
      <c r="BI25" s="152">
        <v>18249.793536000001</v>
      </c>
      <c r="BJ25" s="152">
        <v>18979.785277440002</v>
      </c>
      <c r="BK25" s="152">
        <v>18979.785277440002</v>
      </c>
      <c r="BL25" s="152">
        <v>18979.785277440002</v>
      </c>
      <c r="BM25" s="152">
        <v>18979.785277440002</v>
      </c>
      <c r="BN25" s="152">
        <v>18979.785277440002</v>
      </c>
      <c r="BO25" s="152">
        <v>18979.785277440002</v>
      </c>
      <c r="BP25" s="152">
        <v>18979.785277440002</v>
      </c>
      <c r="BQ25" s="152">
        <v>18979.785277440002</v>
      </c>
      <c r="BR25" s="152">
        <v>18979.785277440002</v>
      </c>
      <c r="BS25" s="152">
        <v>18979.785277440002</v>
      </c>
      <c r="BT25" s="152">
        <v>18979.785277440002</v>
      </c>
      <c r="BU25" s="152">
        <v>18979.785277440002</v>
      </c>
      <c r="BV25" s="152">
        <v>19738.976688537601</v>
      </c>
      <c r="BW25" s="152">
        <v>19738.976688537601</v>
      </c>
      <c r="BX25" s="152">
        <v>19738.976688537601</v>
      </c>
      <c r="BY25" s="152">
        <v>19738.976688537601</v>
      </c>
      <c r="BZ25" s="152">
        <v>19738.976688537601</v>
      </c>
      <c r="CA25" s="152">
        <v>19738.976688537601</v>
      </c>
      <c r="CB25" s="152">
        <v>19738.976688537601</v>
      </c>
      <c r="CC25" s="152">
        <v>19738.976688537601</v>
      </c>
      <c r="CD25" s="152">
        <v>19738.976688537601</v>
      </c>
      <c r="CE25" s="152">
        <v>19738.976688537601</v>
      </c>
      <c r="CF25" s="152">
        <v>19738.976688537601</v>
      </c>
      <c r="CG25" s="152">
        <v>19738.976688537601</v>
      </c>
      <c r="CH25" s="152">
        <v>20528.535756079105</v>
      </c>
      <c r="CI25" s="152">
        <v>20528.535756079105</v>
      </c>
      <c r="CJ25" s="152">
        <v>20528.535756079105</v>
      </c>
      <c r="CK25" s="152">
        <v>20528.535756079105</v>
      </c>
      <c r="CL25" s="152">
        <v>20528.535756079105</v>
      </c>
      <c r="CM25" s="152">
        <v>20528.535756079105</v>
      </c>
      <c r="CN25" s="152">
        <v>20528.535756079105</v>
      </c>
      <c r="CO25" s="152">
        <v>20528.535756079105</v>
      </c>
      <c r="CP25" s="152">
        <v>20528.535756079105</v>
      </c>
      <c r="CQ25" s="152">
        <v>20528.535756079105</v>
      </c>
      <c r="CR25" s="152">
        <v>20528.535756079105</v>
      </c>
      <c r="CS25" s="152">
        <v>20528.535756079105</v>
      </c>
      <c r="CT25" s="152">
        <v>21349.677186322271</v>
      </c>
      <c r="CU25" s="152">
        <v>21349.677186322271</v>
      </c>
      <c r="CV25" s="152">
        <v>21349.677186322271</v>
      </c>
      <c r="CW25" s="152">
        <v>21349.677186322271</v>
      </c>
      <c r="CX25" s="152">
        <v>21349.677186322271</v>
      </c>
      <c r="CY25" s="152">
        <v>21349.677186322271</v>
      </c>
    </row>
    <row r="26" spans="1:103" ht="12" customHeight="1">
      <c r="A26" s="25" t="s">
        <v>303</v>
      </c>
      <c r="B26" s="152">
        <v>10400</v>
      </c>
      <c r="C26" s="152">
        <v>10400</v>
      </c>
      <c r="D26" s="152">
        <v>10400</v>
      </c>
      <c r="E26" s="152">
        <v>10400</v>
      </c>
      <c r="F26" s="152">
        <v>10400</v>
      </c>
      <c r="G26" s="152">
        <v>10400</v>
      </c>
      <c r="H26" s="152">
        <v>10400</v>
      </c>
      <c r="I26" s="152">
        <v>10400</v>
      </c>
      <c r="J26" s="152">
        <v>10400</v>
      </c>
      <c r="K26" s="152">
        <v>10400</v>
      </c>
      <c r="L26" s="152">
        <v>10400</v>
      </c>
      <c r="M26" s="152">
        <v>10400</v>
      </c>
      <c r="N26" s="152">
        <v>10816</v>
      </c>
      <c r="O26" s="152">
        <v>10816</v>
      </c>
      <c r="P26" s="152">
        <v>10816</v>
      </c>
      <c r="Q26" s="152">
        <v>10816</v>
      </c>
      <c r="R26" s="152">
        <v>10816</v>
      </c>
      <c r="S26" s="152">
        <v>10816</v>
      </c>
      <c r="T26" s="152">
        <v>10816</v>
      </c>
      <c r="U26" s="152">
        <v>10816</v>
      </c>
      <c r="V26" s="152">
        <v>10816</v>
      </c>
      <c r="W26" s="152">
        <v>10816</v>
      </c>
      <c r="X26" s="152">
        <v>10816</v>
      </c>
      <c r="Y26" s="152">
        <v>10816</v>
      </c>
      <c r="Z26" s="152">
        <v>11248.640000000001</v>
      </c>
      <c r="AA26" s="152">
        <v>11248.640000000001</v>
      </c>
      <c r="AB26" s="152">
        <v>11248.640000000001</v>
      </c>
      <c r="AC26" s="152">
        <v>11248.640000000001</v>
      </c>
      <c r="AD26" s="152">
        <v>11248.640000000001</v>
      </c>
      <c r="AE26" s="152">
        <v>11248.640000000001</v>
      </c>
      <c r="AF26" s="152">
        <v>11248.640000000001</v>
      </c>
      <c r="AG26" s="152">
        <v>11248.640000000001</v>
      </c>
      <c r="AH26" s="152">
        <v>11248.640000000001</v>
      </c>
      <c r="AI26" s="152">
        <v>11248.640000000001</v>
      </c>
      <c r="AJ26" s="152">
        <v>11248.640000000001</v>
      </c>
      <c r="AK26" s="152">
        <v>11248.640000000001</v>
      </c>
      <c r="AL26" s="152">
        <v>11698.585600000002</v>
      </c>
      <c r="AM26" s="152">
        <v>11698.585600000002</v>
      </c>
      <c r="AN26" s="152">
        <v>11698.585600000002</v>
      </c>
      <c r="AO26" s="152">
        <v>11698.585600000002</v>
      </c>
      <c r="AP26" s="152">
        <v>11698.585600000002</v>
      </c>
      <c r="AQ26" s="152">
        <v>11698.585600000002</v>
      </c>
      <c r="AR26" s="152">
        <v>11698.585600000002</v>
      </c>
      <c r="AS26" s="152">
        <v>11698.585600000002</v>
      </c>
      <c r="AT26" s="152">
        <v>11698.585600000002</v>
      </c>
      <c r="AU26" s="152">
        <v>11698.585600000002</v>
      </c>
      <c r="AV26" s="152">
        <v>11698.585600000002</v>
      </c>
      <c r="AW26" s="152">
        <v>11698.585600000002</v>
      </c>
      <c r="AX26" s="152">
        <v>12166.529024000003</v>
      </c>
      <c r="AY26" s="152">
        <v>12166.529024000003</v>
      </c>
      <c r="AZ26" s="152">
        <v>12166.529024000003</v>
      </c>
      <c r="BA26" s="152">
        <v>12166.529024000003</v>
      </c>
      <c r="BB26" s="152">
        <v>12166.529024000003</v>
      </c>
      <c r="BC26" s="152">
        <v>12166.529024000003</v>
      </c>
      <c r="BD26" s="152">
        <v>12166.529024000003</v>
      </c>
      <c r="BE26" s="152">
        <v>12166.529024000003</v>
      </c>
      <c r="BF26" s="152">
        <v>12166.529024000003</v>
      </c>
      <c r="BG26" s="152">
        <v>12166.529024000003</v>
      </c>
      <c r="BH26" s="152">
        <v>12166.529024000003</v>
      </c>
      <c r="BI26" s="152">
        <v>12166.529024000003</v>
      </c>
      <c r="BJ26" s="152">
        <v>12653.190184960004</v>
      </c>
      <c r="BK26" s="152">
        <v>12653.190184960004</v>
      </c>
      <c r="BL26" s="152">
        <v>12653.190184960004</v>
      </c>
      <c r="BM26" s="152">
        <v>12653.190184960004</v>
      </c>
      <c r="BN26" s="152">
        <v>12653.190184960004</v>
      </c>
      <c r="BO26" s="152">
        <v>12653.190184960004</v>
      </c>
      <c r="BP26" s="152">
        <v>12653.190184960004</v>
      </c>
      <c r="BQ26" s="152">
        <v>12653.190184960004</v>
      </c>
      <c r="BR26" s="152">
        <v>12653.190184960004</v>
      </c>
      <c r="BS26" s="152">
        <v>12653.190184960004</v>
      </c>
      <c r="BT26" s="152">
        <v>12653.190184960004</v>
      </c>
      <c r="BU26" s="152">
        <v>12653.190184960004</v>
      </c>
      <c r="BV26" s="152">
        <v>13159.317792358404</v>
      </c>
      <c r="BW26" s="152">
        <v>13159.317792358404</v>
      </c>
      <c r="BX26" s="152">
        <v>13159.317792358404</v>
      </c>
      <c r="BY26" s="152">
        <v>13159.317792358404</v>
      </c>
      <c r="BZ26" s="152">
        <v>13159.317792358404</v>
      </c>
      <c r="CA26" s="152">
        <v>13159.317792358404</v>
      </c>
      <c r="CB26" s="152">
        <v>13159.317792358404</v>
      </c>
      <c r="CC26" s="152">
        <v>13159.317792358404</v>
      </c>
      <c r="CD26" s="152">
        <v>13159.317792358404</v>
      </c>
      <c r="CE26" s="152">
        <v>13159.317792358404</v>
      </c>
      <c r="CF26" s="152">
        <v>13159.317792358404</v>
      </c>
      <c r="CG26" s="152">
        <v>13159.317792358404</v>
      </c>
      <c r="CH26" s="152">
        <v>13685.690504052742</v>
      </c>
      <c r="CI26" s="152">
        <v>13685.690504052742</v>
      </c>
      <c r="CJ26" s="152">
        <v>13685.690504052742</v>
      </c>
      <c r="CK26" s="152">
        <v>13685.690504052742</v>
      </c>
      <c r="CL26" s="152">
        <v>13685.690504052742</v>
      </c>
      <c r="CM26" s="152">
        <v>13685.690504052742</v>
      </c>
      <c r="CN26" s="152">
        <v>13685.690504052742</v>
      </c>
      <c r="CO26" s="152">
        <v>13685.690504052742</v>
      </c>
      <c r="CP26" s="152">
        <v>13685.690504052742</v>
      </c>
      <c r="CQ26" s="152">
        <v>13685.690504052742</v>
      </c>
      <c r="CR26" s="152">
        <v>13685.690504052742</v>
      </c>
      <c r="CS26" s="152">
        <v>13685.690504052742</v>
      </c>
      <c r="CT26" s="152">
        <v>14233.118124214852</v>
      </c>
      <c r="CU26" s="152">
        <v>14233.118124214852</v>
      </c>
      <c r="CV26" s="152">
        <v>14233.118124214852</v>
      </c>
      <c r="CW26" s="152">
        <v>14233.118124214852</v>
      </c>
      <c r="CX26" s="152">
        <v>14233.118124214852</v>
      </c>
      <c r="CY26" s="152">
        <v>14233.118124214852</v>
      </c>
    </row>
    <row r="27" spans="1:103" ht="12" customHeight="1">
      <c r="A27" s="25" t="s">
        <v>304</v>
      </c>
      <c r="B27" s="152">
        <v>15600</v>
      </c>
      <c r="C27" s="152">
        <v>15600</v>
      </c>
      <c r="D27" s="152">
        <v>15600</v>
      </c>
      <c r="E27" s="152">
        <v>15600</v>
      </c>
      <c r="F27" s="152">
        <v>15600</v>
      </c>
      <c r="G27" s="152">
        <v>15600</v>
      </c>
      <c r="H27" s="152">
        <v>15600</v>
      </c>
      <c r="I27" s="152">
        <v>15600</v>
      </c>
      <c r="J27" s="152">
        <v>15600</v>
      </c>
      <c r="K27" s="152">
        <v>15600</v>
      </c>
      <c r="L27" s="152">
        <v>15600</v>
      </c>
      <c r="M27" s="152">
        <v>15600</v>
      </c>
      <c r="N27" s="152">
        <v>16224</v>
      </c>
      <c r="O27" s="152">
        <v>16224</v>
      </c>
      <c r="P27" s="152">
        <v>16224</v>
      </c>
      <c r="Q27" s="152">
        <v>16224</v>
      </c>
      <c r="R27" s="152">
        <v>16224</v>
      </c>
      <c r="S27" s="152">
        <v>16224</v>
      </c>
      <c r="T27" s="152">
        <v>16224</v>
      </c>
      <c r="U27" s="152">
        <v>16224</v>
      </c>
      <c r="V27" s="152">
        <v>16224</v>
      </c>
      <c r="W27" s="152">
        <v>16224</v>
      </c>
      <c r="X27" s="152">
        <v>16224</v>
      </c>
      <c r="Y27" s="152">
        <v>16224</v>
      </c>
      <c r="Z27" s="152">
        <v>16872.96</v>
      </c>
      <c r="AA27" s="152">
        <v>16872.96</v>
      </c>
      <c r="AB27" s="152">
        <v>16872.96</v>
      </c>
      <c r="AC27" s="152">
        <v>16872.96</v>
      </c>
      <c r="AD27" s="152">
        <v>16872.96</v>
      </c>
      <c r="AE27" s="152">
        <v>16872.96</v>
      </c>
      <c r="AF27" s="152">
        <v>16872.96</v>
      </c>
      <c r="AG27" s="152">
        <v>16872.96</v>
      </c>
      <c r="AH27" s="152">
        <v>16872.96</v>
      </c>
      <c r="AI27" s="152">
        <v>16872.96</v>
      </c>
      <c r="AJ27" s="152">
        <v>16872.96</v>
      </c>
      <c r="AK27" s="152">
        <v>16872.96</v>
      </c>
      <c r="AL27" s="152">
        <v>17547.878400000001</v>
      </c>
      <c r="AM27" s="152">
        <v>17547.878400000001</v>
      </c>
      <c r="AN27" s="152">
        <v>17547.878400000001</v>
      </c>
      <c r="AO27" s="152">
        <v>17547.878400000001</v>
      </c>
      <c r="AP27" s="152">
        <v>17547.878400000001</v>
      </c>
      <c r="AQ27" s="152">
        <v>17547.878400000001</v>
      </c>
      <c r="AR27" s="152">
        <v>17547.878400000001</v>
      </c>
      <c r="AS27" s="152">
        <v>17547.878400000001</v>
      </c>
      <c r="AT27" s="152">
        <v>17547.878400000001</v>
      </c>
      <c r="AU27" s="152">
        <v>17547.878400000001</v>
      </c>
      <c r="AV27" s="152">
        <v>17547.878400000001</v>
      </c>
      <c r="AW27" s="152">
        <v>17547.878400000001</v>
      </c>
      <c r="AX27" s="152">
        <v>18249.793536000001</v>
      </c>
      <c r="AY27" s="152">
        <v>18249.793536000001</v>
      </c>
      <c r="AZ27" s="152">
        <v>18249.793536000001</v>
      </c>
      <c r="BA27" s="152">
        <v>18249.793536000001</v>
      </c>
      <c r="BB27" s="152">
        <v>18249.793536000001</v>
      </c>
      <c r="BC27" s="152">
        <v>18249.793536000001</v>
      </c>
      <c r="BD27" s="152">
        <v>18249.793536000001</v>
      </c>
      <c r="BE27" s="152">
        <v>18249.793536000001</v>
      </c>
      <c r="BF27" s="152">
        <v>18249.793536000001</v>
      </c>
      <c r="BG27" s="152">
        <v>18249.793536000001</v>
      </c>
      <c r="BH27" s="152">
        <v>18249.793536000001</v>
      </c>
      <c r="BI27" s="152">
        <v>18249.793536000001</v>
      </c>
      <c r="BJ27" s="152">
        <v>18979.785277440002</v>
      </c>
      <c r="BK27" s="152">
        <v>18979.785277440002</v>
      </c>
      <c r="BL27" s="152">
        <v>18979.785277440002</v>
      </c>
      <c r="BM27" s="152">
        <v>18979.785277440002</v>
      </c>
      <c r="BN27" s="152">
        <v>18979.785277440002</v>
      </c>
      <c r="BO27" s="152">
        <v>18979.785277440002</v>
      </c>
      <c r="BP27" s="152">
        <v>18979.785277440002</v>
      </c>
      <c r="BQ27" s="152">
        <v>18979.785277440002</v>
      </c>
      <c r="BR27" s="152">
        <v>18979.785277440002</v>
      </c>
      <c r="BS27" s="152">
        <v>18979.785277440002</v>
      </c>
      <c r="BT27" s="152">
        <v>18979.785277440002</v>
      </c>
      <c r="BU27" s="152">
        <v>18979.785277440002</v>
      </c>
      <c r="BV27" s="152">
        <v>19738.976688537601</v>
      </c>
      <c r="BW27" s="152">
        <v>19738.976688537601</v>
      </c>
      <c r="BX27" s="152">
        <v>19738.976688537601</v>
      </c>
      <c r="BY27" s="152">
        <v>19738.976688537601</v>
      </c>
      <c r="BZ27" s="152">
        <v>19738.976688537601</v>
      </c>
      <c r="CA27" s="152">
        <v>19738.976688537601</v>
      </c>
      <c r="CB27" s="152">
        <v>19738.976688537601</v>
      </c>
      <c r="CC27" s="152">
        <v>19738.976688537601</v>
      </c>
      <c r="CD27" s="152">
        <v>19738.976688537601</v>
      </c>
      <c r="CE27" s="152">
        <v>19738.976688537601</v>
      </c>
      <c r="CF27" s="152">
        <v>19738.976688537601</v>
      </c>
      <c r="CG27" s="152">
        <v>19738.976688537601</v>
      </c>
      <c r="CH27" s="152">
        <v>20528.535756079105</v>
      </c>
      <c r="CI27" s="152">
        <v>20528.535756079105</v>
      </c>
      <c r="CJ27" s="152">
        <v>20528.535756079105</v>
      </c>
      <c r="CK27" s="152">
        <v>20528.535756079105</v>
      </c>
      <c r="CL27" s="152">
        <v>20528.535756079105</v>
      </c>
      <c r="CM27" s="152">
        <v>20528.535756079105</v>
      </c>
      <c r="CN27" s="152">
        <v>20528.535756079105</v>
      </c>
      <c r="CO27" s="152">
        <v>20528.535756079105</v>
      </c>
      <c r="CP27" s="152">
        <v>20528.535756079105</v>
      </c>
      <c r="CQ27" s="152">
        <v>20528.535756079105</v>
      </c>
      <c r="CR27" s="152">
        <v>20528.535756079105</v>
      </c>
      <c r="CS27" s="152">
        <v>20528.535756079105</v>
      </c>
      <c r="CT27" s="152">
        <v>21349.677186322271</v>
      </c>
      <c r="CU27" s="152">
        <v>21349.677186322271</v>
      </c>
      <c r="CV27" s="152">
        <v>21349.677186322271</v>
      </c>
      <c r="CW27" s="152">
        <v>21349.677186322271</v>
      </c>
      <c r="CX27" s="152">
        <v>21349.677186322271</v>
      </c>
      <c r="CY27" s="152">
        <v>21349.677186322271</v>
      </c>
    </row>
    <row r="28" spans="1:103" ht="12" customHeight="1">
      <c r="A28" s="25" t="s">
        <v>305</v>
      </c>
      <c r="B28" s="152">
        <v>15600</v>
      </c>
      <c r="C28" s="152">
        <v>15600</v>
      </c>
      <c r="D28" s="152">
        <v>15600</v>
      </c>
      <c r="E28" s="152">
        <v>15600</v>
      </c>
      <c r="F28" s="152">
        <v>15600</v>
      </c>
      <c r="G28" s="152">
        <v>15600</v>
      </c>
      <c r="H28" s="152">
        <v>15600</v>
      </c>
      <c r="I28" s="152">
        <v>15600</v>
      </c>
      <c r="J28" s="152">
        <v>15600</v>
      </c>
      <c r="K28" s="152">
        <v>15600</v>
      </c>
      <c r="L28" s="152">
        <v>15600</v>
      </c>
      <c r="M28" s="152">
        <v>15600</v>
      </c>
      <c r="N28" s="152">
        <v>16224</v>
      </c>
      <c r="O28" s="152">
        <v>16224</v>
      </c>
      <c r="P28" s="152">
        <v>16224</v>
      </c>
      <c r="Q28" s="152">
        <v>16224</v>
      </c>
      <c r="R28" s="152">
        <v>16224</v>
      </c>
      <c r="S28" s="152">
        <v>16224</v>
      </c>
      <c r="T28" s="152">
        <v>16224</v>
      </c>
      <c r="U28" s="152">
        <v>16224</v>
      </c>
      <c r="V28" s="152">
        <v>16224</v>
      </c>
      <c r="W28" s="152">
        <v>16224</v>
      </c>
      <c r="X28" s="152">
        <v>16224</v>
      </c>
      <c r="Y28" s="152">
        <v>16224</v>
      </c>
      <c r="Z28" s="152">
        <v>16872.96</v>
      </c>
      <c r="AA28" s="152">
        <v>16872.96</v>
      </c>
      <c r="AB28" s="152">
        <v>16872.96</v>
      </c>
      <c r="AC28" s="152">
        <v>16872.96</v>
      </c>
      <c r="AD28" s="152">
        <v>16872.96</v>
      </c>
      <c r="AE28" s="152">
        <v>16872.96</v>
      </c>
      <c r="AF28" s="152">
        <v>16872.96</v>
      </c>
      <c r="AG28" s="152">
        <v>16872.96</v>
      </c>
      <c r="AH28" s="152">
        <v>16872.96</v>
      </c>
      <c r="AI28" s="152">
        <v>16872.96</v>
      </c>
      <c r="AJ28" s="152">
        <v>16872.96</v>
      </c>
      <c r="AK28" s="152">
        <v>16872.96</v>
      </c>
      <c r="AL28" s="152">
        <v>17547.878400000001</v>
      </c>
      <c r="AM28" s="152">
        <v>17547.878400000001</v>
      </c>
      <c r="AN28" s="152">
        <v>17547.878400000001</v>
      </c>
      <c r="AO28" s="152">
        <v>17547.878400000001</v>
      </c>
      <c r="AP28" s="152">
        <v>17547.878400000001</v>
      </c>
      <c r="AQ28" s="152">
        <v>17547.878400000001</v>
      </c>
      <c r="AR28" s="152">
        <v>17547.878400000001</v>
      </c>
      <c r="AS28" s="152">
        <v>17547.878400000001</v>
      </c>
      <c r="AT28" s="152">
        <v>17547.878400000001</v>
      </c>
      <c r="AU28" s="152">
        <v>17547.878400000001</v>
      </c>
      <c r="AV28" s="152">
        <v>17547.878400000001</v>
      </c>
      <c r="AW28" s="152">
        <v>17547.878400000001</v>
      </c>
      <c r="AX28" s="152">
        <v>18249.793536000001</v>
      </c>
      <c r="AY28" s="152">
        <v>18249.793536000001</v>
      </c>
      <c r="AZ28" s="152">
        <v>18249.793536000001</v>
      </c>
      <c r="BA28" s="152">
        <v>18249.793536000001</v>
      </c>
      <c r="BB28" s="152">
        <v>18249.793536000001</v>
      </c>
      <c r="BC28" s="152">
        <v>18249.793536000001</v>
      </c>
      <c r="BD28" s="152">
        <v>18249.793536000001</v>
      </c>
      <c r="BE28" s="152">
        <v>18249.793536000001</v>
      </c>
      <c r="BF28" s="152">
        <v>18249.793536000001</v>
      </c>
      <c r="BG28" s="152">
        <v>18249.793536000001</v>
      </c>
      <c r="BH28" s="152">
        <v>18249.793536000001</v>
      </c>
      <c r="BI28" s="152">
        <v>18249.793536000001</v>
      </c>
      <c r="BJ28" s="152">
        <v>18979.785277440002</v>
      </c>
      <c r="BK28" s="152">
        <v>18979.785277440002</v>
      </c>
      <c r="BL28" s="152">
        <v>18979.785277440002</v>
      </c>
      <c r="BM28" s="152">
        <v>18979.785277440002</v>
      </c>
      <c r="BN28" s="152">
        <v>18979.785277440002</v>
      </c>
      <c r="BO28" s="152">
        <v>18979.785277440002</v>
      </c>
      <c r="BP28" s="152">
        <v>18979.785277440002</v>
      </c>
      <c r="BQ28" s="152">
        <v>18979.785277440002</v>
      </c>
      <c r="BR28" s="152">
        <v>18979.785277440002</v>
      </c>
      <c r="BS28" s="152">
        <v>18979.785277440002</v>
      </c>
      <c r="BT28" s="152">
        <v>18979.785277440002</v>
      </c>
      <c r="BU28" s="152">
        <v>18979.785277440002</v>
      </c>
      <c r="BV28" s="152">
        <v>19738.976688537601</v>
      </c>
      <c r="BW28" s="152">
        <v>19738.976688537601</v>
      </c>
      <c r="BX28" s="152">
        <v>19738.976688537601</v>
      </c>
      <c r="BY28" s="152">
        <v>19738.976688537601</v>
      </c>
      <c r="BZ28" s="152">
        <v>19738.976688537601</v>
      </c>
      <c r="CA28" s="152">
        <v>19738.976688537601</v>
      </c>
      <c r="CB28" s="152">
        <v>19738.976688537601</v>
      </c>
      <c r="CC28" s="152">
        <v>19738.976688537601</v>
      </c>
      <c r="CD28" s="152">
        <v>19738.976688537601</v>
      </c>
      <c r="CE28" s="152">
        <v>19738.976688537601</v>
      </c>
      <c r="CF28" s="152">
        <v>19738.976688537601</v>
      </c>
      <c r="CG28" s="152">
        <v>19738.976688537601</v>
      </c>
      <c r="CH28" s="152">
        <v>20528.535756079105</v>
      </c>
      <c r="CI28" s="152">
        <v>20528.535756079105</v>
      </c>
      <c r="CJ28" s="152">
        <v>20528.535756079105</v>
      </c>
      <c r="CK28" s="152">
        <v>20528.535756079105</v>
      </c>
      <c r="CL28" s="152">
        <v>20528.535756079105</v>
      </c>
      <c r="CM28" s="152">
        <v>20528.535756079105</v>
      </c>
      <c r="CN28" s="152">
        <v>20528.535756079105</v>
      </c>
      <c r="CO28" s="152">
        <v>20528.535756079105</v>
      </c>
      <c r="CP28" s="152">
        <v>20528.535756079105</v>
      </c>
      <c r="CQ28" s="152">
        <v>20528.535756079105</v>
      </c>
      <c r="CR28" s="152">
        <v>20528.535756079105</v>
      </c>
      <c r="CS28" s="152">
        <v>20528.535756079105</v>
      </c>
      <c r="CT28" s="152">
        <v>21349.677186322271</v>
      </c>
      <c r="CU28" s="152">
        <v>21349.677186322271</v>
      </c>
      <c r="CV28" s="152">
        <v>21349.677186322271</v>
      </c>
      <c r="CW28" s="152">
        <v>21349.677186322271</v>
      </c>
      <c r="CX28" s="152">
        <v>21349.677186322271</v>
      </c>
      <c r="CY28" s="152">
        <v>21349.677186322271</v>
      </c>
    </row>
    <row r="29" spans="1:103" ht="12" customHeight="1">
      <c r="A29" s="25" t="s">
        <v>306</v>
      </c>
      <c r="B29" s="152">
        <v>15600</v>
      </c>
      <c r="C29" s="152">
        <v>15600</v>
      </c>
      <c r="D29" s="152">
        <v>15600</v>
      </c>
      <c r="E29" s="152">
        <v>15600</v>
      </c>
      <c r="F29" s="152">
        <v>15600</v>
      </c>
      <c r="G29" s="152">
        <v>15600</v>
      </c>
      <c r="H29" s="152">
        <v>15600</v>
      </c>
      <c r="I29" s="152">
        <v>15600</v>
      </c>
      <c r="J29" s="152">
        <v>15600</v>
      </c>
      <c r="K29" s="152">
        <v>15600</v>
      </c>
      <c r="L29" s="152">
        <v>15600</v>
      </c>
      <c r="M29" s="152">
        <v>15600</v>
      </c>
      <c r="N29" s="152">
        <v>16224</v>
      </c>
      <c r="O29" s="152">
        <v>16224</v>
      </c>
      <c r="P29" s="152">
        <v>16224</v>
      </c>
      <c r="Q29" s="152">
        <v>16224</v>
      </c>
      <c r="R29" s="152">
        <v>16224</v>
      </c>
      <c r="S29" s="152">
        <v>16224</v>
      </c>
      <c r="T29" s="152">
        <v>16224</v>
      </c>
      <c r="U29" s="152">
        <v>16224</v>
      </c>
      <c r="V29" s="152">
        <v>16224</v>
      </c>
      <c r="W29" s="152">
        <v>16224</v>
      </c>
      <c r="X29" s="152">
        <v>16224</v>
      </c>
      <c r="Y29" s="152">
        <v>16224</v>
      </c>
      <c r="Z29" s="152">
        <v>16872.96</v>
      </c>
      <c r="AA29" s="152">
        <v>16872.96</v>
      </c>
      <c r="AB29" s="152">
        <v>16872.96</v>
      </c>
      <c r="AC29" s="152">
        <v>16872.96</v>
      </c>
      <c r="AD29" s="152">
        <v>16872.96</v>
      </c>
      <c r="AE29" s="152">
        <v>16872.96</v>
      </c>
      <c r="AF29" s="152">
        <v>16872.96</v>
      </c>
      <c r="AG29" s="152">
        <v>16872.96</v>
      </c>
      <c r="AH29" s="152">
        <v>16872.96</v>
      </c>
      <c r="AI29" s="152">
        <v>16872.96</v>
      </c>
      <c r="AJ29" s="152">
        <v>16872.96</v>
      </c>
      <c r="AK29" s="152">
        <v>16872.96</v>
      </c>
      <c r="AL29" s="152">
        <v>17547.878400000001</v>
      </c>
      <c r="AM29" s="152">
        <v>17547.878400000001</v>
      </c>
      <c r="AN29" s="152">
        <v>17547.878400000001</v>
      </c>
      <c r="AO29" s="152">
        <v>17547.878400000001</v>
      </c>
      <c r="AP29" s="152">
        <v>17547.878400000001</v>
      </c>
      <c r="AQ29" s="152">
        <v>17547.878400000001</v>
      </c>
      <c r="AR29" s="152">
        <v>17547.878400000001</v>
      </c>
      <c r="AS29" s="152">
        <v>17547.878400000001</v>
      </c>
      <c r="AT29" s="152">
        <v>17547.878400000001</v>
      </c>
      <c r="AU29" s="152">
        <v>17547.878400000001</v>
      </c>
      <c r="AV29" s="152">
        <v>17547.878400000001</v>
      </c>
      <c r="AW29" s="152">
        <v>17547.878400000001</v>
      </c>
      <c r="AX29" s="152">
        <v>18249.793536000001</v>
      </c>
      <c r="AY29" s="152">
        <v>18249.793536000001</v>
      </c>
      <c r="AZ29" s="152">
        <v>18249.793536000001</v>
      </c>
      <c r="BA29" s="152">
        <v>18249.793536000001</v>
      </c>
      <c r="BB29" s="152">
        <v>18249.793536000001</v>
      </c>
      <c r="BC29" s="152">
        <v>18249.793536000001</v>
      </c>
      <c r="BD29" s="152">
        <v>18249.793536000001</v>
      </c>
      <c r="BE29" s="152">
        <v>18249.793536000001</v>
      </c>
      <c r="BF29" s="152">
        <v>18249.793536000001</v>
      </c>
      <c r="BG29" s="152">
        <v>18249.793536000001</v>
      </c>
      <c r="BH29" s="152">
        <v>18249.793536000001</v>
      </c>
      <c r="BI29" s="152">
        <v>18249.793536000001</v>
      </c>
      <c r="BJ29" s="152">
        <v>18979.785277440002</v>
      </c>
      <c r="BK29" s="152">
        <v>18979.785277440002</v>
      </c>
      <c r="BL29" s="152">
        <v>18979.785277440002</v>
      </c>
      <c r="BM29" s="152">
        <v>18979.785277440002</v>
      </c>
      <c r="BN29" s="152">
        <v>18979.785277440002</v>
      </c>
      <c r="BO29" s="152">
        <v>18979.785277440002</v>
      </c>
      <c r="BP29" s="152">
        <v>18979.785277440002</v>
      </c>
      <c r="BQ29" s="152">
        <v>18979.785277440002</v>
      </c>
      <c r="BR29" s="152">
        <v>18979.785277440002</v>
      </c>
      <c r="BS29" s="152">
        <v>18979.785277440002</v>
      </c>
      <c r="BT29" s="152">
        <v>18979.785277440002</v>
      </c>
      <c r="BU29" s="152">
        <v>18979.785277440002</v>
      </c>
      <c r="BV29" s="152">
        <v>19738.976688537601</v>
      </c>
      <c r="BW29" s="152">
        <v>19738.976688537601</v>
      </c>
      <c r="BX29" s="152">
        <v>19738.976688537601</v>
      </c>
      <c r="BY29" s="152">
        <v>19738.976688537601</v>
      </c>
      <c r="BZ29" s="152">
        <v>19738.976688537601</v>
      </c>
      <c r="CA29" s="152">
        <v>19738.976688537601</v>
      </c>
      <c r="CB29" s="152">
        <v>19738.976688537601</v>
      </c>
      <c r="CC29" s="152">
        <v>19738.976688537601</v>
      </c>
      <c r="CD29" s="152">
        <v>19738.976688537601</v>
      </c>
      <c r="CE29" s="152">
        <v>19738.976688537601</v>
      </c>
      <c r="CF29" s="152">
        <v>19738.976688537601</v>
      </c>
      <c r="CG29" s="152">
        <v>19738.976688537601</v>
      </c>
      <c r="CH29" s="152">
        <v>20528.535756079105</v>
      </c>
      <c r="CI29" s="152">
        <v>20528.535756079105</v>
      </c>
      <c r="CJ29" s="152">
        <v>20528.535756079105</v>
      </c>
      <c r="CK29" s="152">
        <v>20528.535756079105</v>
      </c>
      <c r="CL29" s="152">
        <v>20528.535756079105</v>
      </c>
      <c r="CM29" s="152">
        <v>20528.535756079105</v>
      </c>
      <c r="CN29" s="152">
        <v>20528.535756079105</v>
      </c>
      <c r="CO29" s="152">
        <v>20528.535756079105</v>
      </c>
      <c r="CP29" s="152">
        <v>20528.535756079105</v>
      </c>
      <c r="CQ29" s="152">
        <v>20528.535756079105</v>
      </c>
      <c r="CR29" s="152">
        <v>20528.535756079105</v>
      </c>
      <c r="CS29" s="152">
        <v>20528.535756079105</v>
      </c>
      <c r="CT29" s="152">
        <v>21349.677186322271</v>
      </c>
      <c r="CU29" s="152">
        <v>21349.677186322271</v>
      </c>
      <c r="CV29" s="152">
        <v>21349.677186322271</v>
      </c>
      <c r="CW29" s="152">
        <v>21349.677186322271</v>
      </c>
      <c r="CX29" s="152">
        <v>21349.677186322271</v>
      </c>
      <c r="CY29" s="152">
        <v>21349.677186322271</v>
      </c>
    </row>
    <row r="30" spans="1:103" ht="12" customHeight="1">
      <c r="A30" s="25" t="s">
        <v>307</v>
      </c>
      <c r="B30" s="152">
        <v>15600</v>
      </c>
      <c r="C30" s="152">
        <v>15600</v>
      </c>
      <c r="D30" s="152">
        <v>15600</v>
      </c>
      <c r="E30" s="152">
        <v>15600</v>
      </c>
      <c r="F30" s="152">
        <v>15600</v>
      </c>
      <c r="G30" s="152">
        <v>15600</v>
      </c>
      <c r="H30" s="152">
        <v>15600</v>
      </c>
      <c r="I30" s="152">
        <v>15600</v>
      </c>
      <c r="J30" s="152">
        <v>15600</v>
      </c>
      <c r="K30" s="152">
        <v>15600</v>
      </c>
      <c r="L30" s="152">
        <v>15600</v>
      </c>
      <c r="M30" s="152">
        <v>15600</v>
      </c>
      <c r="N30" s="152">
        <v>16224</v>
      </c>
      <c r="O30" s="152">
        <v>16224</v>
      </c>
      <c r="P30" s="152">
        <v>16224</v>
      </c>
      <c r="Q30" s="152">
        <v>16224</v>
      </c>
      <c r="R30" s="152">
        <v>16224</v>
      </c>
      <c r="S30" s="152">
        <v>16224</v>
      </c>
      <c r="T30" s="152">
        <v>16224</v>
      </c>
      <c r="U30" s="152">
        <v>16224</v>
      </c>
      <c r="V30" s="152">
        <v>16224</v>
      </c>
      <c r="W30" s="152">
        <v>16224</v>
      </c>
      <c r="X30" s="152">
        <v>16224</v>
      </c>
      <c r="Y30" s="152">
        <v>16224</v>
      </c>
      <c r="Z30" s="152">
        <v>16872.96</v>
      </c>
      <c r="AA30" s="152">
        <v>16872.96</v>
      </c>
      <c r="AB30" s="152">
        <v>16872.96</v>
      </c>
      <c r="AC30" s="152">
        <v>16872.96</v>
      </c>
      <c r="AD30" s="152">
        <v>16872.96</v>
      </c>
      <c r="AE30" s="152">
        <v>16872.96</v>
      </c>
      <c r="AF30" s="152">
        <v>16872.96</v>
      </c>
      <c r="AG30" s="152">
        <v>16872.96</v>
      </c>
      <c r="AH30" s="152">
        <v>16872.96</v>
      </c>
      <c r="AI30" s="152">
        <v>16872.96</v>
      </c>
      <c r="AJ30" s="152">
        <v>16872.96</v>
      </c>
      <c r="AK30" s="152">
        <v>16872.96</v>
      </c>
      <c r="AL30" s="152">
        <v>17547.878400000001</v>
      </c>
      <c r="AM30" s="152">
        <v>17547.878400000001</v>
      </c>
      <c r="AN30" s="152">
        <v>17547.878400000001</v>
      </c>
      <c r="AO30" s="152">
        <v>17547.878400000001</v>
      </c>
      <c r="AP30" s="152">
        <v>17547.878400000001</v>
      </c>
      <c r="AQ30" s="152">
        <v>17547.878400000001</v>
      </c>
      <c r="AR30" s="152">
        <v>17547.878400000001</v>
      </c>
      <c r="AS30" s="152">
        <v>17547.878400000001</v>
      </c>
      <c r="AT30" s="152">
        <v>17547.878400000001</v>
      </c>
      <c r="AU30" s="152">
        <v>17547.878400000001</v>
      </c>
      <c r="AV30" s="152">
        <v>17547.878400000001</v>
      </c>
      <c r="AW30" s="152">
        <v>17547.878400000001</v>
      </c>
      <c r="AX30" s="152">
        <v>18249.793536000001</v>
      </c>
      <c r="AY30" s="152">
        <v>18249.793536000001</v>
      </c>
      <c r="AZ30" s="152">
        <v>18249.793536000001</v>
      </c>
      <c r="BA30" s="152">
        <v>18249.793536000001</v>
      </c>
      <c r="BB30" s="152">
        <v>18249.793536000001</v>
      </c>
      <c r="BC30" s="152">
        <v>18249.793536000001</v>
      </c>
      <c r="BD30" s="152">
        <v>18249.793536000001</v>
      </c>
      <c r="BE30" s="152">
        <v>18249.793536000001</v>
      </c>
      <c r="BF30" s="152">
        <v>18249.793536000001</v>
      </c>
      <c r="BG30" s="152">
        <v>18249.793536000001</v>
      </c>
      <c r="BH30" s="152">
        <v>18249.793536000001</v>
      </c>
      <c r="BI30" s="152">
        <v>18249.793536000001</v>
      </c>
      <c r="BJ30" s="152">
        <v>18979.785277440002</v>
      </c>
      <c r="BK30" s="152">
        <v>18979.785277440002</v>
      </c>
      <c r="BL30" s="152">
        <v>18979.785277440002</v>
      </c>
      <c r="BM30" s="152">
        <v>18979.785277440002</v>
      </c>
      <c r="BN30" s="152">
        <v>18979.785277440002</v>
      </c>
      <c r="BO30" s="152">
        <v>18979.785277440002</v>
      </c>
      <c r="BP30" s="152">
        <v>18979.785277440002</v>
      </c>
      <c r="BQ30" s="152">
        <v>18979.785277440002</v>
      </c>
      <c r="BR30" s="152">
        <v>18979.785277440002</v>
      </c>
      <c r="BS30" s="152">
        <v>18979.785277440002</v>
      </c>
      <c r="BT30" s="152">
        <v>18979.785277440002</v>
      </c>
      <c r="BU30" s="152">
        <v>18979.785277440002</v>
      </c>
      <c r="BV30" s="152">
        <v>19738.976688537601</v>
      </c>
      <c r="BW30" s="152">
        <v>19738.976688537601</v>
      </c>
      <c r="BX30" s="152">
        <v>19738.976688537601</v>
      </c>
      <c r="BY30" s="152">
        <v>19738.976688537601</v>
      </c>
      <c r="BZ30" s="152">
        <v>19738.976688537601</v>
      </c>
      <c r="CA30" s="152">
        <v>19738.976688537601</v>
      </c>
      <c r="CB30" s="152">
        <v>19738.976688537601</v>
      </c>
      <c r="CC30" s="152">
        <v>19738.976688537601</v>
      </c>
      <c r="CD30" s="152">
        <v>19738.976688537601</v>
      </c>
      <c r="CE30" s="152">
        <v>19738.976688537601</v>
      </c>
      <c r="CF30" s="152">
        <v>19738.976688537601</v>
      </c>
      <c r="CG30" s="152">
        <v>19738.976688537601</v>
      </c>
      <c r="CH30" s="152">
        <v>20528.535756079105</v>
      </c>
      <c r="CI30" s="152">
        <v>20528.535756079105</v>
      </c>
      <c r="CJ30" s="152">
        <v>20528.535756079105</v>
      </c>
      <c r="CK30" s="152">
        <v>20528.535756079105</v>
      </c>
      <c r="CL30" s="152">
        <v>20528.535756079105</v>
      </c>
      <c r="CM30" s="152">
        <v>20528.535756079105</v>
      </c>
      <c r="CN30" s="152">
        <v>20528.535756079105</v>
      </c>
      <c r="CO30" s="152">
        <v>20528.535756079105</v>
      </c>
      <c r="CP30" s="152">
        <v>20528.535756079105</v>
      </c>
      <c r="CQ30" s="152">
        <v>20528.535756079105</v>
      </c>
      <c r="CR30" s="152">
        <v>20528.535756079105</v>
      </c>
      <c r="CS30" s="152">
        <v>20528.535756079105</v>
      </c>
      <c r="CT30" s="152">
        <v>21349.677186322271</v>
      </c>
      <c r="CU30" s="152">
        <v>21349.677186322271</v>
      </c>
      <c r="CV30" s="152">
        <v>21349.677186322271</v>
      </c>
      <c r="CW30" s="152">
        <v>21349.677186322271</v>
      </c>
      <c r="CX30" s="152">
        <v>21349.677186322271</v>
      </c>
      <c r="CY30" s="152">
        <v>21349.677186322271</v>
      </c>
    </row>
    <row r="31" spans="1:103" ht="12" customHeight="1">
      <c r="A31" s="182" t="s">
        <v>308</v>
      </c>
      <c r="B31" s="152">
        <v>156000</v>
      </c>
      <c r="C31" s="152">
        <v>156000</v>
      </c>
      <c r="D31" s="152">
        <v>156000</v>
      </c>
      <c r="E31" s="152">
        <v>156000</v>
      </c>
      <c r="F31" s="152">
        <v>156000</v>
      </c>
      <c r="G31" s="152">
        <v>156000</v>
      </c>
      <c r="H31" s="152">
        <v>156000</v>
      </c>
      <c r="I31" s="152">
        <v>156000</v>
      </c>
      <c r="J31" s="152">
        <v>156000</v>
      </c>
      <c r="K31" s="152">
        <v>156000</v>
      </c>
      <c r="L31" s="152">
        <v>156000</v>
      </c>
      <c r="M31" s="152">
        <v>156000</v>
      </c>
      <c r="N31" s="152">
        <v>162240</v>
      </c>
      <c r="O31" s="152">
        <v>162240</v>
      </c>
      <c r="P31" s="152">
        <v>162240</v>
      </c>
      <c r="Q31" s="152">
        <v>162240</v>
      </c>
      <c r="R31" s="152">
        <v>162240</v>
      </c>
      <c r="S31" s="152">
        <v>162240</v>
      </c>
      <c r="T31" s="152">
        <v>162240</v>
      </c>
      <c r="U31" s="152">
        <v>162240</v>
      </c>
      <c r="V31" s="152">
        <v>162240</v>
      </c>
      <c r="W31" s="152">
        <v>162240</v>
      </c>
      <c r="X31" s="152">
        <v>162240</v>
      </c>
      <c r="Y31" s="152">
        <v>162240</v>
      </c>
      <c r="Z31" s="152">
        <v>168729.60000000001</v>
      </c>
      <c r="AA31" s="152">
        <v>168729.60000000001</v>
      </c>
      <c r="AB31" s="152">
        <v>168729.60000000001</v>
      </c>
      <c r="AC31" s="152">
        <v>168729.60000000001</v>
      </c>
      <c r="AD31" s="152">
        <v>168729.60000000001</v>
      </c>
      <c r="AE31" s="152">
        <v>168729.60000000001</v>
      </c>
      <c r="AF31" s="152">
        <v>168729.60000000001</v>
      </c>
      <c r="AG31" s="152">
        <v>168729.60000000001</v>
      </c>
      <c r="AH31" s="152">
        <v>168729.60000000001</v>
      </c>
      <c r="AI31" s="152">
        <v>168729.60000000001</v>
      </c>
      <c r="AJ31" s="152">
        <v>168729.60000000001</v>
      </c>
      <c r="AK31" s="152">
        <v>168729.60000000001</v>
      </c>
      <c r="AL31" s="152">
        <v>175478.78400000001</v>
      </c>
      <c r="AM31" s="152">
        <v>175478.78400000001</v>
      </c>
      <c r="AN31" s="152">
        <v>175478.78400000001</v>
      </c>
      <c r="AO31" s="152">
        <v>175478.78400000001</v>
      </c>
      <c r="AP31" s="152">
        <v>175478.78400000001</v>
      </c>
      <c r="AQ31" s="152">
        <v>175478.78400000001</v>
      </c>
      <c r="AR31" s="152">
        <v>175478.78400000001</v>
      </c>
      <c r="AS31" s="152">
        <v>175478.78400000001</v>
      </c>
      <c r="AT31" s="152">
        <v>175478.78400000001</v>
      </c>
      <c r="AU31" s="152">
        <v>175478.78400000001</v>
      </c>
      <c r="AV31" s="152">
        <v>175478.78400000001</v>
      </c>
      <c r="AW31" s="152">
        <v>175478.78400000001</v>
      </c>
      <c r="AX31" s="152">
        <v>182497.93536000003</v>
      </c>
      <c r="AY31" s="152">
        <v>182497.93536000003</v>
      </c>
      <c r="AZ31" s="152">
        <v>182497.93536000003</v>
      </c>
      <c r="BA31" s="152">
        <v>182497.93536000003</v>
      </c>
      <c r="BB31" s="152">
        <v>182497.93536000003</v>
      </c>
      <c r="BC31" s="152">
        <v>182497.93536000003</v>
      </c>
      <c r="BD31" s="152">
        <v>182497.93536000003</v>
      </c>
      <c r="BE31" s="152">
        <v>182497.93536000003</v>
      </c>
      <c r="BF31" s="152">
        <v>182497.93536000003</v>
      </c>
      <c r="BG31" s="152">
        <v>182497.93536000003</v>
      </c>
      <c r="BH31" s="152">
        <v>182497.93536000003</v>
      </c>
      <c r="BI31" s="152">
        <v>182497.93536000003</v>
      </c>
      <c r="BJ31" s="152">
        <v>189797.85277440003</v>
      </c>
      <c r="BK31" s="152">
        <v>189797.85277440003</v>
      </c>
      <c r="BL31" s="152">
        <v>189797.85277440003</v>
      </c>
      <c r="BM31" s="152">
        <v>189797.85277440003</v>
      </c>
      <c r="BN31" s="152">
        <v>189797.85277440003</v>
      </c>
      <c r="BO31" s="152">
        <v>189797.85277440003</v>
      </c>
      <c r="BP31" s="152">
        <v>189797.85277440003</v>
      </c>
      <c r="BQ31" s="152">
        <v>189797.85277440003</v>
      </c>
      <c r="BR31" s="152">
        <v>189797.85277440003</v>
      </c>
      <c r="BS31" s="152">
        <v>189797.85277440003</v>
      </c>
      <c r="BT31" s="152">
        <v>189797.85277440003</v>
      </c>
      <c r="BU31" s="152">
        <v>189797.85277440003</v>
      </c>
      <c r="BV31" s="152">
        <v>197389.76688537604</v>
      </c>
      <c r="BW31" s="152">
        <v>197389.76688537604</v>
      </c>
      <c r="BX31" s="152">
        <v>197389.76688537604</v>
      </c>
      <c r="BY31" s="152">
        <v>197389.76688537604</v>
      </c>
      <c r="BZ31" s="152">
        <v>197389.76688537604</v>
      </c>
      <c r="CA31" s="152">
        <v>197389.76688537604</v>
      </c>
      <c r="CB31" s="152">
        <v>197389.76688537604</v>
      </c>
      <c r="CC31" s="152">
        <v>197389.76688537604</v>
      </c>
      <c r="CD31" s="152">
        <v>197389.76688537604</v>
      </c>
      <c r="CE31" s="152">
        <v>197389.76688537604</v>
      </c>
      <c r="CF31" s="152">
        <v>197389.76688537604</v>
      </c>
      <c r="CG31" s="152">
        <v>197389.76688537604</v>
      </c>
      <c r="CH31" s="152">
        <v>205285.35756079108</v>
      </c>
      <c r="CI31" s="152">
        <v>205285.35756079108</v>
      </c>
      <c r="CJ31" s="152">
        <v>205285.35756079108</v>
      </c>
      <c r="CK31" s="152">
        <v>205285.35756079108</v>
      </c>
      <c r="CL31" s="152">
        <v>205285.35756079108</v>
      </c>
      <c r="CM31" s="152">
        <v>205285.35756079108</v>
      </c>
      <c r="CN31" s="152">
        <v>205285.35756079108</v>
      </c>
      <c r="CO31" s="152">
        <v>205285.35756079108</v>
      </c>
      <c r="CP31" s="152">
        <v>205285.35756079108</v>
      </c>
      <c r="CQ31" s="152">
        <v>205285.35756079108</v>
      </c>
      <c r="CR31" s="152">
        <v>205285.35756079108</v>
      </c>
      <c r="CS31" s="152">
        <v>205285.35756079108</v>
      </c>
      <c r="CT31" s="152">
        <v>213496.77186322273</v>
      </c>
      <c r="CU31" s="152">
        <v>213496.77186322273</v>
      </c>
      <c r="CV31" s="152">
        <v>213496.77186322273</v>
      </c>
      <c r="CW31" s="152">
        <v>213496.77186322273</v>
      </c>
      <c r="CX31" s="152">
        <v>213496.77186322273</v>
      </c>
      <c r="CY31" s="152">
        <v>213496.77186322273</v>
      </c>
    </row>
    <row r="32" spans="1:103" ht="12" customHeight="1">
      <c r="A32" s="25" t="s">
        <v>309</v>
      </c>
      <c r="B32" s="152">
        <v>3120</v>
      </c>
      <c r="C32" s="152">
        <v>3120</v>
      </c>
      <c r="D32" s="152">
        <v>3120</v>
      </c>
      <c r="E32" s="152">
        <v>3120</v>
      </c>
      <c r="F32" s="152">
        <v>3120</v>
      </c>
      <c r="G32" s="152">
        <v>3120</v>
      </c>
      <c r="H32" s="152">
        <v>3120</v>
      </c>
      <c r="I32" s="152">
        <v>3120</v>
      </c>
      <c r="J32" s="152">
        <v>3120</v>
      </c>
      <c r="K32" s="152">
        <v>3120</v>
      </c>
      <c r="L32" s="152">
        <v>3120</v>
      </c>
      <c r="M32" s="152">
        <v>3120</v>
      </c>
      <c r="N32" s="152">
        <v>3244.8</v>
      </c>
      <c r="O32" s="152">
        <v>3244.8</v>
      </c>
      <c r="P32" s="152">
        <v>3244.8</v>
      </c>
      <c r="Q32" s="152">
        <v>3244.8</v>
      </c>
      <c r="R32" s="152">
        <v>3244.8</v>
      </c>
      <c r="S32" s="152">
        <v>3244.8</v>
      </c>
      <c r="T32" s="152">
        <v>3244.8</v>
      </c>
      <c r="U32" s="152">
        <v>3244.8</v>
      </c>
      <c r="V32" s="152">
        <v>3244.8</v>
      </c>
      <c r="W32" s="152">
        <v>3244.8</v>
      </c>
      <c r="X32" s="152">
        <v>3244.8</v>
      </c>
      <c r="Y32" s="152">
        <v>3244.8</v>
      </c>
      <c r="Z32" s="152">
        <v>3374.5920000000001</v>
      </c>
      <c r="AA32" s="152">
        <v>3374.5920000000001</v>
      </c>
      <c r="AB32" s="152">
        <v>3374.5920000000001</v>
      </c>
      <c r="AC32" s="152">
        <v>3374.5920000000001</v>
      </c>
      <c r="AD32" s="152">
        <v>3374.5920000000001</v>
      </c>
      <c r="AE32" s="152">
        <v>3374.5920000000001</v>
      </c>
      <c r="AF32" s="152">
        <v>3374.5920000000001</v>
      </c>
      <c r="AG32" s="152">
        <v>3374.5920000000001</v>
      </c>
      <c r="AH32" s="152">
        <v>3374.5920000000001</v>
      </c>
      <c r="AI32" s="152">
        <v>3374.5920000000001</v>
      </c>
      <c r="AJ32" s="152">
        <v>3374.5920000000001</v>
      </c>
      <c r="AK32" s="152">
        <v>3374.5920000000001</v>
      </c>
      <c r="AL32" s="152">
        <v>3509.5756800000004</v>
      </c>
      <c r="AM32" s="152">
        <v>3509.5756800000004</v>
      </c>
      <c r="AN32" s="152">
        <v>3509.5756800000004</v>
      </c>
      <c r="AO32" s="152">
        <v>3509.5756800000004</v>
      </c>
      <c r="AP32" s="152">
        <v>3509.5756800000004</v>
      </c>
      <c r="AQ32" s="152">
        <v>3509.5756800000004</v>
      </c>
      <c r="AR32" s="152">
        <v>3509.5756800000004</v>
      </c>
      <c r="AS32" s="152">
        <v>3509.5756800000004</v>
      </c>
      <c r="AT32" s="152">
        <v>3509.5756800000004</v>
      </c>
      <c r="AU32" s="152">
        <v>3509.5756800000004</v>
      </c>
      <c r="AV32" s="152">
        <v>3509.5756800000004</v>
      </c>
      <c r="AW32" s="152">
        <v>3509.5756800000004</v>
      </c>
      <c r="AX32" s="152">
        <v>3649.9587072000004</v>
      </c>
      <c r="AY32" s="152">
        <v>3649.9587072000004</v>
      </c>
      <c r="AZ32" s="152">
        <v>3649.9587072000004</v>
      </c>
      <c r="BA32" s="152">
        <v>3649.9587072000004</v>
      </c>
      <c r="BB32" s="152">
        <v>3649.9587072000004</v>
      </c>
      <c r="BC32" s="152">
        <v>3649.9587072000004</v>
      </c>
      <c r="BD32" s="152">
        <v>3649.9587072000004</v>
      </c>
      <c r="BE32" s="152">
        <v>3649.9587072000004</v>
      </c>
      <c r="BF32" s="152">
        <v>3649.9587072000004</v>
      </c>
      <c r="BG32" s="152">
        <v>3649.9587072000004</v>
      </c>
      <c r="BH32" s="152">
        <v>3649.9587072000004</v>
      </c>
      <c r="BI32" s="152">
        <v>3649.9587072000004</v>
      </c>
      <c r="BJ32" s="152">
        <v>3795.9570554880006</v>
      </c>
      <c r="BK32" s="152">
        <v>3795.9570554880006</v>
      </c>
      <c r="BL32" s="152">
        <v>3795.9570554880006</v>
      </c>
      <c r="BM32" s="152">
        <v>3795.9570554880006</v>
      </c>
      <c r="BN32" s="152">
        <v>3795.9570554880006</v>
      </c>
      <c r="BO32" s="152">
        <v>3795.9570554880006</v>
      </c>
      <c r="BP32" s="152">
        <v>3795.9570554880006</v>
      </c>
      <c r="BQ32" s="152">
        <v>3795.9570554880006</v>
      </c>
      <c r="BR32" s="152">
        <v>3795.9570554880006</v>
      </c>
      <c r="BS32" s="152">
        <v>3795.9570554880006</v>
      </c>
      <c r="BT32" s="152">
        <v>3795.9570554880006</v>
      </c>
      <c r="BU32" s="152">
        <v>3795.9570554880006</v>
      </c>
      <c r="BV32" s="152">
        <v>3947.795337707521</v>
      </c>
      <c r="BW32" s="152">
        <v>3947.795337707521</v>
      </c>
      <c r="BX32" s="152">
        <v>3947.795337707521</v>
      </c>
      <c r="BY32" s="152">
        <v>3947.795337707521</v>
      </c>
      <c r="BZ32" s="152">
        <v>3947.795337707521</v>
      </c>
      <c r="CA32" s="152">
        <v>3947.795337707521</v>
      </c>
      <c r="CB32" s="152">
        <v>3947.795337707521</v>
      </c>
      <c r="CC32" s="152">
        <v>3947.795337707521</v>
      </c>
      <c r="CD32" s="152">
        <v>3947.795337707521</v>
      </c>
      <c r="CE32" s="152">
        <v>3947.795337707521</v>
      </c>
      <c r="CF32" s="152">
        <v>3947.795337707521</v>
      </c>
      <c r="CG32" s="152">
        <v>3947.795337707521</v>
      </c>
      <c r="CH32" s="152">
        <v>4105.7071512158218</v>
      </c>
      <c r="CI32" s="152">
        <v>4105.7071512158218</v>
      </c>
      <c r="CJ32" s="152">
        <v>4105.7071512158218</v>
      </c>
      <c r="CK32" s="152">
        <v>4105.7071512158218</v>
      </c>
      <c r="CL32" s="152">
        <v>4105.7071512158218</v>
      </c>
      <c r="CM32" s="152">
        <v>4105.7071512158218</v>
      </c>
      <c r="CN32" s="152">
        <v>4105.7071512158218</v>
      </c>
      <c r="CO32" s="152">
        <v>4105.7071512158218</v>
      </c>
      <c r="CP32" s="152">
        <v>4105.7071512158218</v>
      </c>
      <c r="CQ32" s="152">
        <v>4105.7071512158218</v>
      </c>
      <c r="CR32" s="152">
        <v>4105.7071512158218</v>
      </c>
      <c r="CS32" s="152">
        <v>4105.7071512158218</v>
      </c>
      <c r="CT32" s="152">
        <v>4269.9354372644548</v>
      </c>
      <c r="CU32" s="152">
        <v>4269.9354372644548</v>
      </c>
      <c r="CV32" s="152">
        <v>4269.9354372644548</v>
      </c>
      <c r="CW32" s="152">
        <v>4269.9354372644548</v>
      </c>
      <c r="CX32" s="152">
        <v>4269.9354372644548</v>
      </c>
      <c r="CY32" s="152">
        <v>4269.9354372644548</v>
      </c>
    </row>
    <row r="33" spans="1:103" ht="12" customHeight="1">
      <c r="A33" s="25" t="s">
        <v>310</v>
      </c>
      <c r="B33" s="152">
        <v>15600</v>
      </c>
      <c r="C33" s="152">
        <v>15600</v>
      </c>
      <c r="D33" s="152">
        <v>15600</v>
      </c>
      <c r="E33" s="152">
        <v>15600</v>
      </c>
      <c r="F33" s="152">
        <v>15600</v>
      </c>
      <c r="G33" s="152">
        <v>15600</v>
      </c>
      <c r="H33" s="152">
        <v>15600</v>
      </c>
      <c r="I33" s="152">
        <v>15600</v>
      </c>
      <c r="J33" s="152">
        <v>15600</v>
      </c>
      <c r="K33" s="152">
        <v>15600</v>
      </c>
      <c r="L33" s="152">
        <v>15600</v>
      </c>
      <c r="M33" s="152">
        <v>15600</v>
      </c>
      <c r="N33" s="152">
        <v>16224</v>
      </c>
      <c r="O33" s="152">
        <v>16224</v>
      </c>
      <c r="P33" s="152">
        <v>16224</v>
      </c>
      <c r="Q33" s="152">
        <v>16224</v>
      </c>
      <c r="R33" s="152">
        <v>16224</v>
      </c>
      <c r="S33" s="152">
        <v>16224</v>
      </c>
      <c r="T33" s="152">
        <v>16224</v>
      </c>
      <c r="U33" s="152">
        <v>16224</v>
      </c>
      <c r="V33" s="152">
        <v>16224</v>
      </c>
      <c r="W33" s="152">
        <v>16224</v>
      </c>
      <c r="X33" s="152">
        <v>16224</v>
      </c>
      <c r="Y33" s="152">
        <v>16224</v>
      </c>
      <c r="Z33" s="152">
        <v>16872.96</v>
      </c>
      <c r="AA33" s="152">
        <v>16872.96</v>
      </c>
      <c r="AB33" s="152">
        <v>16872.96</v>
      </c>
      <c r="AC33" s="152">
        <v>16872.96</v>
      </c>
      <c r="AD33" s="152">
        <v>16872.96</v>
      </c>
      <c r="AE33" s="152">
        <v>16872.96</v>
      </c>
      <c r="AF33" s="152">
        <v>16872.96</v>
      </c>
      <c r="AG33" s="152">
        <v>16872.96</v>
      </c>
      <c r="AH33" s="152">
        <v>16872.96</v>
      </c>
      <c r="AI33" s="152">
        <v>16872.96</v>
      </c>
      <c r="AJ33" s="152">
        <v>16872.96</v>
      </c>
      <c r="AK33" s="152">
        <v>16872.96</v>
      </c>
      <c r="AL33" s="152">
        <v>17547.878400000001</v>
      </c>
      <c r="AM33" s="152">
        <v>17547.878400000001</v>
      </c>
      <c r="AN33" s="152">
        <v>17547.878400000001</v>
      </c>
      <c r="AO33" s="152">
        <v>17547.878400000001</v>
      </c>
      <c r="AP33" s="152">
        <v>17547.878400000001</v>
      </c>
      <c r="AQ33" s="152">
        <v>17547.878400000001</v>
      </c>
      <c r="AR33" s="152">
        <v>17547.878400000001</v>
      </c>
      <c r="AS33" s="152">
        <v>17547.878400000001</v>
      </c>
      <c r="AT33" s="152">
        <v>17547.878400000001</v>
      </c>
      <c r="AU33" s="152">
        <v>17547.878400000001</v>
      </c>
      <c r="AV33" s="152">
        <v>17547.878400000001</v>
      </c>
      <c r="AW33" s="152">
        <v>17547.878400000001</v>
      </c>
      <c r="AX33" s="152">
        <v>18249.793536000001</v>
      </c>
      <c r="AY33" s="152">
        <v>18249.793536000001</v>
      </c>
      <c r="AZ33" s="152">
        <v>18249.793536000001</v>
      </c>
      <c r="BA33" s="152">
        <v>18249.793536000001</v>
      </c>
      <c r="BB33" s="152">
        <v>18249.793536000001</v>
      </c>
      <c r="BC33" s="152">
        <v>18249.793536000001</v>
      </c>
      <c r="BD33" s="152">
        <v>18249.793536000001</v>
      </c>
      <c r="BE33" s="152">
        <v>18249.793536000001</v>
      </c>
      <c r="BF33" s="152">
        <v>18249.793536000001</v>
      </c>
      <c r="BG33" s="152">
        <v>18249.793536000001</v>
      </c>
      <c r="BH33" s="152">
        <v>18249.793536000001</v>
      </c>
      <c r="BI33" s="152">
        <v>18249.793536000001</v>
      </c>
      <c r="BJ33" s="152">
        <v>18979.785277440002</v>
      </c>
      <c r="BK33" s="152">
        <v>18979.785277440002</v>
      </c>
      <c r="BL33" s="152">
        <v>18979.785277440002</v>
      </c>
      <c r="BM33" s="152">
        <v>18979.785277440002</v>
      </c>
      <c r="BN33" s="152">
        <v>18979.785277440002</v>
      </c>
      <c r="BO33" s="152">
        <v>18979.785277440002</v>
      </c>
      <c r="BP33" s="152">
        <v>18979.785277440002</v>
      </c>
      <c r="BQ33" s="152">
        <v>18979.785277440002</v>
      </c>
      <c r="BR33" s="152">
        <v>18979.785277440002</v>
      </c>
      <c r="BS33" s="152">
        <v>18979.785277440002</v>
      </c>
      <c r="BT33" s="152">
        <v>18979.785277440002</v>
      </c>
      <c r="BU33" s="152">
        <v>18979.785277440002</v>
      </c>
      <c r="BV33" s="152">
        <v>19738.976688537601</v>
      </c>
      <c r="BW33" s="152">
        <v>19738.976688537601</v>
      </c>
      <c r="BX33" s="152">
        <v>19738.976688537601</v>
      </c>
      <c r="BY33" s="152">
        <v>19738.976688537601</v>
      </c>
      <c r="BZ33" s="152">
        <v>19738.976688537601</v>
      </c>
      <c r="CA33" s="152">
        <v>19738.976688537601</v>
      </c>
      <c r="CB33" s="152">
        <v>19738.976688537601</v>
      </c>
      <c r="CC33" s="152">
        <v>19738.976688537601</v>
      </c>
      <c r="CD33" s="152">
        <v>19738.976688537601</v>
      </c>
      <c r="CE33" s="152">
        <v>19738.976688537601</v>
      </c>
      <c r="CF33" s="152">
        <v>19738.976688537601</v>
      </c>
      <c r="CG33" s="152">
        <v>19738.976688537601</v>
      </c>
      <c r="CH33" s="152">
        <v>20528.535756079105</v>
      </c>
      <c r="CI33" s="152">
        <v>20528.535756079105</v>
      </c>
      <c r="CJ33" s="152">
        <v>20528.535756079105</v>
      </c>
      <c r="CK33" s="152">
        <v>20528.535756079105</v>
      </c>
      <c r="CL33" s="152">
        <v>20528.535756079105</v>
      </c>
      <c r="CM33" s="152">
        <v>20528.535756079105</v>
      </c>
      <c r="CN33" s="152">
        <v>20528.535756079105</v>
      </c>
      <c r="CO33" s="152">
        <v>20528.535756079105</v>
      </c>
      <c r="CP33" s="152">
        <v>20528.535756079105</v>
      </c>
      <c r="CQ33" s="152">
        <v>20528.535756079105</v>
      </c>
      <c r="CR33" s="152">
        <v>20528.535756079105</v>
      </c>
      <c r="CS33" s="152">
        <v>20528.535756079105</v>
      </c>
      <c r="CT33" s="152">
        <v>21349.677186322271</v>
      </c>
      <c r="CU33" s="152">
        <v>21349.677186322271</v>
      </c>
      <c r="CV33" s="152">
        <v>21349.677186322271</v>
      </c>
      <c r="CW33" s="152">
        <v>21349.677186322271</v>
      </c>
      <c r="CX33" s="152">
        <v>21349.677186322271</v>
      </c>
      <c r="CY33" s="152">
        <v>21349.677186322271</v>
      </c>
    </row>
    <row r="34" spans="1:103" ht="12" customHeight="1">
      <c r="A34" s="25" t="s">
        <v>314</v>
      </c>
      <c r="B34" s="152">
        <v>1040</v>
      </c>
      <c r="C34" s="152">
        <v>1040</v>
      </c>
      <c r="D34" s="152">
        <v>1040</v>
      </c>
      <c r="E34" s="152">
        <v>1040</v>
      </c>
      <c r="F34" s="152">
        <v>1040</v>
      </c>
      <c r="G34" s="152">
        <v>1040</v>
      </c>
      <c r="H34" s="152">
        <v>1040</v>
      </c>
      <c r="I34" s="152">
        <v>1040</v>
      </c>
      <c r="J34" s="152">
        <v>1040</v>
      </c>
      <c r="K34" s="152">
        <v>1040</v>
      </c>
      <c r="L34" s="152">
        <v>1040</v>
      </c>
      <c r="M34" s="152">
        <v>1040</v>
      </c>
      <c r="N34" s="152">
        <v>1081.6000000000001</v>
      </c>
      <c r="O34" s="152">
        <v>1081.6000000000001</v>
      </c>
      <c r="P34" s="152">
        <v>1081.6000000000001</v>
      </c>
      <c r="Q34" s="152">
        <v>1081.6000000000001</v>
      </c>
      <c r="R34" s="152">
        <v>1081.6000000000001</v>
      </c>
      <c r="S34" s="152">
        <v>1081.6000000000001</v>
      </c>
      <c r="T34" s="152">
        <v>1081.6000000000001</v>
      </c>
      <c r="U34" s="152">
        <v>1081.6000000000001</v>
      </c>
      <c r="V34" s="152">
        <v>1081.6000000000001</v>
      </c>
      <c r="W34" s="152">
        <v>1081.6000000000001</v>
      </c>
      <c r="X34" s="152">
        <v>1081.6000000000001</v>
      </c>
      <c r="Y34" s="152">
        <v>1081.6000000000001</v>
      </c>
      <c r="Z34" s="152">
        <v>1124.8640000000003</v>
      </c>
      <c r="AA34" s="152">
        <v>1124.8640000000003</v>
      </c>
      <c r="AB34" s="152">
        <v>1124.8640000000003</v>
      </c>
      <c r="AC34" s="152">
        <v>1124.8640000000003</v>
      </c>
      <c r="AD34" s="152">
        <v>1124.8640000000003</v>
      </c>
      <c r="AE34" s="152">
        <v>1124.8640000000003</v>
      </c>
      <c r="AF34" s="152">
        <v>1124.8640000000003</v>
      </c>
      <c r="AG34" s="152">
        <v>1124.8640000000003</v>
      </c>
      <c r="AH34" s="152">
        <v>1124.8640000000003</v>
      </c>
      <c r="AI34" s="152">
        <v>1124.8640000000003</v>
      </c>
      <c r="AJ34" s="152">
        <v>1124.8640000000003</v>
      </c>
      <c r="AK34" s="152">
        <v>1124.8640000000003</v>
      </c>
      <c r="AL34" s="152">
        <v>1169.8585600000004</v>
      </c>
      <c r="AM34" s="152">
        <v>1169.8585600000004</v>
      </c>
      <c r="AN34" s="152">
        <v>1169.8585600000004</v>
      </c>
      <c r="AO34" s="152">
        <v>1169.8585600000004</v>
      </c>
      <c r="AP34" s="152">
        <v>1169.8585600000004</v>
      </c>
      <c r="AQ34" s="152">
        <v>1169.8585600000004</v>
      </c>
      <c r="AR34" s="152">
        <v>1169.8585600000004</v>
      </c>
      <c r="AS34" s="152">
        <v>1169.8585600000004</v>
      </c>
      <c r="AT34" s="152">
        <v>1169.8585600000004</v>
      </c>
      <c r="AU34" s="152">
        <v>1169.8585600000004</v>
      </c>
      <c r="AV34" s="152">
        <v>1169.8585600000004</v>
      </c>
      <c r="AW34" s="152">
        <v>1169.8585600000004</v>
      </c>
      <c r="AX34" s="152">
        <v>1216.6529024000004</v>
      </c>
      <c r="AY34" s="152">
        <v>1216.6529024000004</v>
      </c>
      <c r="AZ34" s="152">
        <v>1216.6529024000004</v>
      </c>
      <c r="BA34" s="152">
        <v>1216.6529024000004</v>
      </c>
      <c r="BB34" s="152">
        <v>1216.6529024000004</v>
      </c>
      <c r="BC34" s="152">
        <v>1216.6529024000004</v>
      </c>
      <c r="BD34" s="152">
        <v>1216.6529024000004</v>
      </c>
      <c r="BE34" s="152">
        <v>1216.6529024000004</v>
      </c>
      <c r="BF34" s="152">
        <v>1216.6529024000004</v>
      </c>
      <c r="BG34" s="152">
        <v>1216.6529024000004</v>
      </c>
      <c r="BH34" s="152">
        <v>1216.6529024000004</v>
      </c>
      <c r="BI34" s="152">
        <v>1216.6529024000004</v>
      </c>
      <c r="BJ34" s="152">
        <v>1265.3190184960004</v>
      </c>
      <c r="BK34" s="152">
        <v>1265.3190184960004</v>
      </c>
      <c r="BL34" s="152">
        <v>1265.3190184960004</v>
      </c>
      <c r="BM34" s="152">
        <v>1265.3190184960004</v>
      </c>
      <c r="BN34" s="152">
        <v>1265.3190184960004</v>
      </c>
      <c r="BO34" s="152">
        <v>1265.3190184960004</v>
      </c>
      <c r="BP34" s="152">
        <v>1265.3190184960004</v>
      </c>
      <c r="BQ34" s="152">
        <v>1265.3190184960004</v>
      </c>
      <c r="BR34" s="152">
        <v>1265.3190184960004</v>
      </c>
      <c r="BS34" s="152">
        <v>1265.3190184960004</v>
      </c>
      <c r="BT34" s="152">
        <v>1265.3190184960004</v>
      </c>
      <c r="BU34" s="152">
        <v>1265.3190184960004</v>
      </c>
      <c r="BV34" s="152">
        <v>1315.9317792358404</v>
      </c>
      <c r="BW34" s="152">
        <v>1315.9317792358404</v>
      </c>
      <c r="BX34" s="152">
        <v>1315.9317792358404</v>
      </c>
      <c r="BY34" s="152">
        <v>1315.9317792358404</v>
      </c>
      <c r="BZ34" s="152">
        <v>1315.9317792358404</v>
      </c>
      <c r="CA34" s="152">
        <v>1315.9317792358404</v>
      </c>
      <c r="CB34" s="152">
        <v>1315.9317792358404</v>
      </c>
      <c r="CC34" s="152">
        <v>1315.9317792358404</v>
      </c>
      <c r="CD34" s="152">
        <v>1315.9317792358404</v>
      </c>
      <c r="CE34" s="152">
        <v>1315.9317792358404</v>
      </c>
      <c r="CF34" s="152">
        <v>1315.9317792358404</v>
      </c>
      <c r="CG34" s="152">
        <v>1315.9317792358404</v>
      </c>
      <c r="CH34" s="152">
        <v>1368.5690504052741</v>
      </c>
      <c r="CI34" s="152">
        <v>1368.5690504052741</v>
      </c>
      <c r="CJ34" s="152">
        <v>1368.5690504052741</v>
      </c>
      <c r="CK34" s="152">
        <v>1368.5690504052741</v>
      </c>
      <c r="CL34" s="152">
        <v>1368.5690504052741</v>
      </c>
      <c r="CM34" s="152">
        <v>1368.5690504052741</v>
      </c>
      <c r="CN34" s="152">
        <v>1368.5690504052741</v>
      </c>
      <c r="CO34" s="152">
        <v>1368.5690504052741</v>
      </c>
      <c r="CP34" s="152">
        <v>1368.5690504052741</v>
      </c>
      <c r="CQ34" s="152">
        <v>1368.5690504052741</v>
      </c>
      <c r="CR34" s="152">
        <v>1368.5690504052741</v>
      </c>
      <c r="CS34" s="152">
        <v>1368.5690504052741</v>
      </c>
      <c r="CT34" s="152">
        <v>1423.311812421485</v>
      </c>
      <c r="CU34" s="152">
        <v>1423.311812421485</v>
      </c>
      <c r="CV34" s="152">
        <v>1423.311812421485</v>
      </c>
      <c r="CW34" s="152">
        <v>1423.311812421485</v>
      </c>
      <c r="CX34" s="152">
        <v>1423.311812421485</v>
      </c>
      <c r="CY34" s="152">
        <v>1423.311812421485</v>
      </c>
    </row>
    <row r="35" spans="1:103" ht="12" customHeight="1">
      <c r="A35" s="25" t="s">
        <v>315</v>
      </c>
      <c r="B35" s="152">
        <v>18408</v>
      </c>
      <c r="C35" s="152">
        <v>18408</v>
      </c>
      <c r="D35" s="152">
        <v>18408</v>
      </c>
      <c r="E35" s="152">
        <v>18408</v>
      </c>
      <c r="F35" s="152">
        <v>18408</v>
      </c>
      <c r="G35" s="152">
        <v>18408</v>
      </c>
      <c r="H35" s="152">
        <v>18408</v>
      </c>
      <c r="I35" s="152">
        <v>18408</v>
      </c>
      <c r="J35" s="152">
        <v>18408</v>
      </c>
      <c r="K35" s="152">
        <v>18408</v>
      </c>
      <c r="L35" s="152">
        <v>18408</v>
      </c>
      <c r="M35" s="152">
        <v>18408</v>
      </c>
      <c r="N35" s="152">
        <v>19144.32</v>
      </c>
      <c r="O35" s="152">
        <v>19144.32</v>
      </c>
      <c r="P35" s="152">
        <v>19144.32</v>
      </c>
      <c r="Q35" s="152">
        <v>19144.32</v>
      </c>
      <c r="R35" s="152">
        <v>19144.32</v>
      </c>
      <c r="S35" s="152">
        <v>19144.32</v>
      </c>
      <c r="T35" s="152">
        <v>19144.32</v>
      </c>
      <c r="U35" s="152">
        <v>19144.32</v>
      </c>
      <c r="V35" s="152">
        <v>19144.32</v>
      </c>
      <c r="W35" s="152">
        <v>19144.32</v>
      </c>
      <c r="X35" s="152">
        <v>19144.32</v>
      </c>
      <c r="Y35" s="152">
        <v>19144.32</v>
      </c>
      <c r="Z35" s="152">
        <v>19910.092800000002</v>
      </c>
      <c r="AA35" s="152">
        <v>19910.092800000002</v>
      </c>
      <c r="AB35" s="152">
        <v>19910.092800000002</v>
      </c>
      <c r="AC35" s="152">
        <v>19910.092800000002</v>
      </c>
      <c r="AD35" s="152">
        <v>19910.092800000002</v>
      </c>
      <c r="AE35" s="152">
        <v>19910.092800000002</v>
      </c>
      <c r="AF35" s="152">
        <v>19910.092800000002</v>
      </c>
      <c r="AG35" s="152">
        <v>19910.092800000002</v>
      </c>
      <c r="AH35" s="152">
        <v>19910.092800000002</v>
      </c>
      <c r="AI35" s="152">
        <v>19910.092800000002</v>
      </c>
      <c r="AJ35" s="152">
        <v>19910.092800000002</v>
      </c>
      <c r="AK35" s="152">
        <v>19910.092800000002</v>
      </c>
      <c r="AL35" s="152">
        <v>20706.496512000002</v>
      </c>
      <c r="AM35" s="152">
        <v>20706.496512000002</v>
      </c>
      <c r="AN35" s="152">
        <v>20706.496512000002</v>
      </c>
      <c r="AO35" s="152">
        <v>20706.496512000002</v>
      </c>
      <c r="AP35" s="152">
        <v>20706.496512000002</v>
      </c>
      <c r="AQ35" s="152">
        <v>20706.496512000002</v>
      </c>
      <c r="AR35" s="152">
        <v>20706.496512000002</v>
      </c>
      <c r="AS35" s="152">
        <v>20706.496512000002</v>
      </c>
      <c r="AT35" s="152">
        <v>20706.496512000002</v>
      </c>
      <c r="AU35" s="152">
        <v>20706.496512000002</v>
      </c>
      <c r="AV35" s="152">
        <v>20706.496512000002</v>
      </c>
      <c r="AW35" s="152">
        <v>20706.496512000002</v>
      </c>
      <c r="AX35" s="152">
        <v>21534.756372480002</v>
      </c>
      <c r="AY35" s="152">
        <v>21534.756372480002</v>
      </c>
      <c r="AZ35" s="152">
        <v>21534.756372480002</v>
      </c>
      <c r="BA35" s="152">
        <v>21534.756372480002</v>
      </c>
      <c r="BB35" s="152">
        <v>21534.756372480002</v>
      </c>
      <c r="BC35" s="152">
        <v>21534.756372480002</v>
      </c>
      <c r="BD35" s="152">
        <v>21534.756372480002</v>
      </c>
      <c r="BE35" s="152">
        <v>21534.756372480002</v>
      </c>
      <c r="BF35" s="152">
        <v>21534.756372480002</v>
      </c>
      <c r="BG35" s="152">
        <v>21534.756372480002</v>
      </c>
      <c r="BH35" s="152">
        <v>21534.756372480002</v>
      </c>
      <c r="BI35" s="152">
        <v>21534.756372480002</v>
      </c>
      <c r="BJ35" s="152">
        <v>22396.146627379203</v>
      </c>
      <c r="BK35" s="152">
        <v>22396.146627379203</v>
      </c>
      <c r="BL35" s="152">
        <v>22396.146627379203</v>
      </c>
      <c r="BM35" s="152">
        <v>22396.146627379203</v>
      </c>
      <c r="BN35" s="152">
        <v>22396.146627379203</v>
      </c>
      <c r="BO35" s="152">
        <v>22396.146627379203</v>
      </c>
      <c r="BP35" s="152">
        <v>22396.146627379203</v>
      </c>
      <c r="BQ35" s="152">
        <v>22396.146627379203</v>
      </c>
      <c r="BR35" s="152">
        <v>22396.146627379203</v>
      </c>
      <c r="BS35" s="152">
        <v>22396.146627379203</v>
      </c>
      <c r="BT35" s="152">
        <v>22396.146627379203</v>
      </c>
      <c r="BU35" s="152">
        <v>22396.146627379203</v>
      </c>
      <c r="BV35" s="152">
        <v>23291.992492474372</v>
      </c>
      <c r="BW35" s="152">
        <v>23291.992492474372</v>
      </c>
      <c r="BX35" s="152">
        <v>23291.992492474372</v>
      </c>
      <c r="BY35" s="152">
        <v>23291.992492474372</v>
      </c>
      <c r="BZ35" s="152">
        <v>23291.992492474372</v>
      </c>
      <c r="CA35" s="152">
        <v>23291.992492474372</v>
      </c>
      <c r="CB35" s="152">
        <v>23291.992492474372</v>
      </c>
      <c r="CC35" s="152">
        <v>23291.992492474372</v>
      </c>
      <c r="CD35" s="152">
        <v>23291.992492474372</v>
      </c>
      <c r="CE35" s="152">
        <v>23291.992492474372</v>
      </c>
      <c r="CF35" s="152">
        <v>23291.992492474372</v>
      </c>
      <c r="CG35" s="152">
        <v>23291.992492474372</v>
      </c>
      <c r="CH35" s="152">
        <v>24223.672192173348</v>
      </c>
      <c r="CI35" s="152">
        <v>24223.672192173348</v>
      </c>
      <c r="CJ35" s="152">
        <v>24223.672192173348</v>
      </c>
      <c r="CK35" s="152">
        <v>24223.672192173348</v>
      </c>
      <c r="CL35" s="152">
        <v>24223.672192173348</v>
      </c>
      <c r="CM35" s="152">
        <v>24223.672192173348</v>
      </c>
      <c r="CN35" s="152">
        <v>24223.672192173348</v>
      </c>
      <c r="CO35" s="152">
        <v>24223.672192173348</v>
      </c>
      <c r="CP35" s="152">
        <v>24223.672192173348</v>
      </c>
      <c r="CQ35" s="152">
        <v>24223.672192173348</v>
      </c>
      <c r="CR35" s="152">
        <v>24223.672192173348</v>
      </c>
      <c r="CS35" s="152">
        <v>24223.672192173348</v>
      </c>
      <c r="CT35" s="152">
        <v>25192.619079860284</v>
      </c>
      <c r="CU35" s="152">
        <v>25192.619079860284</v>
      </c>
      <c r="CV35" s="152">
        <v>25192.619079860284</v>
      </c>
      <c r="CW35" s="152">
        <v>25192.619079860284</v>
      </c>
      <c r="CX35" s="152">
        <v>25192.619079860284</v>
      </c>
      <c r="CY35" s="152">
        <v>25192.619079860284</v>
      </c>
    </row>
    <row r="36" spans="1:103" ht="12" customHeight="1">
      <c r="A36" s="182" t="s">
        <v>311</v>
      </c>
      <c r="B36" s="152">
        <v>0</v>
      </c>
      <c r="C36" s="152">
        <v>0</v>
      </c>
      <c r="D36" s="152">
        <v>0</v>
      </c>
      <c r="E36" s="152">
        <v>0</v>
      </c>
      <c r="F36" s="152">
        <v>0</v>
      </c>
      <c r="G36" s="152">
        <v>150000</v>
      </c>
      <c r="H36" s="152">
        <v>0</v>
      </c>
      <c r="I36" s="152">
        <v>0</v>
      </c>
      <c r="J36" s="152">
        <v>0</v>
      </c>
      <c r="K36" s="152">
        <v>0</v>
      </c>
      <c r="L36" s="152">
        <v>0</v>
      </c>
      <c r="M36" s="152">
        <v>0</v>
      </c>
      <c r="N36" s="152">
        <v>0</v>
      </c>
      <c r="O36" s="152">
        <v>0</v>
      </c>
      <c r="P36" s="152">
        <v>0</v>
      </c>
      <c r="Q36" s="152">
        <v>0</v>
      </c>
      <c r="R36" s="152">
        <v>0</v>
      </c>
      <c r="S36" s="152">
        <v>150000</v>
      </c>
      <c r="T36" s="152">
        <v>0</v>
      </c>
      <c r="U36" s="152">
        <v>0</v>
      </c>
      <c r="V36" s="152">
        <v>0</v>
      </c>
      <c r="W36" s="152">
        <v>0</v>
      </c>
      <c r="X36" s="152">
        <v>0</v>
      </c>
      <c r="Y36" s="152">
        <v>0</v>
      </c>
      <c r="Z36" s="152">
        <v>0</v>
      </c>
      <c r="AA36" s="152">
        <v>0</v>
      </c>
      <c r="AB36" s="152">
        <v>0</v>
      </c>
      <c r="AC36" s="152">
        <v>0</v>
      </c>
      <c r="AD36" s="152">
        <v>0</v>
      </c>
      <c r="AE36" s="152">
        <v>150000</v>
      </c>
      <c r="AF36" s="152">
        <v>0</v>
      </c>
      <c r="AG36" s="152">
        <v>0</v>
      </c>
      <c r="AH36" s="152">
        <v>0</v>
      </c>
      <c r="AI36" s="152">
        <v>0</v>
      </c>
      <c r="AJ36" s="152">
        <v>0</v>
      </c>
      <c r="AK36" s="152">
        <v>0</v>
      </c>
      <c r="AL36" s="152">
        <v>0</v>
      </c>
      <c r="AM36" s="152">
        <v>0</v>
      </c>
      <c r="AN36" s="152">
        <v>0</v>
      </c>
      <c r="AO36" s="152">
        <v>0</v>
      </c>
      <c r="AP36" s="152">
        <v>0</v>
      </c>
      <c r="AQ36" s="152">
        <v>150000</v>
      </c>
      <c r="AR36" s="152">
        <v>0</v>
      </c>
      <c r="AS36" s="152">
        <v>0</v>
      </c>
      <c r="AT36" s="152">
        <v>0</v>
      </c>
      <c r="AU36" s="152">
        <v>0</v>
      </c>
      <c r="AV36" s="152">
        <v>0</v>
      </c>
      <c r="AW36" s="152">
        <v>0</v>
      </c>
      <c r="AX36" s="152">
        <v>0</v>
      </c>
      <c r="AY36" s="152">
        <v>0</v>
      </c>
      <c r="AZ36" s="152">
        <v>0</v>
      </c>
      <c r="BA36" s="152">
        <v>0</v>
      </c>
      <c r="BB36" s="152">
        <v>0</v>
      </c>
      <c r="BC36" s="152">
        <v>150000</v>
      </c>
      <c r="BD36" s="152">
        <v>0</v>
      </c>
      <c r="BE36" s="152">
        <v>0</v>
      </c>
      <c r="BF36" s="152">
        <v>0</v>
      </c>
      <c r="BG36" s="152">
        <v>0</v>
      </c>
      <c r="BH36" s="152">
        <v>0</v>
      </c>
      <c r="BI36" s="152">
        <v>0</v>
      </c>
      <c r="BJ36" s="152">
        <v>0</v>
      </c>
      <c r="BK36" s="152">
        <v>0</v>
      </c>
      <c r="BL36" s="152">
        <v>0</v>
      </c>
      <c r="BM36" s="152">
        <v>0</v>
      </c>
      <c r="BN36" s="152">
        <v>0</v>
      </c>
      <c r="BO36" s="152">
        <v>150000</v>
      </c>
      <c r="BP36" s="152">
        <v>0</v>
      </c>
      <c r="BQ36" s="152">
        <v>0</v>
      </c>
      <c r="BR36" s="152">
        <v>0</v>
      </c>
      <c r="BS36" s="152">
        <v>0</v>
      </c>
      <c r="BT36" s="152">
        <v>0</v>
      </c>
      <c r="BU36" s="152">
        <v>0</v>
      </c>
      <c r="BV36" s="152">
        <v>0</v>
      </c>
      <c r="BW36" s="152">
        <v>0</v>
      </c>
      <c r="BX36" s="152">
        <v>0</v>
      </c>
      <c r="BY36" s="152">
        <v>0</v>
      </c>
      <c r="BZ36" s="152">
        <v>0</v>
      </c>
      <c r="CA36" s="152">
        <v>150000</v>
      </c>
      <c r="CB36" s="152">
        <v>0</v>
      </c>
      <c r="CC36" s="152">
        <v>0</v>
      </c>
      <c r="CD36" s="152">
        <v>0</v>
      </c>
      <c r="CE36" s="152">
        <v>0</v>
      </c>
      <c r="CF36" s="152">
        <v>0</v>
      </c>
      <c r="CG36" s="152">
        <v>0</v>
      </c>
      <c r="CH36" s="152">
        <v>0</v>
      </c>
      <c r="CI36" s="152">
        <v>0</v>
      </c>
      <c r="CJ36" s="152">
        <v>0</v>
      </c>
      <c r="CK36" s="152">
        <v>0</v>
      </c>
      <c r="CL36" s="152">
        <v>0</v>
      </c>
      <c r="CM36" s="152">
        <v>150000</v>
      </c>
      <c r="CN36" s="152">
        <v>0</v>
      </c>
      <c r="CO36" s="152">
        <v>0</v>
      </c>
      <c r="CP36" s="152">
        <v>0</v>
      </c>
      <c r="CQ36" s="152">
        <v>0</v>
      </c>
      <c r="CR36" s="152">
        <v>0</v>
      </c>
      <c r="CS36" s="152">
        <v>0</v>
      </c>
      <c r="CT36" s="152">
        <v>0</v>
      </c>
      <c r="CU36" s="152">
        <v>0</v>
      </c>
      <c r="CV36" s="152">
        <v>0</v>
      </c>
      <c r="CW36" s="152">
        <v>0</v>
      </c>
      <c r="CX36" s="152">
        <v>0</v>
      </c>
      <c r="CY36" s="152">
        <v>150000</v>
      </c>
    </row>
    <row r="37" spans="1:103" ht="12" customHeight="1">
      <c r="A37" s="25" t="s">
        <v>312</v>
      </c>
      <c r="B37" s="152">
        <v>0</v>
      </c>
      <c r="C37" s="152">
        <v>0</v>
      </c>
      <c r="D37" s="152">
        <v>0</v>
      </c>
      <c r="E37" s="152">
        <v>0</v>
      </c>
      <c r="F37" s="152">
        <v>0</v>
      </c>
      <c r="G37" s="152">
        <v>0</v>
      </c>
      <c r="H37" s="152">
        <v>0</v>
      </c>
      <c r="I37" s="152">
        <v>0</v>
      </c>
      <c r="J37" s="152">
        <v>270000</v>
      </c>
      <c r="K37" s="152">
        <v>0</v>
      </c>
      <c r="L37" s="152">
        <v>0</v>
      </c>
      <c r="M37" s="152">
        <v>0</v>
      </c>
      <c r="N37" s="152">
        <v>0</v>
      </c>
      <c r="O37" s="152">
        <v>0</v>
      </c>
      <c r="P37" s="152">
        <v>0</v>
      </c>
      <c r="Q37" s="152">
        <v>0</v>
      </c>
      <c r="R37" s="152">
        <v>0</v>
      </c>
      <c r="S37" s="152">
        <v>0</v>
      </c>
      <c r="T37" s="152">
        <v>0</v>
      </c>
      <c r="U37" s="152">
        <v>0</v>
      </c>
      <c r="V37" s="152">
        <v>270000</v>
      </c>
      <c r="W37" s="152">
        <v>0</v>
      </c>
      <c r="X37" s="152">
        <v>0</v>
      </c>
      <c r="Y37" s="152">
        <v>0</v>
      </c>
      <c r="Z37" s="152">
        <v>0</v>
      </c>
      <c r="AA37" s="152">
        <v>0</v>
      </c>
      <c r="AB37" s="152">
        <v>0</v>
      </c>
      <c r="AC37" s="152">
        <v>0</v>
      </c>
      <c r="AD37" s="152">
        <v>0</v>
      </c>
      <c r="AE37" s="152">
        <v>0</v>
      </c>
      <c r="AF37" s="152">
        <v>0</v>
      </c>
      <c r="AG37" s="152">
        <v>0</v>
      </c>
      <c r="AH37" s="152">
        <v>270000</v>
      </c>
      <c r="AI37" s="152">
        <v>0</v>
      </c>
      <c r="AJ37" s="152">
        <v>0</v>
      </c>
      <c r="AK37" s="152">
        <v>0</v>
      </c>
      <c r="AL37" s="152">
        <v>0</v>
      </c>
      <c r="AM37" s="152">
        <v>0</v>
      </c>
      <c r="AN37" s="152">
        <v>0</v>
      </c>
      <c r="AO37" s="152">
        <v>0</v>
      </c>
      <c r="AP37" s="152">
        <v>0</v>
      </c>
      <c r="AQ37" s="152">
        <v>0</v>
      </c>
      <c r="AR37" s="152">
        <v>0</v>
      </c>
      <c r="AS37" s="152">
        <v>0</v>
      </c>
      <c r="AT37" s="152">
        <v>270000</v>
      </c>
      <c r="AU37" s="152">
        <v>0</v>
      </c>
      <c r="AV37" s="152">
        <v>0</v>
      </c>
      <c r="AW37" s="152">
        <v>0</v>
      </c>
      <c r="AX37" s="152">
        <v>0</v>
      </c>
      <c r="AY37" s="152">
        <v>0</v>
      </c>
      <c r="AZ37" s="152">
        <v>0</v>
      </c>
      <c r="BA37" s="152">
        <v>0</v>
      </c>
      <c r="BB37" s="152">
        <v>0</v>
      </c>
      <c r="BC37" s="152">
        <v>0</v>
      </c>
      <c r="BD37" s="152">
        <v>0</v>
      </c>
      <c r="BE37" s="152">
        <v>0</v>
      </c>
      <c r="BF37" s="152">
        <v>270000</v>
      </c>
      <c r="BG37" s="152">
        <v>0</v>
      </c>
      <c r="BH37" s="152">
        <v>0</v>
      </c>
      <c r="BI37" s="152">
        <v>0</v>
      </c>
      <c r="BJ37" s="152">
        <v>0</v>
      </c>
      <c r="BK37" s="152">
        <v>0</v>
      </c>
      <c r="BL37" s="152">
        <v>0</v>
      </c>
      <c r="BM37" s="152">
        <v>0</v>
      </c>
      <c r="BN37" s="152">
        <v>0</v>
      </c>
      <c r="BO37" s="152">
        <v>0</v>
      </c>
      <c r="BP37" s="152">
        <v>0</v>
      </c>
      <c r="BQ37" s="152">
        <v>0</v>
      </c>
      <c r="BR37" s="152">
        <v>270000</v>
      </c>
      <c r="BS37" s="152">
        <v>0</v>
      </c>
      <c r="BT37" s="152">
        <v>0</v>
      </c>
      <c r="BU37" s="152">
        <v>0</v>
      </c>
      <c r="BV37" s="152">
        <v>0</v>
      </c>
      <c r="BW37" s="152">
        <v>0</v>
      </c>
      <c r="BX37" s="152">
        <v>0</v>
      </c>
      <c r="BY37" s="152">
        <v>0</v>
      </c>
      <c r="BZ37" s="152">
        <v>0</v>
      </c>
      <c r="CA37" s="152">
        <v>0</v>
      </c>
      <c r="CB37" s="152">
        <v>0</v>
      </c>
      <c r="CC37" s="152">
        <v>0</v>
      </c>
      <c r="CD37" s="152">
        <v>270000</v>
      </c>
      <c r="CE37" s="152">
        <v>0</v>
      </c>
      <c r="CF37" s="152">
        <v>0</v>
      </c>
      <c r="CG37" s="152">
        <v>0</v>
      </c>
      <c r="CH37" s="152">
        <v>0</v>
      </c>
      <c r="CI37" s="152">
        <v>0</v>
      </c>
      <c r="CJ37" s="152">
        <v>0</v>
      </c>
      <c r="CK37" s="152">
        <v>0</v>
      </c>
      <c r="CL37" s="152">
        <v>0</v>
      </c>
      <c r="CM37" s="152">
        <v>0</v>
      </c>
      <c r="CN37" s="152">
        <v>0</v>
      </c>
      <c r="CO37" s="152">
        <v>0</v>
      </c>
      <c r="CP37" s="152">
        <v>270000</v>
      </c>
      <c r="CQ37" s="152">
        <v>0</v>
      </c>
      <c r="CR37" s="152">
        <v>0</v>
      </c>
      <c r="CS37" s="152">
        <v>0</v>
      </c>
      <c r="CT37" s="152">
        <v>0</v>
      </c>
      <c r="CU37" s="152">
        <v>0</v>
      </c>
      <c r="CV37" s="152">
        <v>0</v>
      </c>
      <c r="CW37" s="152">
        <v>0</v>
      </c>
      <c r="CX37" s="152">
        <v>0</v>
      </c>
      <c r="CY37" s="152">
        <v>0</v>
      </c>
    </row>
    <row r="38" spans="1:103" ht="11.25" customHeight="1">
      <c r="A38" s="25" t="s">
        <v>533</v>
      </c>
      <c r="B38" s="152">
        <v>0</v>
      </c>
      <c r="C38" s="152">
        <v>0</v>
      </c>
      <c r="D38" s="152">
        <v>25000</v>
      </c>
      <c r="E38" s="152">
        <v>0</v>
      </c>
      <c r="F38" s="152">
        <v>0</v>
      </c>
      <c r="G38" s="152">
        <v>25000</v>
      </c>
      <c r="H38" s="152">
        <v>1100000</v>
      </c>
      <c r="I38" s="152">
        <v>0</v>
      </c>
      <c r="J38" s="152">
        <v>0</v>
      </c>
      <c r="K38" s="152">
        <v>0</v>
      </c>
      <c r="L38" s="152">
        <v>0</v>
      </c>
      <c r="M38" s="152">
        <v>100000</v>
      </c>
      <c r="N38" s="152">
        <v>0</v>
      </c>
      <c r="O38" s="152">
        <v>0</v>
      </c>
      <c r="P38" s="152">
        <v>25000</v>
      </c>
      <c r="Q38" s="152">
        <v>0</v>
      </c>
      <c r="R38" s="152">
        <v>0</v>
      </c>
      <c r="S38" s="152">
        <v>25000</v>
      </c>
      <c r="T38" s="152">
        <v>1144000</v>
      </c>
      <c r="U38" s="152">
        <v>0</v>
      </c>
      <c r="V38" s="152">
        <v>0</v>
      </c>
      <c r="W38" s="152">
        <v>0</v>
      </c>
      <c r="X38" s="152">
        <v>0</v>
      </c>
      <c r="Y38" s="152">
        <v>100000</v>
      </c>
      <c r="Z38" s="152">
        <v>0</v>
      </c>
      <c r="AA38" s="152">
        <v>0</v>
      </c>
      <c r="AB38" s="152">
        <v>25000</v>
      </c>
      <c r="AC38" s="152">
        <v>0</v>
      </c>
      <c r="AD38" s="152">
        <v>0</v>
      </c>
      <c r="AE38" s="152">
        <v>25000</v>
      </c>
      <c r="AF38" s="152">
        <v>1189760</v>
      </c>
      <c r="AG38" s="152">
        <v>0</v>
      </c>
      <c r="AH38" s="152">
        <v>0</v>
      </c>
      <c r="AI38" s="152">
        <v>0</v>
      </c>
      <c r="AJ38" s="152">
        <v>0</v>
      </c>
      <c r="AK38" s="152">
        <v>100000</v>
      </c>
      <c r="AL38" s="152">
        <v>0</v>
      </c>
      <c r="AM38" s="152">
        <v>0</v>
      </c>
      <c r="AN38" s="152">
        <v>25000</v>
      </c>
      <c r="AO38" s="152">
        <v>0</v>
      </c>
      <c r="AP38" s="152">
        <v>0</v>
      </c>
      <c r="AQ38" s="152">
        <v>25000</v>
      </c>
      <c r="AR38" s="152">
        <v>1237350.4000000001</v>
      </c>
      <c r="AS38" s="152">
        <v>0</v>
      </c>
      <c r="AT38" s="152">
        <v>0</v>
      </c>
      <c r="AU38" s="152">
        <v>0</v>
      </c>
      <c r="AV38" s="152">
        <v>0</v>
      </c>
      <c r="AW38" s="152">
        <v>100000</v>
      </c>
      <c r="AX38" s="152">
        <v>0</v>
      </c>
      <c r="AY38" s="152">
        <v>0</v>
      </c>
      <c r="AZ38" s="152">
        <v>25000</v>
      </c>
      <c r="BA38" s="152">
        <v>0</v>
      </c>
      <c r="BB38" s="152">
        <v>0</v>
      </c>
      <c r="BC38" s="152">
        <v>25000</v>
      </c>
      <c r="BD38" s="152">
        <v>1286844.4160000002</v>
      </c>
      <c r="BE38" s="152">
        <v>0</v>
      </c>
      <c r="BF38" s="152">
        <v>0</v>
      </c>
      <c r="BG38" s="152">
        <v>0</v>
      </c>
      <c r="BH38" s="152">
        <v>0</v>
      </c>
      <c r="BI38" s="152">
        <v>100000</v>
      </c>
      <c r="BJ38" s="152">
        <v>0</v>
      </c>
      <c r="BK38" s="152">
        <v>0</v>
      </c>
      <c r="BL38" s="152">
        <v>25000</v>
      </c>
      <c r="BM38" s="152">
        <v>0</v>
      </c>
      <c r="BN38" s="152">
        <v>0</v>
      </c>
      <c r="BO38" s="152">
        <v>25000</v>
      </c>
      <c r="BP38" s="152">
        <v>1338318.1926400003</v>
      </c>
      <c r="BQ38" s="152">
        <v>0</v>
      </c>
      <c r="BR38" s="152">
        <v>0</v>
      </c>
      <c r="BS38" s="152">
        <v>0</v>
      </c>
      <c r="BT38" s="152">
        <v>0</v>
      </c>
      <c r="BU38" s="152">
        <v>100000</v>
      </c>
      <c r="BV38" s="152">
        <v>0</v>
      </c>
      <c r="BW38" s="152">
        <v>0</v>
      </c>
      <c r="BX38" s="152">
        <v>25000</v>
      </c>
      <c r="BY38" s="152">
        <v>0</v>
      </c>
      <c r="BZ38" s="152">
        <v>0</v>
      </c>
      <c r="CA38" s="152">
        <v>25000</v>
      </c>
      <c r="CB38" s="152">
        <v>1391850.9203456002</v>
      </c>
      <c r="CC38" s="152">
        <v>0</v>
      </c>
      <c r="CD38" s="152">
        <v>0</v>
      </c>
      <c r="CE38" s="152">
        <v>0</v>
      </c>
      <c r="CF38" s="152">
        <v>0</v>
      </c>
      <c r="CG38" s="152">
        <v>100000</v>
      </c>
      <c r="CH38" s="152">
        <v>0</v>
      </c>
      <c r="CI38" s="152">
        <v>0</v>
      </c>
      <c r="CJ38" s="152">
        <v>25000</v>
      </c>
      <c r="CK38" s="152">
        <v>0</v>
      </c>
      <c r="CL38" s="152">
        <v>0</v>
      </c>
      <c r="CM38" s="152">
        <v>25000</v>
      </c>
      <c r="CN38" s="152">
        <v>1447524.9571594242</v>
      </c>
      <c r="CO38" s="152">
        <v>0</v>
      </c>
      <c r="CP38" s="152">
        <v>0</v>
      </c>
      <c r="CQ38" s="152">
        <v>0</v>
      </c>
      <c r="CR38" s="152">
        <v>0</v>
      </c>
      <c r="CS38" s="152">
        <v>100000</v>
      </c>
      <c r="CT38" s="152">
        <v>0</v>
      </c>
      <c r="CU38" s="152">
        <v>0</v>
      </c>
      <c r="CV38" s="152">
        <v>25000</v>
      </c>
      <c r="CW38" s="152">
        <v>0</v>
      </c>
      <c r="CX38" s="152">
        <v>0</v>
      </c>
      <c r="CY38" s="152">
        <v>25000</v>
      </c>
    </row>
    <row r="39" spans="1:103" ht="12" customHeight="1">
      <c r="A39" s="182" t="s">
        <v>317</v>
      </c>
      <c r="B39" s="152">
        <v>0</v>
      </c>
      <c r="C39" s="152">
        <v>0</v>
      </c>
      <c r="D39" s="152">
        <v>0</v>
      </c>
      <c r="E39" s="152">
        <v>0</v>
      </c>
      <c r="F39" s="152">
        <v>0</v>
      </c>
      <c r="G39" s="152">
        <v>0</v>
      </c>
      <c r="H39" s="152">
        <v>0</v>
      </c>
      <c r="I39" s="152">
        <v>0</v>
      </c>
      <c r="J39" s="152">
        <v>4000000</v>
      </c>
      <c r="K39" s="152">
        <v>0</v>
      </c>
      <c r="L39" s="152">
        <v>0</v>
      </c>
      <c r="M39" s="152">
        <v>0</v>
      </c>
      <c r="N39" s="152">
        <v>0</v>
      </c>
      <c r="O39" s="152">
        <v>0</v>
      </c>
      <c r="P39" s="152">
        <v>0</v>
      </c>
      <c r="Q39" s="152">
        <v>0</v>
      </c>
      <c r="R39" s="152">
        <v>0</v>
      </c>
      <c r="S39" s="152">
        <v>0</v>
      </c>
      <c r="T39" s="152">
        <v>0</v>
      </c>
      <c r="U39" s="152">
        <v>0</v>
      </c>
      <c r="V39" s="152">
        <v>3000000</v>
      </c>
      <c r="W39" s="152">
        <v>0</v>
      </c>
      <c r="X39" s="152">
        <v>0</v>
      </c>
      <c r="Y39" s="152">
        <v>0</v>
      </c>
      <c r="Z39" s="152">
        <v>0</v>
      </c>
      <c r="AA39" s="152">
        <v>0</v>
      </c>
      <c r="AB39" s="152">
        <v>0</v>
      </c>
      <c r="AC39" s="152">
        <v>0</v>
      </c>
      <c r="AD39" s="152">
        <v>0</v>
      </c>
      <c r="AE39" s="152">
        <v>0</v>
      </c>
      <c r="AF39" s="152">
        <v>0</v>
      </c>
      <c r="AG39" s="152">
        <v>0</v>
      </c>
      <c r="AH39" s="152">
        <v>3000000</v>
      </c>
      <c r="AI39" s="152">
        <v>0</v>
      </c>
      <c r="AJ39" s="152">
        <v>0</v>
      </c>
      <c r="AK39" s="152">
        <v>0</v>
      </c>
      <c r="AL39" s="152">
        <v>0</v>
      </c>
      <c r="AM39" s="152">
        <v>0</v>
      </c>
      <c r="AN39" s="152">
        <v>0</v>
      </c>
      <c r="AO39" s="152">
        <v>0</v>
      </c>
      <c r="AP39" s="152">
        <v>0</v>
      </c>
      <c r="AQ39" s="152">
        <v>0</v>
      </c>
      <c r="AR39" s="152">
        <v>0</v>
      </c>
      <c r="AS39" s="152">
        <v>0</v>
      </c>
      <c r="AT39" s="152">
        <v>3000000</v>
      </c>
      <c r="AU39" s="152">
        <v>0</v>
      </c>
      <c r="AV39" s="152">
        <v>0</v>
      </c>
      <c r="AW39" s="152">
        <v>0</v>
      </c>
      <c r="AX39" s="152">
        <v>0</v>
      </c>
      <c r="AY39" s="152">
        <v>0</v>
      </c>
      <c r="AZ39" s="152">
        <v>0</v>
      </c>
      <c r="BA39" s="152">
        <v>0</v>
      </c>
      <c r="BB39" s="152">
        <v>0</v>
      </c>
      <c r="BC39" s="152">
        <v>0</v>
      </c>
      <c r="BD39" s="152">
        <v>0</v>
      </c>
      <c r="BE39" s="152">
        <v>0</v>
      </c>
      <c r="BF39" s="152">
        <v>3000000</v>
      </c>
      <c r="BG39" s="152">
        <v>0</v>
      </c>
      <c r="BH39" s="152">
        <v>0</v>
      </c>
      <c r="BI39" s="152">
        <v>0</v>
      </c>
      <c r="BJ39" s="152">
        <v>0</v>
      </c>
      <c r="BK39" s="152">
        <v>0</v>
      </c>
      <c r="BL39" s="152">
        <v>0</v>
      </c>
      <c r="BM39" s="152">
        <v>0</v>
      </c>
      <c r="BN39" s="152">
        <v>0</v>
      </c>
      <c r="BO39" s="152">
        <v>0</v>
      </c>
      <c r="BP39" s="152">
        <v>0</v>
      </c>
      <c r="BQ39" s="152">
        <v>0</v>
      </c>
      <c r="BR39" s="152">
        <v>3000000</v>
      </c>
      <c r="BS39" s="152">
        <v>0</v>
      </c>
      <c r="BT39" s="152">
        <v>0</v>
      </c>
      <c r="BU39" s="152">
        <v>0</v>
      </c>
      <c r="BV39" s="152">
        <v>0</v>
      </c>
      <c r="BW39" s="152">
        <v>0</v>
      </c>
      <c r="BX39" s="152">
        <v>0</v>
      </c>
      <c r="BY39" s="152">
        <v>0</v>
      </c>
      <c r="BZ39" s="152">
        <v>0</v>
      </c>
      <c r="CA39" s="152">
        <v>0</v>
      </c>
      <c r="CB39" s="152">
        <v>0</v>
      </c>
      <c r="CC39" s="152">
        <v>0</v>
      </c>
      <c r="CD39" s="152">
        <v>3000000</v>
      </c>
      <c r="CE39" s="152">
        <v>0</v>
      </c>
      <c r="CF39" s="152">
        <v>0</v>
      </c>
      <c r="CG39" s="152">
        <v>0</v>
      </c>
      <c r="CH39" s="152">
        <v>0</v>
      </c>
      <c r="CI39" s="152">
        <v>0</v>
      </c>
      <c r="CJ39" s="152">
        <v>0</v>
      </c>
      <c r="CK39" s="152">
        <v>0</v>
      </c>
      <c r="CL39" s="152">
        <v>0</v>
      </c>
      <c r="CM39" s="152">
        <v>0</v>
      </c>
      <c r="CN39" s="152">
        <v>0</v>
      </c>
      <c r="CO39" s="152">
        <v>0</v>
      </c>
      <c r="CP39" s="152">
        <v>3000000</v>
      </c>
      <c r="CQ39" s="152">
        <v>0</v>
      </c>
      <c r="CR39" s="152">
        <v>0</v>
      </c>
      <c r="CS39" s="152">
        <v>0</v>
      </c>
      <c r="CT39" s="152">
        <v>0</v>
      </c>
      <c r="CU39" s="152">
        <v>0</v>
      </c>
      <c r="CV39" s="152">
        <v>0</v>
      </c>
      <c r="CW39" s="152">
        <v>0</v>
      </c>
      <c r="CX39" s="152">
        <v>0</v>
      </c>
      <c r="CY39" s="152">
        <v>0</v>
      </c>
    </row>
    <row r="40" spans="1:103" ht="12" customHeight="1">
      <c r="A40" s="182" t="s">
        <v>318</v>
      </c>
      <c r="B40" s="152">
        <v>0</v>
      </c>
      <c r="C40" s="152">
        <v>0</v>
      </c>
      <c r="D40" s="152">
        <v>0</v>
      </c>
      <c r="E40" s="152">
        <v>0</v>
      </c>
      <c r="F40" s="152">
        <v>0</v>
      </c>
      <c r="G40" s="152">
        <v>0</v>
      </c>
      <c r="H40" s="152">
        <v>0</v>
      </c>
      <c r="I40" s="152">
        <v>0</v>
      </c>
      <c r="J40" s="152">
        <v>0</v>
      </c>
      <c r="K40" s="152">
        <v>0</v>
      </c>
      <c r="L40" s="152">
        <v>0</v>
      </c>
      <c r="M40" s="152">
        <v>0</v>
      </c>
      <c r="N40" s="152">
        <v>0</v>
      </c>
      <c r="O40" s="152">
        <v>0</v>
      </c>
      <c r="P40" s="152">
        <v>0</v>
      </c>
      <c r="Q40" s="152">
        <v>0</v>
      </c>
      <c r="R40" s="152">
        <v>0</v>
      </c>
      <c r="S40" s="152">
        <v>0</v>
      </c>
      <c r="T40" s="152">
        <v>0</v>
      </c>
      <c r="U40" s="152">
        <v>0</v>
      </c>
      <c r="V40" s="152">
        <v>0</v>
      </c>
      <c r="W40" s="152">
        <v>0</v>
      </c>
      <c r="X40" s="152">
        <v>0</v>
      </c>
      <c r="Y40" s="152">
        <v>0</v>
      </c>
      <c r="Z40" s="152">
        <v>0</v>
      </c>
      <c r="AA40" s="152">
        <v>0</v>
      </c>
      <c r="AB40" s="152">
        <v>0</v>
      </c>
      <c r="AC40" s="152">
        <v>0</v>
      </c>
      <c r="AD40" s="152">
        <v>0</v>
      </c>
      <c r="AE40" s="152">
        <v>0</v>
      </c>
      <c r="AF40" s="152">
        <v>0</v>
      </c>
      <c r="AG40" s="152">
        <v>0</v>
      </c>
      <c r="AH40" s="152">
        <v>0</v>
      </c>
      <c r="AI40" s="152">
        <v>0</v>
      </c>
      <c r="AJ40" s="152">
        <v>0</v>
      </c>
      <c r="AK40" s="152">
        <v>0</v>
      </c>
      <c r="AL40" s="152">
        <v>0</v>
      </c>
      <c r="AM40" s="152">
        <v>0</v>
      </c>
      <c r="AN40" s="152">
        <v>0</v>
      </c>
      <c r="AO40" s="152">
        <v>0</v>
      </c>
      <c r="AP40" s="152">
        <v>0</v>
      </c>
      <c r="AQ40" s="152">
        <v>0</v>
      </c>
      <c r="AR40" s="152">
        <v>0</v>
      </c>
      <c r="AS40" s="152">
        <v>0</v>
      </c>
      <c r="AT40" s="152">
        <v>0</v>
      </c>
      <c r="AU40" s="152">
        <v>0</v>
      </c>
      <c r="AV40" s="152">
        <v>0</v>
      </c>
      <c r="AW40" s="152">
        <v>0</v>
      </c>
      <c r="AX40" s="152">
        <v>0</v>
      </c>
      <c r="AY40" s="152">
        <v>0</v>
      </c>
      <c r="AZ40" s="152">
        <v>0</v>
      </c>
      <c r="BA40" s="152">
        <v>0</v>
      </c>
      <c r="BB40" s="152">
        <v>0</v>
      </c>
      <c r="BC40" s="152">
        <v>0</v>
      </c>
      <c r="BD40" s="152">
        <v>0</v>
      </c>
      <c r="BE40" s="152">
        <v>0</v>
      </c>
      <c r="BF40" s="152">
        <v>0</v>
      </c>
      <c r="BG40" s="152">
        <v>0</v>
      </c>
      <c r="BH40" s="152">
        <v>0</v>
      </c>
      <c r="BI40" s="152">
        <v>0</v>
      </c>
      <c r="BJ40" s="152">
        <v>0</v>
      </c>
      <c r="BK40" s="152">
        <v>0</v>
      </c>
      <c r="BL40" s="152">
        <v>0</v>
      </c>
      <c r="BM40" s="152">
        <v>0</v>
      </c>
      <c r="BN40" s="152">
        <v>0</v>
      </c>
      <c r="BO40" s="152">
        <v>0</v>
      </c>
      <c r="BP40" s="152">
        <v>0</v>
      </c>
      <c r="BQ40" s="152">
        <v>0</v>
      </c>
      <c r="BR40" s="152">
        <v>0</v>
      </c>
      <c r="BS40" s="152">
        <v>0</v>
      </c>
      <c r="BT40" s="152">
        <v>0</v>
      </c>
      <c r="BU40" s="152">
        <v>0</v>
      </c>
      <c r="BV40" s="152">
        <v>0</v>
      </c>
      <c r="BW40" s="152">
        <v>0</v>
      </c>
      <c r="BX40" s="152">
        <v>0</v>
      </c>
      <c r="BY40" s="152">
        <v>0</v>
      </c>
      <c r="BZ40" s="152">
        <v>0</v>
      </c>
      <c r="CA40" s="152">
        <v>0</v>
      </c>
      <c r="CB40" s="152">
        <v>0</v>
      </c>
      <c r="CC40" s="152">
        <v>0</v>
      </c>
      <c r="CD40" s="152">
        <v>0</v>
      </c>
      <c r="CE40" s="152">
        <v>0</v>
      </c>
      <c r="CF40" s="152">
        <v>0</v>
      </c>
      <c r="CG40" s="152">
        <v>0</v>
      </c>
      <c r="CH40" s="152">
        <v>0</v>
      </c>
      <c r="CI40" s="152">
        <v>0</v>
      </c>
      <c r="CJ40" s="152">
        <v>0</v>
      </c>
      <c r="CK40" s="152">
        <v>0</v>
      </c>
      <c r="CL40" s="152">
        <v>0</v>
      </c>
      <c r="CM40" s="152">
        <v>0</v>
      </c>
      <c r="CN40" s="152">
        <v>0</v>
      </c>
      <c r="CO40" s="152">
        <v>0</v>
      </c>
      <c r="CP40" s="152">
        <v>0</v>
      </c>
      <c r="CQ40" s="152">
        <v>0</v>
      </c>
      <c r="CR40" s="152">
        <v>0</v>
      </c>
      <c r="CS40" s="152">
        <v>0</v>
      </c>
      <c r="CT40" s="152">
        <v>0</v>
      </c>
      <c r="CU40" s="152">
        <v>0</v>
      </c>
      <c r="CV40" s="152">
        <v>0</v>
      </c>
      <c r="CW40" s="152">
        <v>0</v>
      </c>
      <c r="CX40" s="152">
        <v>0</v>
      </c>
      <c r="CY40" s="152">
        <v>0</v>
      </c>
    </row>
    <row r="41" spans="1:103" ht="12" customHeight="1">
      <c r="A41" s="182" t="s">
        <v>532</v>
      </c>
      <c r="B41" s="152">
        <v>0</v>
      </c>
      <c r="C41" s="152">
        <v>0</v>
      </c>
      <c r="D41" s="152">
        <v>0</v>
      </c>
      <c r="E41" s="152">
        <v>0</v>
      </c>
      <c r="F41" s="152">
        <v>0</v>
      </c>
      <c r="G41" s="152">
        <v>624000</v>
      </c>
      <c r="H41" s="152">
        <v>0</v>
      </c>
      <c r="I41" s="152">
        <v>0</v>
      </c>
      <c r="J41" s="152">
        <v>0</v>
      </c>
      <c r="K41" s="152">
        <v>0</v>
      </c>
      <c r="L41" s="152">
        <v>0</v>
      </c>
      <c r="M41" s="152">
        <v>0</v>
      </c>
      <c r="N41" s="152">
        <v>0</v>
      </c>
      <c r="O41" s="152">
        <v>0</v>
      </c>
      <c r="P41" s="152">
        <v>0</v>
      </c>
      <c r="Q41" s="152">
        <v>0</v>
      </c>
      <c r="R41" s="152">
        <v>0</v>
      </c>
      <c r="S41" s="152">
        <v>648960</v>
      </c>
      <c r="T41" s="152">
        <v>0</v>
      </c>
      <c r="U41" s="152">
        <v>0</v>
      </c>
      <c r="V41" s="152">
        <v>0</v>
      </c>
      <c r="W41" s="152">
        <v>0</v>
      </c>
      <c r="X41" s="152">
        <v>0</v>
      </c>
      <c r="Y41" s="152">
        <v>0</v>
      </c>
      <c r="Z41" s="152">
        <v>0</v>
      </c>
      <c r="AA41" s="152">
        <v>0</v>
      </c>
      <c r="AB41" s="152">
        <v>0</v>
      </c>
      <c r="AC41" s="152">
        <v>0</v>
      </c>
      <c r="AD41" s="152">
        <v>0</v>
      </c>
      <c r="AE41" s="152">
        <v>674918.40000000002</v>
      </c>
      <c r="AF41" s="152">
        <v>0</v>
      </c>
      <c r="AG41" s="152">
        <v>0</v>
      </c>
      <c r="AH41" s="152">
        <v>0</v>
      </c>
      <c r="AI41" s="152">
        <v>0</v>
      </c>
      <c r="AJ41" s="152">
        <v>0</v>
      </c>
      <c r="AK41" s="152">
        <v>0</v>
      </c>
      <c r="AL41" s="152">
        <v>0</v>
      </c>
      <c r="AM41" s="152">
        <v>0</v>
      </c>
      <c r="AN41" s="152">
        <v>0</v>
      </c>
      <c r="AO41" s="152">
        <v>0</v>
      </c>
      <c r="AP41" s="152">
        <v>0</v>
      </c>
      <c r="AQ41" s="152">
        <v>701915.13600000006</v>
      </c>
      <c r="AR41" s="152">
        <v>0</v>
      </c>
      <c r="AS41" s="152">
        <v>0</v>
      </c>
      <c r="AT41" s="152">
        <v>0</v>
      </c>
      <c r="AU41" s="152">
        <v>0</v>
      </c>
      <c r="AV41" s="152">
        <v>0</v>
      </c>
      <c r="AW41" s="152">
        <v>0</v>
      </c>
      <c r="AX41" s="152">
        <v>0</v>
      </c>
      <c r="AY41" s="152">
        <v>0</v>
      </c>
      <c r="AZ41" s="152">
        <v>0</v>
      </c>
      <c r="BA41" s="152">
        <v>0</v>
      </c>
      <c r="BB41" s="152">
        <v>0</v>
      </c>
      <c r="BC41" s="152">
        <v>729991.74144000013</v>
      </c>
      <c r="BD41" s="152">
        <v>0</v>
      </c>
      <c r="BE41" s="152">
        <v>0</v>
      </c>
      <c r="BF41" s="152">
        <v>0</v>
      </c>
      <c r="BG41" s="152">
        <v>0</v>
      </c>
      <c r="BH41" s="152">
        <v>0</v>
      </c>
      <c r="BI41" s="152">
        <v>0</v>
      </c>
      <c r="BJ41" s="152">
        <v>0</v>
      </c>
      <c r="BK41" s="152">
        <v>0</v>
      </c>
      <c r="BL41" s="152">
        <v>0</v>
      </c>
      <c r="BM41" s="152">
        <v>0</v>
      </c>
      <c r="BN41" s="152">
        <v>0</v>
      </c>
      <c r="BO41" s="152">
        <v>759191.41109760012</v>
      </c>
      <c r="BP41" s="152">
        <v>0</v>
      </c>
      <c r="BQ41" s="152">
        <v>0</v>
      </c>
      <c r="BR41" s="152">
        <v>0</v>
      </c>
      <c r="BS41" s="152">
        <v>0</v>
      </c>
      <c r="BT41" s="152">
        <v>0</v>
      </c>
      <c r="BU41" s="152">
        <v>0</v>
      </c>
      <c r="BV41" s="152">
        <v>0</v>
      </c>
      <c r="BW41" s="152">
        <v>0</v>
      </c>
      <c r="BX41" s="152">
        <v>0</v>
      </c>
      <c r="BY41" s="152">
        <v>0</v>
      </c>
      <c r="BZ41" s="152">
        <v>0</v>
      </c>
      <c r="CA41" s="152">
        <v>789559.06754150416</v>
      </c>
      <c r="CB41" s="152">
        <v>0</v>
      </c>
      <c r="CC41" s="152">
        <v>0</v>
      </c>
      <c r="CD41" s="152">
        <v>0</v>
      </c>
      <c r="CE41" s="152">
        <v>0</v>
      </c>
      <c r="CF41" s="152">
        <v>0</v>
      </c>
      <c r="CG41" s="152">
        <v>0</v>
      </c>
      <c r="CH41" s="152">
        <v>0</v>
      </c>
      <c r="CI41" s="152">
        <v>0</v>
      </c>
      <c r="CJ41" s="152">
        <v>0</v>
      </c>
      <c r="CK41" s="152">
        <v>0</v>
      </c>
      <c r="CL41" s="152">
        <v>0</v>
      </c>
      <c r="CM41" s="152">
        <v>821141.4302431643</v>
      </c>
      <c r="CN41" s="152">
        <v>0</v>
      </c>
      <c r="CO41" s="152">
        <v>0</v>
      </c>
      <c r="CP41" s="152">
        <v>0</v>
      </c>
      <c r="CQ41" s="152">
        <v>0</v>
      </c>
      <c r="CR41" s="152">
        <v>0</v>
      </c>
      <c r="CS41" s="152">
        <v>0</v>
      </c>
      <c r="CT41" s="152">
        <v>0</v>
      </c>
      <c r="CU41" s="152">
        <v>0</v>
      </c>
      <c r="CV41" s="152">
        <v>0</v>
      </c>
      <c r="CW41" s="152">
        <v>0</v>
      </c>
      <c r="CX41" s="152">
        <v>0</v>
      </c>
      <c r="CY41" s="152">
        <v>0</v>
      </c>
    </row>
    <row r="42" spans="1:103" ht="12" customHeight="1" thickBot="1">
      <c r="A42" s="37" t="s">
        <v>54</v>
      </c>
      <c r="B42" s="154">
        <f t="shared" ref="B42:AG42" si="0">SUM(B2:B41)</f>
        <v>4016960</v>
      </c>
      <c r="C42" s="154">
        <f t="shared" si="0"/>
        <v>4016960</v>
      </c>
      <c r="D42" s="154">
        <f t="shared" si="0"/>
        <v>4041960</v>
      </c>
      <c r="E42" s="154">
        <f t="shared" si="0"/>
        <v>3978460</v>
      </c>
      <c r="F42" s="154">
        <f t="shared" si="0"/>
        <v>3978460</v>
      </c>
      <c r="G42" s="154">
        <f t="shared" si="0"/>
        <v>4800560</v>
      </c>
      <c r="H42" s="154">
        <f t="shared" si="0"/>
        <v>5101560</v>
      </c>
      <c r="I42" s="154">
        <f t="shared" si="0"/>
        <v>4001560</v>
      </c>
      <c r="J42" s="154">
        <f t="shared" si="0"/>
        <v>8271560</v>
      </c>
      <c r="K42" s="154">
        <f t="shared" si="0"/>
        <v>3894440</v>
      </c>
      <c r="L42" s="154">
        <f t="shared" si="0"/>
        <v>3894440</v>
      </c>
      <c r="M42" s="154">
        <f t="shared" si="0"/>
        <v>3994440</v>
      </c>
      <c r="N42" s="154">
        <f t="shared" si="0"/>
        <v>3352418.7199999997</v>
      </c>
      <c r="O42" s="154">
        <f t="shared" si="0"/>
        <v>3352418.7199999997</v>
      </c>
      <c r="P42" s="154">
        <f t="shared" si="0"/>
        <v>3377418.7199999997</v>
      </c>
      <c r="Q42" s="154">
        <f t="shared" si="0"/>
        <v>3352418.7199999997</v>
      </c>
      <c r="R42" s="154">
        <f t="shared" si="0"/>
        <v>3352418.7199999997</v>
      </c>
      <c r="S42" s="154">
        <f t="shared" si="0"/>
        <v>4201788.72</v>
      </c>
      <c r="T42" s="154">
        <f t="shared" si="0"/>
        <v>4473156.72</v>
      </c>
      <c r="U42" s="154">
        <f t="shared" si="0"/>
        <v>3329156.7199999997</v>
      </c>
      <c r="V42" s="154">
        <f t="shared" si="0"/>
        <v>6599156.7199999997</v>
      </c>
      <c r="W42" s="154">
        <f t="shared" si="0"/>
        <v>3329156.7199999997</v>
      </c>
      <c r="X42" s="154">
        <f t="shared" si="0"/>
        <v>3329156.7199999997</v>
      </c>
      <c r="Y42" s="154">
        <f t="shared" si="0"/>
        <v>3429156.7199999997</v>
      </c>
      <c r="Z42" s="154">
        <f t="shared" si="0"/>
        <v>3474746.3008000012</v>
      </c>
      <c r="AA42" s="154">
        <f t="shared" si="0"/>
        <v>3474746.3008000012</v>
      </c>
      <c r="AB42" s="154">
        <f t="shared" si="0"/>
        <v>3499746.3008000012</v>
      </c>
      <c r="AC42" s="154">
        <f t="shared" si="0"/>
        <v>3474746.3008000012</v>
      </c>
      <c r="AD42" s="154">
        <f t="shared" si="0"/>
        <v>3474746.3008000012</v>
      </c>
      <c r="AE42" s="154">
        <f t="shared" si="0"/>
        <v>4352615.7008000016</v>
      </c>
      <c r="AF42" s="154">
        <f t="shared" si="0"/>
        <v>4692457.3008000012</v>
      </c>
      <c r="AG42" s="154">
        <f t="shared" si="0"/>
        <v>3502697.3008000012</v>
      </c>
      <c r="AH42" s="154">
        <f t="shared" ref="AH42:BM42" si="1">SUM(AH2:AH41)</f>
        <v>6772697.3008000012</v>
      </c>
      <c r="AI42" s="154">
        <f t="shared" si="1"/>
        <v>3502697.3008000012</v>
      </c>
      <c r="AJ42" s="154">
        <f t="shared" si="1"/>
        <v>3502697.3008000012</v>
      </c>
      <c r="AK42" s="154">
        <f t="shared" si="1"/>
        <v>3602697.3008000012</v>
      </c>
      <c r="AL42" s="154">
        <f t="shared" si="1"/>
        <v>3656470.836031999</v>
      </c>
      <c r="AM42" s="154">
        <f t="shared" si="1"/>
        <v>3656470.836031999</v>
      </c>
      <c r="AN42" s="154">
        <f t="shared" si="1"/>
        <v>3681470.836031999</v>
      </c>
      <c r="AO42" s="154">
        <f t="shared" si="1"/>
        <v>3656470.836031999</v>
      </c>
      <c r="AP42" s="154">
        <f t="shared" si="1"/>
        <v>3656470.836031999</v>
      </c>
      <c r="AQ42" s="154">
        <f t="shared" si="1"/>
        <v>4564132.0720319999</v>
      </c>
      <c r="AR42" s="154">
        <f t="shared" si="1"/>
        <v>4924567.3360319994</v>
      </c>
      <c r="AS42" s="154">
        <f t="shared" si="1"/>
        <v>3687216.9360319995</v>
      </c>
      <c r="AT42" s="154">
        <f t="shared" si="1"/>
        <v>6957216.9360319991</v>
      </c>
      <c r="AU42" s="154">
        <f t="shared" si="1"/>
        <v>3687216.9360319995</v>
      </c>
      <c r="AV42" s="154">
        <f t="shared" si="1"/>
        <v>3687216.9360319995</v>
      </c>
      <c r="AW42" s="154">
        <f t="shared" si="1"/>
        <v>3787216.9360319995</v>
      </c>
      <c r="AX42" s="154">
        <f t="shared" si="1"/>
        <v>3849737.8209932805</v>
      </c>
      <c r="AY42" s="154">
        <f t="shared" si="1"/>
        <v>3849737.8209932805</v>
      </c>
      <c r="AZ42" s="154">
        <f t="shared" si="1"/>
        <v>3874737.8209932805</v>
      </c>
      <c r="BA42" s="154">
        <f t="shared" si="1"/>
        <v>3849737.8209932805</v>
      </c>
      <c r="BB42" s="154">
        <f t="shared" si="1"/>
        <v>3849737.8209932805</v>
      </c>
      <c r="BC42" s="154">
        <f t="shared" si="1"/>
        <v>4788550.2724332809</v>
      </c>
      <c r="BD42" s="154">
        <f t="shared" si="1"/>
        <v>5170402.9469932802</v>
      </c>
      <c r="BE42" s="154">
        <f t="shared" si="1"/>
        <v>3883558.5309932805</v>
      </c>
      <c r="BF42" s="154">
        <f t="shared" si="1"/>
        <v>7153558.5309932809</v>
      </c>
      <c r="BG42" s="154">
        <f t="shared" si="1"/>
        <v>3883558.5309932805</v>
      </c>
      <c r="BH42" s="154">
        <f t="shared" si="1"/>
        <v>3883558.5309932805</v>
      </c>
      <c r="BI42" s="154">
        <f t="shared" si="1"/>
        <v>3983558.5309932805</v>
      </c>
      <c r="BJ42" s="154">
        <f t="shared" si="1"/>
        <v>4055436.3005050132</v>
      </c>
      <c r="BK42" s="154">
        <f t="shared" si="1"/>
        <v>4055436.3005050132</v>
      </c>
      <c r="BL42" s="154">
        <f t="shared" si="1"/>
        <v>4080436.3005050132</v>
      </c>
      <c r="BM42" s="154">
        <f t="shared" si="1"/>
        <v>4055436.3005050132</v>
      </c>
      <c r="BN42" s="154">
        <f t="shared" ref="BN42:CS42" si="2">SUM(BN2:BN41)</f>
        <v>4055436.3005050132</v>
      </c>
      <c r="BO42" s="154">
        <f t="shared" si="2"/>
        <v>5026830.4926026138</v>
      </c>
      <c r="BP42" s="154">
        <f t="shared" si="2"/>
        <v>5430957.2741450137</v>
      </c>
      <c r="BQ42" s="154">
        <f t="shared" si="2"/>
        <v>4092639.0815050136</v>
      </c>
      <c r="BR42" s="154">
        <f t="shared" si="2"/>
        <v>7362639.0815050136</v>
      </c>
      <c r="BS42" s="154">
        <f t="shared" si="2"/>
        <v>4092639.0815050136</v>
      </c>
      <c r="BT42" s="154">
        <f t="shared" si="2"/>
        <v>4092639.0815050136</v>
      </c>
      <c r="BU42" s="154">
        <f t="shared" si="2"/>
        <v>4192639.0815050136</v>
      </c>
      <c r="BV42" s="154">
        <f t="shared" si="2"/>
        <v>4274533.6158644147</v>
      </c>
      <c r="BW42" s="154">
        <f t="shared" si="2"/>
        <v>4274533.6158644147</v>
      </c>
      <c r="BX42" s="154">
        <f t="shared" si="2"/>
        <v>4299533.6158644147</v>
      </c>
      <c r="BY42" s="154">
        <f t="shared" si="2"/>
        <v>4274533.6158644147</v>
      </c>
      <c r="BZ42" s="154">
        <f t="shared" si="2"/>
        <v>4274533.6158644147</v>
      </c>
      <c r="CA42" s="154">
        <f t="shared" si="2"/>
        <v>5280015.7425059192</v>
      </c>
      <c r="CB42" s="154">
        <f t="shared" si="2"/>
        <v>5707307.5953100156</v>
      </c>
      <c r="CC42" s="154">
        <f t="shared" si="2"/>
        <v>4315456.6749644149</v>
      </c>
      <c r="CD42" s="154">
        <f t="shared" si="2"/>
        <v>7585456.6749644149</v>
      </c>
      <c r="CE42" s="154">
        <f t="shared" si="2"/>
        <v>4315456.6749644149</v>
      </c>
      <c r="CF42" s="154">
        <f t="shared" si="2"/>
        <v>4315456.6749644149</v>
      </c>
      <c r="CG42" s="154">
        <f t="shared" si="2"/>
        <v>4415456.6749644149</v>
      </c>
      <c r="CH42" s="154">
        <f t="shared" si="2"/>
        <v>4508082.8101721099</v>
      </c>
      <c r="CI42" s="154">
        <f t="shared" si="2"/>
        <v>4508082.8101721099</v>
      </c>
      <c r="CJ42" s="154">
        <f t="shared" si="2"/>
        <v>4533082.8101721099</v>
      </c>
      <c r="CK42" s="154">
        <f t="shared" si="2"/>
        <v>4508082.8101721099</v>
      </c>
      <c r="CL42" s="154">
        <f t="shared" si="2"/>
        <v>4508082.8101721099</v>
      </c>
      <c r="CM42" s="154">
        <f t="shared" si="2"/>
        <v>5549239.6054252759</v>
      </c>
      <c r="CN42" s="154">
        <f t="shared" si="2"/>
        <v>6000623.1323415358</v>
      </c>
      <c r="CO42" s="154">
        <f t="shared" si="2"/>
        <v>4553098.1751821116</v>
      </c>
      <c r="CP42" s="154">
        <f t="shared" si="2"/>
        <v>7823098.1751821116</v>
      </c>
      <c r="CQ42" s="154">
        <f t="shared" si="2"/>
        <v>4553098.1751821116</v>
      </c>
      <c r="CR42" s="154">
        <f t="shared" si="2"/>
        <v>4553098.1751821116</v>
      </c>
      <c r="CS42" s="154">
        <f t="shared" si="2"/>
        <v>4653098.1751821116</v>
      </c>
      <c r="CT42" s="154">
        <f t="shared" ref="CT42:CY42" si="3">SUM(CT2:CT41)</f>
        <v>4757230.7572194282</v>
      </c>
      <c r="CU42" s="154">
        <f t="shared" si="3"/>
        <v>4757230.7572194282</v>
      </c>
      <c r="CV42" s="154">
        <f t="shared" si="3"/>
        <v>4782230.7572194282</v>
      </c>
      <c r="CW42" s="154">
        <f t="shared" si="3"/>
        <v>4757230.7572194282</v>
      </c>
      <c r="CX42" s="154">
        <f t="shared" si="3"/>
        <v>4757230.7572194282</v>
      </c>
      <c r="CY42" s="154">
        <f t="shared" si="3"/>
        <v>4981747.6587304277</v>
      </c>
    </row>
    <row r="43" spans="1:103" ht="12" customHeight="1" thickTop="1">
      <c r="A43" s="183"/>
      <c r="B43" s="184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  <c r="BI43" s="184"/>
      <c r="BJ43" s="184"/>
      <c r="BK43" s="184"/>
      <c r="BL43" s="184"/>
      <c r="BM43" s="184"/>
      <c r="BN43" s="184"/>
      <c r="BO43" s="184"/>
      <c r="BP43" s="184"/>
      <c r="BQ43" s="184"/>
      <c r="BR43" s="184"/>
      <c r="BS43" s="184"/>
      <c r="BT43" s="184"/>
      <c r="BU43" s="184"/>
      <c r="BV43" s="184"/>
      <c r="BW43" s="184"/>
      <c r="BX43" s="184"/>
      <c r="BY43" s="184"/>
      <c r="BZ43" s="184"/>
      <c r="CA43" s="184"/>
      <c r="CB43" s="184"/>
      <c r="CC43" s="184"/>
      <c r="CD43" s="184"/>
      <c r="CE43" s="184"/>
      <c r="CF43" s="184"/>
      <c r="CG43" s="184"/>
      <c r="CH43" s="184"/>
      <c r="CI43" s="184"/>
      <c r="CJ43" s="184"/>
      <c r="CK43" s="184"/>
      <c r="CL43" s="184"/>
      <c r="CM43" s="184"/>
      <c r="CN43" s="184"/>
      <c r="CO43" s="184"/>
      <c r="CP43" s="184"/>
      <c r="CQ43" s="184"/>
      <c r="CR43" s="184"/>
      <c r="CS43" s="184"/>
      <c r="CT43" s="184"/>
      <c r="CU43" s="184"/>
      <c r="CV43" s="184"/>
      <c r="CW43" s="184"/>
      <c r="CX43" s="184"/>
      <c r="CY43" s="184"/>
    </row>
    <row r="44" spans="1:103" ht="12" customHeight="1">
      <c r="C44" s="185"/>
    </row>
  </sheetData>
  <autoFilter ref="A1:CY42" xr:uid="{00000000-0009-0000-0000-000019000000}"/>
  <pageMargins left="0.41" right="0.24" top="0.19" bottom="0.17" header="0.17" footer="0.21"/>
  <pageSetup scale="12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DE96"/>
  <sheetViews>
    <sheetView workbookViewId="0"/>
  </sheetViews>
  <sheetFormatPr defaultColWidth="9" defaultRowHeight="12"/>
  <cols>
    <col min="1" max="1" width="27.33203125" style="95" bestFit="1" customWidth="1"/>
    <col min="2" max="2" width="6.6640625" hidden="1" customWidth="1"/>
    <col min="3" max="3" width="7.33203125" hidden="1" customWidth="1"/>
    <col min="4" max="4" width="6.33203125" hidden="1" customWidth="1"/>
    <col min="5" max="5" width="6" hidden="1" customWidth="1"/>
    <col min="6" max="6" width="7" hidden="1" customWidth="1"/>
    <col min="7" max="7" width="6.83203125" hidden="1" customWidth="1"/>
    <col min="8" max="8" width="6.6640625" hidden="1" customWidth="1"/>
    <col min="9" max="9" width="7.1640625" hidden="1" customWidth="1"/>
    <col min="10" max="10" width="7" hidden="1" customWidth="1"/>
    <col min="11" max="11" width="6.33203125" hidden="1" customWidth="1"/>
    <col min="12" max="12" width="6.83203125" hidden="1" customWidth="1"/>
    <col min="13" max="13" width="7.1640625" hidden="1" customWidth="1"/>
    <col min="14" max="14" width="6.6640625" hidden="1" customWidth="1"/>
    <col min="15" max="15" width="7.33203125" hidden="1" customWidth="1"/>
    <col min="16" max="16" width="6.33203125" hidden="1" customWidth="1"/>
    <col min="17" max="17" width="6" hidden="1" customWidth="1"/>
    <col min="18" max="18" width="7" hidden="1" customWidth="1"/>
    <col min="19" max="19" width="6.83203125" hidden="1" customWidth="1"/>
    <col min="20" max="20" width="6.6640625" hidden="1" customWidth="1"/>
    <col min="21" max="21" width="7.1640625" hidden="1" customWidth="1"/>
    <col min="22" max="22" width="7" hidden="1" customWidth="1"/>
    <col min="23" max="23" width="6.33203125" hidden="1" customWidth="1"/>
    <col min="24" max="24" width="6.83203125" hidden="1" customWidth="1"/>
    <col min="25" max="25" width="7.1640625" hidden="1" customWidth="1"/>
    <col min="26" max="26" width="6.6640625" customWidth="1"/>
    <col min="27" max="27" width="7.33203125" customWidth="1"/>
    <col min="28" max="28" width="6.33203125" customWidth="1"/>
    <col min="29" max="29" width="6" customWidth="1"/>
    <col min="30" max="30" width="7" customWidth="1"/>
    <col min="31" max="31" width="6.83203125" customWidth="1"/>
    <col min="32" max="32" width="6.6640625" customWidth="1"/>
    <col min="33" max="33" width="7.1640625" customWidth="1"/>
    <col min="34" max="34" width="7" customWidth="1"/>
    <col min="35" max="35" width="6.33203125" customWidth="1"/>
    <col min="36" max="36" width="6.83203125" customWidth="1"/>
    <col min="37" max="37" width="7.1640625" customWidth="1"/>
    <col min="38" max="38" width="6.6640625" customWidth="1"/>
    <col min="39" max="39" width="7.33203125" customWidth="1"/>
    <col min="40" max="40" width="6.33203125" customWidth="1"/>
    <col min="41" max="41" width="6" customWidth="1"/>
    <col min="42" max="42" width="7" customWidth="1"/>
    <col min="43" max="43" width="6.83203125" customWidth="1"/>
    <col min="44" max="44" width="6.6640625" customWidth="1"/>
    <col min="45" max="45" width="7.1640625" customWidth="1"/>
    <col min="46" max="46" width="7" customWidth="1"/>
    <col min="47" max="47" width="6.33203125" customWidth="1"/>
    <col min="48" max="48" width="6.83203125" customWidth="1"/>
    <col min="49" max="49" width="7.1640625" customWidth="1"/>
    <col min="50" max="50" width="6.6640625" customWidth="1"/>
    <col min="51" max="51" width="7.33203125" customWidth="1"/>
    <col min="52" max="52" width="6.33203125" customWidth="1"/>
    <col min="53" max="53" width="6" customWidth="1"/>
    <col min="54" max="54" width="7" customWidth="1"/>
    <col min="55" max="55" width="6.83203125" customWidth="1"/>
    <col min="56" max="56" width="6.6640625" customWidth="1"/>
    <col min="57" max="57" width="7.1640625" customWidth="1"/>
    <col min="58" max="58" width="7" customWidth="1"/>
    <col min="59" max="59" width="6.33203125" customWidth="1"/>
    <col min="60" max="60" width="6.83203125" customWidth="1"/>
    <col min="61" max="61" width="7.1640625" customWidth="1"/>
    <col min="62" max="62" width="6.6640625" customWidth="1"/>
    <col min="63" max="63" width="7.33203125" customWidth="1"/>
    <col min="64" max="64" width="6.33203125" customWidth="1"/>
    <col min="65" max="65" width="6" customWidth="1"/>
    <col min="66" max="66" width="7" customWidth="1"/>
    <col min="67" max="67" width="6.83203125" customWidth="1"/>
    <col min="68" max="68" width="6.6640625" customWidth="1"/>
    <col min="69" max="69" width="7.1640625" customWidth="1"/>
    <col min="70" max="70" width="7" customWidth="1"/>
    <col min="71" max="71" width="6.33203125" customWidth="1"/>
    <col min="72" max="72" width="6.83203125" customWidth="1"/>
    <col min="73" max="73" width="7.1640625" customWidth="1"/>
    <col min="74" max="74" width="6.6640625" customWidth="1"/>
    <col min="75" max="75" width="7.33203125" customWidth="1"/>
    <col min="76" max="76" width="6.33203125" customWidth="1"/>
    <col min="77" max="77" width="6" customWidth="1"/>
    <col min="78" max="78" width="7" customWidth="1"/>
    <col min="79" max="79" width="6.83203125" customWidth="1"/>
    <col min="80" max="80" width="6.6640625" customWidth="1"/>
    <col min="81" max="81" width="7.1640625" customWidth="1"/>
    <col min="82" max="82" width="7" customWidth="1"/>
    <col min="83" max="83" width="6.33203125" customWidth="1"/>
    <col min="84" max="84" width="6.83203125" customWidth="1"/>
    <col min="85" max="85" width="7.1640625" customWidth="1"/>
    <col min="86" max="86" width="6.6640625" customWidth="1"/>
    <col min="87" max="87" width="7.33203125" customWidth="1"/>
    <col min="88" max="88" width="6.33203125" customWidth="1"/>
    <col min="89" max="89" width="6" customWidth="1"/>
    <col min="90" max="90" width="7" customWidth="1"/>
    <col min="91" max="91" width="6.83203125" customWidth="1"/>
    <col min="92" max="92" width="6.6640625" customWidth="1"/>
    <col min="93" max="93" width="7.1640625" customWidth="1"/>
    <col min="94" max="94" width="7" customWidth="1"/>
    <col min="95" max="95" width="6.33203125" customWidth="1"/>
    <col min="96" max="96" width="6.83203125" customWidth="1"/>
    <col min="97" max="97" width="7.1640625" customWidth="1"/>
    <col min="98" max="98" width="6.6640625" customWidth="1"/>
    <col min="99" max="99" width="7.33203125" customWidth="1"/>
    <col min="100" max="100" width="6.33203125" customWidth="1"/>
    <col min="101" max="101" width="6" customWidth="1"/>
    <col min="102" max="102" width="7" customWidth="1"/>
    <col min="103" max="109" width="6.83203125" customWidth="1"/>
  </cols>
  <sheetData>
    <row r="1" spans="1:109">
      <c r="A1" s="90" t="s">
        <v>261</v>
      </c>
      <c r="B1" s="91">
        <v>43951</v>
      </c>
      <c r="C1" s="91">
        <v>43982</v>
      </c>
      <c r="D1" s="91">
        <v>44012</v>
      </c>
      <c r="E1" s="91">
        <v>44043</v>
      </c>
      <c r="F1" s="91">
        <v>44074</v>
      </c>
      <c r="G1" s="91">
        <v>44104</v>
      </c>
      <c r="H1" s="91">
        <v>44135</v>
      </c>
      <c r="I1" s="91">
        <v>44165</v>
      </c>
      <c r="J1" s="91">
        <v>44196</v>
      </c>
      <c r="K1" s="91">
        <v>44227</v>
      </c>
      <c r="L1" s="91">
        <v>44255</v>
      </c>
      <c r="M1" s="91">
        <v>44286</v>
      </c>
      <c r="N1" s="91">
        <v>44316</v>
      </c>
      <c r="O1" s="91">
        <v>44347</v>
      </c>
      <c r="P1" s="91">
        <v>44377</v>
      </c>
      <c r="Q1" s="91">
        <v>44408</v>
      </c>
      <c r="R1" s="91">
        <v>44439</v>
      </c>
      <c r="S1" s="91">
        <v>44469</v>
      </c>
      <c r="T1" s="91">
        <v>44500</v>
      </c>
      <c r="U1" s="91">
        <v>44530</v>
      </c>
      <c r="V1" s="91">
        <v>44561</v>
      </c>
      <c r="W1" s="91">
        <v>44592</v>
      </c>
      <c r="X1" s="91">
        <v>44620</v>
      </c>
      <c r="Y1" s="91">
        <v>44651</v>
      </c>
      <c r="Z1" s="91">
        <v>44681</v>
      </c>
      <c r="AA1" s="91">
        <v>44712</v>
      </c>
      <c r="AB1" s="91">
        <v>44742</v>
      </c>
      <c r="AC1" s="91">
        <v>44773</v>
      </c>
      <c r="AD1" s="91">
        <v>44804</v>
      </c>
      <c r="AE1" s="91">
        <v>44834</v>
      </c>
      <c r="AF1" s="91">
        <v>44865</v>
      </c>
      <c r="AG1" s="91">
        <v>44895</v>
      </c>
      <c r="AH1" s="91">
        <v>44926</v>
      </c>
      <c r="AI1" s="91">
        <v>44957</v>
      </c>
      <c r="AJ1" s="91">
        <v>44985</v>
      </c>
      <c r="AK1" s="91">
        <v>45016</v>
      </c>
      <c r="AL1" s="91">
        <v>45046</v>
      </c>
      <c r="AM1" s="91">
        <v>45077</v>
      </c>
      <c r="AN1" s="91">
        <v>45107</v>
      </c>
      <c r="AO1" s="91">
        <v>45138</v>
      </c>
      <c r="AP1" s="91">
        <v>45169</v>
      </c>
      <c r="AQ1" s="91">
        <v>45199</v>
      </c>
      <c r="AR1" s="91">
        <v>45230</v>
      </c>
      <c r="AS1" s="91">
        <v>45260</v>
      </c>
      <c r="AT1" s="91">
        <v>45291</v>
      </c>
      <c r="AU1" s="91">
        <v>45322</v>
      </c>
      <c r="AV1" s="91">
        <v>45351</v>
      </c>
      <c r="AW1" s="91">
        <v>45382</v>
      </c>
      <c r="AX1" s="91">
        <v>45412</v>
      </c>
      <c r="AY1" s="91">
        <v>45443</v>
      </c>
      <c r="AZ1" s="91">
        <v>45473</v>
      </c>
      <c r="BA1" s="91">
        <v>45504</v>
      </c>
      <c r="BB1" s="91">
        <v>45535</v>
      </c>
      <c r="BC1" s="91">
        <v>45565</v>
      </c>
      <c r="BD1" s="91">
        <v>45596</v>
      </c>
      <c r="BE1" s="91">
        <v>45626</v>
      </c>
      <c r="BF1" s="91">
        <v>45657</v>
      </c>
      <c r="BG1" s="91">
        <v>45688</v>
      </c>
      <c r="BH1" s="91">
        <v>45716</v>
      </c>
      <c r="BI1" s="91">
        <v>45747</v>
      </c>
      <c r="BJ1" s="91">
        <v>45777</v>
      </c>
      <c r="BK1" s="91">
        <v>45808</v>
      </c>
      <c r="BL1" s="91">
        <v>45838</v>
      </c>
      <c r="BM1" s="91">
        <v>45869</v>
      </c>
      <c r="BN1" s="91">
        <v>45900</v>
      </c>
      <c r="BO1" s="91">
        <v>45930</v>
      </c>
      <c r="BP1" s="91">
        <v>45961</v>
      </c>
      <c r="BQ1" s="91">
        <v>45991</v>
      </c>
      <c r="BR1" s="91">
        <v>46022</v>
      </c>
      <c r="BS1" s="91">
        <v>46053</v>
      </c>
      <c r="BT1" s="91">
        <v>46081</v>
      </c>
      <c r="BU1" s="91">
        <v>46112</v>
      </c>
      <c r="BV1" s="91">
        <v>46142</v>
      </c>
      <c r="BW1" s="91">
        <v>46173</v>
      </c>
      <c r="BX1" s="91">
        <v>46203</v>
      </c>
      <c r="BY1" s="91">
        <v>46234</v>
      </c>
      <c r="BZ1" s="91">
        <v>46265</v>
      </c>
      <c r="CA1" s="91">
        <v>46295</v>
      </c>
      <c r="CB1" s="91">
        <v>46326</v>
      </c>
      <c r="CC1" s="91">
        <v>46356</v>
      </c>
      <c r="CD1" s="91">
        <v>46387</v>
      </c>
      <c r="CE1" s="91">
        <v>46418</v>
      </c>
      <c r="CF1" s="91">
        <v>46446</v>
      </c>
      <c r="CG1" s="91">
        <v>46477</v>
      </c>
      <c r="CH1" s="91">
        <v>46507</v>
      </c>
      <c r="CI1" s="91">
        <v>46538</v>
      </c>
      <c r="CJ1" s="91">
        <v>46568</v>
      </c>
      <c r="CK1" s="91">
        <v>46599</v>
      </c>
      <c r="CL1" s="91">
        <v>46630</v>
      </c>
      <c r="CM1" s="91">
        <v>46660</v>
      </c>
      <c r="CN1" s="91">
        <v>46691</v>
      </c>
      <c r="CO1" s="91">
        <v>46721</v>
      </c>
      <c r="CP1" s="91">
        <v>46752</v>
      </c>
      <c r="CQ1" s="91">
        <v>46783</v>
      </c>
      <c r="CR1" s="91">
        <v>46812</v>
      </c>
      <c r="CS1" s="91">
        <v>46843</v>
      </c>
      <c r="CT1" s="91">
        <v>46873</v>
      </c>
      <c r="CU1" s="91">
        <v>46904</v>
      </c>
      <c r="CV1" s="91">
        <v>46934</v>
      </c>
      <c r="CW1" s="91">
        <v>46965</v>
      </c>
      <c r="CX1" s="91">
        <v>46996</v>
      </c>
      <c r="CY1" s="91">
        <v>47026</v>
      </c>
      <c r="CZ1" s="91">
        <v>47056</v>
      </c>
      <c r="DA1" s="91">
        <v>47087</v>
      </c>
      <c r="DB1" s="91">
        <v>47117</v>
      </c>
      <c r="DC1" s="91">
        <v>47148</v>
      </c>
      <c r="DD1" s="91">
        <v>47177</v>
      </c>
      <c r="DE1" s="91">
        <v>47207</v>
      </c>
    </row>
    <row r="2" spans="1:109">
      <c r="A2" s="92" t="s">
        <v>262</v>
      </c>
      <c r="B2" s="93">
        <v>55</v>
      </c>
      <c r="C2" s="93">
        <v>55</v>
      </c>
      <c r="D2" s="93">
        <v>55</v>
      </c>
      <c r="E2" s="93">
        <v>55</v>
      </c>
      <c r="F2" s="93">
        <v>55</v>
      </c>
      <c r="G2" s="93">
        <v>55</v>
      </c>
      <c r="H2" s="93">
        <v>55</v>
      </c>
      <c r="I2" s="93">
        <v>55</v>
      </c>
      <c r="J2" s="93">
        <v>55</v>
      </c>
      <c r="K2" s="93">
        <v>55</v>
      </c>
      <c r="L2" s="93">
        <v>55</v>
      </c>
      <c r="M2" s="93">
        <v>55</v>
      </c>
      <c r="N2" s="93">
        <v>55</v>
      </c>
      <c r="O2" s="93">
        <v>55</v>
      </c>
      <c r="P2" s="93">
        <v>55</v>
      </c>
      <c r="Q2" s="93">
        <v>55</v>
      </c>
      <c r="R2" s="93">
        <v>55</v>
      </c>
      <c r="S2" s="93">
        <v>55</v>
      </c>
      <c r="T2" s="93">
        <v>55</v>
      </c>
      <c r="U2" s="93">
        <v>55</v>
      </c>
      <c r="V2" s="93">
        <v>55</v>
      </c>
      <c r="W2" s="93">
        <v>55</v>
      </c>
      <c r="X2" s="93">
        <v>55</v>
      </c>
      <c r="Y2" s="93">
        <v>55</v>
      </c>
      <c r="Z2" s="93">
        <v>55</v>
      </c>
      <c r="AA2" s="93">
        <v>55</v>
      </c>
      <c r="AB2" s="93">
        <v>55</v>
      </c>
      <c r="AC2" s="93">
        <v>55</v>
      </c>
      <c r="AD2" s="93">
        <v>55</v>
      </c>
      <c r="AE2" s="93">
        <v>55</v>
      </c>
      <c r="AF2" s="93">
        <v>55</v>
      </c>
      <c r="AG2" s="93">
        <v>55</v>
      </c>
      <c r="AH2" s="93">
        <v>55</v>
      </c>
      <c r="AI2" s="93">
        <v>55</v>
      </c>
      <c r="AJ2" s="93">
        <v>55</v>
      </c>
      <c r="AK2" s="93">
        <v>55</v>
      </c>
      <c r="AL2" s="93">
        <v>55</v>
      </c>
      <c r="AM2" s="93">
        <v>55</v>
      </c>
      <c r="AN2" s="93">
        <v>55</v>
      </c>
      <c r="AO2" s="93">
        <v>55</v>
      </c>
      <c r="AP2" s="93">
        <v>55</v>
      </c>
      <c r="AQ2" s="93">
        <v>55</v>
      </c>
      <c r="AR2" s="93">
        <v>55</v>
      </c>
      <c r="AS2" s="93">
        <v>55</v>
      </c>
      <c r="AT2" s="93">
        <v>55</v>
      </c>
      <c r="AU2" s="93">
        <v>55</v>
      </c>
      <c r="AV2" s="93">
        <v>55</v>
      </c>
      <c r="AW2" s="93">
        <v>55</v>
      </c>
      <c r="AX2" s="93">
        <v>55</v>
      </c>
      <c r="AY2" s="93">
        <v>55</v>
      </c>
      <c r="AZ2" s="93">
        <v>55</v>
      </c>
      <c r="BA2" s="93">
        <v>55</v>
      </c>
      <c r="BB2" s="93">
        <v>55</v>
      </c>
      <c r="BC2" s="93">
        <v>55</v>
      </c>
      <c r="BD2" s="93">
        <v>55</v>
      </c>
      <c r="BE2" s="93">
        <v>55</v>
      </c>
      <c r="BF2" s="93">
        <v>55</v>
      </c>
      <c r="BG2" s="93">
        <v>55</v>
      </c>
      <c r="BH2" s="93">
        <v>55</v>
      </c>
      <c r="BI2" s="93">
        <v>55</v>
      </c>
      <c r="BJ2" s="93">
        <v>55</v>
      </c>
      <c r="BK2" s="93">
        <v>55</v>
      </c>
      <c r="BL2" s="93">
        <v>55</v>
      </c>
      <c r="BM2" s="93">
        <v>55</v>
      </c>
      <c r="BN2" s="93">
        <v>55</v>
      </c>
      <c r="BO2" s="93">
        <v>55</v>
      </c>
      <c r="BP2" s="93">
        <v>55</v>
      </c>
      <c r="BQ2" s="93">
        <v>55</v>
      </c>
      <c r="BR2" s="93">
        <v>55</v>
      </c>
      <c r="BS2" s="93">
        <v>55</v>
      </c>
      <c r="BT2" s="93">
        <v>55</v>
      </c>
      <c r="BU2" s="93">
        <v>55</v>
      </c>
      <c r="BV2" s="93">
        <v>55</v>
      </c>
      <c r="BW2" s="93">
        <v>55</v>
      </c>
      <c r="BX2" s="93">
        <v>55</v>
      </c>
      <c r="BY2" s="93">
        <v>55</v>
      </c>
      <c r="BZ2" s="93">
        <v>55</v>
      </c>
      <c r="CA2" s="93">
        <v>55</v>
      </c>
      <c r="CB2" s="93">
        <v>55</v>
      </c>
      <c r="CC2" s="93">
        <v>55</v>
      </c>
      <c r="CD2" s="93">
        <v>55</v>
      </c>
      <c r="CE2" s="93">
        <v>55</v>
      </c>
      <c r="CF2" s="93">
        <v>55</v>
      </c>
      <c r="CG2" s="93">
        <v>55</v>
      </c>
      <c r="CH2" s="93">
        <v>55</v>
      </c>
      <c r="CI2" s="93">
        <v>55</v>
      </c>
      <c r="CJ2" s="93">
        <v>55</v>
      </c>
      <c r="CK2" s="93">
        <v>55</v>
      </c>
      <c r="CL2" s="93">
        <v>55</v>
      </c>
      <c r="CM2" s="93">
        <v>55</v>
      </c>
      <c r="CN2" s="93">
        <v>55</v>
      </c>
      <c r="CO2" s="93">
        <v>55</v>
      </c>
      <c r="CP2" s="93">
        <v>55</v>
      </c>
      <c r="CQ2" s="93">
        <v>55</v>
      </c>
      <c r="CR2" s="93">
        <v>55</v>
      </c>
      <c r="CS2" s="93">
        <v>55</v>
      </c>
      <c r="CT2" s="93">
        <v>55</v>
      </c>
      <c r="CU2" s="93">
        <v>55</v>
      </c>
      <c r="CV2" s="93">
        <v>55</v>
      </c>
      <c r="CW2" s="93">
        <v>55</v>
      </c>
      <c r="CX2" s="93">
        <v>55</v>
      </c>
      <c r="CY2" s="93">
        <v>55</v>
      </c>
      <c r="CZ2" s="93">
        <v>55</v>
      </c>
      <c r="DA2" s="93">
        <v>55</v>
      </c>
      <c r="DB2" s="93">
        <v>55</v>
      </c>
      <c r="DC2" s="93">
        <v>55</v>
      </c>
      <c r="DD2" s="93">
        <v>55</v>
      </c>
      <c r="DE2" s="93">
        <v>55</v>
      </c>
    </row>
    <row r="3" spans="1:109">
      <c r="A3" s="94" t="s">
        <v>263</v>
      </c>
      <c r="B3" s="93">
        <v>13</v>
      </c>
      <c r="C3" s="93">
        <v>13</v>
      </c>
      <c r="D3" s="93">
        <v>13</v>
      </c>
      <c r="E3" s="93">
        <v>13</v>
      </c>
      <c r="F3" s="93">
        <v>13</v>
      </c>
      <c r="G3" s="93">
        <v>13</v>
      </c>
      <c r="H3" s="93">
        <v>13</v>
      </c>
      <c r="I3" s="93">
        <v>13</v>
      </c>
      <c r="J3" s="93">
        <v>13</v>
      </c>
      <c r="K3" s="93">
        <v>13</v>
      </c>
      <c r="L3" s="93">
        <v>13</v>
      </c>
      <c r="M3" s="93">
        <v>13</v>
      </c>
      <c r="N3" s="93">
        <v>13</v>
      </c>
      <c r="O3" s="93">
        <v>13</v>
      </c>
      <c r="P3" s="93">
        <v>13</v>
      </c>
      <c r="Q3" s="93">
        <v>13</v>
      </c>
      <c r="R3" s="93">
        <v>13</v>
      </c>
      <c r="S3" s="93">
        <v>13</v>
      </c>
      <c r="T3" s="93">
        <v>13</v>
      </c>
      <c r="U3" s="93">
        <v>13</v>
      </c>
      <c r="V3" s="93">
        <v>13</v>
      </c>
      <c r="W3" s="93">
        <v>13</v>
      </c>
      <c r="X3" s="93">
        <v>13</v>
      </c>
      <c r="Y3" s="93">
        <v>13</v>
      </c>
      <c r="Z3" s="93">
        <v>13</v>
      </c>
      <c r="AA3" s="93">
        <v>13</v>
      </c>
      <c r="AB3" s="93">
        <v>13</v>
      </c>
      <c r="AC3" s="93">
        <v>13</v>
      </c>
      <c r="AD3" s="93">
        <v>13</v>
      </c>
      <c r="AE3" s="93">
        <v>13</v>
      </c>
      <c r="AF3" s="93">
        <v>13</v>
      </c>
      <c r="AG3" s="93">
        <v>13</v>
      </c>
      <c r="AH3" s="93">
        <v>13</v>
      </c>
      <c r="AI3" s="93">
        <v>13</v>
      </c>
      <c r="AJ3" s="93">
        <v>13</v>
      </c>
      <c r="AK3" s="93">
        <v>13</v>
      </c>
      <c r="AL3" s="93">
        <v>13</v>
      </c>
      <c r="AM3" s="93">
        <v>13</v>
      </c>
      <c r="AN3" s="93">
        <v>13</v>
      </c>
      <c r="AO3" s="93">
        <v>13</v>
      </c>
      <c r="AP3" s="93">
        <v>13</v>
      </c>
      <c r="AQ3" s="93">
        <v>13</v>
      </c>
      <c r="AR3" s="93">
        <v>13</v>
      </c>
      <c r="AS3" s="93">
        <v>13</v>
      </c>
      <c r="AT3" s="93">
        <v>13</v>
      </c>
      <c r="AU3" s="93">
        <v>13</v>
      </c>
      <c r="AV3" s="93">
        <v>13</v>
      </c>
      <c r="AW3" s="93">
        <v>13</v>
      </c>
      <c r="AX3" s="93">
        <v>13</v>
      </c>
      <c r="AY3" s="93">
        <v>13</v>
      </c>
      <c r="AZ3" s="93">
        <v>13</v>
      </c>
      <c r="BA3" s="93">
        <v>13</v>
      </c>
      <c r="BB3" s="93">
        <v>13</v>
      </c>
      <c r="BC3" s="93">
        <v>13</v>
      </c>
      <c r="BD3" s="93">
        <v>13</v>
      </c>
      <c r="BE3" s="93">
        <v>13</v>
      </c>
      <c r="BF3" s="93">
        <v>13</v>
      </c>
      <c r="BG3" s="93">
        <v>13</v>
      </c>
      <c r="BH3" s="93">
        <v>13</v>
      </c>
      <c r="BI3" s="93">
        <v>13</v>
      </c>
      <c r="BJ3" s="93">
        <v>13</v>
      </c>
      <c r="BK3" s="93">
        <v>13</v>
      </c>
      <c r="BL3" s="93">
        <v>13</v>
      </c>
      <c r="BM3" s="93">
        <v>13</v>
      </c>
      <c r="BN3" s="93">
        <v>13</v>
      </c>
      <c r="BO3" s="93">
        <v>13</v>
      </c>
      <c r="BP3" s="93">
        <v>13</v>
      </c>
      <c r="BQ3" s="93">
        <v>13</v>
      </c>
      <c r="BR3" s="93">
        <v>13</v>
      </c>
      <c r="BS3" s="93">
        <v>13</v>
      </c>
      <c r="BT3" s="93">
        <v>13</v>
      </c>
      <c r="BU3" s="93">
        <v>13</v>
      </c>
      <c r="BV3" s="93">
        <v>13</v>
      </c>
      <c r="BW3" s="93">
        <v>13</v>
      </c>
      <c r="BX3" s="93">
        <v>13</v>
      </c>
      <c r="BY3" s="93">
        <v>13</v>
      </c>
      <c r="BZ3" s="93">
        <v>13</v>
      </c>
      <c r="CA3" s="93">
        <v>13</v>
      </c>
      <c r="CB3" s="93">
        <v>13</v>
      </c>
      <c r="CC3" s="93">
        <v>13</v>
      </c>
      <c r="CD3" s="93">
        <v>13</v>
      </c>
      <c r="CE3" s="93">
        <v>13</v>
      </c>
      <c r="CF3" s="93">
        <v>13</v>
      </c>
      <c r="CG3" s="93">
        <v>13</v>
      </c>
      <c r="CH3" s="93">
        <v>13</v>
      </c>
      <c r="CI3" s="93">
        <v>13</v>
      </c>
      <c r="CJ3" s="93">
        <v>13</v>
      </c>
      <c r="CK3" s="93">
        <v>13</v>
      </c>
      <c r="CL3" s="93">
        <v>13</v>
      </c>
      <c r="CM3" s="93">
        <v>13</v>
      </c>
      <c r="CN3" s="93">
        <v>13</v>
      </c>
      <c r="CO3" s="93">
        <v>13</v>
      </c>
      <c r="CP3" s="93">
        <v>13</v>
      </c>
      <c r="CQ3" s="93">
        <v>13</v>
      </c>
      <c r="CR3" s="93">
        <v>13</v>
      </c>
      <c r="CS3" s="93">
        <v>13</v>
      </c>
      <c r="CT3" s="93">
        <v>13</v>
      </c>
      <c r="CU3" s="93">
        <v>13</v>
      </c>
      <c r="CV3" s="93">
        <v>13</v>
      </c>
      <c r="CW3" s="93">
        <v>13</v>
      </c>
      <c r="CX3" s="93">
        <v>13</v>
      </c>
      <c r="CY3" s="93">
        <v>13</v>
      </c>
      <c r="CZ3" s="93">
        <v>13</v>
      </c>
      <c r="DA3" s="93">
        <v>13</v>
      </c>
      <c r="DB3" s="93">
        <v>13</v>
      </c>
      <c r="DC3" s="93">
        <v>13</v>
      </c>
      <c r="DD3" s="93">
        <v>13</v>
      </c>
      <c r="DE3" s="93">
        <v>13</v>
      </c>
    </row>
    <row r="4" spans="1:109">
      <c r="A4" s="92" t="s">
        <v>264</v>
      </c>
      <c r="B4" s="93">
        <v>8</v>
      </c>
      <c r="C4" s="93">
        <v>8</v>
      </c>
      <c r="D4" s="93">
        <v>8</v>
      </c>
      <c r="E4" s="93">
        <v>8</v>
      </c>
      <c r="F4" s="93">
        <v>8</v>
      </c>
      <c r="G4" s="93">
        <v>8</v>
      </c>
      <c r="H4" s="93">
        <v>8</v>
      </c>
      <c r="I4" s="93">
        <v>8</v>
      </c>
      <c r="J4" s="93">
        <v>8</v>
      </c>
      <c r="K4" s="93">
        <v>8</v>
      </c>
      <c r="L4" s="93">
        <v>8</v>
      </c>
      <c r="M4" s="93">
        <v>8</v>
      </c>
      <c r="N4" s="93">
        <v>8</v>
      </c>
      <c r="O4" s="93">
        <v>8</v>
      </c>
      <c r="P4" s="93">
        <v>8</v>
      </c>
      <c r="Q4" s="93">
        <v>8</v>
      </c>
      <c r="R4" s="93">
        <v>8</v>
      </c>
      <c r="S4" s="93">
        <v>8</v>
      </c>
      <c r="T4" s="93">
        <v>8</v>
      </c>
      <c r="U4" s="93">
        <v>8</v>
      </c>
      <c r="V4" s="93">
        <v>8</v>
      </c>
      <c r="W4" s="93">
        <v>8</v>
      </c>
      <c r="X4" s="93">
        <v>8</v>
      </c>
      <c r="Y4" s="93">
        <v>8</v>
      </c>
      <c r="Z4" s="93">
        <v>8</v>
      </c>
      <c r="AA4" s="93">
        <v>8</v>
      </c>
      <c r="AB4" s="93">
        <v>8</v>
      </c>
      <c r="AC4" s="93">
        <v>8</v>
      </c>
      <c r="AD4" s="93">
        <v>8</v>
      </c>
      <c r="AE4" s="93">
        <v>8</v>
      </c>
      <c r="AF4" s="93">
        <v>8</v>
      </c>
      <c r="AG4" s="93">
        <v>8</v>
      </c>
      <c r="AH4" s="93">
        <v>8</v>
      </c>
      <c r="AI4" s="93">
        <v>8</v>
      </c>
      <c r="AJ4" s="93">
        <v>8</v>
      </c>
      <c r="AK4" s="93">
        <v>8</v>
      </c>
      <c r="AL4" s="93">
        <v>8</v>
      </c>
      <c r="AM4" s="93">
        <v>8</v>
      </c>
      <c r="AN4" s="93">
        <v>8</v>
      </c>
      <c r="AO4" s="93">
        <v>8</v>
      </c>
      <c r="AP4" s="93">
        <v>8</v>
      </c>
      <c r="AQ4" s="93">
        <v>8</v>
      </c>
      <c r="AR4" s="93">
        <v>8</v>
      </c>
      <c r="AS4" s="93">
        <v>8</v>
      </c>
      <c r="AT4" s="93">
        <v>8</v>
      </c>
      <c r="AU4" s="93">
        <v>8</v>
      </c>
      <c r="AV4" s="93">
        <v>8</v>
      </c>
      <c r="AW4" s="93">
        <v>8</v>
      </c>
      <c r="AX4" s="93">
        <v>8</v>
      </c>
      <c r="AY4" s="93">
        <v>8</v>
      </c>
      <c r="AZ4" s="93">
        <v>8</v>
      </c>
      <c r="BA4" s="93">
        <v>8</v>
      </c>
      <c r="BB4" s="93">
        <v>8</v>
      </c>
      <c r="BC4" s="93">
        <v>8</v>
      </c>
      <c r="BD4" s="93">
        <v>8</v>
      </c>
      <c r="BE4" s="93">
        <v>8</v>
      </c>
      <c r="BF4" s="93">
        <v>8</v>
      </c>
      <c r="BG4" s="93">
        <v>8</v>
      </c>
      <c r="BH4" s="93">
        <v>8</v>
      </c>
      <c r="BI4" s="93">
        <v>8</v>
      </c>
      <c r="BJ4" s="93">
        <v>8</v>
      </c>
      <c r="BK4" s="93">
        <v>8</v>
      </c>
      <c r="BL4" s="93">
        <v>8</v>
      </c>
      <c r="BM4" s="93">
        <v>8</v>
      </c>
      <c r="BN4" s="93">
        <v>8</v>
      </c>
      <c r="BO4" s="93">
        <v>8</v>
      </c>
      <c r="BP4" s="93">
        <v>8</v>
      </c>
      <c r="BQ4" s="93">
        <v>8</v>
      </c>
      <c r="BR4" s="93">
        <v>8</v>
      </c>
      <c r="BS4" s="93">
        <v>8</v>
      </c>
      <c r="BT4" s="93">
        <v>8</v>
      </c>
      <c r="BU4" s="93">
        <v>8</v>
      </c>
      <c r="BV4" s="93">
        <v>8</v>
      </c>
      <c r="BW4" s="93">
        <v>8</v>
      </c>
      <c r="BX4" s="93">
        <v>8</v>
      </c>
      <c r="BY4" s="93">
        <v>8</v>
      </c>
      <c r="BZ4" s="93">
        <v>8</v>
      </c>
      <c r="CA4" s="93">
        <v>8</v>
      </c>
      <c r="CB4" s="93">
        <v>8</v>
      </c>
      <c r="CC4" s="93">
        <v>8</v>
      </c>
      <c r="CD4" s="93">
        <v>8</v>
      </c>
      <c r="CE4" s="93">
        <v>8</v>
      </c>
      <c r="CF4" s="93">
        <v>8</v>
      </c>
      <c r="CG4" s="93">
        <v>8</v>
      </c>
      <c r="CH4" s="93">
        <v>8</v>
      </c>
      <c r="CI4" s="93">
        <v>8</v>
      </c>
      <c r="CJ4" s="93">
        <v>8</v>
      </c>
      <c r="CK4" s="93">
        <v>8</v>
      </c>
      <c r="CL4" s="93">
        <v>8</v>
      </c>
      <c r="CM4" s="93">
        <v>8</v>
      </c>
      <c r="CN4" s="93">
        <v>8</v>
      </c>
      <c r="CO4" s="93">
        <v>8</v>
      </c>
      <c r="CP4" s="93">
        <v>8</v>
      </c>
      <c r="CQ4" s="93">
        <v>8</v>
      </c>
      <c r="CR4" s="93">
        <v>8</v>
      </c>
      <c r="CS4" s="93">
        <v>8</v>
      </c>
      <c r="CT4" s="93">
        <v>8</v>
      </c>
      <c r="CU4" s="93">
        <v>8</v>
      </c>
      <c r="CV4" s="93">
        <v>8</v>
      </c>
      <c r="CW4" s="93">
        <v>8</v>
      </c>
      <c r="CX4" s="93">
        <v>8</v>
      </c>
      <c r="CY4" s="93">
        <v>8</v>
      </c>
      <c r="CZ4" s="93">
        <v>8</v>
      </c>
      <c r="DA4" s="93">
        <v>8</v>
      </c>
      <c r="DB4" s="93">
        <v>8</v>
      </c>
      <c r="DC4" s="93">
        <v>8</v>
      </c>
      <c r="DD4" s="93">
        <v>8</v>
      </c>
      <c r="DE4" s="93">
        <v>8</v>
      </c>
    </row>
    <row r="5" spans="1:109">
      <c r="A5" s="92" t="s">
        <v>265</v>
      </c>
      <c r="B5" s="93">
        <v>1</v>
      </c>
      <c r="C5" s="93">
        <v>1</v>
      </c>
      <c r="D5" s="93">
        <v>1</v>
      </c>
      <c r="E5" s="93">
        <v>1</v>
      </c>
      <c r="F5" s="93">
        <v>1</v>
      </c>
      <c r="G5" s="93">
        <v>1</v>
      </c>
      <c r="H5" s="93">
        <v>1</v>
      </c>
      <c r="I5" s="93">
        <v>1</v>
      </c>
      <c r="J5" s="93">
        <v>1</v>
      </c>
      <c r="K5" s="93">
        <v>1</v>
      </c>
      <c r="L5" s="93">
        <v>1</v>
      </c>
      <c r="M5" s="93">
        <v>1</v>
      </c>
      <c r="N5" s="93">
        <v>1</v>
      </c>
      <c r="O5" s="93">
        <v>1</v>
      </c>
      <c r="P5" s="93">
        <v>1</v>
      </c>
      <c r="Q5" s="93">
        <v>1</v>
      </c>
      <c r="R5" s="93">
        <v>1</v>
      </c>
      <c r="S5" s="93">
        <v>1</v>
      </c>
      <c r="T5" s="93">
        <v>1</v>
      </c>
      <c r="U5" s="93">
        <v>1</v>
      </c>
      <c r="V5" s="93">
        <v>1</v>
      </c>
      <c r="W5" s="93">
        <v>1</v>
      </c>
      <c r="X5" s="93">
        <v>1</v>
      </c>
      <c r="Y5" s="93">
        <v>1</v>
      </c>
      <c r="Z5" s="93">
        <v>1</v>
      </c>
      <c r="AA5" s="93">
        <v>1</v>
      </c>
      <c r="AB5" s="93">
        <v>1</v>
      </c>
      <c r="AC5" s="93">
        <v>1</v>
      </c>
      <c r="AD5" s="93">
        <v>1</v>
      </c>
      <c r="AE5" s="93">
        <v>1</v>
      </c>
      <c r="AF5" s="93">
        <v>1</v>
      </c>
      <c r="AG5" s="93">
        <v>1</v>
      </c>
      <c r="AH5" s="93">
        <v>1</v>
      </c>
      <c r="AI5" s="93">
        <v>1</v>
      </c>
      <c r="AJ5" s="93">
        <v>1</v>
      </c>
      <c r="AK5" s="93">
        <v>1</v>
      </c>
      <c r="AL5" s="93">
        <v>1</v>
      </c>
      <c r="AM5" s="93">
        <v>1</v>
      </c>
      <c r="AN5" s="93">
        <v>1</v>
      </c>
      <c r="AO5" s="93">
        <v>1</v>
      </c>
      <c r="AP5" s="93">
        <v>1</v>
      </c>
      <c r="AQ5" s="93">
        <v>1</v>
      </c>
      <c r="AR5" s="93">
        <v>1</v>
      </c>
      <c r="AS5" s="93">
        <v>1</v>
      </c>
      <c r="AT5" s="93">
        <v>1</v>
      </c>
      <c r="AU5" s="93">
        <v>1</v>
      </c>
      <c r="AV5" s="93">
        <v>1</v>
      </c>
      <c r="AW5" s="93">
        <v>1</v>
      </c>
      <c r="AX5" s="93">
        <v>1</v>
      </c>
      <c r="AY5" s="93">
        <v>1</v>
      </c>
      <c r="AZ5" s="93">
        <v>1</v>
      </c>
      <c r="BA5" s="93">
        <v>1</v>
      </c>
      <c r="BB5" s="93">
        <v>1</v>
      </c>
      <c r="BC5" s="93">
        <v>1</v>
      </c>
      <c r="BD5" s="93">
        <v>1</v>
      </c>
      <c r="BE5" s="93">
        <v>1</v>
      </c>
      <c r="BF5" s="93">
        <v>1</v>
      </c>
      <c r="BG5" s="93">
        <v>1</v>
      </c>
      <c r="BH5" s="93">
        <v>1</v>
      </c>
      <c r="BI5" s="93">
        <v>1</v>
      </c>
      <c r="BJ5" s="93">
        <v>1</v>
      </c>
      <c r="BK5" s="93">
        <v>1</v>
      </c>
      <c r="BL5" s="93">
        <v>1</v>
      </c>
      <c r="BM5" s="93">
        <v>1</v>
      </c>
      <c r="BN5" s="93">
        <v>1</v>
      </c>
      <c r="BO5" s="93">
        <v>1</v>
      </c>
      <c r="BP5" s="93">
        <v>1</v>
      </c>
      <c r="BQ5" s="93">
        <v>1</v>
      </c>
      <c r="BR5" s="93">
        <v>1</v>
      </c>
      <c r="BS5" s="93">
        <v>1</v>
      </c>
      <c r="BT5" s="93">
        <v>1</v>
      </c>
      <c r="BU5" s="93">
        <v>1</v>
      </c>
      <c r="BV5" s="93">
        <v>1</v>
      </c>
      <c r="BW5" s="93">
        <v>1</v>
      </c>
      <c r="BX5" s="93">
        <v>1</v>
      </c>
      <c r="BY5" s="93">
        <v>1</v>
      </c>
      <c r="BZ5" s="93">
        <v>1</v>
      </c>
      <c r="CA5" s="93">
        <v>1</v>
      </c>
      <c r="CB5" s="93">
        <v>1</v>
      </c>
      <c r="CC5" s="93">
        <v>1</v>
      </c>
      <c r="CD5" s="93">
        <v>1</v>
      </c>
      <c r="CE5" s="93">
        <v>1</v>
      </c>
      <c r="CF5" s="93">
        <v>1</v>
      </c>
      <c r="CG5" s="93">
        <v>1</v>
      </c>
      <c r="CH5" s="93">
        <v>1</v>
      </c>
      <c r="CI5" s="93">
        <v>1</v>
      </c>
      <c r="CJ5" s="93">
        <v>1</v>
      </c>
      <c r="CK5" s="93">
        <v>1</v>
      </c>
      <c r="CL5" s="93">
        <v>1</v>
      </c>
      <c r="CM5" s="93">
        <v>1</v>
      </c>
      <c r="CN5" s="93">
        <v>1</v>
      </c>
      <c r="CO5" s="93">
        <v>1</v>
      </c>
      <c r="CP5" s="93">
        <v>1</v>
      </c>
      <c r="CQ5" s="93">
        <v>1</v>
      </c>
      <c r="CR5" s="93">
        <v>1</v>
      </c>
      <c r="CS5" s="93">
        <v>1</v>
      </c>
      <c r="CT5" s="93">
        <v>1</v>
      </c>
      <c r="CU5" s="93">
        <v>1</v>
      </c>
      <c r="CV5" s="93">
        <v>1</v>
      </c>
      <c r="CW5" s="93">
        <v>1</v>
      </c>
      <c r="CX5" s="93">
        <v>1</v>
      </c>
      <c r="CY5" s="93">
        <v>1</v>
      </c>
      <c r="CZ5" s="93">
        <v>1</v>
      </c>
      <c r="DA5" s="93">
        <v>1</v>
      </c>
      <c r="DB5" s="93">
        <v>1</v>
      </c>
      <c r="DC5" s="93">
        <v>1</v>
      </c>
      <c r="DD5" s="93">
        <v>1</v>
      </c>
      <c r="DE5" s="93">
        <v>1</v>
      </c>
    </row>
    <row r="6" spans="1:109">
      <c r="A6" s="95" t="s">
        <v>266</v>
      </c>
      <c r="B6" s="93">
        <v>10</v>
      </c>
      <c r="C6" s="93">
        <v>10</v>
      </c>
      <c r="D6" s="93">
        <v>10</v>
      </c>
      <c r="E6" s="93">
        <v>10</v>
      </c>
      <c r="F6" s="93">
        <v>10</v>
      </c>
      <c r="G6" s="93">
        <v>10</v>
      </c>
      <c r="H6" s="93">
        <v>10</v>
      </c>
      <c r="I6" s="93">
        <v>10</v>
      </c>
      <c r="J6" s="93">
        <v>10</v>
      </c>
      <c r="K6" s="93">
        <v>10</v>
      </c>
      <c r="L6" s="93">
        <v>10</v>
      </c>
      <c r="M6" s="93">
        <v>10</v>
      </c>
      <c r="N6" s="93">
        <v>10</v>
      </c>
      <c r="O6" s="93">
        <v>10</v>
      </c>
      <c r="P6" s="93">
        <v>10</v>
      </c>
      <c r="Q6" s="93">
        <v>10</v>
      </c>
      <c r="R6" s="93">
        <v>10</v>
      </c>
      <c r="S6" s="93">
        <v>10</v>
      </c>
      <c r="T6" s="93">
        <v>10</v>
      </c>
      <c r="U6" s="93">
        <v>10</v>
      </c>
      <c r="V6" s="93">
        <v>10</v>
      </c>
      <c r="W6" s="93">
        <v>10</v>
      </c>
      <c r="X6" s="93">
        <v>10</v>
      </c>
      <c r="Y6" s="93">
        <v>10</v>
      </c>
      <c r="Z6" s="93">
        <v>10</v>
      </c>
      <c r="AA6" s="93">
        <v>10</v>
      </c>
      <c r="AB6" s="93">
        <v>10</v>
      </c>
      <c r="AC6" s="93">
        <v>10</v>
      </c>
      <c r="AD6" s="93">
        <v>10</v>
      </c>
      <c r="AE6" s="93">
        <v>10</v>
      </c>
      <c r="AF6" s="93">
        <v>10</v>
      </c>
      <c r="AG6" s="93">
        <v>10</v>
      </c>
      <c r="AH6" s="93">
        <v>10</v>
      </c>
      <c r="AI6" s="93">
        <v>10</v>
      </c>
      <c r="AJ6" s="93">
        <v>10</v>
      </c>
      <c r="AK6" s="93">
        <v>10</v>
      </c>
      <c r="AL6" s="93">
        <v>10</v>
      </c>
      <c r="AM6" s="93">
        <v>10</v>
      </c>
      <c r="AN6" s="93">
        <v>10</v>
      </c>
      <c r="AO6" s="93">
        <v>10</v>
      </c>
      <c r="AP6" s="93">
        <v>10</v>
      </c>
      <c r="AQ6" s="93">
        <v>10</v>
      </c>
      <c r="AR6" s="93">
        <v>10</v>
      </c>
      <c r="AS6" s="93">
        <v>10</v>
      </c>
      <c r="AT6" s="93">
        <v>10</v>
      </c>
      <c r="AU6" s="93">
        <v>10</v>
      </c>
      <c r="AV6" s="93">
        <v>10</v>
      </c>
      <c r="AW6" s="93">
        <v>10</v>
      </c>
      <c r="AX6" s="93">
        <v>10</v>
      </c>
      <c r="AY6" s="93">
        <v>10</v>
      </c>
      <c r="AZ6" s="93">
        <v>10</v>
      </c>
      <c r="BA6" s="93">
        <v>10</v>
      </c>
      <c r="BB6" s="93">
        <v>10</v>
      </c>
      <c r="BC6" s="93">
        <v>10</v>
      </c>
      <c r="BD6" s="93">
        <v>10</v>
      </c>
      <c r="BE6" s="93">
        <v>10</v>
      </c>
      <c r="BF6" s="93">
        <v>10</v>
      </c>
      <c r="BG6" s="93">
        <v>10</v>
      </c>
      <c r="BH6" s="93">
        <v>10</v>
      </c>
      <c r="BI6" s="93">
        <v>10</v>
      </c>
      <c r="BJ6" s="93">
        <v>10</v>
      </c>
      <c r="BK6" s="93">
        <v>10</v>
      </c>
      <c r="BL6" s="93">
        <v>10</v>
      </c>
      <c r="BM6" s="93">
        <v>10</v>
      </c>
      <c r="BN6" s="93">
        <v>10</v>
      </c>
      <c r="BO6" s="93">
        <v>10</v>
      </c>
      <c r="BP6" s="93">
        <v>10</v>
      </c>
      <c r="BQ6" s="93">
        <v>10</v>
      </c>
      <c r="BR6" s="93">
        <v>10</v>
      </c>
      <c r="BS6" s="93">
        <v>10</v>
      </c>
      <c r="BT6" s="93">
        <v>10</v>
      </c>
      <c r="BU6" s="93">
        <v>10</v>
      </c>
      <c r="BV6" s="93">
        <v>10</v>
      </c>
      <c r="BW6" s="93">
        <v>10</v>
      </c>
      <c r="BX6" s="93">
        <v>10</v>
      </c>
      <c r="BY6" s="93">
        <v>10</v>
      </c>
      <c r="BZ6" s="93">
        <v>10</v>
      </c>
      <c r="CA6" s="93">
        <v>10</v>
      </c>
      <c r="CB6" s="93">
        <v>10</v>
      </c>
      <c r="CC6" s="93">
        <v>10</v>
      </c>
      <c r="CD6" s="93">
        <v>10</v>
      </c>
      <c r="CE6" s="93">
        <v>10</v>
      </c>
      <c r="CF6" s="93">
        <v>10</v>
      </c>
      <c r="CG6" s="93">
        <v>10</v>
      </c>
      <c r="CH6" s="93">
        <v>10</v>
      </c>
      <c r="CI6" s="93">
        <v>10</v>
      </c>
      <c r="CJ6" s="93">
        <v>10</v>
      </c>
      <c r="CK6" s="93">
        <v>10</v>
      </c>
      <c r="CL6" s="93">
        <v>10</v>
      </c>
      <c r="CM6" s="93">
        <v>10</v>
      </c>
      <c r="CN6" s="93">
        <v>10</v>
      </c>
      <c r="CO6" s="93">
        <v>10</v>
      </c>
      <c r="CP6" s="93">
        <v>10</v>
      </c>
      <c r="CQ6" s="93">
        <v>10</v>
      </c>
      <c r="CR6" s="93">
        <v>10</v>
      </c>
      <c r="CS6" s="93">
        <v>10</v>
      </c>
      <c r="CT6" s="93">
        <v>10</v>
      </c>
      <c r="CU6" s="93">
        <v>10</v>
      </c>
      <c r="CV6" s="93">
        <v>10</v>
      </c>
      <c r="CW6" s="93">
        <v>10</v>
      </c>
      <c r="CX6" s="93">
        <v>10</v>
      </c>
      <c r="CY6" s="93">
        <v>10</v>
      </c>
      <c r="CZ6" s="93">
        <v>10</v>
      </c>
      <c r="DA6" s="93">
        <v>10</v>
      </c>
      <c r="DB6" s="93">
        <v>10</v>
      </c>
      <c r="DC6" s="93">
        <v>10</v>
      </c>
      <c r="DD6" s="93">
        <v>10</v>
      </c>
      <c r="DE6" s="93">
        <v>10</v>
      </c>
    </row>
    <row r="7" spans="1:109">
      <c r="A7" s="95" t="s">
        <v>267</v>
      </c>
      <c r="B7" s="93">
        <v>9</v>
      </c>
      <c r="C7" s="93">
        <v>9</v>
      </c>
      <c r="D7" s="93">
        <v>9</v>
      </c>
      <c r="E7" s="93">
        <v>9</v>
      </c>
      <c r="F7" s="93">
        <v>9</v>
      </c>
      <c r="G7" s="93">
        <v>9</v>
      </c>
      <c r="H7" s="93">
        <v>9</v>
      </c>
      <c r="I7" s="93">
        <v>9</v>
      </c>
      <c r="J7" s="93">
        <v>9</v>
      </c>
      <c r="K7" s="93">
        <v>9</v>
      </c>
      <c r="L7" s="93">
        <v>9</v>
      </c>
      <c r="M7" s="93">
        <v>9</v>
      </c>
      <c r="N7" s="93">
        <v>9</v>
      </c>
      <c r="O7" s="93">
        <v>9</v>
      </c>
      <c r="P7" s="93">
        <v>9</v>
      </c>
      <c r="Q7" s="93">
        <v>9</v>
      </c>
      <c r="R7" s="93">
        <v>9</v>
      </c>
      <c r="S7" s="93">
        <v>9</v>
      </c>
      <c r="T7" s="93">
        <v>9</v>
      </c>
      <c r="U7" s="93">
        <v>9</v>
      </c>
      <c r="V7" s="93">
        <v>9</v>
      </c>
      <c r="W7" s="93">
        <v>9</v>
      </c>
      <c r="X7" s="93">
        <v>9</v>
      </c>
      <c r="Y7" s="93">
        <v>9</v>
      </c>
      <c r="Z7" s="93">
        <v>9</v>
      </c>
      <c r="AA7" s="93">
        <v>9</v>
      </c>
      <c r="AB7" s="93">
        <v>9</v>
      </c>
      <c r="AC7" s="93">
        <v>9</v>
      </c>
      <c r="AD7" s="93">
        <v>9</v>
      </c>
      <c r="AE7" s="93">
        <v>9</v>
      </c>
      <c r="AF7" s="93">
        <v>9</v>
      </c>
      <c r="AG7" s="93">
        <v>9</v>
      </c>
      <c r="AH7" s="93">
        <v>9</v>
      </c>
      <c r="AI7" s="93">
        <v>9</v>
      </c>
      <c r="AJ7" s="93">
        <v>9</v>
      </c>
      <c r="AK7" s="93">
        <v>9</v>
      </c>
      <c r="AL7" s="93">
        <v>9</v>
      </c>
      <c r="AM7" s="93">
        <v>9</v>
      </c>
      <c r="AN7" s="93">
        <v>9</v>
      </c>
      <c r="AO7" s="93">
        <v>9</v>
      </c>
      <c r="AP7" s="93">
        <v>9</v>
      </c>
      <c r="AQ7" s="93">
        <v>9</v>
      </c>
      <c r="AR7" s="93">
        <v>9</v>
      </c>
      <c r="AS7" s="93">
        <v>9</v>
      </c>
      <c r="AT7" s="93">
        <v>9</v>
      </c>
      <c r="AU7" s="93">
        <v>9</v>
      </c>
      <c r="AV7" s="93">
        <v>9</v>
      </c>
      <c r="AW7" s="93">
        <v>9</v>
      </c>
      <c r="AX7" s="93">
        <v>9</v>
      </c>
      <c r="AY7" s="93">
        <v>9</v>
      </c>
      <c r="AZ7" s="93">
        <v>9</v>
      </c>
      <c r="BA7" s="93">
        <v>9</v>
      </c>
      <c r="BB7" s="93">
        <v>9</v>
      </c>
      <c r="BC7" s="93">
        <v>9</v>
      </c>
      <c r="BD7" s="93">
        <v>9</v>
      </c>
      <c r="BE7" s="93">
        <v>9</v>
      </c>
      <c r="BF7" s="93">
        <v>9</v>
      </c>
      <c r="BG7" s="93">
        <v>9</v>
      </c>
      <c r="BH7" s="93">
        <v>9</v>
      </c>
      <c r="BI7" s="93">
        <v>9</v>
      </c>
      <c r="BJ7" s="93">
        <v>9</v>
      </c>
      <c r="BK7" s="93">
        <v>9</v>
      </c>
      <c r="BL7" s="93">
        <v>9</v>
      </c>
      <c r="BM7" s="93">
        <v>9</v>
      </c>
      <c r="BN7" s="93">
        <v>9</v>
      </c>
      <c r="BO7" s="93">
        <v>9</v>
      </c>
      <c r="BP7" s="93">
        <v>9</v>
      </c>
      <c r="BQ7" s="93">
        <v>9</v>
      </c>
      <c r="BR7" s="93">
        <v>9</v>
      </c>
      <c r="BS7" s="93">
        <v>9</v>
      </c>
      <c r="BT7" s="93">
        <v>9</v>
      </c>
      <c r="BU7" s="93">
        <v>9</v>
      </c>
      <c r="BV7" s="93">
        <v>9</v>
      </c>
      <c r="BW7" s="93">
        <v>9</v>
      </c>
      <c r="BX7" s="93">
        <v>9</v>
      </c>
      <c r="BY7" s="93">
        <v>9</v>
      </c>
      <c r="BZ7" s="93">
        <v>9</v>
      </c>
      <c r="CA7" s="93">
        <v>9</v>
      </c>
      <c r="CB7" s="93">
        <v>9</v>
      </c>
      <c r="CC7" s="93">
        <v>9</v>
      </c>
      <c r="CD7" s="93">
        <v>9</v>
      </c>
      <c r="CE7" s="93">
        <v>9</v>
      </c>
      <c r="CF7" s="93">
        <v>9</v>
      </c>
      <c r="CG7" s="93">
        <v>9</v>
      </c>
      <c r="CH7" s="93">
        <v>9</v>
      </c>
      <c r="CI7" s="93">
        <v>9</v>
      </c>
      <c r="CJ7" s="93">
        <v>9</v>
      </c>
      <c r="CK7" s="93">
        <v>9</v>
      </c>
      <c r="CL7" s="93">
        <v>9</v>
      </c>
      <c r="CM7" s="93">
        <v>9</v>
      </c>
      <c r="CN7" s="93">
        <v>9</v>
      </c>
      <c r="CO7" s="93">
        <v>9</v>
      </c>
      <c r="CP7" s="93">
        <v>9</v>
      </c>
      <c r="CQ7" s="93">
        <v>9</v>
      </c>
      <c r="CR7" s="93">
        <v>9</v>
      </c>
      <c r="CS7" s="93">
        <v>9</v>
      </c>
      <c r="CT7" s="93">
        <v>9</v>
      </c>
      <c r="CU7" s="93">
        <v>9</v>
      </c>
      <c r="CV7" s="93">
        <v>9</v>
      </c>
      <c r="CW7" s="93">
        <v>9</v>
      </c>
      <c r="CX7" s="93">
        <v>9</v>
      </c>
      <c r="CY7" s="93">
        <v>9</v>
      </c>
      <c r="CZ7" s="93">
        <v>9</v>
      </c>
      <c r="DA7" s="93">
        <v>9</v>
      </c>
      <c r="DB7" s="93">
        <v>9</v>
      </c>
      <c r="DC7" s="93">
        <v>9</v>
      </c>
      <c r="DD7" s="93">
        <v>9</v>
      </c>
      <c r="DE7" s="93">
        <v>9</v>
      </c>
    </row>
    <row r="8" spans="1:109">
      <c r="A8" s="94" t="s">
        <v>268</v>
      </c>
      <c r="B8" s="93">
        <v>6</v>
      </c>
      <c r="C8" s="93">
        <v>6</v>
      </c>
      <c r="D8" s="93">
        <v>6</v>
      </c>
      <c r="E8" s="93">
        <v>6</v>
      </c>
      <c r="F8" s="93">
        <v>6</v>
      </c>
      <c r="G8" s="93">
        <v>6</v>
      </c>
      <c r="H8" s="93">
        <v>6</v>
      </c>
      <c r="I8" s="93">
        <v>6</v>
      </c>
      <c r="J8" s="93">
        <v>6</v>
      </c>
      <c r="K8" s="93">
        <v>6</v>
      </c>
      <c r="L8" s="93">
        <v>6</v>
      </c>
      <c r="M8" s="93">
        <v>6</v>
      </c>
      <c r="N8" s="93">
        <v>6</v>
      </c>
      <c r="O8" s="93">
        <v>6</v>
      </c>
      <c r="P8" s="93">
        <v>6</v>
      </c>
      <c r="Q8" s="93">
        <v>6</v>
      </c>
      <c r="R8" s="93">
        <v>6</v>
      </c>
      <c r="S8" s="93">
        <v>6</v>
      </c>
      <c r="T8" s="93">
        <v>6</v>
      </c>
      <c r="U8" s="93">
        <v>6</v>
      </c>
      <c r="V8" s="93">
        <v>6</v>
      </c>
      <c r="W8" s="93">
        <v>6</v>
      </c>
      <c r="X8" s="93">
        <v>6</v>
      </c>
      <c r="Y8" s="93">
        <v>6</v>
      </c>
      <c r="Z8" s="93">
        <v>6</v>
      </c>
      <c r="AA8" s="93">
        <v>6</v>
      </c>
      <c r="AB8" s="93">
        <v>6</v>
      </c>
      <c r="AC8" s="93">
        <v>6</v>
      </c>
      <c r="AD8" s="93">
        <v>6</v>
      </c>
      <c r="AE8" s="93">
        <v>6</v>
      </c>
      <c r="AF8" s="93">
        <v>6</v>
      </c>
      <c r="AG8" s="93">
        <v>6</v>
      </c>
      <c r="AH8" s="93">
        <v>6</v>
      </c>
      <c r="AI8" s="93">
        <v>6</v>
      </c>
      <c r="AJ8" s="93">
        <v>6</v>
      </c>
      <c r="AK8" s="93">
        <v>6</v>
      </c>
      <c r="AL8" s="93">
        <v>6</v>
      </c>
      <c r="AM8" s="93">
        <v>6</v>
      </c>
      <c r="AN8" s="93">
        <v>6</v>
      </c>
      <c r="AO8" s="93">
        <v>6</v>
      </c>
      <c r="AP8" s="93">
        <v>6</v>
      </c>
      <c r="AQ8" s="93">
        <v>6</v>
      </c>
      <c r="AR8" s="93">
        <v>6</v>
      </c>
      <c r="AS8" s="93">
        <v>6</v>
      </c>
      <c r="AT8" s="93">
        <v>6</v>
      </c>
      <c r="AU8" s="93">
        <v>6</v>
      </c>
      <c r="AV8" s="93">
        <v>6</v>
      </c>
      <c r="AW8" s="93">
        <v>6</v>
      </c>
      <c r="AX8" s="93">
        <v>6</v>
      </c>
      <c r="AY8" s="93">
        <v>6</v>
      </c>
      <c r="AZ8" s="93">
        <v>6</v>
      </c>
      <c r="BA8" s="93">
        <v>6</v>
      </c>
      <c r="BB8" s="93">
        <v>6</v>
      </c>
      <c r="BC8" s="93">
        <v>6</v>
      </c>
      <c r="BD8" s="93">
        <v>6</v>
      </c>
      <c r="BE8" s="93">
        <v>6</v>
      </c>
      <c r="BF8" s="93">
        <v>6</v>
      </c>
      <c r="BG8" s="93">
        <v>6</v>
      </c>
      <c r="BH8" s="93">
        <v>6</v>
      </c>
      <c r="BI8" s="93">
        <v>6</v>
      </c>
      <c r="BJ8" s="93">
        <v>6</v>
      </c>
      <c r="BK8" s="93">
        <v>6</v>
      </c>
      <c r="BL8" s="93">
        <v>6</v>
      </c>
      <c r="BM8" s="93">
        <v>6</v>
      </c>
      <c r="BN8" s="93">
        <v>6</v>
      </c>
      <c r="BO8" s="93">
        <v>6</v>
      </c>
      <c r="BP8" s="93">
        <v>6</v>
      </c>
      <c r="BQ8" s="93">
        <v>6</v>
      </c>
      <c r="BR8" s="93">
        <v>6</v>
      </c>
      <c r="BS8" s="93">
        <v>6</v>
      </c>
      <c r="BT8" s="93">
        <v>6</v>
      </c>
      <c r="BU8" s="93">
        <v>6</v>
      </c>
      <c r="BV8" s="93">
        <v>6</v>
      </c>
      <c r="BW8" s="93">
        <v>6</v>
      </c>
      <c r="BX8" s="93">
        <v>6</v>
      </c>
      <c r="BY8" s="93">
        <v>6</v>
      </c>
      <c r="BZ8" s="93">
        <v>6</v>
      </c>
      <c r="CA8" s="93">
        <v>6</v>
      </c>
      <c r="CB8" s="93">
        <v>6</v>
      </c>
      <c r="CC8" s="93">
        <v>6</v>
      </c>
      <c r="CD8" s="93">
        <v>6</v>
      </c>
      <c r="CE8" s="93">
        <v>6</v>
      </c>
      <c r="CF8" s="93">
        <v>6</v>
      </c>
      <c r="CG8" s="93">
        <v>6</v>
      </c>
      <c r="CH8" s="93">
        <v>6</v>
      </c>
      <c r="CI8" s="93">
        <v>6</v>
      </c>
      <c r="CJ8" s="93">
        <v>6</v>
      </c>
      <c r="CK8" s="93">
        <v>6</v>
      </c>
      <c r="CL8" s="93">
        <v>6</v>
      </c>
      <c r="CM8" s="93">
        <v>6</v>
      </c>
      <c r="CN8" s="93">
        <v>6</v>
      </c>
      <c r="CO8" s="93">
        <v>6</v>
      </c>
      <c r="CP8" s="93">
        <v>6</v>
      </c>
      <c r="CQ8" s="93">
        <v>6</v>
      </c>
      <c r="CR8" s="93">
        <v>6</v>
      </c>
      <c r="CS8" s="93">
        <v>6</v>
      </c>
      <c r="CT8" s="93">
        <v>6</v>
      </c>
      <c r="CU8" s="93">
        <v>6</v>
      </c>
      <c r="CV8" s="93">
        <v>6</v>
      </c>
      <c r="CW8" s="93">
        <v>6</v>
      </c>
      <c r="CX8" s="93">
        <v>6</v>
      </c>
      <c r="CY8" s="93">
        <v>6</v>
      </c>
      <c r="CZ8" s="93">
        <v>6</v>
      </c>
      <c r="DA8" s="93">
        <v>6</v>
      </c>
      <c r="DB8" s="93">
        <v>6</v>
      </c>
      <c r="DC8" s="93">
        <v>6</v>
      </c>
      <c r="DD8" s="93">
        <v>6</v>
      </c>
      <c r="DE8" s="93">
        <v>6</v>
      </c>
    </row>
    <row r="9" spans="1:109">
      <c r="A9" s="92" t="s">
        <v>269</v>
      </c>
      <c r="B9" s="93">
        <v>1</v>
      </c>
      <c r="C9" s="93">
        <v>1</v>
      </c>
      <c r="D9" s="93">
        <v>1</v>
      </c>
      <c r="E9" s="93">
        <v>1</v>
      </c>
      <c r="F9" s="93">
        <v>1</v>
      </c>
      <c r="G9" s="93">
        <v>1</v>
      </c>
      <c r="H9" s="93">
        <v>1</v>
      </c>
      <c r="I9" s="93">
        <v>1</v>
      </c>
      <c r="J9" s="93">
        <v>1</v>
      </c>
      <c r="K9" s="93">
        <v>1</v>
      </c>
      <c r="L9" s="93">
        <v>1</v>
      </c>
      <c r="M9" s="93">
        <v>1</v>
      </c>
      <c r="N9" s="93">
        <v>1</v>
      </c>
      <c r="O9" s="93">
        <v>1</v>
      </c>
      <c r="P9" s="93">
        <v>1</v>
      </c>
      <c r="Q9" s="93">
        <v>1</v>
      </c>
      <c r="R9" s="93">
        <v>1</v>
      </c>
      <c r="S9" s="93">
        <v>1</v>
      </c>
      <c r="T9" s="93">
        <v>1</v>
      </c>
      <c r="U9" s="93">
        <v>1</v>
      </c>
      <c r="V9" s="93">
        <v>1</v>
      </c>
      <c r="W9" s="93">
        <v>1</v>
      </c>
      <c r="X9" s="93">
        <v>1</v>
      </c>
      <c r="Y9" s="93">
        <v>1</v>
      </c>
      <c r="Z9" s="93">
        <v>1</v>
      </c>
      <c r="AA9" s="93">
        <v>1</v>
      </c>
      <c r="AB9" s="93">
        <v>1</v>
      </c>
      <c r="AC9" s="93">
        <v>1</v>
      </c>
      <c r="AD9" s="93">
        <v>1</v>
      </c>
      <c r="AE9" s="93">
        <v>1</v>
      </c>
      <c r="AF9" s="93">
        <v>1</v>
      </c>
      <c r="AG9" s="93">
        <v>1</v>
      </c>
      <c r="AH9" s="93">
        <v>1</v>
      </c>
      <c r="AI9" s="93">
        <v>1</v>
      </c>
      <c r="AJ9" s="93">
        <v>1</v>
      </c>
      <c r="AK9" s="93">
        <v>1</v>
      </c>
      <c r="AL9" s="93">
        <v>1</v>
      </c>
      <c r="AM9" s="93">
        <v>1</v>
      </c>
      <c r="AN9" s="93">
        <v>1</v>
      </c>
      <c r="AO9" s="93">
        <v>1</v>
      </c>
      <c r="AP9" s="93">
        <v>1</v>
      </c>
      <c r="AQ9" s="93">
        <v>1</v>
      </c>
      <c r="AR9" s="93">
        <v>1</v>
      </c>
      <c r="AS9" s="93">
        <v>1</v>
      </c>
      <c r="AT9" s="93">
        <v>1</v>
      </c>
      <c r="AU9" s="93">
        <v>1</v>
      </c>
      <c r="AV9" s="93">
        <v>1</v>
      </c>
      <c r="AW9" s="93">
        <v>1</v>
      </c>
      <c r="AX9" s="93">
        <v>1</v>
      </c>
      <c r="AY9" s="93">
        <v>1</v>
      </c>
      <c r="AZ9" s="93">
        <v>1</v>
      </c>
      <c r="BA9" s="93">
        <v>1</v>
      </c>
      <c r="BB9" s="93">
        <v>1</v>
      </c>
      <c r="BC9" s="93">
        <v>1</v>
      </c>
      <c r="BD9" s="93">
        <v>1</v>
      </c>
      <c r="BE9" s="93">
        <v>1</v>
      </c>
      <c r="BF9" s="93">
        <v>1</v>
      </c>
      <c r="BG9" s="93">
        <v>1</v>
      </c>
      <c r="BH9" s="93">
        <v>1</v>
      </c>
      <c r="BI9" s="93">
        <v>1</v>
      </c>
      <c r="BJ9" s="93">
        <v>1</v>
      </c>
      <c r="BK9" s="93">
        <v>1</v>
      </c>
      <c r="BL9" s="93">
        <v>1</v>
      </c>
      <c r="BM9" s="93">
        <v>1</v>
      </c>
      <c r="BN9" s="93">
        <v>1</v>
      </c>
      <c r="BO9" s="93">
        <v>1</v>
      </c>
      <c r="BP9" s="93">
        <v>1</v>
      </c>
      <c r="BQ9" s="93">
        <v>1</v>
      </c>
      <c r="BR9" s="93">
        <v>1</v>
      </c>
      <c r="BS9" s="93">
        <v>1</v>
      </c>
      <c r="BT9" s="93">
        <v>1</v>
      </c>
      <c r="BU9" s="93">
        <v>1</v>
      </c>
      <c r="BV9" s="93">
        <v>1</v>
      </c>
      <c r="BW9" s="93">
        <v>1</v>
      </c>
      <c r="BX9" s="93">
        <v>1</v>
      </c>
      <c r="BY9" s="93">
        <v>1</v>
      </c>
      <c r="BZ9" s="93">
        <v>1</v>
      </c>
      <c r="CA9" s="93">
        <v>1</v>
      </c>
      <c r="CB9" s="93">
        <v>1</v>
      </c>
      <c r="CC9" s="93">
        <v>1</v>
      </c>
      <c r="CD9" s="93">
        <v>1</v>
      </c>
      <c r="CE9" s="93">
        <v>1</v>
      </c>
      <c r="CF9" s="93">
        <v>1</v>
      </c>
      <c r="CG9" s="93">
        <v>1</v>
      </c>
      <c r="CH9" s="93">
        <v>1</v>
      </c>
      <c r="CI9" s="93">
        <v>1</v>
      </c>
      <c r="CJ9" s="93">
        <v>1</v>
      </c>
      <c r="CK9" s="93">
        <v>1</v>
      </c>
      <c r="CL9" s="93">
        <v>1</v>
      </c>
      <c r="CM9" s="93">
        <v>1</v>
      </c>
      <c r="CN9" s="93">
        <v>1</v>
      </c>
      <c r="CO9" s="93">
        <v>1</v>
      </c>
      <c r="CP9" s="93">
        <v>1</v>
      </c>
      <c r="CQ9" s="93">
        <v>1</v>
      </c>
      <c r="CR9" s="93">
        <v>1</v>
      </c>
      <c r="CS9" s="93">
        <v>1</v>
      </c>
      <c r="CT9" s="93">
        <v>1</v>
      </c>
      <c r="CU9" s="93">
        <v>1</v>
      </c>
      <c r="CV9" s="93">
        <v>1</v>
      </c>
      <c r="CW9" s="93">
        <v>1</v>
      </c>
      <c r="CX9" s="93">
        <v>1</v>
      </c>
      <c r="CY9" s="93">
        <v>1</v>
      </c>
      <c r="CZ9" s="93">
        <v>1</v>
      </c>
      <c r="DA9" s="93">
        <v>1</v>
      </c>
      <c r="DB9" s="93">
        <v>1</v>
      </c>
      <c r="DC9" s="93">
        <v>1</v>
      </c>
      <c r="DD9" s="93">
        <v>1</v>
      </c>
      <c r="DE9" s="93">
        <v>1</v>
      </c>
    </row>
    <row r="10" spans="1:109">
      <c r="A10" s="95" t="s">
        <v>270</v>
      </c>
      <c r="B10" s="93">
        <v>4</v>
      </c>
      <c r="C10" s="93">
        <v>4</v>
      </c>
      <c r="D10" s="93">
        <v>4</v>
      </c>
      <c r="E10" s="93">
        <v>4</v>
      </c>
      <c r="F10" s="93">
        <v>4</v>
      </c>
      <c r="G10" s="93">
        <v>4</v>
      </c>
      <c r="H10" s="93">
        <v>4</v>
      </c>
      <c r="I10" s="93">
        <v>4</v>
      </c>
      <c r="J10" s="93">
        <v>4</v>
      </c>
      <c r="K10" s="93">
        <v>4</v>
      </c>
      <c r="L10" s="93">
        <v>4</v>
      </c>
      <c r="M10" s="93">
        <v>4</v>
      </c>
      <c r="N10" s="93">
        <v>4</v>
      </c>
      <c r="O10" s="93">
        <v>4</v>
      </c>
      <c r="P10" s="93">
        <v>4</v>
      </c>
      <c r="Q10" s="93">
        <v>4</v>
      </c>
      <c r="R10" s="93">
        <v>4</v>
      </c>
      <c r="S10" s="93">
        <v>4</v>
      </c>
      <c r="T10" s="93">
        <v>4</v>
      </c>
      <c r="U10" s="93">
        <v>4</v>
      </c>
      <c r="V10" s="93">
        <v>4</v>
      </c>
      <c r="W10" s="93">
        <v>4</v>
      </c>
      <c r="X10" s="93">
        <v>4</v>
      </c>
      <c r="Y10" s="93">
        <v>4</v>
      </c>
      <c r="Z10" s="93">
        <v>4</v>
      </c>
      <c r="AA10" s="93">
        <v>4</v>
      </c>
      <c r="AB10" s="93">
        <v>4</v>
      </c>
      <c r="AC10" s="93">
        <v>4</v>
      </c>
      <c r="AD10" s="93">
        <v>4</v>
      </c>
      <c r="AE10" s="93">
        <v>4</v>
      </c>
      <c r="AF10" s="93">
        <v>4</v>
      </c>
      <c r="AG10" s="93">
        <v>4</v>
      </c>
      <c r="AH10" s="93">
        <v>4</v>
      </c>
      <c r="AI10" s="93">
        <v>4</v>
      </c>
      <c r="AJ10" s="93">
        <v>4</v>
      </c>
      <c r="AK10" s="93">
        <v>4</v>
      </c>
      <c r="AL10" s="93">
        <v>4</v>
      </c>
      <c r="AM10" s="93">
        <v>4</v>
      </c>
      <c r="AN10" s="93">
        <v>4</v>
      </c>
      <c r="AO10" s="93">
        <v>4</v>
      </c>
      <c r="AP10" s="93">
        <v>4</v>
      </c>
      <c r="AQ10" s="93">
        <v>4</v>
      </c>
      <c r="AR10" s="93">
        <v>4</v>
      </c>
      <c r="AS10" s="93">
        <v>4</v>
      </c>
      <c r="AT10" s="93">
        <v>4</v>
      </c>
      <c r="AU10" s="93">
        <v>4</v>
      </c>
      <c r="AV10" s="93">
        <v>4</v>
      </c>
      <c r="AW10" s="93">
        <v>4</v>
      </c>
      <c r="AX10" s="93">
        <v>4</v>
      </c>
      <c r="AY10" s="93">
        <v>4</v>
      </c>
      <c r="AZ10" s="93">
        <v>4</v>
      </c>
      <c r="BA10" s="93">
        <v>4</v>
      </c>
      <c r="BB10" s="93">
        <v>4</v>
      </c>
      <c r="BC10" s="93">
        <v>4</v>
      </c>
      <c r="BD10" s="93">
        <v>4</v>
      </c>
      <c r="BE10" s="93">
        <v>4</v>
      </c>
      <c r="BF10" s="93">
        <v>4</v>
      </c>
      <c r="BG10" s="93">
        <v>4</v>
      </c>
      <c r="BH10" s="93">
        <v>4</v>
      </c>
      <c r="BI10" s="93">
        <v>4</v>
      </c>
      <c r="BJ10" s="93">
        <v>4</v>
      </c>
      <c r="BK10" s="93">
        <v>4</v>
      </c>
      <c r="BL10" s="93">
        <v>4</v>
      </c>
      <c r="BM10" s="93">
        <v>4</v>
      </c>
      <c r="BN10" s="93">
        <v>4</v>
      </c>
      <c r="BO10" s="93">
        <v>4</v>
      </c>
      <c r="BP10" s="93">
        <v>4</v>
      </c>
      <c r="BQ10" s="93">
        <v>4</v>
      </c>
      <c r="BR10" s="93">
        <v>4</v>
      </c>
      <c r="BS10" s="93">
        <v>4</v>
      </c>
      <c r="BT10" s="93">
        <v>4</v>
      </c>
      <c r="BU10" s="93">
        <v>4</v>
      </c>
      <c r="BV10" s="93">
        <v>4</v>
      </c>
      <c r="BW10" s="93">
        <v>4</v>
      </c>
      <c r="BX10" s="93">
        <v>4</v>
      </c>
      <c r="BY10" s="93">
        <v>4</v>
      </c>
      <c r="BZ10" s="93">
        <v>4</v>
      </c>
      <c r="CA10" s="93">
        <v>4</v>
      </c>
      <c r="CB10" s="93">
        <v>4</v>
      </c>
      <c r="CC10" s="93">
        <v>4</v>
      </c>
      <c r="CD10" s="93">
        <v>4</v>
      </c>
      <c r="CE10" s="93">
        <v>4</v>
      </c>
      <c r="CF10" s="93">
        <v>4</v>
      </c>
      <c r="CG10" s="93">
        <v>4</v>
      </c>
      <c r="CH10" s="93">
        <v>4</v>
      </c>
      <c r="CI10" s="93">
        <v>4</v>
      </c>
      <c r="CJ10" s="93">
        <v>4</v>
      </c>
      <c r="CK10" s="93">
        <v>4</v>
      </c>
      <c r="CL10" s="93">
        <v>4</v>
      </c>
      <c r="CM10" s="93">
        <v>4</v>
      </c>
      <c r="CN10" s="93">
        <v>4</v>
      </c>
      <c r="CO10" s="93">
        <v>4</v>
      </c>
      <c r="CP10" s="93">
        <v>4</v>
      </c>
      <c r="CQ10" s="93">
        <v>4</v>
      </c>
      <c r="CR10" s="93">
        <v>4</v>
      </c>
      <c r="CS10" s="93">
        <v>4</v>
      </c>
      <c r="CT10" s="93">
        <v>4</v>
      </c>
      <c r="CU10" s="93">
        <v>4</v>
      </c>
      <c r="CV10" s="93">
        <v>4</v>
      </c>
      <c r="CW10" s="93">
        <v>4</v>
      </c>
      <c r="CX10" s="93">
        <v>4</v>
      </c>
      <c r="CY10" s="93">
        <v>4</v>
      </c>
      <c r="CZ10" s="93">
        <v>4</v>
      </c>
      <c r="DA10" s="93">
        <v>4</v>
      </c>
      <c r="DB10" s="93">
        <v>4</v>
      </c>
      <c r="DC10" s="93">
        <v>4</v>
      </c>
      <c r="DD10" s="93">
        <v>4</v>
      </c>
      <c r="DE10" s="93">
        <v>4</v>
      </c>
    </row>
    <row r="11" spans="1:109">
      <c r="A11" s="94" t="s">
        <v>271</v>
      </c>
      <c r="B11" s="93">
        <v>51</v>
      </c>
      <c r="C11" s="93">
        <v>51</v>
      </c>
      <c r="D11" s="93">
        <v>51</v>
      </c>
      <c r="E11" s="93">
        <v>51</v>
      </c>
      <c r="F11" s="93">
        <v>51</v>
      </c>
      <c r="G11" s="93">
        <v>51</v>
      </c>
      <c r="H11" s="93">
        <v>51</v>
      </c>
      <c r="I11" s="93">
        <v>51</v>
      </c>
      <c r="J11" s="93">
        <v>51</v>
      </c>
      <c r="K11" s="93">
        <v>51</v>
      </c>
      <c r="L11" s="93">
        <v>51</v>
      </c>
      <c r="M11" s="93">
        <v>51</v>
      </c>
      <c r="N11" s="93">
        <v>51</v>
      </c>
      <c r="O11" s="93">
        <v>51</v>
      </c>
      <c r="P11" s="93">
        <v>51</v>
      </c>
      <c r="Q11" s="93">
        <v>51</v>
      </c>
      <c r="R11" s="93">
        <v>51</v>
      </c>
      <c r="S11" s="93">
        <v>51</v>
      </c>
      <c r="T11" s="93">
        <v>51</v>
      </c>
      <c r="U11" s="93">
        <v>51</v>
      </c>
      <c r="V11" s="93">
        <v>51</v>
      </c>
      <c r="W11" s="93">
        <v>51</v>
      </c>
      <c r="X11" s="93">
        <v>51</v>
      </c>
      <c r="Y11" s="93">
        <v>51</v>
      </c>
      <c r="Z11" s="93">
        <v>51</v>
      </c>
      <c r="AA11" s="93">
        <v>51</v>
      </c>
      <c r="AB11" s="93">
        <v>51</v>
      </c>
      <c r="AC11" s="93">
        <v>51</v>
      </c>
      <c r="AD11" s="93">
        <v>51</v>
      </c>
      <c r="AE11" s="93">
        <v>51</v>
      </c>
      <c r="AF11" s="93">
        <v>51</v>
      </c>
      <c r="AG11" s="93">
        <v>51</v>
      </c>
      <c r="AH11" s="93">
        <v>51</v>
      </c>
      <c r="AI11" s="93">
        <v>51</v>
      </c>
      <c r="AJ11" s="93">
        <v>51</v>
      </c>
      <c r="AK11" s="93">
        <v>51</v>
      </c>
      <c r="AL11" s="93">
        <v>51</v>
      </c>
      <c r="AM11" s="93">
        <v>51</v>
      </c>
      <c r="AN11" s="93">
        <v>51</v>
      </c>
      <c r="AO11" s="93">
        <v>51</v>
      </c>
      <c r="AP11" s="93">
        <v>51</v>
      </c>
      <c r="AQ11" s="93">
        <v>51</v>
      </c>
      <c r="AR11" s="93">
        <v>51</v>
      </c>
      <c r="AS11" s="93">
        <v>51</v>
      </c>
      <c r="AT11" s="93">
        <v>51</v>
      </c>
      <c r="AU11" s="93">
        <v>51</v>
      </c>
      <c r="AV11" s="93">
        <v>51</v>
      </c>
      <c r="AW11" s="93">
        <v>51</v>
      </c>
      <c r="AX11" s="93">
        <v>51</v>
      </c>
      <c r="AY11" s="93">
        <v>51</v>
      </c>
      <c r="AZ11" s="93">
        <v>51</v>
      </c>
      <c r="BA11" s="93">
        <v>51</v>
      </c>
      <c r="BB11" s="93">
        <v>51</v>
      </c>
      <c r="BC11" s="93">
        <v>51</v>
      </c>
      <c r="BD11" s="93">
        <v>51</v>
      </c>
      <c r="BE11" s="93">
        <v>51</v>
      </c>
      <c r="BF11" s="93">
        <v>51</v>
      </c>
      <c r="BG11" s="93">
        <v>51</v>
      </c>
      <c r="BH11" s="93">
        <v>51</v>
      </c>
      <c r="BI11" s="93">
        <v>51</v>
      </c>
      <c r="BJ11" s="93">
        <v>51</v>
      </c>
      <c r="BK11" s="93">
        <v>51</v>
      </c>
      <c r="BL11" s="93">
        <v>51</v>
      </c>
      <c r="BM11" s="93">
        <v>51</v>
      </c>
      <c r="BN11" s="93">
        <v>51</v>
      </c>
      <c r="BO11" s="93">
        <v>51</v>
      </c>
      <c r="BP11" s="93">
        <v>51</v>
      </c>
      <c r="BQ11" s="93">
        <v>51</v>
      </c>
      <c r="BR11" s="93">
        <v>51</v>
      </c>
      <c r="BS11" s="93">
        <v>51</v>
      </c>
      <c r="BT11" s="93">
        <v>51</v>
      </c>
      <c r="BU11" s="93">
        <v>51</v>
      </c>
      <c r="BV11" s="93">
        <v>51</v>
      </c>
      <c r="BW11" s="93">
        <v>51</v>
      </c>
      <c r="BX11" s="93">
        <v>51</v>
      </c>
      <c r="BY11" s="93">
        <v>51</v>
      </c>
      <c r="BZ11" s="93">
        <v>51</v>
      </c>
      <c r="CA11" s="93">
        <v>51</v>
      </c>
      <c r="CB11" s="93">
        <v>51</v>
      </c>
      <c r="CC11" s="93">
        <v>51</v>
      </c>
      <c r="CD11" s="93">
        <v>51</v>
      </c>
      <c r="CE11" s="93">
        <v>51</v>
      </c>
      <c r="CF11" s="93">
        <v>51</v>
      </c>
      <c r="CG11" s="93">
        <v>51</v>
      </c>
      <c r="CH11" s="93">
        <v>51</v>
      </c>
      <c r="CI11" s="93">
        <v>51</v>
      </c>
      <c r="CJ11" s="93">
        <v>51</v>
      </c>
      <c r="CK11" s="93">
        <v>51</v>
      </c>
      <c r="CL11" s="93">
        <v>51</v>
      </c>
      <c r="CM11" s="93">
        <v>51</v>
      </c>
      <c r="CN11" s="93">
        <v>51</v>
      </c>
      <c r="CO11" s="93">
        <v>51</v>
      </c>
      <c r="CP11" s="93">
        <v>51</v>
      </c>
      <c r="CQ11" s="93">
        <v>51</v>
      </c>
      <c r="CR11" s="93">
        <v>51</v>
      </c>
      <c r="CS11" s="93">
        <v>51</v>
      </c>
      <c r="CT11" s="93">
        <v>51</v>
      </c>
      <c r="CU11" s="93">
        <v>51</v>
      </c>
      <c r="CV11" s="93">
        <v>51</v>
      </c>
      <c r="CW11" s="93">
        <v>51</v>
      </c>
      <c r="CX11" s="93">
        <v>51</v>
      </c>
      <c r="CY11" s="93">
        <v>51</v>
      </c>
      <c r="CZ11" s="93">
        <v>51</v>
      </c>
      <c r="DA11" s="93">
        <v>51</v>
      </c>
      <c r="DB11" s="93">
        <v>51</v>
      </c>
      <c r="DC11" s="93">
        <v>51</v>
      </c>
      <c r="DD11" s="93">
        <v>51</v>
      </c>
      <c r="DE11" s="93">
        <v>51</v>
      </c>
    </row>
    <row r="12" spans="1:109" ht="12.75" thickBot="1">
      <c r="A12" s="90" t="s">
        <v>54</v>
      </c>
      <c r="B12" s="96">
        <f>SUM(B2:B11)</f>
        <v>158</v>
      </c>
      <c r="C12" s="96">
        <f t="shared" ref="C12:BN12" si="0">SUM(C2:C11)</f>
        <v>158</v>
      </c>
      <c r="D12" s="96">
        <f t="shared" si="0"/>
        <v>158</v>
      </c>
      <c r="E12" s="96">
        <f t="shared" si="0"/>
        <v>158</v>
      </c>
      <c r="F12" s="96">
        <f t="shared" si="0"/>
        <v>158</v>
      </c>
      <c r="G12" s="96">
        <f t="shared" si="0"/>
        <v>158</v>
      </c>
      <c r="H12" s="96">
        <f t="shared" si="0"/>
        <v>158</v>
      </c>
      <c r="I12" s="96">
        <f t="shared" si="0"/>
        <v>158</v>
      </c>
      <c r="J12" s="96">
        <f t="shared" si="0"/>
        <v>158</v>
      </c>
      <c r="K12" s="96">
        <f t="shared" si="0"/>
        <v>158</v>
      </c>
      <c r="L12" s="96">
        <f t="shared" si="0"/>
        <v>158</v>
      </c>
      <c r="M12" s="96">
        <f t="shared" si="0"/>
        <v>158</v>
      </c>
      <c r="N12" s="96">
        <f t="shared" si="0"/>
        <v>158</v>
      </c>
      <c r="O12" s="96">
        <f t="shared" si="0"/>
        <v>158</v>
      </c>
      <c r="P12" s="96">
        <f t="shared" si="0"/>
        <v>158</v>
      </c>
      <c r="Q12" s="96">
        <f t="shared" si="0"/>
        <v>158</v>
      </c>
      <c r="R12" s="96">
        <f t="shared" si="0"/>
        <v>158</v>
      </c>
      <c r="S12" s="96">
        <f t="shared" si="0"/>
        <v>158</v>
      </c>
      <c r="T12" s="96">
        <f t="shared" si="0"/>
        <v>158</v>
      </c>
      <c r="U12" s="96">
        <f t="shared" si="0"/>
        <v>158</v>
      </c>
      <c r="V12" s="96">
        <f t="shared" si="0"/>
        <v>158</v>
      </c>
      <c r="W12" s="96">
        <f t="shared" si="0"/>
        <v>158</v>
      </c>
      <c r="X12" s="96">
        <f t="shared" si="0"/>
        <v>158</v>
      </c>
      <c r="Y12" s="96">
        <f t="shared" si="0"/>
        <v>158</v>
      </c>
      <c r="Z12" s="96">
        <f t="shared" si="0"/>
        <v>158</v>
      </c>
      <c r="AA12" s="96">
        <f t="shared" si="0"/>
        <v>158</v>
      </c>
      <c r="AB12" s="96">
        <f t="shared" si="0"/>
        <v>158</v>
      </c>
      <c r="AC12" s="96">
        <f t="shared" si="0"/>
        <v>158</v>
      </c>
      <c r="AD12" s="96">
        <f t="shared" si="0"/>
        <v>158</v>
      </c>
      <c r="AE12" s="96">
        <f t="shared" si="0"/>
        <v>158</v>
      </c>
      <c r="AF12" s="96">
        <f t="shared" si="0"/>
        <v>158</v>
      </c>
      <c r="AG12" s="96">
        <f t="shared" si="0"/>
        <v>158</v>
      </c>
      <c r="AH12" s="96">
        <f t="shared" si="0"/>
        <v>158</v>
      </c>
      <c r="AI12" s="96">
        <f t="shared" si="0"/>
        <v>158</v>
      </c>
      <c r="AJ12" s="96">
        <f t="shared" si="0"/>
        <v>158</v>
      </c>
      <c r="AK12" s="96">
        <f t="shared" si="0"/>
        <v>158</v>
      </c>
      <c r="AL12" s="96">
        <f t="shared" si="0"/>
        <v>158</v>
      </c>
      <c r="AM12" s="96">
        <f t="shared" si="0"/>
        <v>158</v>
      </c>
      <c r="AN12" s="96">
        <f t="shared" si="0"/>
        <v>158</v>
      </c>
      <c r="AO12" s="96">
        <f t="shared" si="0"/>
        <v>158</v>
      </c>
      <c r="AP12" s="96">
        <f t="shared" si="0"/>
        <v>158</v>
      </c>
      <c r="AQ12" s="96">
        <f t="shared" si="0"/>
        <v>158</v>
      </c>
      <c r="AR12" s="96">
        <f t="shared" si="0"/>
        <v>158</v>
      </c>
      <c r="AS12" s="96">
        <f t="shared" si="0"/>
        <v>158</v>
      </c>
      <c r="AT12" s="96">
        <f t="shared" si="0"/>
        <v>158</v>
      </c>
      <c r="AU12" s="96">
        <f t="shared" si="0"/>
        <v>158</v>
      </c>
      <c r="AV12" s="96">
        <f t="shared" si="0"/>
        <v>158</v>
      </c>
      <c r="AW12" s="96">
        <f t="shared" si="0"/>
        <v>158</v>
      </c>
      <c r="AX12" s="96">
        <f t="shared" si="0"/>
        <v>158</v>
      </c>
      <c r="AY12" s="96">
        <f t="shared" si="0"/>
        <v>158</v>
      </c>
      <c r="AZ12" s="96">
        <f t="shared" si="0"/>
        <v>158</v>
      </c>
      <c r="BA12" s="96">
        <f t="shared" si="0"/>
        <v>158</v>
      </c>
      <c r="BB12" s="96">
        <f t="shared" si="0"/>
        <v>158</v>
      </c>
      <c r="BC12" s="96">
        <f t="shared" si="0"/>
        <v>158</v>
      </c>
      <c r="BD12" s="96">
        <f t="shared" si="0"/>
        <v>158</v>
      </c>
      <c r="BE12" s="96">
        <f t="shared" si="0"/>
        <v>158</v>
      </c>
      <c r="BF12" s="96">
        <f t="shared" si="0"/>
        <v>158</v>
      </c>
      <c r="BG12" s="96">
        <f t="shared" si="0"/>
        <v>158</v>
      </c>
      <c r="BH12" s="96">
        <f t="shared" si="0"/>
        <v>158</v>
      </c>
      <c r="BI12" s="96">
        <f t="shared" si="0"/>
        <v>158</v>
      </c>
      <c r="BJ12" s="96">
        <f t="shared" si="0"/>
        <v>158</v>
      </c>
      <c r="BK12" s="96">
        <f t="shared" si="0"/>
        <v>158</v>
      </c>
      <c r="BL12" s="96">
        <f t="shared" si="0"/>
        <v>158</v>
      </c>
      <c r="BM12" s="96">
        <f t="shared" si="0"/>
        <v>158</v>
      </c>
      <c r="BN12" s="96">
        <f t="shared" si="0"/>
        <v>158</v>
      </c>
      <c r="BO12" s="96">
        <f t="shared" ref="BO12:DE12" si="1">SUM(BO2:BO11)</f>
        <v>158</v>
      </c>
      <c r="BP12" s="96">
        <f t="shared" si="1"/>
        <v>158</v>
      </c>
      <c r="BQ12" s="96">
        <f t="shared" si="1"/>
        <v>158</v>
      </c>
      <c r="BR12" s="96">
        <f t="shared" si="1"/>
        <v>158</v>
      </c>
      <c r="BS12" s="96">
        <f t="shared" si="1"/>
        <v>158</v>
      </c>
      <c r="BT12" s="96">
        <f t="shared" si="1"/>
        <v>158</v>
      </c>
      <c r="BU12" s="96">
        <f t="shared" si="1"/>
        <v>158</v>
      </c>
      <c r="BV12" s="96">
        <f t="shared" si="1"/>
        <v>158</v>
      </c>
      <c r="BW12" s="96">
        <f t="shared" si="1"/>
        <v>158</v>
      </c>
      <c r="BX12" s="96">
        <f t="shared" si="1"/>
        <v>158</v>
      </c>
      <c r="BY12" s="96">
        <f t="shared" si="1"/>
        <v>158</v>
      </c>
      <c r="BZ12" s="96">
        <f t="shared" si="1"/>
        <v>158</v>
      </c>
      <c r="CA12" s="96">
        <f t="shared" si="1"/>
        <v>158</v>
      </c>
      <c r="CB12" s="96">
        <f t="shared" si="1"/>
        <v>158</v>
      </c>
      <c r="CC12" s="96">
        <f t="shared" si="1"/>
        <v>158</v>
      </c>
      <c r="CD12" s="96">
        <f t="shared" si="1"/>
        <v>158</v>
      </c>
      <c r="CE12" s="96">
        <f t="shared" si="1"/>
        <v>158</v>
      </c>
      <c r="CF12" s="96">
        <f t="shared" si="1"/>
        <v>158</v>
      </c>
      <c r="CG12" s="96">
        <f t="shared" si="1"/>
        <v>158</v>
      </c>
      <c r="CH12" s="96">
        <f t="shared" si="1"/>
        <v>158</v>
      </c>
      <c r="CI12" s="96">
        <f t="shared" si="1"/>
        <v>158</v>
      </c>
      <c r="CJ12" s="96">
        <f t="shared" si="1"/>
        <v>158</v>
      </c>
      <c r="CK12" s="96">
        <f t="shared" si="1"/>
        <v>158</v>
      </c>
      <c r="CL12" s="96">
        <f t="shared" si="1"/>
        <v>158</v>
      </c>
      <c r="CM12" s="96">
        <f t="shared" si="1"/>
        <v>158</v>
      </c>
      <c r="CN12" s="96">
        <f t="shared" si="1"/>
        <v>158</v>
      </c>
      <c r="CO12" s="96">
        <f t="shared" si="1"/>
        <v>158</v>
      </c>
      <c r="CP12" s="96">
        <f t="shared" si="1"/>
        <v>158</v>
      </c>
      <c r="CQ12" s="96">
        <f t="shared" si="1"/>
        <v>158</v>
      </c>
      <c r="CR12" s="96">
        <f t="shared" si="1"/>
        <v>158</v>
      </c>
      <c r="CS12" s="96">
        <f t="shared" si="1"/>
        <v>158</v>
      </c>
      <c r="CT12" s="96">
        <f t="shared" si="1"/>
        <v>158</v>
      </c>
      <c r="CU12" s="96">
        <f t="shared" si="1"/>
        <v>158</v>
      </c>
      <c r="CV12" s="96">
        <f t="shared" si="1"/>
        <v>158</v>
      </c>
      <c r="CW12" s="96">
        <f t="shared" si="1"/>
        <v>158</v>
      </c>
      <c r="CX12" s="96">
        <f t="shared" si="1"/>
        <v>158</v>
      </c>
      <c r="CY12" s="96">
        <f t="shared" si="1"/>
        <v>158</v>
      </c>
      <c r="CZ12" s="96">
        <f t="shared" si="1"/>
        <v>158</v>
      </c>
      <c r="DA12" s="96">
        <f t="shared" si="1"/>
        <v>158</v>
      </c>
      <c r="DB12" s="96">
        <f t="shared" si="1"/>
        <v>158</v>
      </c>
      <c r="DC12" s="96">
        <f t="shared" si="1"/>
        <v>158</v>
      </c>
      <c r="DD12" s="96">
        <f t="shared" si="1"/>
        <v>158</v>
      </c>
      <c r="DE12" s="96">
        <f t="shared" si="1"/>
        <v>158</v>
      </c>
    </row>
    <row r="13" spans="1:109" ht="12.75" thickTop="1">
      <c r="A13" s="97"/>
    </row>
    <row r="14" spans="1:109">
      <c r="A14" s="90" t="s">
        <v>272</v>
      </c>
      <c r="B14" s="91">
        <f>B1</f>
        <v>43951</v>
      </c>
      <c r="C14" s="91">
        <f t="shared" ref="C14:BN14" si="2">C1</f>
        <v>43982</v>
      </c>
      <c r="D14" s="91">
        <f t="shared" si="2"/>
        <v>44012</v>
      </c>
      <c r="E14" s="91">
        <f t="shared" si="2"/>
        <v>44043</v>
      </c>
      <c r="F14" s="91">
        <f t="shared" si="2"/>
        <v>44074</v>
      </c>
      <c r="G14" s="91">
        <f t="shared" si="2"/>
        <v>44104</v>
      </c>
      <c r="H14" s="91">
        <f t="shared" si="2"/>
        <v>44135</v>
      </c>
      <c r="I14" s="91">
        <f t="shared" si="2"/>
        <v>44165</v>
      </c>
      <c r="J14" s="91">
        <f t="shared" si="2"/>
        <v>44196</v>
      </c>
      <c r="K14" s="91">
        <f t="shared" si="2"/>
        <v>44227</v>
      </c>
      <c r="L14" s="91">
        <f t="shared" si="2"/>
        <v>44255</v>
      </c>
      <c r="M14" s="91">
        <f t="shared" si="2"/>
        <v>44286</v>
      </c>
      <c r="N14" s="91">
        <f t="shared" si="2"/>
        <v>44316</v>
      </c>
      <c r="O14" s="91">
        <f t="shared" si="2"/>
        <v>44347</v>
      </c>
      <c r="P14" s="91">
        <f t="shared" si="2"/>
        <v>44377</v>
      </c>
      <c r="Q14" s="91">
        <f t="shared" si="2"/>
        <v>44408</v>
      </c>
      <c r="R14" s="91">
        <f t="shared" si="2"/>
        <v>44439</v>
      </c>
      <c r="S14" s="91">
        <f t="shared" si="2"/>
        <v>44469</v>
      </c>
      <c r="T14" s="91">
        <f t="shared" si="2"/>
        <v>44500</v>
      </c>
      <c r="U14" s="91">
        <f t="shared" si="2"/>
        <v>44530</v>
      </c>
      <c r="V14" s="91">
        <f t="shared" si="2"/>
        <v>44561</v>
      </c>
      <c r="W14" s="91">
        <f t="shared" si="2"/>
        <v>44592</v>
      </c>
      <c r="X14" s="91">
        <f t="shared" si="2"/>
        <v>44620</v>
      </c>
      <c r="Y14" s="91">
        <f t="shared" si="2"/>
        <v>44651</v>
      </c>
      <c r="Z14" s="91">
        <f t="shared" si="2"/>
        <v>44681</v>
      </c>
      <c r="AA14" s="91">
        <f t="shared" si="2"/>
        <v>44712</v>
      </c>
      <c r="AB14" s="91">
        <f t="shared" si="2"/>
        <v>44742</v>
      </c>
      <c r="AC14" s="91">
        <f t="shared" si="2"/>
        <v>44773</v>
      </c>
      <c r="AD14" s="91">
        <f t="shared" si="2"/>
        <v>44804</v>
      </c>
      <c r="AE14" s="91">
        <f t="shared" si="2"/>
        <v>44834</v>
      </c>
      <c r="AF14" s="91">
        <f t="shared" si="2"/>
        <v>44865</v>
      </c>
      <c r="AG14" s="91">
        <f t="shared" si="2"/>
        <v>44895</v>
      </c>
      <c r="AH14" s="91">
        <f t="shared" si="2"/>
        <v>44926</v>
      </c>
      <c r="AI14" s="91">
        <f t="shared" si="2"/>
        <v>44957</v>
      </c>
      <c r="AJ14" s="91">
        <f t="shared" si="2"/>
        <v>44985</v>
      </c>
      <c r="AK14" s="91">
        <f t="shared" si="2"/>
        <v>45016</v>
      </c>
      <c r="AL14" s="91">
        <f t="shared" si="2"/>
        <v>45046</v>
      </c>
      <c r="AM14" s="91">
        <f t="shared" si="2"/>
        <v>45077</v>
      </c>
      <c r="AN14" s="91">
        <f t="shared" si="2"/>
        <v>45107</v>
      </c>
      <c r="AO14" s="91">
        <f t="shared" si="2"/>
        <v>45138</v>
      </c>
      <c r="AP14" s="91">
        <f t="shared" si="2"/>
        <v>45169</v>
      </c>
      <c r="AQ14" s="91">
        <f t="shared" si="2"/>
        <v>45199</v>
      </c>
      <c r="AR14" s="91">
        <f t="shared" si="2"/>
        <v>45230</v>
      </c>
      <c r="AS14" s="91">
        <f t="shared" si="2"/>
        <v>45260</v>
      </c>
      <c r="AT14" s="91">
        <f t="shared" si="2"/>
        <v>45291</v>
      </c>
      <c r="AU14" s="91">
        <f t="shared" si="2"/>
        <v>45322</v>
      </c>
      <c r="AV14" s="91">
        <f t="shared" si="2"/>
        <v>45351</v>
      </c>
      <c r="AW14" s="91">
        <f t="shared" si="2"/>
        <v>45382</v>
      </c>
      <c r="AX14" s="91">
        <f t="shared" si="2"/>
        <v>45412</v>
      </c>
      <c r="AY14" s="91">
        <f t="shared" si="2"/>
        <v>45443</v>
      </c>
      <c r="AZ14" s="91">
        <f t="shared" si="2"/>
        <v>45473</v>
      </c>
      <c r="BA14" s="91">
        <f t="shared" si="2"/>
        <v>45504</v>
      </c>
      <c r="BB14" s="91">
        <f t="shared" si="2"/>
        <v>45535</v>
      </c>
      <c r="BC14" s="91">
        <f t="shared" si="2"/>
        <v>45565</v>
      </c>
      <c r="BD14" s="91">
        <f t="shared" si="2"/>
        <v>45596</v>
      </c>
      <c r="BE14" s="91">
        <f t="shared" si="2"/>
        <v>45626</v>
      </c>
      <c r="BF14" s="91">
        <f t="shared" si="2"/>
        <v>45657</v>
      </c>
      <c r="BG14" s="91">
        <f t="shared" si="2"/>
        <v>45688</v>
      </c>
      <c r="BH14" s="91">
        <f t="shared" si="2"/>
        <v>45716</v>
      </c>
      <c r="BI14" s="91">
        <f t="shared" si="2"/>
        <v>45747</v>
      </c>
      <c r="BJ14" s="91">
        <f t="shared" si="2"/>
        <v>45777</v>
      </c>
      <c r="BK14" s="91">
        <f t="shared" si="2"/>
        <v>45808</v>
      </c>
      <c r="BL14" s="91">
        <f t="shared" si="2"/>
        <v>45838</v>
      </c>
      <c r="BM14" s="91">
        <f t="shared" si="2"/>
        <v>45869</v>
      </c>
      <c r="BN14" s="91">
        <f t="shared" si="2"/>
        <v>45900</v>
      </c>
      <c r="BO14" s="91">
        <f t="shared" ref="BO14:DE14" si="3">BO1</f>
        <v>45930</v>
      </c>
      <c r="BP14" s="91">
        <f t="shared" si="3"/>
        <v>45961</v>
      </c>
      <c r="BQ14" s="91">
        <f t="shared" si="3"/>
        <v>45991</v>
      </c>
      <c r="BR14" s="91">
        <f t="shared" si="3"/>
        <v>46022</v>
      </c>
      <c r="BS14" s="91">
        <f t="shared" si="3"/>
        <v>46053</v>
      </c>
      <c r="BT14" s="91">
        <f t="shared" si="3"/>
        <v>46081</v>
      </c>
      <c r="BU14" s="91">
        <f t="shared" si="3"/>
        <v>46112</v>
      </c>
      <c r="BV14" s="91">
        <f t="shared" si="3"/>
        <v>46142</v>
      </c>
      <c r="BW14" s="91">
        <f t="shared" si="3"/>
        <v>46173</v>
      </c>
      <c r="BX14" s="91">
        <f t="shared" si="3"/>
        <v>46203</v>
      </c>
      <c r="BY14" s="91">
        <f t="shared" si="3"/>
        <v>46234</v>
      </c>
      <c r="BZ14" s="91">
        <f t="shared" si="3"/>
        <v>46265</v>
      </c>
      <c r="CA14" s="91">
        <f t="shared" si="3"/>
        <v>46295</v>
      </c>
      <c r="CB14" s="91">
        <f t="shared" si="3"/>
        <v>46326</v>
      </c>
      <c r="CC14" s="91">
        <f t="shared" si="3"/>
        <v>46356</v>
      </c>
      <c r="CD14" s="91">
        <f t="shared" si="3"/>
        <v>46387</v>
      </c>
      <c r="CE14" s="91">
        <f t="shared" si="3"/>
        <v>46418</v>
      </c>
      <c r="CF14" s="91">
        <f t="shared" si="3"/>
        <v>46446</v>
      </c>
      <c r="CG14" s="91">
        <f t="shared" si="3"/>
        <v>46477</v>
      </c>
      <c r="CH14" s="91">
        <f t="shared" si="3"/>
        <v>46507</v>
      </c>
      <c r="CI14" s="91">
        <f t="shared" si="3"/>
        <v>46538</v>
      </c>
      <c r="CJ14" s="91">
        <f t="shared" si="3"/>
        <v>46568</v>
      </c>
      <c r="CK14" s="91">
        <f t="shared" si="3"/>
        <v>46599</v>
      </c>
      <c r="CL14" s="91">
        <f t="shared" si="3"/>
        <v>46630</v>
      </c>
      <c r="CM14" s="91">
        <f t="shared" si="3"/>
        <v>46660</v>
      </c>
      <c r="CN14" s="91">
        <f t="shared" si="3"/>
        <v>46691</v>
      </c>
      <c r="CO14" s="91">
        <f t="shared" si="3"/>
        <v>46721</v>
      </c>
      <c r="CP14" s="91">
        <f t="shared" si="3"/>
        <v>46752</v>
      </c>
      <c r="CQ14" s="91">
        <f t="shared" si="3"/>
        <v>46783</v>
      </c>
      <c r="CR14" s="91">
        <f t="shared" si="3"/>
        <v>46812</v>
      </c>
      <c r="CS14" s="91">
        <f t="shared" si="3"/>
        <v>46843</v>
      </c>
      <c r="CT14" s="91">
        <f t="shared" si="3"/>
        <v>46873</v>
      </c>
      <c r="CU14" s="91">
        <f t="shared" si="3"/>
        <v>46904</v>
      </c>
      <c r="CV14" s="91">
        <f t="shared" si="3"/>
        <v>46934</v>
      </c>
      <c r="CW14" s="91">
        <f t="shared" si="3"/>
        <v>46965</v>
      </c>
      <c r="CX14" s="91">
        <f t="shared" si="3"/>
        <v>46996</v>
      </c>
      <c r="CY14" s="91">
        <f t="shared" si="3"/>
        <v>47026</v>
      </c>
      <c r="CZ14" s="91">
        <f t="shared" si="3"/>
        <v>47056</v>
      </c>
      <c r="DA14" s="91">
        <f t="shared" si="3"/>
        <v>47087</v>
      </c>
      <c r="DB14" s="91">
        <f t="shared" si="3"/>
        <v>47117</v>
      </c>
      <c r="DC14" s="91">
        <f t="shared" si="3"/>
        <v>47148</v>
      </c>
      <c r="DD14" s="91">
        <f t="shared" si="3"/>
        <v>47177</v>
      </c>
      <c r="DE14" s="91">
        <f t="shared" si="3"/>
        <v>47207</v>
      </c>
    </row>
    <row r="15" spans="1:109">
      <c r="A15" s="92" t="s">
        <v>262</v>
      </c>
      <c r="B15" s="93">
        <v>75</v>
      </c>
      <c r="C15" s="93">
        <v>75</v>
      </c>
      <c r="D15" s="93">
        <v>75</v>
      </c>
      <c r="E15" s="93">
        <v>75</v>
      </c>
      <c r="F15" s="93">
        <v>75</v>
      </c>
      <c r="G15" s="93">
        <v>75</v>
      </c>
      <c r="H15" s="93">
        <v>75</v>
      </c>
      <c r="I15" s="93">
        <v>75</v>
      </c>
      <c r="J15" s="93">
        <v>75</v>
      </c>
      <c r="K15" s="93">
        <v>75</v>
      </c>
      <c r="L15" s="93">
        <v>75</v>
      </c>
      <c r="M15" s="93">
        <v>75</v>
      </c>
      <c r="N15" s="93">
        <v>75</v>
      </c>
      <c r="O15" s="93">
        <v>75</v>
      </c>
      <c r="P15" s="93">
        <v>75</v>
      </c>
      <c r="Q15" s="93">
        <v>75</v>
      </c>
      <c r="R15" s="93">
        <v>75</v>
      </c>
      <c r="S15" s="93">
        <v>75</v>
      </c>
      <c r="T15" s="93">
        <v>75</v>
      </c>
      <c r="U15" s="93">
        <v>75</v>
      </c>
      <c r="V15" s="93">
        <v>75</v>
      </c>
      <c r="W15" s="93">
        <v>75</v>
      </c>
      <c r="X15" s="93">
        <v>75</v>
      </c>
      <c r="Y15" s="93">
        <v>75</v>
      </c>
      <c r="Z15" s="93">
        <v>75</v>
      </c>
      <c r="AA15" s="93">
        <v>75</v>
      </c>
      <c r="AB15" s="93">
        <v>75</v>
      </c>
      <c r="AC15" s="93">
        <v>75</v>
      </c>
      <c r="AD15" s="93">
        <v>75</v>
      </c>
      <c r="AE15" s="93">
        <v>75</v>
      </c>
      <c r="AF15" s="93">
        <v>75</v>
      </c>
      <c r="AG15" s="93">
        <v>75</v>
      </c>
      <c r="AH15" s="93">
        <v>75</v>
      </c>
      <c r="AI15" s="93">
        <v>75</v>
      </c>
      <c r="AJ15" s="93">
        <v>75</v>
      </c>
      <c r="AK15" s="93">
        <v>75</v>
      </c>
      <c r="AL15" s="93">
        <v>75</v>
      </c>
      <c r="AM15" s="93">
        <v>75</v>
      </c>
      <c r="AN15" s="93">
        <v>75</v>
      </c>
      <c r="AO15" s="93">
        <v>75</v>
      </c>
      <c r="AP15" s="93">
        <v>75</v>
      </c>
      <c r="AQ15" s="93">
        <v>75</v>
      </c>
      <c r="AR15" s="93">
        <v>75</v>
      </c>
      <c r="AS15" s="93">
        <v>75</v>
      </c>
      <c r="AT15" s="93">
        <v>75</v>
      </c>
      <c r="AU15" s="93">
        <v>75</v>
      </c>
      <c r="AV15" s="93">
        <v>75</v>
      </c>
      <c r="AW15" s="93">
        <v>75</v>
      </c>
      <c r="AX15" s="93">
        <v>75</v>
      </c>
      <c r="AY15" s="93">
        <v>75</v>
      </c>
      <c r="AZ15" s="93">
        <v>75</v>
      </c>
      <c r="BA15" s="93">
        <v>75</v>
      </c>
      <c r="BB15" s="93">
        <v>75</v>
      </c>
      <c r="BC15" s="93">
        <v>75</v>
      </c>
      <c r="BD15" s="93">
        <v>75</v>
      </c>
      <c r="BE15" s="93">
        <v>75</v>
      </c>
      <c r="BF15" s="93">
        <v>75</v>
      </c>
      <c r="BG15" s="93">
        <v>75</v>
      </c>
      <c r="BH15" s="93">
        <v>75</v>
      </c>
      <c r="BI15" s="93">
        <v>75</v>
      </c>
      <c r="BJ15" s="93">
        <v>75</v>
      </c>
      <c r="BK15" s="93">
        <v>75</v>
      </c>
      <c r="BL15" s="93">
        <v>75</v>
      </c>
      <c r="BM15" s="93">
        <v>75</v>
      </c>
      <c r="BN15" s="93">
        <v>75</v>
      </c>
      <c r="BO15" s="93">
        <v>75</v>
      </c>
      <c r="BP15" s="93">
        <v>75</v>
      </c>
      <c r="BQ15" s="93">
        <v>75</v>
      </c>
      <c r="BR15" s="93">
        <v>75</v>
      </c>
      <c r="BS15" s="93">
        <v>75</v>
      </c>
      <c r="BT15" s="93">
        <v>75</v>
      </c>
      <c r="BU15" s="93">
        <v>75</v>
      </c>
      <c r="BV15" s="93">
        <v>75</v>
      </c>
      <c r="BW15" s="93">
        <v>75</v>
      </c>
      <c r="BX15" s="93">
        <v>75</v>
      </c>
      <c r="BY15" s="93">
        <v>75</v>
      </c>
      <c r="BZ15" s="93">
        <v>75</v>
      </c>
      <c r="CA15" s="93">
        <v>75</v>
      </c>
      <c r="CB15" s="93">
        <v>75</v>
      </c>
      <c r="CC15" s="93">
        <v>75</v>
      </c>
      <c r="CD15" s="93">
        <v>75</v>
      </c>
      <c r="CE15" s="93">
        <v>75</v>
      </c>
      <c r="CF15" s="93">
        <v>75</v>
      </c>
      <c r="CG15" s="93">
        <v>75</v>
      </c>
      <c r="CH15" s="93">
        <v>75</v>
      </c>
      <c r="CI15" s="93">
        <v>75</v>
      </c>
      <c r="CJ15" s="93">
        <v>75</v>
      </c>
      <c r="CK15" s="93">
        <v>75</v>
      </c>
      <c r="CL15" s="93">
        <v>75</v>
      </c>
      <c r="CM15" s="93">
        <v>75</v>
      </c>
      <c r="CN15" s="93">
        <v>75</v>
      </c>
      <c r="CO15" s="93">
        <v>75</v>
      </c>
      <c r="CP15" s="93">
        <v>75</v>
      </c>
      <c r="CQ15" s="93">
        <v>75</v>
      </c>
      <c r="CR15" s="93">
        <v>75</v>
      </c>
      <c r="CS15" s="93">
        <v>75</v>
      </c>
      <c r="CT15" s="93">
        <v>75</v>
      </c>
      <c r="CU15" s="93">
        <v>75</v>
      </c>
      <c r="CV15" s="93">
        <v>75</v>
      </c>
      <c r="CW15" s="93">
        <v>75</v>
      </c>
      <c r="CX15" s="93">
        <v>75</v>
      </c>
      <c r="CY15" s="93">
        <v>75</v>
      </c>
      <c r="CZ15" s="93">
        <v>75</v>
      </c>
      <c r="DA15" s="93">
        <v>75</v>
      </c>
      <c r="DB15" s="93">
        <v>75</v>
      </c>
      <c r="DC15" s="93">
        <v>75</v>
      </c>
      <c r="DD15" s="93">
        <v>75</v>
      </c>
      <c r="DE15" s="93">
        <v>75</v>
      </c>
    </row>
    <row r="16" spans="1:109">
      <c r="A16" s="94" t="s">
        <v>263</v>
      </c>
      <c r="B16" s="93">
        <v>10</v>
      </c>
      <c r="C16" s="93">
        <v>10</v>
      </c>
      <c r="D16" s="93">
        <v>10</v>
      </c>
      <c r="E16" s="93">
        <v>10</v>
      </c>
      <c r="F16" s="93">
        <v>10</v>
      </c>
      <c r="G16" s="93">
        <v>10</v>
      </c>
      <c r="H16" s="93">
        <v>10</v>
      </c>
      <c r="I16" s="93">
        <v>10</v>
      </c>
      <c r="J16" s="93">
        <v>10</v>
      </c>
      <c r="K16" s="93">
        <v>10</v>
      </c>
      <c r="L16" s="93">
        <v>10</v>
      </c>
      <c r="M16" s="93">
        <v>10</v>
      </c>
      <c r="N16" s="93">
        <v>10</v>
      </c>
      <c r="O16" s="93">
        <v>10</v>
      </c>
      <c r="P16" s="93">
        <v>10</v>
      </c>
      <c r="Q16" s="93">
        <v>10</v>
      </c>
      <c r="R16" s="93">
        <v>10</v>
      </c>
      <c r="S16" s="93">
        <v>10</v>
      </c>
      <c r="T16" s="93">
        <v>10</v>
      </c>
      <c r="U16" s="93">
        <v>10</v>
      </c>
      <c r="V16" s="93">
        <v>10</v>
      </c>
      <c r="W16" s="93">
        <v>10</v>
      </c>
      <c r="X16" s="93">
        <v>10</v>
      </c>
      <c r="Y16" s="93">
        <v>10</v>
      </c>
      <c r="Z16" s="93">
        <v>10</v>
      </c>
      <c r="AA16" s="93">
        <v>10</v>
      </c>
      <c r="AB16" s="93">
        <v>10</v>
      </c>
      <c r="AC16" s="93">
        <v>10</v>
      </c>
      <c r="AD16" s="93">
        <v>10</v>
      </c>
      <c r="AE16" s="93">
        <v>10</v>
      </c>
      <c r="AF16" s="93">
        <v>10</v>
      </c>
      <c r="AG16" s="93">
        <v>10</v>
      </c>
      <c r="AH16" s="93">
        <v>10</v>
      </c>
      <c r="AI16" s="93">
        <v>10</v>
      </c>
      <c r="AJ16" s="93">
        <v>10</v>
      </c>
      <c r="AK16" s="93">
        <v>10</v>
      </c>
      <c r="AL16" s="93">
        <v>10</v>
      </c>
      <c r="AM16" s="93">
        <v>10</v>
      </c>
      <c r="AN16" s="93">
        <v>10</v>
      </c>
      <c r="AO16" s="93">
        <v>10</v>
      </c>
      <c r="AP16" s="93">
        <v>10</v>
      </c>
      <c r="AQ16" s="93">
        <v>10</v>
      </c>
      <c r="AR16" s="93">
        <v>10</v>
      </c>
      <c r="AS16" s="93">
        <v>10</v>
      </c>
      <c r="AT16" s="93">
        <v>10</v>
      </c>
      <c r="AU16" s="93">
        <v>10</v>
      </c>
      <c r="AV16" s="93">
        <v>10</v>
      </c>
      <c r="AW16" s="93">
        <v>10</v>
      </c>
      <c r="AX16" s="93">
        <v>10</v>
      </c>
      <c r="AY16" s="93">
        <v>10</v>
      </c>
      <c r="AZ16" s="93">
        <v>10</v>
      </c>
      <c r="BA16" s="93">
        <v>10</v>
      </c>
      <c r="BB16" s="93">
        <v>10</v>
      </c>
      <c r="BC16" s="93">
        <v>10</v>
      </c>
      <c r="BD16" s="93">
        <v>10</v>
      </c>
      <c r="BE16" s="93">
        <v>10</v>
      </c>
      <c r="BF16" s="93">
        <v>10</v>
      </c>
      <c r="BG16" s="93">
        <v>10</v>
      </c>
      <c r="BH16" s="93">
        <v>10</v>
      </c>
      <c r="BI16" s="93">
        <v>10</v>
      </c>
      <c r="BJ16" s="93">
        <v>10</v>
      </c>
      <c r="BK16" s="93">
        <v>10</v>
      </c>
      <c r="BL16" s="93">
        <v>10</v>
      </c>
      <c r="BM16" s="93">
        <v>10</v>
      </c>
      <c r="BN16" s="93">
        <v>10</v>
      </c>
      <c r="BO16" s="93">
        <v>10</v>
      </c>
      <c r="BP16" s="93">
        <v>10</v>
      </c>
      <c r="BQ16" s="93">
        <v>10</v>
      </c>
      <c r="BR16" s="93">
        <v>10</v>
      </c>
      <c r="BS16" s="93">
        <v>10</v>
      </c>
      <c r="BT16" s="93">
        <v>10</v>
      </c>
      <c r="BU16" s="93">
        <v>10</v>
      </c>
      <c r="BV16" s="93">
        <v>10</v>
      </c>
      <c r="BW16" s="93">
        <v>10</v>
      </c>
      <c r="BX16" s="93">
        <v>10</v>
      </c>
      <c r="BY16" s="93">
        <v>10</v>
      </c>
      <c r="BZ16" s="93">
        <v>10</v>
      </c>
      <c r="CA16" s="93">
        <v>10</v>
      </c>
      <c r="CB16" s="93">
        <v>10</v>
      </c>
      <c r="CC16" s="93">
        <v>10</v>
      </c>
      <c r="CD16" s="93">
        <v>10</v>
      </c>
      <c r="CE16" s="93">
        <v>10</v>
      </c>
      <c r="CF16" s="93">
        <v>10</v>
      </c>
      <c r="CG16" s="93">
        <v>10</v>
      </c>
      <c r="CH16" s="93">
        <v>10</v>
      </c>
      <c r="CI16" s="93">
        <v>10</v>
      </c>
      <c r="CJ16" s="93">
        <v>10</v>
      </c>
      <c r="CK16" s="93">
        <v>10</v>
      </c>
      <c r="CL16" s="93">
        <v>10</v>
      </c>
      <c r="CM16" s="93">
        <v>10</v>
      </c>
      <c r="CN16" s="93">
        <v>10</v>
      </c>
      <c r="CO16" s="93">
        <v>10</v>
      </c>
      <c r="CP16" s="93">
        <v>10</v>
      </c>
      <c r="CQ16" s="93">
        <v>10</v>
      </c>
      <c r="CR16" s="93">
        <v>10</v>
      </c>
      <c r="CS16" s="93">
        <v>10</v>
      </c>
      <c r="CT16" s="93">
        <v>10</v>
      </c>
      <c r="CU16" s="93">
        <v>10</v>
      </c>
      <c r="CV16" s="93">
        <v>10</v>
      </c>
      <c r="CW16" s="93">
        <v>10</v>
      </c>
      <c r="CX16" s="93">
        <v>10</v>
      </c>
      <c r="CY16" s="93">
        <v>10</v>
      </c>
      <c r="CZ16" s="93">
        <v>10</v>
      </c>
      <c r="DA16" s="93">
        <v>10</v>
      </c>
      <c r="DB16" s="93">
        <v>10</v>
      </c>
      <c r="DC16" s="93">
        <v>10</v>
      </c>
      <c r="DD16" s="93">
        <v>10</v>
      </c>
      <c r="DE16" s="93">
        <v>10</v>
      </c>
    </row>
    <row r="17" spans="1:109">
      <c r="A17" s="92" t="s">
        <v>264</v>
      </c>
      <c r="B17" s="93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93">
        <v>0</v>
      </c>
      <c r="AF17" s="93">
        <v>0</v>
      </c>
      <c r="AG17" s="93">
        <v>0</v>
      </c>
      <c r="AH17" s="93">
        <v>0</v>
      </c>
      <c r="AI17" s="93">
        <v>0</v>
      </c>
      <c r="AJ17" s="93">
        <v>0</v>
      </c>
      <c r="AK17" s="93">
        <v>0</v>
      </c>
      <c r="AL17" s="93">
        <v>0</v>
      </c>
      <c r="AM17" s="93">
        <v>0</v>
      </c>
      <c r="AN17" s="93">
        <v>0</v>
      </c>
      <c r="AO17" s="93">
        <v>0</v>
      </c>
      <c r="AP17" s="93">
        <v>0</v>
      </c>
      <c r="AQ17" s="93">
        <v>0</v>
      </c>
      <c r="AR17" s="93">
        <v>0</v>
      </c>
      <c r="AS17" s="93">
        <v>0</v>
      </c>
      <c r="AT17" s="93">
        <v>0</v>
      </c>
      <c r="AU17" s="93">
        <v>0</v>
      </c>
      <c r="AV17" s="93">
        <v>0</v>
      </c>
      <c r="AW17" s="93">
        <v>0</v>
      </c>
      <c r="AX17" s="93">
        <v>0</v>
      </c>
      <c r="AY17" s="93">
        <v>0</v>
      </c>
      <c r="AZ17" s="93">
        <v>0</v>
      </c>
      <c r="BA17" s="93">
        <v>0</v>
      </c>
      <c r="BB17" s="93">
        <v>0</v>
      </c>
      <c r="BC17" s="93">
        <v>0</v>
      </c>
      <c r="BD17" s="93">
        <v>0</v>
      </c>
      <c r="BE17" s="93">
        <v>0</v>
      </c>
      <c r="BF17" s="93">
        <v>0</v>
      </c>
      <c r="BG17" s="93">
        <v>0</v>
      </c>
      <c r="BH17" s="93">
        <v>0</v>
      </c>
      <c r="BI17" s="93">
        <v>0</v>
      </c>
      <c r="BJ17" s="93">
        <v>0</v>
      </c>
      <c r="BK17" s="93">
        <v>0</v>
      </c>
      <c r="BL17" s="93">
        <v>0</v>
      </c>
      <c r="BM17" s="93">
        <v>0</v>
      </c>
      <c r="BN17" s="93">
        <v>0</v>
      </c>
      <c r="BO17" s="93">
        <v>0</v>
      </c>
      <c r="BP17" s="93">
        <v>0</v>
      </c>
      <c r="BQ17" s="93">
        <v>0</v>
      </c>
      <c r="BR17" s="93">
        <v>0</v>
      </c>
      <c r="BS17" s="93">
        <v>0</v>
      </c>
      <c r="BT17" s="93">
        <v>0</v>
      </c>
      <c r="BU17" s="93">
        <v>0</v>
      </c>
      <c r="BV17" s="93">
        <v>0</v>
      </c>
      <c r="BW17" s="93">
        <v>0</v>
      </c>
      <c r="BX17" s="93">
        <v>0</v>
      </c>
      <c r="BY17" s="93">
        <v>0</v>
      </c>
      <c r="BZ17" s="93">
        <v>0</v>
      </c>
      <c r="CA17" s="93">
        <v>0</v>
      </c>
      <c r="CB17" s="93">
        <v>0</v>
      </c>
      <c r="CC17" s="93">
        <v>0</v>
      </c>
      <c r="CD17" s="93">
        <v>0</v>
      </c>
      <c r="CE17" s="93">
        <v>0</v>
      </c>
      <c r="CF17" s="93">
        <v>0</v>
      </c>
      <c r="CG17" s="93">
        <v>0</v>
      </c>
      <c r="CH17" s="93">
        <v>0</v>
      </c>
      <c r="CI17" s="93">
        <v>0</v>
      </c>
      <c r="CJ17" s="93">
        <v>0</v>
      </c>
      <c r="CK17" s="93">
        <v>0</v>
      </c>
      <c r="CL17" s="93">
        <v>0</v>
      </c>
      <c r="CM17" s="93">
        <v>0</v>
      </c>
      <c r="CN17" s="93">
        <v>0</v>
      </c>
      <c r="CO17" s="93">
        <v>0</v>
      </c>
      <c r="CP17" s="93">
        <v>0</v>
      </c>
      <c r="CQ17" s="93">
        <v>0</v>
      </c>
      <c r="CR17" s="93">
        <v>0</v>
      </c>
      <c r="CS17" s="93">
        <v>0</v>
      </c>
      <c r="CT17" s="93">
        <v>0</v>
      </c>
      <c r="CU17" s="93">
        <v>0</v>
      </c>
      <c r="CV17" s="93">
        <v>0</v>
      </c>
      <c r="CW17" s="93">
        <v>0</v>
      </c>
      <c r="CX17" s="93">
        <v>0</v>
      </c>
      <c r="CY17" s="93">
        <v>0</v>
      </c>
      <c r="CZ17" s="93">
        <v>0</v>
      </c>
      <c r="DA17" s="93">
        <v>0</v>
      </c>
      <c r="DB17" s="93">
        <v>0</v>
      </c>
      <c r="DC17" s="93">
        <v>0</v>
      </c>
      <c r="DD17" s="93">
        <v>0</v>
      </c>
      <c r="DE17" s="93">
        <v>0</v>
      </c>
    </row>
    <row r="18" spans="1:109">
      <c r="A18" s="92" t="s">
        <v>265</v>
      </c>
      <c r="B18" s="93">
        <v>2</v>
      </c>
      <c r="C18" s="93">
        <v>2</v>
      </c>
      <c r="D18" s="93">
        <v>2</v>
      </c>
      <c r="E18" s="93">
        <v>2</v>
      </c>
      <c r="F18" s="93">
        <v>2</v>
      </c>
      <c r="G18" s="93">
        <v>2</v>
      </c>
      <c r="H18" s="93">
        <v>2</v>
      </c>
      <c r="I18" s="93">
        <v>2</v>
      </c>
      <c r="J18" s="93">
        <v>2</v>
      </c>
      <c r="K18" s="93">
        <v>2</v>
      </c>
      <c r="L18" s="93">
        <v>2</v>
      </c>
      <c r="M18" s="93">
        <v>2</v>
      </c>
      <c r="N18" s="93">
        <v>2</v>
      </c>
      <c r="O18" s="93">
        <v>2</v>
      </c>
      <c r="P18" s="93">
        <v>2</v>
      </c>
      <c r="Q18" s="93">
        <v>2</v>
      </c>
      <c r="R18" s="93">
        <v>2</v>
      </c>
      <c r="S18" s="93">
        <v>2</v>
      </c>
      <c r="T18" s="93">
        <v>2</v>
      </c>
      <c r="U18" s="93">
        <v>2</v>
      </c>
      <c r="V18" s="93">
        <v>2</v>
      </c>
      <c r="W18" s="93">
        <v>2</v>
      </c>
      <c r="X18" s="93">
        <v>2</v>
      </c>
      <c r="Y18" s="93">
        <v>2</v>
      </c>
      <c r="Z18" s="93">
        <v>2</v>
      </c>
      <c r="AA18" s="93">
        <v>2</v>
      </c>
      <c r="AB18" s="93">
        <v>2</v>
      </c>
      <c r="AC18" s="93">
        <v>2</v>
      </c>
      <c r="AD18" s="93">
        <v>2</v>
      </c>
      <c r="AE18" s="93">
        <v>2</v>
      </c>
      <c r="AF18" s="93">
        <v>2</v>
      </c>
      <c r="AG18" s="93">
        <v>2</v>
      </c>
      <c r="AH18" s="93">
        <v>2</v>
      </c>
      <c r="AI18" s="93">
        <v>2</v>
      </c>
      <c r="AJ18" s="93">
        <v>2</v>
      </c>
      <c r="AK18" s="93">
        <v>2</v>
      </c>
      <c r="AL18" s="93">
        <v>2</v>
      </c>
      <c r="AM18" s="93">
        <v>2</v>
      </c>
      <c r="AN18" s="93">
        <v>2</v>
      </c>
      <c r="AO18" s="93">
        <v>2</v>
      </c>
      <c r="AP18" s="93">
        <v>2</v>
      </c>
      <c r="AQ18" s="93">
        <v>2</v>
      </c>
      <c r="AR18" s="93">
        <v>2</v>
      </c>
      <c r="AS18" s="93">
        <v>2</v>
      </c>
      <c r="AT18" s="93">
        <v>2</v>
      </c>
      <c r="AU18" s="93">
        <v>2</v>
      </c>
      <c r="AV18" s="93">
        <v>2</v>
      </c>
      <c r="AW18" s="93">
        <v>2</v>
      </c>
      <c r="AX18" s="93">
        <v>2</v>
      </c>
      <c r="AY18" s="93">
        <v>2</v>
      </c>
      <c r="AZ18" s="93">
        <v>2</v>
      </c>
      <c r="BA18" s="93">
        <v>2</v>
      </c>
      <c r="BB18" s="93">
        <v>2</v>
      </c>
      <c r="BC18" s="93">
        <v>2</v>
      </c>
      <c r="BD18" s="93">
        <v>2</v>
      </c>
      <c r="BE18" s="93">
        <v>2</v>
      </c>
      <c r="BF18" s="93">
        <v>2</v>
      </c>
      <c r="BG18" s="93">
        <v>2</v>
      </c>
      <c r="BH18" s="93">
        <v>2</v>
      </c>
      <c r="BI18" s="93">
        <v>2</v>
      </c>
      <c r="BJ18" s="93">
        <v>2</v>
      </c>
      <c r="BK18" s="93">
        <v>2</v>
      </c>
      <c r="BL18" s="93">
        <v>2</v>
      </c>
      <c r="BM18" s="93">
        <v>2</v>
      </c>
      <c r="BN18" s="93">
        <v>2</v>
      </c>
      <c r="BO18" s="93">
        <v>2</v>
      </c>
      <c r="BP18" s="93">
        <v>2</v>
      </c>
      <c r="BQ18" s="93">
        <v>2</v>
      </c>
      <c r="BR18" s="93">
        <v>2</v>
      </c>
      <c r="BS18" s="93">
        <v>2</v>
      </c>
      <c r="BT18" s="93">
        <v>2</v>
      </c>
      <c r="BU18" s="93">
        <v>2</v>
      </c>
      <c r="BV18" s="93">
        <v>2</v>
      </c>
      <c r="BW18" s="93">
        <v>2</v>
      </c>
      <c r="BX18" s="93">
        <v>2</v>
      </c>
      <c r="BY18" s="93">
        <v>2</v>
      </c>
      <c r="BZ18" s="93">
        <v>2</v>
      </c>
      <c r="CA18" s="93">
        <v>2</v>
      </c>
      <c r="CB18" s="93">
        <v>2</v>
      </c>
      <c r="CC18" s="93">
        <v>2</v>
      </c>
      <c r="CD18" s="93">
        <v>2</v>
      </c>
      <c r="CE18" s="93">
        <v>2</v>
      </c>
      <c r="CF18" s="93">
        <v>2</v>
      </c>
      <c r="CG18" s="93">
        <v>2</v>
      </c>
      <c r="CH18" s="93">
        <v>2</v>
      </c>
      <c r="CI18" s="93">
        <v>2</v>
      </c>
      <c r="CJ18" s="93">
        <v>2</v>
      </c>
      <c r="CK18" s="93">
        <v>2</v>
      </c>
      <c r="CL18" s="93">
        <v>2</v>
      </c>
      <c r="CM18" s="93">
        <v>2</v>
      </c>
      <c r="CN18" s="93">
        <v>2</v>
      </c>
      <c r="CO18" s="93">
        <v>2</v>
      </c>
      <c r="CP18" s="93">
        <v>2</v>
      </c>
      <c r="CQ18" s="93">
        <v>2</v>
      </c>
      <c r="CR18" s="93">
        <v>2</v>
      </c>
      <c r="CS18" s="93">
        <v>2</v>
      </c>
      <c r="CT18" s="93">
        <v>2</v>
      </c>
      <c r="CU18" s="93">
        <v>2</v>
      </c>
      <c r="CV18" s="93">
        <v>2</v>
      </c>
      <c r="CW18" s="93">
        <v>2</v>
      </c>
      <c r="CX18" s="93">
        <v>2</v>
      </c>
      <c r="CY18" s="93">
        <v>2</v>
      </c>
      <c r="CZ18" s="93">
        <v>2</v>
      </c>
      <c r="DA18" s="93">
        <v>2</v>
      </c>
      <c r="DB18" s="93">
        <v>2</v>
      </c>
      <c r="DC18" s="93">
        <v>2</v>
      </c>
      <c r="DD18" s="93">
        <v>2</v>
      </c>
      <c r="DE18" s="93">
        <v>2</v>
      </c>
    </row>
    <row r="19" spans="1:109">
      <c r="A19" s="95" t="s">
        <v>266</v>
      </c>
      <c r="B19" s="93">
        <v>10</v>
      </c>
      <c r="C19" s="93">
        <v>10</v>
      </c>
      <c r="D19" s="93">
        <v>10</v>
      </c>
      <c r="E19" s="93">
        <v>10</v>
      </c>
      <c r="F19" s="93">
        <v>10</v>
      </c>
      <c r="G19" s="93">
        <v>10</v>
      </c>
      <c r="H19" s="93">
        <v>10</v>
      </c>
      <c r="I19" s="93">
        <v>10</v>
      </c>
      <c r="J19" s="93">
        <v>10</v>
      </c>
      <c r="K19" s="93">
        <v>10</v>
      </c>
      <c r="L19" s="93">
        <v>10</v>
      </c>
      <c r="M19" s="93">
        <v>10</v>
      </c>
      <c r="N19" s="93">
        <v>10</v>
      </c>
      <c r="O19" s="93">
        <v>10</v>
      </c>
      <c r="P19" s="93">
        <v>10</v>
      </c>
      <c r="Q19" s="93">
        <v>10</v>
      </c>
      <c r="R19" s="93">
        <v>10</v>
      </c>
      <c r="S19" s="93">
        <v>10</v>
      </c>
      <c r="T19" s="93">
        <v>10</v>
      </c>
      <c r="U19" s="93">
        <v>10</v>
      </c>
      <c r="V19" s="93">
        <v>10</v>
      </c>
      <c r="W19" s="93">
        <v>10</v>
      </c>
      <c r="X19" s="93">
        <v>10</v>
      </c>
      <c r="Y19" s="93">
        <v>10</v>
      </c>
      <c r="Z19" s="93">
        <v>10</v>
      </c>
      <c r="AA19" s="93">
        <v>10</v>
      </c>
      <c r="AB19" s="93">
        <v>10</v>
      </c>
      <c r="AC19" s="93">
        <v>10</v>
      </c>
      <c r="AD19" s="93">
        <v>10</v>
      </c>
      <c r="AE19" s="93">
        <v>10</v>
      </c>
      <c r="AF19" s="93">
        <v>10</v>
      </c>
      <c r="AG19" s="93">
        <v>10</v>
      </c>
      <c r="AH19" s="93">
        <v>10</v>
      </c>
      <c r="AI19" s="93">
        <v>10</v>
      </c>
      <c r="AJ19" s="93">
        <v>10</v>
      </c>
      <c r="AK19" s="93">
        <v>10</v>
      </c>
      <c r="AL19" s="93">
        <v>10</v>
      </c>
      <c r="AM19" s="93">
        <v>10</v>
      </c>
      <c r="AN19" s="93">
        <v>10</v>
      </c>
      <c r="AO19" s="93">
        <v>10</v>
      </c>
      <c r="AP19" s="93">
        <v>10</v>
      </c>
      <c r="AQ19" s="93">
        <v>10</v>
      </c>
      <c r="AR19" s="93">
        <v>10</v>
      </c>
      <c r="AS19" s="93">
        <v>10</v>
      </c>
      <c r="AT19" s="93">
        <v>10</v>
      </c>
      <c r="AU19" s="93">
        <v>10</v>
      </c>
      <c r="AV19" s="93">
        <v>10</v>
      </c>
      <c r="AW19" s="93">
        <v>10</v>
      </c>
      <c r="AX19" s="93">
        <v>10</v>
      </c>
      <c r="AY19" s="93">
        <v>10</v>
      </c>
      <c r="AZ19" s="93">
        <v>10</v>
      </c>
      <c r="BA19" s="93">
        <v>10</v>
      </c>
      <c r="BB19" s="93">
        <v>10</v>
      </c>
      <c r="BC19" s="93">
        <v>10</v>
      </c>
      <c r="BD19" s="93">
        <v>10</v>
      </c>
      <c r="BE19" s="93">
        <v>10</v>
      </c>
      <c r="BF19" s="93">
        <v>10</v>
      </c>
      <c r="BG19" s="93">
        <v>10</v>
      </c>
      <c r="BH19" s="93">
        <v>10</v>
      </c>
      <c r="BI19" s="93">
        <v>10</v>
      </c>
      <c r="BJ19" s="93">
        <v>10</v>
      </c>
      <c r="BK19" s="93">
        <v>10</v>
      </c>
      <c r="BL19" s="93">
        <v>10</v>
      </c>
      <c r="BM19" s="93">
        <v>10</v>
      </c>
      <c r="BN19" s="93">
        <v>10</v>
      </c>
      <c r="BO19" s="93">
        <v>10</v>
      </c>
      <c r="BP19" s="93">
        <v>10</v>
      </c>
      <c r="BQ19" s="93">
        <v>10</v>
      </c>
      <c r="BR19" s="93">
        <v>10</v>
      </c>
      <c r="BS19" s="93">
        <v>10</v>
      </c>
      <c r="BT19" s="93">
        <v>10</v>
      </c>
      <c r="BU19" s="93">
        <v>10</v>
      </c>
      <c r="BV19" s="93">
        <v>10</v>
      </c>
      <c r="BW19" s="93">
        <v>10</v>
      </c>
      <c r="BX19" s="93">
        <v>10</v>
      </c>
      <c r="BY19" s="93">
        <v>10</v>
      </c>
      <c r="BZ19" s="93">
        <v>10</v>
      </c>
      <c r="CA19" s="93">
        <v>10</v>
      </c>
      <c r="CB19" s="93">
        <v>10</v>
      </c>
      <c r="CC19" s="93">
        <v>10</v>
      </c>
      <c r="CD19" s="93">
        <v>10</v>
      </c>
      <c r="CE19" s="93">
        <v>10</v>
      </c>
      <c r="CF19" s="93">
        <v>10</v>
      </c>
      <c r="CG19" s="93">
        <v>10</v>
      </c>
      <c r="CH19" s="93">
        <v>10</v>
      </c>
      <c r="CI19" s="93">
        <v>10</v>
      </c>
      <c r="CJ19" s="93">
        <v>10</v>
      </c>
      <c r="CK19" s="93">
        <v>10</v>
      </c>
      <c r="CL19" s="93">
        <v>10</v>
      </c>
      <c r="CM19" s="93">
        <v>10</v>
      </c>
      <c r="CN19" s="93">
        <v>10</v>
      </c>
      <c r="CO19" s="93">
        <v>10</v>
      </c>
      <c r="CP19" s="93">
        <v>10</v>
      </c>
      <c r="CQ19" s="93">
        <v>10</v>
      </c>
      <c r="CR19" s="93">
        <v>10</v>
      </c>
      <c r="CS19" s="93">
        <v>10</v>
      </c>
      <c r="CT19" s="93">
        <v>10</v>
      </c>
      <c r="CU19" s="93">
        <v>10</v>
      </c>
      <c r="CV19" s="93">
        <v>10</v>
      </c>
      <c r="CW19" s="93">
        <v>10</v>
      </c>
      <c r="CX19" s="93">
        <v>10</v>
      </c>
      <c r="CY19" s="93">
        <v>10</v>
      </c>
      <c r="CZ19" s="93">
        <v>10</v>
      </c>
      <c r="DA19" s="93">
        <v>10</v>
      </c>
      <c r="DB19" s="93">
        <v>10</v>
      </c>
      <c r="DC19" s="93">
        <v>10</v>
      </c>
      <c r="DD19" s="93">
        <v>10</v>
      </c>
      <c r="DE19" s="93">
        <v>10</v>
      </c>
    </row>
    <row r="20" spans="1:109">
      <c r="A20" s="95" t="s">
        <v>267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93">
        <v>0</v>
      </c>
      <c r="AF20" s="93">
        <v>0</v>
      </c>
      <c r="AG20" s="93">
        <v>0</v>
      </c>
      <c r="AH20" s="93">
        <v>0</v>
      </c>
      <c r="AI20" s="93">
        <v>0</v>
      </c>
      <c r="AJ20" s="93">
        <v>0</v>
      </c>
      <c r="AK20" s="93">
        <v>0</v>
      </c>
      <c r="AL20" s="93">
        <v>0</v>
      </c>
      <c r="AM20" s="93">
        <v>0</v>
      </c>
      <c r="AN20" s="93">
        <v>0</v>
      </c>
      <c r="AO20" s="93">
        <v>0</v>
      </c>
      <c r="AP20" s="93">
        <v>0</v>
      </c>
      <c r="AQ20" s="93">
        <v>0</v>
      </c>
      <c r="AR20" s="93">
        <v>0</v>
      </c>
      <c r="AS20" s="93">
        <v>0</v>
      </c>
      <c r="AT20" s="93">
        <v>0</v>
      </c>
      <c r="AU20" s="93">
        <v>0</v>
      </c>
      <c r="AV20" s="93">
        <v>0</v>
      </c>
      <c r="AW20" s="93">
        <v>0</v>
      </c>
      <c r="AX20" s="93">
        <v>0</v>
      </c>
      <c r="AY20" s="93">
        <v>0</v>
      </c>
      <c r="AZ20" s="93">
        <v>0</v>
      </c>
      <c r="BA20" s="93">
        <v>0</v>
      </c>
      <c r="BB20" s="93">
        <v>0</v>
      </c>
      <c r="BC20" s="93">
        <v>0</v>
      </c>
      <c r="BD20" s="93">
        <v>0</v>
      </c>
      <c r="BE20" s="93">
        <v>0</v>
      </c>
      <c r="BF20" s="93">
        <v>0</v>
      </c>
      <c r="BG20" s="93">
        <v>0</v>
      </c>
      <c r="BH20" s="93">
        <v>0</v>
      </c>
      <c r="BI20" s="93">
        <v>0</v>
      </c>
      <c r="BJ20" s="93">
        <v>0</v>
      </c>
      <c r="BK20" s="93">
        <v>0</v>
      </c>
      <c r="BL20" s="93">
        <v>0</v>
      </c>
      <c r="BM20" s="93">
        <v>0</v>
      </c>
      <c r="BN20" s="93">
        <v>0</v>
      </c>
      <c r="BO20" s="93">
        <v>0</v>
      </c>
      <c r="BP20" s="93">
        <v>0</v>
      </c>
      <c r="BQ20" s="93">
        <v>0</v>
      </c>
      <c r="BR20" s="93">
        <v>0</v>
      </c>
      <c r="BS20" s="93">
        <v>0</v>
      </c>
      <c r="BT20" s="93">
        <v>0</v>
      </c>
      <c r="BU20" s="93">
        <v>0</v>
      </c>
      <c r="BV20" s="93">
        <v>0</v>
      </c>
      <c r="BW20" s="93">
        <v>0</v>
      </c>
      <c r="BX20" s="93">
        <v>0</v>
      </c>
      <c r="BY20" s="93">
        <v>0</v>
      </c>
      <c r="BZ20" s="93">
        <v>0</v>
      </c>
      <c r="CA20" s="93">
        <v>0</v>
      </c>
      <c r="CB20" s="93">
        <v>0</v>
      </c>
      <c r="CC20" s="93">
        <v>0</v>
      </c>
      <c r="CD20" s="93">
        <v>0</v>
      </c>
      <c r="CE20" s="93">
        <v>0</v>
      </c>
      <c r="CF20" s="93">
        <v>0</v>
      </c>
      <c r="CG20" s="93">
        <v>0</v>
      </c>
      <c r="CH20" s="93">
        <v>0</v>
      </c>
      <c r="CI20" s="93">
        <v>0</v>
      </c>
      <c r="CJ20" s="93">
        <v>0</v>
      </c>
      <c r="CK20" s="93">
        <v>0</v>
      </c>
      <c r="CL20" s="93">
        <v>0</v>
      </c>
      <c r="CM20" s="93">
        <v>0</v>
      </c>
      <c r="CN20" s="93">
        <v>0</v>
      </c>
      <c r="CO20" s="93">
        <v>0</v>
      </c>
      <c r="CP20" s="93">
        <v>0</v>
      </c>
      <c r="CQ20" s="93">
        <v>0</v>
      </c>
      <c r="CR20" s="93">
        <v>0</v>
      </c>
      <c r="CS20" s="93">
        <v>0</v>
      </c>
      <c r="CT20" s="93">
        <v>0</v>
      </c>
      <c r="CU20" s="93">
        <v>0</v>
      </c>
      <c r="CV20" s="93">
        <v>0</v>
      </c>
      <c r="CW20" s="93">
        <v>0</v>
      </c>
      <c r="CX20" s="93">
        <v>0</v>
      </c>
      <c r="CY20" s="93">
        <v>0</v>
      </c>
      <c r="CZ20" s="93">
        <v>0</v>
      </c>
      <c r="DA20" s="93">
        <v>0</v>
      </c>
      <c r="DB20" s="93">
        <v>0</v>
      </c>
      <c r="DC20" s="93">
        <v>0</v>
      </c>
      <c r="DD20" s="93">
        <v>0</v>
      </c>
      <c r="DE20" s="93">
        <v>0</v>
      </c>
    </row>
    <row r="21" spans="1:109">
      <c r="A21" s="94" t="s">
        <v>268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93">
        <v>0</v>
      </c>
      <c r="AF21" s="93">
        <v>0</v>
      </c>
      <c r="AG21" s="93">
        <v>0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0</v>
      </c>
      <c r="AN21" s="93">
        <v>0</v>
      </c>
      <c r="AO21" s="93">
        <v>0</v>
      </c>
      <c r="AP21" s="93">
        <v>0</v>
      </c>
      <c r="AQ21" s="93">
        <v>0</v>
      </c>
      <c r="AR21" s="93">
        <v>0</v>
      </c>
      <c r="AS21" s="93">
        <v>0</v>
      </c>
      <c r="AT21" s="93">
        <v>0</v>
      </c>
      <c r="AU21" s="93">
        <v>0</v>
      </c>
      <c r="AV21" s="93">
        <v>0</v>
      </c>
      <c r="AW21" s="93">
        <v>0</v>
      </c>
      <c r="AX21" s="93">
        <v>0</v>
      </c>
      <c r="AY21" s="93">
        <v>0</v>
      </c>
      <c r="AZ21" s="93">
        <v>0</v>
      </c>
      <c r="BA21" s="93">
        <v>0</v>
      </c>
      <c r="BB21" s="93">
        <v>0</v>
      </c>
      <c r="BC21" s="93">
        <v>0</v>
      </c>
      <c r="BD21" s="93">
        <v>0</v>
      </c>
      <c r="BE21" s="93">
        <v>0</v>
      </c>
      <c r="BF21" s="93">
        <v>0</v>
      </c>
      <c r="BG21" s="93">
        <v>0</v>
      </c>
      <c r="BH21" s="93">
        <v>0</v>
      </c>
      <c r="BI21" s="93">
        <v>0</v>
      </c>
      <c r="BJ21" s="93">
        <v>0</v>
      </c>
      <c r="BK21" s="93">
        <v>0</v>
      </c>
      <c r="BL21" s="93">
        <v>0</v>
      </c>
      <c r="BM21" s="93">
        <v>0</v>
      </c>
      <c r="BN21" s="93">
        <v>0</v>
      </c>
      <c r="BO21" s="93">
        <v>0</v>
      </c>
      <c r="BP21" s="93">
        <v>0</v>
      </c>
      <c r="BQ21" s="93">
        <v>0</v>
      </c>
      <c r="BR21" s="93">
        <v>0</v>
      </c>
      <c r="BS21" s="93">
        <v>0</v>
      </c>
      <c r="BT21" s="93">
        <v>0</v>
      </c>
      <c r="BU21" s="93">
        <v>0</v>
      </c>
      <c r="BV21" s="93">
        <v>0</v>
      </c>
      <c r="BW21" s="93">
        <v>0</v>
      </c>
      <c r="BX21" s="93">
        <v>0</v>
      </c>
      <c r="BY21" s="93">
        <v>0</v>
      </c>
      <c r="BZ21" s="93">
        <v>0</v>
      </c>
      <c r="CA21" s="93">
        <v>0</v>
      </c>
      <c r="CB21" s="93">
        <v>0</v>
      </c>
      <c r="CC21" s="93">
        <v>0</v>
      </c>
      <c r="CD21" s="93">
        <v>0</v>
      </c>
      <c r="CE21" s="93">
        <v>0</v>
      </c>
      <c r="CF21" s="93">
        <v>0</v>
      </c>
      <c r="CG21" s="93">
        <v>0</v>
      </c>
      <c r="CH21" s="93">
        <v>0</v>
      </c>
      <c r="CI21" s="93">
        <v>0</v>
      </c>
      <c r="CJ21" s="93">
        <v>0</v>
      </c>
      <c r="CK21" s="93">
        <v>0</v>
      </c>
      <c r="CL21" s="93">
        <v>0</v>
      </c>
      <c r="CM21" s="93">
        <v>0</v>
      </c>
      <c r="CN21" s="93">
        <v>0</v>
      </c>
      <c r="CO21" s="93">
        <v>0</v>
      </c>
      <c r="CP21" s="93">
        <v>0</v>
      </c>
      <c r="CQ21" s="93">
        <v>0</v>
      </c>
      <c r="CR21" s="93">
        <v>0</v>
      </c>
      <c r="CS21" s="93">
        <v>0</v>
      </c>
      <c r="CT21" s="93">
        <v>0</v>
      </c>
      <c r="CU21" s="93">
        <v>0</v>
      </c>
      <c r="CV21" s="93">
        <v>0</v>
      </c>
      <c r="CW21" s="93">
        <v>0</v>
      </c>
      <c r="CX21" s="93">
        <v>0</v>
      </c>
      <c r="CY21" s="93">
        <v>0</v>
      </c>
      <c r="CZ21" s="93">
        <v>0</v>
      </c>
      <c r="DA21" s="93">
        <v>0</v>
      </c>
      <c r="DB21" s="93">
        <v>0</v>
      </c>
      <c r="DC21" s="93">
        <v>0</v>
      </c>
      <c r="DD21" s="93">
        <v>0</v>
      </c>
      <c r="DE21" s="93">
        <v>0</v>
      </c>
    </row>
    <row r="22" spans="1:109">
      <c r="A22" s="92" t="s">
        <v>269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93">
        <v>0</v>
      </c>
      <c r="AB22" s="93">
        <v>0</v>
      </c>
      <c r="AC22" s="93">
        <v>0</v>
      </c>
      <c r="AD22" s="93">
        <v>0</v>
      </c>
      <c r="AE22" s="93">
        <v>0</v>
      </c>
      <c r="AF22" s="93">
        <v>0</v>
      </c>
      <c r="AG22" s="93">
        <v>0</v>
      </c>
      <c r="AH22" s="93">
        <v>0</v>
      </c>
      <c r="AI22" s="93">
        <v>0</v>
      </c>
      <c r="AJ22" s="93">
        <v>0</v>
      </c>
      <c r="AK22" s="93">
        <v>0</v>
      </c>
      <c r="AL22" s="93">
        <v>0</v>
      </c>
      <c r="AM22" s="93">
        <v>0</v>
      </c>
      <c r="AN22" s="93">
        <v>0</v>
      </c>
      <c r="AO22" s="93">
        <v>0</v>
      </c>
      <c r="AP22" s="93">
        <v>0</v>
      </c>
      <c r="AQ22" s="93">
        <v>0</v>
      </c>
      <c r="AR22" s="93">
        <v>0</v>
      </c>
      <c r="AS22" s="93">
        <v>0</v>
      </c>
      <c r="AT22" s="93">
        <v>0</v>
      </c>
      <c r="AU22" s="93">
        <v>0</v>
      </c>
      <c r="AV22" s="93">
        <v>0</v>
      </c>
      <c r="AW22" s="93">
        <v>0</v>
      </c>
      <c r="AX22" s="93">
        <v>0</v>
      </c>
      <c r="AY22" s="93">
        <v>0</v>
      </c>
      <c r="AZ22" s="93">
        <v>0</v>
      </c>
      <c r="BA22" s="93">
        <v>0</v>
      </c>
      <c r="BB22" s="93">
        <v>0</v>
      </c>
      <c r="BC22" s="93">
        <v>0</v>
      </c>
      <c r="BD22" s="93">
        <v>0</v>
      </c>
      <c r="BE22" s="93">
        <v>0</v>
      </c>
      <c r="BF22" s="93">
        <v>0</v>
      </c>
      <c r="BG22" s="93">
        <v>0</v>
      </c>
      <c r="BH22" s="93">
        <v>0</v>
      </c>
      <c r="BI22" s="93">
        <v>0</v>
      </c>
      <c r="BJ22" s="93">
        <v>0</v>
      </c>
      <c r="BK22" s="93">
        <v>0</v>
      </c>
      <c r="BL22" s="93">
        <v>0</v>
      </c>
      <c r="BM22" s="93">
        <v>0</v>
      </c>
      <c r="BN22" s="93">
        <v>0</v>
      </c>
      <c r="BO22" s="93">
        <v>0</v>
      </c>
      <c r="BP22" s="93">
        <v>0</v>
      </c>
      <c r="BQ22" s="93">
        <v>0</v>
      </c>
      <c r="BR22" s="93">
        <v>0</v>
      </c>
      <c r="BS22" s="93">
        <v>0</v>
      </c>
      <c r="BT22" s="93">
        <v>0</v>
      </c>
      <c r="BU22" s="93">
        <v>0</v>
      </c>
      <c r="BV22" s="93">
        <v>0</v>
      </c>
      <c r="BW22" s="93">
        <v>0</v>
      </c>
      <c r="BX22" s="93">
        <v>0</v>
      </c>
      <c r="BY22" s="93">
        <v>0</v>
      </c>
      <c r="BZ22" s="93">
        <v>0</v>
      </c>
      <c r="CA22" s="93">
        <v>0</v>
      </c>
      <c r="CB22" s="93">
        <v>0</v>
      </c>
      <c r="CC22" s="93">
        <v>0</v>
      </c>
      <c r="CD22" s="93">
        <v>0</v>
      </c>
      <c r="CE22" s="93">
        <v>0</v>
      </c>
      <c r="CF22" s="93">
        <v>0</v>
      </c>
      <c r="CG22" s="93">
        <v>0</v>
      </c>
      <c r="CH22" s="93">
        <v>0</v>
      </c>
      <c r="CI22" s="93">
        <v>0</v>
      </c>
      <c r="CJ22" s="93">
        <v>0</v>
      </c>
      <c r="CK22" s="93">
        <v>0</v>
      </c>
      <c r="CL22" s="93">
        <v>0</v>
      </c>
      <c r="CM22" s="93">
        <v>0</v>
      </c>
      <c r="CN22" s="93">
        <v>0</v>
      </c>
      <c r="CO22" s="93">
        <v>0</v>
      </c>
      <c r="CP22" s="93">
        <v>0</v>
      </c>
      <c r="CQ22" s="93">
        <v>0</v>
      </c>
      <c r="CR22" s="93">
        <v>0</v>
      </c>
      <c r="CS22" s="93">
        <v>0</v>
      </c>
      <c r="CT22" s="93">
        <v>0</v>
      </c>
      <c r="CU22" s="93">
        <v>0</v>
      </c>
      <c r="CV22" s="93">
        <v>0</v>
      </c>
      <c r="CW22" s="93">
        <v>0</v>
      </c>
      <c r="CX22" s="93">
        <v>0</v>
      </c>
      <c r="CY22" s="93">
        <v>0</v>
      </c>
      <c r="CZ22" s="93">
        <v>0</v>
      </c>
      <c r="DA22" s="93">
        <v>0</v>
      </c>
      <c r="DB22" s="93">
        <v>0</v>
      </c>
      <c r="DC22" s="93">
        <v>0</v>
      </c>
      <c r="DD22" s="93">
        <v>0</v>
      </c>
      <c r="DE22" s="93">
        <v>0</v>
      </c>
    </row>
    <row r="23" spans="1:109">
      <c r="A23" s="95" t="s">
        <v>270</v>
      </c>
      <c r="B23" s="93">
        <v>3</v>
      </c>
      <c r="C23" s="93">
        <v>3</v>
      </c>
      <c r="D23" s="93">
        <v>3</v>
      </c>
      <c r="E23" s="93">
        <v>3</v>
      </c>
      <c r="F23" s="93">
        <v>3</v>
      </c>
      <c r="G23" s="93">
        <v>3</v>
      </c>
      <c r="H23" s="93">
        <v>3</v>
      </c>
      <c r="I23" s="93">
        <v>3</v>
      </c>
      <c r="J23" s="93">
        <v>3</v>
      </c>
      <c r="K23" s="93">
        <v>3</v>
      </c>
      <c r="L23" s="93">
        <v>3</v>
      </c>
      <c r="M23" s="93">
        <v>3</v>
      </c>
      <c r="N23" s="93">
        <v>3</v>
      </c>
      <c r="O23" s="93">
        <v>3</v>
      </c>
      <c r="P23" s="93">
        <v>3</v>
      </c>
      <c r="Q23" s="93">
        <v>3</v>
      </c>
      <c r="R23" s="93">
        <v>3</v>
      </c>
      <c r="S23" s="93">
        <v>3</v>
      </c>
      <c r="T23" s="93">
        <v>3</v>
      </c>
      <c r="U23" s="93">
        <v>3</v>
      </c>
      <c r="V23" s="93">
        <v>3</v>
      </c>
      <c r="W23" s="93">
        <v>3</v>
      </c>
      <c r="X23" s="93">
        <v>3</v>
      </c>
      <c r="Y23" s="93">
        <v>3</v>
      </c>
      <c r="Z23" s="93">
        <v>3</v>
      </c>
      <c r="AA23" s="93">
        <v>3</v>
      </c>
      <c r="AB23" s="93">
        <v>3</v>
      </c>
      <c r="AC23" s="93">
        <v>3</v>
      </c>
      <c r="AD23" s="93">
        <v>3</v>
      </c>
      <c r="AE23" s="93">
        <v>3</v>
      </c>
      <c r="AF23" s="93">
        <v>3</v>
      </c>
      <c r="AG23" s="93">
        <v>3</v>
      </c>
      <c r="AH23" s="93">
        <v>3</v>
      </c>
      <c r="AI23" s="93">
        <v>3</v>
      </c>
      <c r="AJ23" s="93">
        <v>3</v>
      </c>
      <c r="AK23" s="93">
        <v>3</v>
      </c>
      <c r="AL23" s="93">
        <v>3</v>
      </c>
      <c r="AM23" s="93">
        <v>3</v>
      </c>
      <c r="AN23" s="93">
        <v>3</v>
      </c>
      <c r="AO23" s="93">
        <v>3</v>
      </c>
      <c r="AP23" s="93">
        <v>3</v>
      </c>
      <c r="AQ23" s="93">
        <v>3</v>
      </c>
      <c r="AR23" s="93">
        <v>3</v>
      </c>
      <c r="AS23" s="93">
        <v>3</v>
      </c>
      <c r="AT23" s="93">
        <v>3</v>
      </c>
      <c r="AU23" s="93">
        <v>3</v>
      </c>
      <c r="AV23" s="93">
        <v>3</v>
      </c>
      <c r="AW23" s="93">
        <v>3</v>
      </c>
      <c r="AX23" s="93">
        <v>3</v>
      </c>
      <c r="AY23" s="93">
        <v>3</v>
      </c>
      <c r="AZ23" s="93">
        <v>3</v>
      </c>
      <c r="BA23" s="93">
        <v>3</v>
      </c>
      <c r="BB23" s="93">
        <v>3</v>
      </c>
      <c r="BC23" s="93">
        <v>3</v>
      </c>
      <c r="BD23" s="93">
        <v>3</v>
      </c>
      <c r="BE23" s="93">
        <v>3</v>
      </c>
      <c r="BF23" s="93">
        <v>3</v>
      </c>
      <c r="BG23" s="93">
        <v>3</v>
      </c>
      <c r="BH23" s="93">
        <v>3</v>
      </c>
      <c r="BI23" s="93">
        <v>3</v>
      </c>
      <c r="BJ23" s="93">
        <v>3</v>
      </c>
      <c r="BK23" s="93">
        <v>3</v>
      </c>
      <c r="BL23" s="93">
        <v>3</v>
      </c>
      <c r="BM23" s="93">
        <v>3</v>
      </c>
      <c r="BN23" s="93">
        <v>3</v>
      </c>
      <c r="BO23" s="93">
        <v>3</v>
      </c>
      <c r="BP23" s="93">
        <v>3</v>
      </c>
      <c r="BQ23" s="93">
        <v>3</v>
      </c>
      <c r="BR23" s="93">
        <v>3</v>
      </c>
      <c r="BS23" s="93">
        <v>3</v>
      </c>
      <c r="BT23" s="93">
        <v>3</v>
      </c>
      <c r="BU23" s="93">
        <v>3</v>
      </c>
      <c r="BV23" s="93">
        <v>3</v>
      </c>
      <c r="BW23" s="93">
        <v>3</v>
      </c>
      <c r="BX23" s="93">
        <v>3</v>
      </c>
      <c r="BY23" s="93">
        <v>3</v>
      </c>
      <c r="BZ23" s="93">
        <v>3</v>
      </c>
      <c r="CA23" s="93">
        <v>3</v>
      </c>
      <c r="CB23" s="93">
        <v>3</v>
      </c>
      <c r="CC23" s="93">
        <v>3</v>
      </c>
      <c r="CD23" s="93">
        <v>3</v>
      </c>
      <c r="CE23" s="93">
        <v>3</v>
      </c>
      <c r="CF23" s="93">
        <v>3</v>
      </c>
      <c r="CG23" s="93">
        <v>3</v>
      </c>
      <c r="CH23" s="93">
        <v>3</v>
      </c>
      <c r="CI23" s="93">
        <v>3</v>
      </c>
      <c r="CJ23" s="93">
        <v>3</v>
      </c>
      <c r="CK23" s="93">
        <v>3</v>
      </c>
      <c r="CL23" s="93">
        <v>3</v>
      </c>
      <c r="CM23" s="93">
        <v>3</v>
      </c>
      <c r="CN23" s="93">
        <v>3</v>
      </c>
      <c r="CO23" s="93">
        <v>3</v>
      </c>
      <c r="CP23" s="93">
        <v>3</v>
      </c>
      <c r="CQ23" s="93">
        <v>3</v>
      </c>
      <c r="CR23" s="93">
        <v>3</v>
      </c>
      <c r="CS23" s="93">
        <v>3</v>
      </c>
      <c r="CT23" s="93">
        <v>3</v>
      </c>
      <c r="CU23" s="93">
        <v>3</v>
      </c>
      <c r="CV23" s="93">
        <v>3</v>
      </c>
      <c r="CW23" s="93">
        <v>3</v>
      </c>
      <c r="CX23" s="93">
        <v>3</v>
      </c>
      <c r="CY23" s="93">
        <v>3</v>
      </c>
      <c r="CZ23" s="93">
        <v>3</v>
      </c>
      <c r="DA23" s="93">
        <v>3</v>
      </c>
      <c r="DB23" s="93">
        <v>3</v>
      </c>
      <c r="DC23" s="93">
        <v>3</v>
      </c>
      <c r="DD23" s="93">
        <v>3</v>
      </c>
      <c r="DE23" s="93">
        <v>3</v>
      </c>
    </row>
    <row r="24" spans="1:109">
      <c r="A24" s="94" t="s">
        <v>271</v>
      </c>
      <c r="B24" s="93">
        <v>25</v>
      </c>
      <c r="C24" s="93">
        <v>25</v>
      </c>
      <c r="D24" s="93">
        <v>25</v>
      </c>
      <c r="E24" s="93">
        <v>25</v>
      </c>
      <c r="F24" s="93">
        <v>25</v>
      </c>
      <c r="G24" s="93">
        <v>25</v>
      </c>
      <c r="H24" s="93">
        <v>25</v>
      </c>
      <c r="I24" s="93">
        <v>25</v>
      </c>
      <c r="J24" s="93">
        <v>25</v>
      </c>
      <c r="K24" s="93">
        <v>25</v>
      </c>
      <c r="L24" s="93">
        <v>25</v>
      </c>
      <c r="M24" s="93">
        <v>25</v>
      </c>
      <c r="N24" s="93">
        <v>25</v>
      </c>
      <c r="O24" s="93">
        <v>25</v>
      </c>
      <c r="P24" s="93">
        <v>25</v>
      </c>
      <c r="Q24" s="93">
        <v>25</v>
      </c>
      <c r="R24" s="93">
        <v>25</v>
      </c>
      <c r="S24" s="93">
        <v>25</v>
      </c>
      <c r="T24" s="93">
        <v>25</v>
      </c>
      <c r="U24" s="93">
        <v>25</v>
      </c>
      <c r="V24" s="93">
        <v>25</v>
      </c>
      <c r="W24" s="93">
        <v>25</v>
      </c>
      <c r="X24" s="93">
        <v>25</v>
      </c>
      <c r="Y24" s="93">
        <v>25</v>
      </c>
      <c r="Z24" s="93">
        <v>25</v>
      </c>
      <c r="AA24" s="93">
        <v>25</v>
      </c>
      <c r="AB24" s="93">
        <v>25</v>
      </c>
      <c r="AC24" s="93">
        <v>25</v>
      </c>
      <c r="AD24" s="93">
        <v>25</v>
      </c>
      <c r="AE24" s="93">
        <v>25</v>
      </c>
      <c r="AF24" s="93">
        <v>25</v>
      </c>
      <c r="AG24" s="93">
        <v>25</v>
      </c>
      <c r="AH24" s="93">
        <v>25</v>
      </c>
      <c r="AI24" s="93">
        <v>25</v>
      </c>
      <c r="AJ24" s="93">
        <v>25</v>
      </c>
      <c r="AK24" s="93">
        <v>25</v>
      </c>
      <c r="AL24" s="93">
        <v>25</v>
      </c>
      <c r="AM24" s="93">
        <v>25</v>
      </c>
      <c r="AN24" s="93">
        <v>25</v>
      </c>
      <c r="AO24" s="93">
        <v>25</v>
      </c>
      <c r="AP24" s="93">
        <v>25</v>
      </c>
      <c r="AQ24" s="93">
        <v>25</v>
      </c>
      <c r="AR24" s="93">
        <v>25</v>
      </c>
      <c r="AS24" s="93">
        <v>25</v>
      </c>
      <c r="AT24" s="93">
        <v>25</v>
      </c>
      <c r="AU24" s="93">
        <v>25</v>
      </c>
      <c r="AV24" s="93">
        <v>25</v>
      </c>
      <c r="AW24" s="93">
        <v>25</v>
      </c>
      <c r="AX24" s="93">
        <v>25</v>
      </c>
      <c r="AY24" s="93">
        <v>25</v>
      </c>
      <c r="AZ24" s="93">
        <v>25</v>
      </c>
      <c r="BA24" s="93">
        <v>25</v>
      </c>
      <c r="BB24" s="93">
        <v>25</v>
      </c>
      <c r="BC24" s="93">
        <v>25</v>
      </c>
      <c r="BD24" s="93">
        <v>25</v>
      </c>
      <c r="BE24" s="93">
        <v>25</v>
      </c>
      <c r="BF24" s="93">
        <v>25</v>
      </c>
      <c r="BG24" s="93">
        <v>25</v>
      </c>
      <c r="BH24" s="93">
        <v>25</v>
      </c>
      <c r="BI24" s="93">
        <v>25</v>
      </c>
      <c r="BJ24" s="93">
        <v>25</v>
      </c>
      <c r="BK24" s="93">
        <v>25</v>
      </c>
      <c r="BL24" s="93">
        <v>25</v>
      </c>
      <c r="BM24" s="93">
        <v>25</v>
      </c>
      <c r="BN24" s="93">
        <v>25</v>
      </c>
      <c r="BO24" s="93">
        <v>25</v>
      </c>
      <c r="BP24" s="93">
        <v>25</v>
      </c>
      <c r="BQ24" s="93">
        <v>25</v>
      </c>
      <c r="BR24" s="93">
        <v>25</v>
      </c>
      <c r="BS24" s="93">
        <v>25</v>
      </c>
      <c r="BT24" s="93">
        <v>25</v>
      </c>
      <c r="BU24" s="93">
        <v>25</v>
      </c>
      <c r="BV24" s="93">
        <v>25</v>
      </c>
      <c r="BW24" s="93">
        <v>25</v>
      </c>
      <c r="BX24" s="93">
        <v>25</v>
      </c>
      <c r="BY24" s="93">
        <v>25</v>
      </c>
      <c r="BZ24" s="93">
        <v>25</v>
      </c>
      <c r="CA24" s="93">
        <v>25</v>
      </c>
      <c r="CB24" s="93">
        <v>25</v>
      </c>
      <c r="CC24" s="93">
        <v>25</v>
      </c>
      <c r="CD24" s="93">
        <v>25</v>
      </c>
      <c r="CE24" s="93">
        <v>25</v>
      </c>
      <c r="CF24" s="93">
        <v>25</v>
      </c>
      <c r="CG24" s="93">
        <v>25</v>
      </c>
      <c r="CH24" s="93">
        <v>25</v>
      </c>
      <c r="CI24" s="93">
        <v>25</v>
      </c>
      <c r="CJ24" s="93">
        <v>25</v>
      </c>
      <c r="CK24" s="93">
        <v>25</v>
      </c>
      <c r="CL24" s="93">
        <v>25</v>
      </c>
      <c r="CM24" s="93">
        <v>25</v>
      </c>
      <c r="CN24" s="93">
        <v>25</v>
      </c>
      <c r="CO24" s="93">
        <v>25</v>
      </c>
      <c r="CP24" s="93">
        <v>25</v>
      </c>
      <c r="CQ24" s="93">
        <v>25</v>
      </c>
      <c r="CR24" s="93">
        <v>25</v>
      </c>
      <c r="CS24" s="93">
        <v>25</v>
      </c>
      <c r="CT24" s="93">
        <v>25</v>
      </c>
      <c r="CU24" s="93">
        <v>25</v>
      </c>
      <c r="CV24" s="93">
        <v>25</v>
      </c>
      <c r="CW24" s="93">
        <v>25</v>
      </c>
      <c r="CX24" s="93">
        <v>25</v>
      </c>
      <c r="CY24" s="93">
        <v>25</v>
      </c>
      <c r="CZ24" s="93">
        <v>25</v>
      </c>
      <c r="DA24" s="93">
        <v>25</v>
      </c>
      <c r="DB24" s="93">
        <v>25</v>
      </c>
      <c r="DC24" s="93">
        <v>25</v>
      </c>
      <c r="DD24" s="93">
        <v>25</v>
      </c>
      <c r="DE24" s="93">
        <v>25</v>
      </c>
    </row>
    <row r="25" spans="1:109" ht="12.75" thickBot="1">
      <c r="A25" s="90" t="s">
        <v>54</v>
      </c>
      <c r="B25" s="96">
        <f>SUM(B15:B24)</f>
        <v>125</v>
      </c>
      <c r="C25" s="96">
        <f t="shared" ref="C25:BN25" si="4">SUM(C15:C24)</f>
        <v>125</v>
      </c>
      <c r="D25" s="96">
        <f t="shared" si="4"/>
        <v>125</v>
      </c>
      <c r="E25" s="96">
        <f t="shared" si="4"/>
        <v>125</v>
      </c>
      <c r="F25" s="96">
        <f t="shared" si="4"/>
        <v>125</v>
      </c>
      <c r="G25" s="96">
        <f t="shared" si="4"/>
        <v>125</v>
      </c>
      <c r="H25" s="96">
        <f t="shared" si="4"/>
        <v>125</v>
      </c>
      <c r="I25" s="96">
        <f t="shared" si="4"/>
        <v>125</v>
      </c>
      <c r="J25" s="96">
        <f t="shared" si="4"/>
        <v>125</v>
      </c>
      <c r="K25" s="96">
        <f t="shared" si="4"/>
        <v>125</v>
      </c>
      <c r="L25" s="96">
        <f t="shared" si="4"/>
        <v>125</v>
      </c>
      <c r="M25" s="96">
        <f t="shared" si="4"/>
        <v>125</v>
      </c>
      <c r="N25" s="96">
        <f t="shared" si="4"/>
        <v>125</v>
      </c>
      <c r="O25" s="96">
        <f t="shared" si="4"/>
        <v>125</v>
      </c>
      <c r="P25" s="96">
        <f t="shared" si="4"/>
        <v>125</v>
      </c>
      <c r="Q25" s="96">
        <f t="shared" si="4"/>
        <v>125</v>
      </c>
      <c r="R25" s="96">
        <f t="shared" si="4"/>
        <v>125</v>
      </c>
      <c r="S25" s="96">
        <f t="shared" si="4"/>
        <v>125</v>
      </c>
      <c r="T25" s="96">
        <f t="shared" si="4"/>
        <v>125</v>
      </c>
      <c r="U25" s="96">
        <f t="shared" si="4"/>
        <v>125</v>
      </c>
      <c r="V25" s="96">
        <f t="shared" si="4"/>
        <v>125</v>
      </c>
      <c r="W25" s="96">
        <f t="shared" si="4"/>
        <v>125</v>
      </c>
      <c r="X25" s="96">
        <f t="shared" si="4"/>
        <v>125</v>
      </c>
      <c r="Y25" s="96">
        <f t="shared" si="4"/>
        <v>125</v>
      </c>
      <c r="Z25" s="96">
        <f t="shared" si="4"/>
        <v>125</v>
      </c>
      <c r="AA25" s="96">
        <f t="shared" si="4"/>
        <v>125</v>
      </c>
      <c r="AB25" s="96">
        <f t="shared" si="4"/>
        <v>125</v>
      </c>
      <c r="AC25" s="96">
        <f t="shared" si="4"/>
        <v>125</v>
      </c>
      <c r="AD25" s="96">
        <f t="shared" si="4"/>
        <v>125</v>
      </c>
      <c r="AE25" s="96">
        <f t="shared" si="4"/>
        <v>125</v>
      </c>
      <c r="AF25" s="96">
        <f t="shared" si="4"/>
        <v>125</v>
      </c>
      <c r="AG25" s="96">
        <f t="shared" si="4"/>
        <v>125</v>
      </c>
      <c r="AH25" s="96">
        <f t="shared" si="4"/>
        <v>125</v>
      </c>
      <c r="AI25" s="96">
        <f t="shared" si="4"/>
        <v>125</v>
      </c>
      <c r="AJ25" s="96">
        <f t="shared" si="4"/>
        <v>125</v>
      </c>
      <c r="AK25" s="96">
        <f t="shared" si="4"/>
        <v>125</v>
      </c>
      <c r="AL25" s="96">
        <f t="shared" si="4"/>
        <v>125</v>
      </c>
      <c r="AM25" s="96">
        <f t="shared" si="4"/>
        <v>125</v>
      </c>
      <c r="AN25" s="96">
        <f t="shared" si="4"/>
        <v>125</v>
      </c>
      <c r="AO25" s="96">
        <f t="shared" si="4"/>
        <v>125</v>
      </c>
      <c r="AP25" s="96">
        <f t="shared" si="4"/>
        <v>125</v>
      </c>
      <c r="AQ25" s="96">
        <f t="shared" si="4"/>
        <v>125</v>
      </c>
      <c r="AR25" s="96">
        <f t="shared" si="4"/>
        <v>125</v>
      </c>
      <c r="AS25" s="96">
        <f t="shared" si="4"/>
        <v>125</v>
      </c>
      <c r="AT25" s="96">
        <f t="shared" si="4"/>
        <v>125</v>
      </c>
      <c r="AU25" s="96">
        <f t="shared" si="4"/>
        <v>125</v>
      </c>
      <c r="AV25" s="96">
        <f t="shared" si="4"/>
        <v>125</v>
      </c>
      <c r="AW25" s="96">
        <f t="shared" si="4"/>
        <v>125</v>
      </c>
      <c r="AX25" s="96">
        <f t="shared" si="4"/>
        <v>125</v>
      </c>
      <c r="AY25" s="96">
        <f t="shared" si="4"/>
        <v>125</v>
      </c>
      <c r="AZ25" s="96">
        <f t="shared" si="4"/>
        <v>125</v>
      </c>
      <c r="BA25" s="96">
        <f t="shared" si="4"/>
        <v>125</v>
      </c>
      <c r="BB25" s="96">
        <f t="shared" si="4"/>
        <v>125</v>
      </c>
      <c r="BC25" s="96">
        <f t="shared" si="4"/>
        <v>125</v>
      </c>
      <c r="BD25" s="96">
        <f t="shared" si="4"/>
        <v>125</v>
      </c>
      <c r="BE25" s="96">
        <f t="shared" si="4"/>
        <v>125</v>
      </c>
      <c r="BF25" s="96">
        <f t="shared" si="4"/>
        <v>125</v>
      </c>
      <c r="BG25" s="96">
        <f t="shared" si="4"/>
        <v>125</v>
      </c>
      <c r="BH25" s="96">
        <f t="shared" si="4"/>
        <v>125</v>
      </c>
      <c r="BI25" s="96">
        <f t="shared" si="4"/>
        <v>125</v>
      </c>
      <c r="BJ25" s="96">
        <f t="shared" si="4"/>
        <v>125</v>
      </c>
      <c r="BK25" s="96">
        <f t="shared" si="4"/>
        <v>125</v>
      </c>
      <c r="BL25" s="96">
        <f t="shared" si="4"/>
        <v>125</v>
      </c>
      <c r="BM25" s="96">
        <f t="shared" si="4"/>
        <v>125</v>
      </c>
      <c r="BN25" s="96">
        <f t="shared" si="4"/>
        <v>125</v>
      </c>
      <c r="BO25" s="96">
        <f t="shared" ref="BO25:DE25" si="5">SUM(BO15:BO24)</f>
        <v>125</v>
      </c>
      <c r="BP25" s="96">
        <f t="shared" si="5"/>
        <v>125</v>
      </c>
      <c r="BQ25" s="96">
        <f t="shared" si="5"/>
        <v>125</v>
      </c>
      <c r="BR25" s="96">
        <f t="shared" si="5"/>
        <v>125</v>
      </c>
      <c r="BS25" s="96">
        <f t="shared" si="5"/>
        <v>125</v>
      </c>
      <c r="BT25" s="96">
        <f t="shared" si="5"/>
        <v>125</v>
      </c>
      <c r="BU25" s="96">
        <f t="shared" si="5"/>
        <v>125</v>
      </c>
      <c r="BV25" s="96">
        <f t="shared" si="5"/>
        <v>125</v>
      </c>
      <c r="BW25" s="96">
        <f t="shared" si="5"/>
        <v>125</v>
      </c>
      <c r="BX25" s="96">
        <f t="shared" si="5"/>
        <v>125</v>
      </c>
      <c r="BY25" s="96">
        <f t="shared" si="5"/>
        <v>125</v>
      </c>
      <c r="BZ25" s="96">
        <f t="shared" si="5"/>
        <v>125</v>
      </c>
      <c r="CA25" s="96">
        <f t="shared" si="5"/>
        <v>125</v>
      </c>
      <c r="CB25" s="96">
        <f t="shared" si="5"/>
        <v>125</v>
      </c>
      <c r="CC25" s="96">
        <f t="shared" si="5"/>
        <v>125</v>
      </c>
      <c r="CD25" s="96">
        <f t="shared" si="5"/>
        <v>125</v>
      </c>
      <c r="CE25" s="96">
        <f t="shared" si="5"/>
        <v>125</v>
      </c>
      <c r="CF25" s="96">
        <f t="shared" si="5"/>
        <v>125</v>
      </c>
      <c r="CG25" s="96">
        <f t="shared" si="5"/>
        <v>125</v>
      </c>
      <c r="CH25" s="96">
        <f t="shared" si="5"/>
        <v>125</v>
      </c>
      <c r="CI25" s="96">
        <f t="shared" si="5"/>
        <v>125</v>
      </c>
      <c r="CJ25" s="96">
        <f t="shared" si="5"/>
        <v>125</v>
      </c>
      <c r="CK25" s="96">
        <f t="shared" si="5"/>
        <v>125</v>
      </c>
      <c r="CL25" s="96">
        <f t="shared" si="5"/>
        <v>125</v>
      </c>
      <c r="CM25" s="96">
        <f t="shared" si="5"/>
        <v>125</v>
      </c>
      <c r="CN25" s="96">
        <f t="shared" si="5"/>
        <v>125</v>
      </c>
      <c r="CO25" s="96">
        <f t="shared" si="5"/>
        <v>125</v>
      </c>
      <c r="CP25" s="96">
        <f t="shared" si="5"/>
        <v>125</v>
      </c>
      <c r="CQ25" s="96">
        <f t="shared" si="5"/>
        <v>125</v>
      </c>
      <c r="CR25" s="96">
        <f t="shared" si="5"/>
        <v>125</v>
      </c>
      <c r="CS25" s="96">
        <f t="shared" si="5"/>
        <v>125</v>
      </c>
      <c r="CT25" s="96">
        <f t="shared" si="5"/>
        <v>125</v>
      </c>
      <c r="CU25" s="96">
        <f t="shared" si="5"/>
        <v>125</v>
      </c>
      <c r="CV25" s="96">
        <f t="shared" si="5"/>
        <v>125</v>
      </c>
      <c r="CW25" s="96">
        <f t="shared" si="5"/>
        <v>125</v>
      </c>
      <c r="CX25" s="96">
        <f t="shared" si="5"/>
        <v>125</v>
      </c>
      <c r="CY25" s="96">
        <f t="shared" si="5"/>
        <v>125</v>
      </c>
      <c r="CZ25" s="96">
        <f t="shared" si="5"/>
        <v>125</v>
      </c>
      <c r="DA25" s="96">
        <f t="shared" si="5"/>
        <v>125</v>
      </c>
      <c r="DB25" s="96">
        <f t="shared" si="5"/>
        <v>125</v>
      </c>
      <c r="DC25" s="96">
        <f t="shared" si="5"/>
        <v>125</v>
      </c>
      <c r="DD25" s="96">
        <f t="shared" si="5"/>
        <v>125</v>
      </c>
      <c r="DE25" s="96">
        <f t="shared" si="5"/>
        <v>125</v>
      </c>
    </row>
    <row r="26" spans="1:109" ht="12.75" thickTop="1">
      <c r="A26" s="97"/>
    </row>
    <row r="27" spans="1:109">
      <c r="A27" s="90" t="s">
        <v>273</v>
      </c>
      <c r="B27" s="91">
        <f>B14</f>
        <v>43951</v>
      </c>
      <c r="C27" s="91">
        <f t="shared" ref="C27:BN27" si="6">C14</f>
        <v>43982</v>
      </c>
      <c r="D27" s="91">
        <f t="shared" si="6"/>
        <v>44012</v>
      </c>
      <c r="E27" s="91">
        <f t="shared" si="6"/>
        <v>44043</v>
      </c>
      <c r="F27" s="91">
        <f t="shared" si="6"/>
        <v>44074</v>
      </c>
      <c r="G27" s="91">
        <f t="shared" si="6"/>
        <v>44104</v>
      </c>
      <c r="H27" s="91">
        <f t="shared" si="6"/>
        <v>44135</v>
      </c>
      <c r="I27" s="91">
        <f t="shared" si="6"/>
        <v>44165</v>
      </c>
      <c r="J27" s="91">
        <f t="shared" si="6"/>
        <v>44196</v>
      </c>
      <c r="K27" s="91">
        <f t="shared" si="6"/>
        <v>44227</v>
      </c>
      <c r="L27" s="91">
        <f t="shared" si="6"/>
        <v>44255</v>
      </c>
      <c r="M27" s="91">
        <f t="shared" si="6"/>
        <v>44286</v>
      </c>
      <c r="N27" s="91">
        <f t="shared" si="6"/>
        <v>44316</v>
      </c>
      <c r="O27" s="91">
        <f t="shared" si="6"/>
        <v>44347</v>
      </c>
      <c r="P27" s="91">
        <f t="shared" si="6"/>
        <v>44377</v>
      </c>
      <c r="Q27" s="91">
        <f t="shared" si="6"/>
        <v>44408</v>
      </c>
      <c r="R27" s="91">
        <f t="shared" si="6"/>
        <v>44439</v>
      </c>
      <c r="S27" s="91">
        <f t="shared" si="6"/>
        <v>44469</v>
      </c>
      <c r="T27" s="91">
        <f t="shared" si="6"/>
        <v>44500</v>
      </c>
      <c r="U27" s="91">
        <f t="shared" si="6"/>
        <v>44530</v>
      </c>
      <c r="V27" s="91">
        <f t="shared" si="6"/>
        <v>44561</v>
      </c>
      <c r="W27" s="91">
        <f t="shared" si="6"/>
        <v>44592</v>
      </c>
      <c r="X27" s="91">
        <f t="shared" si="6"/>
        <v>44620</v>
      </c>
      <c r="Y27" s="91">
        <f t="shared" si="6"/>
        <v>44651</v>
      </c>
      <c r="Z27" s="91">
        <f t="shared" si="6"/>
        <v>44681</v>
      </c>
      <c r="AA27" s="91">
        <f t="shared" si="6"/>
        <v>44712</v>
      </c>
      <c r="AB27" s="91">
        <f t="shared" si="6"/>
        <v>44742</v>
      </c>
      <c r="AC27" s="91">
        <f t="shared" si="6"/>
        <v>44773</v>
      </c>
      <c r="AD27" s="91">
        <f t="shared" si="6"/>
        <v>44804</v>
      </c>
      <c r="AE27" s="91">
        <f t="shared" si="6"/>
        <v>44834</v>
      </c>
      <c r="AF27" s="91">
        <f t="shared" si="6"/>
        <v>44865</v>
      </c>
      <c r="AG27" s="91">
        <f t="shared" si="6"/>
        <v>44895</v>
      </c>
      <c r="AH27" s="91">
        <f t="shared" si="6"/>
        <v>44926</v>
      </c>
      <c r="AI27" s="91">
        <f t="shared" si="6"/>
        <v>44957</v>
      </c>
      <c r="AJ27" s="91">
        <f t="shared" si="6"/>
        <v>44985</v>
      </c>
      <c r="AK27" s="91">
        <f t="shared" si="6"/>
        <v>45016</v>
      </c>
      <c r="AL27" s="91">
        <f t="shared" si="6"/>
        <v>45046</v>
      </c>
      <c r="AM27" s="91">
        <f t="shared" si="6"/>
        <v>45077</v>
      </c>
      <c r="AN27" s="91">
        <f t="shared" si="6"/>
        <v>45107</v>
      </c>
      <c r="AO27" s="91">
        <f t="shared" si="6"/>
        <v>45138</v>
      </c>
      <c r="AP27" s="91">
        <f t="shared" si="6"/>
        <v>45169</v>
      </c>
      <c r="AQ27" s="91">
        <f t="shared" si="6"/>
        <v>45199</v>
      </c>
      <c r="AR27" s="91">
        <f t="shared" si="6"/>
        <v>45230</v>
      </c>
      <c r="AS27" s="91">
        <f t="shared" si="6"/>
        <v>45260</v>
      </c>
      <c r="AT27" s="91">
        <f t="shared" si="6"/>
        <v>45291</v>
      </c>
      <c r="AU27" s="91">
        <f t="shared" si="6"/>
        <v>45322</v>
      </c>
      <c r="AV27" s="91">
        <f t="shared" si="6"/>
        <v>45351</v>
      </c>
      <c r="AW27" s="91">
        <f t="shared" si="6"/>
        <v>45382</v>
      </c>
      <c r="AX27" s="91">
        <f t="shared" si="6"/>
        <v>45412</v>
      </c>
      <c r="AY27" s="91">
        <f t="shared" si="6"/>
        <v>45443</v>
      </c>
      <c r="AZ27" s="91">
        <f t="shared" si="6"/>
        <v>45473</v>
      </c>
      <c r="BA27" s="91">
        <f t="shared" si="6"/>
        <v>45504</v>
      </c>
      <c r="BB27" s="91">
        <f t="shared" si="6"/>
        <v>45535</v>
      </c>
      <c r="BC27" s="91">
        <f t="shared" si="6"/>
        <v>45565</v>
      </c>
      <c r="BD27" s="91">
        <f t="shared" si="6"/>
        <v>45596</v>
      </c>
      <c r="BE27" s="91">
        <f t="shared" si="6"/>
        <v>45626</v>
      </c>
      <c r="BF27" s="91">
        <f t="shared" si="6"/>
        <v>45657</v>
      </c>
      <c r="BG27" s="91">
        <f t="shared" si="6"/>
        <v>45688</v>
      </c>
      <c r="BH27" s="91">
        <f t="shared" si="6"/>
        <v>45716</v>
      </c>
      <c r="BI27" s="91">
        <f t="shared" si="6"/>
        <v>45747</v>
      </c>
      <c r="BJ27" s="91">
        <f t="shared" si="6"/>
        <v>45777</v>
      </c>
      <c r="BK27" s="91">
        <f t="shared" si="6"/>
        <v>45808</v>
      </c>
      <c r="BL27" s="91">
        <f t="shared" si="6"/>
        <v>45838</v>
      </c>
      <c r="BM27" s="91">
        <f t="shared" si="6"/>
        <v>45869</v>
      </c>
      <c r="BN27" s="91">
        <f t="shared" si="6"/>
        <v>45900</v>
      </c>
      <c r="BO27" s="91">
        <f t="shared" ref="BO27:DE27" si="7">BO14</f>
        <v>45930</v>
      </c>
      <c r="BP27" s="91">
        <f t="shared" si="7"/>
        <v>45961</v>
      </c>
      <c r="BQ27" s="91">
        <f t="shared" si="7"/>
        <v>45991</v>
      </c>
      <c r="BR27" s="91">
        <f t="shared" si="7"/>
        <v>46022</v>
      </c>
      <c r="BS27" s="91">
        <f t="shared" si="7"/>
        <v>46053</v>
      </c>
      <c r="BT27" s="91">
        <f t="shared" si="7"/>
        <v>46081</v>
      </c>
      <c r="BU27" s="91">
        <f t="shared" si="7"/>
        <v>46112</v>
      </c>
      <c r="BV27" s="91">
        <f t="shared" si="7"/>
        <v>46142</v>
      </c>
      <c r="BW27" s="91">
        <f t="shared" si="7"/>
        <v>46173</v>
      </c>
      <c r="BX27" s="91">
        <f t="shared" si="7"/>
        <v>46203</v>
      </c>
      <c r="BY27" s="91">
        <f t="shared" si="7"/>
        <v>46234</v>
      </c>
      <c r="BZ27" s="91">
        <f t="shared" si="7"/>
        <v>46265</v>
      </c>
      <c r="CA27" s="91">
        <f t="shared" si="7"/>
        <v>46295</v>
      </c>
      <c r="CB27" s="91">
        <f t="shared" si="7"/>
        <v>46326</v>
      </c>
      <c r="CC27" s="91">
        <f t="shared" si="7"/>
        <v>46356</v>
      </c>
      <c r="CD27" s="91">
        <f t="shared" si="7"/>
        <v>46387</v>
      </c>
      <c r="CE27" s="91">
        <f t="shared" si="7"/>
        <v>46418</v>
      </c>
      <c r="CF27" s="91">
        <f t="shared" si="7"/>
        <v>46446</v>
      </c>
      <c r="CG27" s="91">
        <f t="shared" si="7"/>
        <v>46477</v>
      </c>
      <c r="CH27" s="91">
        <f t="shared" si="7"/>
        <v>46507</v>
      </c>
      <c r="CI27" s="91">
        <f t="shared" si="7"/>
        <v>46538</v>
      </c>
      <c r="CJ27" s="91">
        <f t="shared" si="7"/>
        <v>46568</v>
      </c>
      <c r="CK27" s="91">
        <f t="shared" si="7"/>
        <v>46599</v>
      </c>
      <c r="CL27" s="91">
        <f t="shared" si="7"/>
        <v>46630</v>
      </c>
      <c r="CM27" s="91">
        <f t="shared" si="7"/>
        <v>46660</v>
      </c>
      <c r="CN27" s="91">
        <f t="shared" si="7"/>
        <v>46691</v>
      </c>
      <c r="CO27" s="91">
        <f t="shared" si="7"/>
        <v>46721</v>
      </c>
      <c r="CP27" s="91">
        <f t="shared" si="7"/>
        <v>46752</v>
      </c>
      <c r="CQ27" s="91">
        <f t="shared" si="7"/>
        <v>46783</v>
      </c>
      <c r="CR27" s="91">
        <f t="shared" si="7"/>
        <v>46812</v>
      </c>
      <c r="CS27" s="91">
        <f t="shared" si="7"/>
        <v>46843</v>
      </c>
      <c r="CT27" s="91">
        <f t="shared" si="7"/>
        <v>46873</v>
      </c>
      <c r="CU27" s="91">
        <f t="shared" si="7"/>
        <v>46904</v>
      </c>
      <c r="CV27" s="91">
        <f t="shared" si="7"/>
        <v>46934</v>
      </c>
      <c r="CW27" s="91">
        <f t="shared" si="7"/>
        <v>46965</v>
      </c>
      <c r="CX27" s="91">
        <f t="shared" si="7"/>
        <v>46996</v>
      </c>
      <c r="CY27" s="91">
        <f t="shared" si="7"/>
        <v>47026</v>
      </c>
      <c r="CZ27" s="91">
        <f t="shared" si="7"/>
        <v>47056</v>
      </c>
      <c r="DA27" s="91">
        <f t="shared" si="7"/>
        <v>47087</v>
      </c>
      <c r="DB27" s="91">
        <f t="shared" si="7"/>
        <v>47117</v>
      </c>
      <c r="DC27" s="91">
        <f t="shared" si="7"/>
        <v>47148</v>
      </c>
      <c r="DD27" s="91">
        <f t="shared" si="7"/>
        <v>47177</v>
      </c>
      <c r="DE27" s="91">
        <f t="shared" si="7"/>
        <v>47207</v>
      </c>
    </row>
    <row r="28" spans="1:109">
      <c r="A28" s="92" t="s">
        <v>262</v>
      </c>
      <c r="B28" s="93">
        <v>226</v>
      </c>
      <c r="C28" s="93">
        <v>226</v>
      </c>
      <c r="D28" s="93">
        <v>226</v>
      </c>
      <c r="E28" s="93">
        <v>226</v>
      </c>
      <c r="F28" s="93">
        <v>226</v>
      </c>
      <c r="G28" s="93">
        <v>226</v>
      </c>
      <c r="H28" s="93">
        <v>226</v>
      </c>
      <c r="I28" s="93">
        <v>226</v>
      </c>
      <c r="J28" s="93">
        <v>226</v>
      </c>
      <c r="K28" s="93">
        <v>226</v>
      </c>
      <c r="L28" s="93">
        <v>226</v>
      </c>
      <c r="M28" s="93">
        <v>226</v>
      </c>
      <c r="N28" s="93">
        <v>226</v>
      </c>
      <c r="O28" s="93">
        <v>226</v>
      </c>
      <c r="P28" s="93">
        <v>226</v>
      </c>
      <c r="Q28" s="93">
        <v>226</v>
      </c>
      <c r="R28" s="93">
        <v>226</v>
      </c>
      <c r="S28" s="93">
        <v>226</v>
      </c>
      <c r="T28" s="93">
        <v>226</v>
      </c>
      <c r="U28" s="93">
        <v>226</v>
      </c>
      <c r="V28" s="93">
        <v>226</v>
      </c>
      <c r="W28" s="93">
        <v>226</v>
      </c>
      <c r="X28" s="93">
        <v>226</v>
      </c>
      <c r="Y28" s="93">
        <v>226</v>
      </c>
      <c r="Z28" s="93">
        <v>226</v>
      </c>
      <c r="AA28" s="93">
        <v>226</v>
      </c>
      <c r="AB28" s="93">
        <v>226</v>
      </c>
      <c r="AC28" s="93">
        <v>226</v>
      </c>
      <c r="AD28" s="93">
        <v>226</v>
      </c>
      <c r="AE28" s="93">
        <v>226</v>
      </c>
      <c r="AF28" s="93">
        <v>226</v>
      </c>
      <c r="AG28" s="93">
        <v>226</v>
      </c>
      <c r="AH28" s="93">
        <v>226</v>
      </c>
      <c r="AI28" s="93">
        <v>226</v>
      </c>
      <c r="AJ28" s="93">
        <v>226</v>
      </c>
      <c r="AK28" s="93">
        <v>226</v>
      </c>
      <c r="AL28" s="93">
        <v>226</v>
      </c>
      <c r="AM28" s="93">
        <v>226</v>
      </c>
      <c r="AN28" s="93">
        <v>226</v>
      </c>
      <c r="AO28" s="93">
        <v>226</v>
      </c>
      <c r="AP28" s="93">
        <v>226</v>
      </c>
      <c r="AQ28" s="93">
        <v>226</v>
      </c>
      <c r="AR28" s="93">
        <v>226</v>
      </c>
      <c r="AS28" s="93">
        <v>226</v>
      </c>
      <c r="AT28" s="93">
        <v>226</v>
      </c>
      <c r="AU28" s="93">
        <v>226</v>
      </c>
      <c r="AV28" s="93">
        <v>226</v>
      </c>
      <c r="AW28" s="93">
        <v>226</v>
      </c>
      <c r="AX28" s="93">
        <v>226</v>
      </c>
      <c r="AY28" s="93">
        <v>226</v>
      </c>
      <c r="AZ28" s="93">
        <v>226</v>
      </c>
      <c r="BA28" s="93">
        <v>226</v>
      </c>
      <c r="BB28" s="93">
        <v>226</v>
      </c>
      <c r="BC28" s="93">
        <v>226</v>
      </c>
      <c r="BD28" s="93">
        <v>226</v>
      </c>
      <c r="BE28" s="93">
        <v>226</v>
      </c>
      <c r="BF28" s="93">
        <v>226</v>
      </c>
      <c r="BG28" s="93">
        <v>226</v>
      </c>
      <c r="BH28" s="93">
        <v>226</v>
      </c>
      <c r="BI28" s="93">
        <v>226</v>
      </c>
      <c r="BJ28" s="93">
        <v>226</v>
      </c>
      <c r="BK28" s="93">
        <v>226</v>
      </c>
      <c r="BL28" s="93">
        <v>226</v>
      </c>
      <c r="BM28" s="93">
        <v>226</v>
      </c>
      <c r="BN28" s="93">
        <v>226</v>
      </c>
      <c r="BO28" s="93">
        <v>226</v>
      </c>
      <c r="BP28" s="93">
        <v>226</v>
      </c>
      <c r="BQ28" s="93">
        <v>226</v>
      </c>
      <c r="BR28" s="93">
        <v>226</v>
      </c>
      <c r="BS28" s="93">
        <v>226</v>
      </c>
      <c r="BT28" s="93">
        <v>226</v>
      </c>
      <c r="BU28" s="93">
        <v>226</v>
      </c>
      <c r="BV28" s="93">
        <v>226</v>
      </c>
      <c r="BW28" s="93">
        <v>226</v>
      </c>
      <c r="BX28" s="93">
        <v>226</v>
      </c>
      <c r="BY28" s="93">
        <v>226</v>
      </c>
      <c r="BZ28" s="93">
        <v>226</v>
      </c>
      <c r="CA28" s="93">
        <v>226</v>
      </c>
      <c r="CB28" s="93">
        <v>226</v>
      </c>
      <c r="CC28" s="93">
        <v>226</v>
      </c>
      <c r="CD28" s="93">
        <v>226</v>
      </c>
      <c r="CE28" s="93">
        <v>226</v>
      </c>
      <c r="CF28" s="93">
        <v>226</v>
      </c>
      <c r="CG28" s="93">
        <v>226</v>
      </c>
      <c r="CH28" s="93">
        <v>226</v>
      </c>
      <c r="CI28" s="93">
        <v>226</v>
      </c>
      <c r="CJ28" s="93">
        <v>226</v>
      </c>
      <c r="CK28" s="93">
        <v>226</v>
      </c>
      <c r="CL28" s="93">
        <v>226</v>
      </c>
      <c r="CM28" s="93">
        <v>226</v>
      </c>
      <c r="CN28" s="93">
        <v>226</v>
      </c>
      <c r="CO28" s="93">
        <v>226</v>
      </c>
      <c r="CP28" s="93">
        <v>226</v>
      </c>
      <c r="CQ28" s="93">
        <v>226</v>
      </c>
      <c r="CR28" s="93">
        <v>226</v>
      </c>
      <c r="CS28" s="93">
        <v>226</v>
      </c>
      <c r="CT28" s="93">
        <v>226</v>
      </c>
      <c r="CU28" s="93">
        <v>226</v>
      </c>
      <c r="CV28" s="93">
        <v>226</v>
      </c>
      <c r="CW28" s="93">
        <v>226</v>
      </c>
      <c r="CX28" s="93">
        <v>226</v>
      </c>
      <c r="CY28" s="93">
        <v>226</v>
      </c>
      <c r="CZ28" s="93">
        <v>226</v>
      </c>
      <c r="DA28" s="93">
        <v>226</v>
      </c>
      <c r="DB28" s="93">
        <v>226</v>
      </c>
      <c r="DC28" s="93">
        <v>226</v>
      </c>
      <c r="DD28" s="93">
        <v>226</v>
      </c>
      <c r="DE28" s="93">
        <v>226</v>
      </c>
    </row>
    <row r="29" spans="1:109">
      <c r="A29" s="94" t="s">
        <v>263</v>
      </c>
      <c r="B29" s="93">
        <v>83</v>
      </c>
      <c r="C29" s="93">
        <v>83</v>
      </c>
      <c r="D29" s="93">
        <v>83</v>
      </c>
      <c r="E29" s="93">
        <v>83</v>
      </c>
      <c r="F29" s="93">
        <v>83</v>
      </c>
      <c r="G29" s="93">
        <v>83</v>
      </c>
      <c r="H29" s="93">
        <v>83</v>
      </c>
      <c r="I29" s="93">
        <v>83</v>
      </c>
      <c r="J29" s="93">
        <v>83</v>
      </c>
      <c r="K29" s="93">
        <v>83</v>
      </c>
      <c r="L29" s="93">
        <v>83</v>
      </c>
      <c r="M29" s="93">
        <v>83</v>
      </c>
      <c r="N29" s="93">
        <v>83</v>
      </c>
      <c r="O29" s="93">
        <v>83</v>
      </c>
      <c r="P29" s="93">
        <v>83</v>
      </c>
      <c r="Q29" s="93">
        <v>83</v>
      </c>
      <c r="R29" s="93">
        <v>83</v>
      </c>
      <c r="S29" s="93">
        <v>83</v>
      </c>
      <c r="T29" s="93">
        <v>83</v>
      </c>
      <c r="U29" s="93">
        <v>83</v>
      </c>
      <c r="V29" s="93">
        <v>83</v>
      </c>
      <c r="W29" s="93">
        <v>83</v>
      </c>
      <c r="X29" s="93">
        <v>83</v>
      </c>
      <c r="Y29" s="93">
        <v>83</v>
      </c>
      <c r="Z29" s="93">
        <v>83</v>
      </c>
      <c r="AA29" s="93">
        <v>83</v>
      </c>
      <c r="AB29" s="93">
        <v>83</v>
      </c>
      <c r="AC29" s="93">
        <v>83</v>
      </c>
      <c r="AD29" s="93">
        <v>83</v>
      </c>
      <c r="AE29" s="93">
        <v>83</v>
      </c>
      <c r="AF29" s="93">
        <v>83</v>
      </c>
      <c r="AG29" s="93">
        <v>83</v>
      </c>
      <c r="AH29" s="93">
        <v>83</v>
      </c>
      <c r="AI29" s="93">
        <v>83</v>
      </c>
      <c r="AJ29" s="93">
        <v>83</v>
      </c>
      <c r="AK29" s="93">
        <v>83</v>
      </c>
      <c r="AL29" s="93">
        <v>83</v>
      </c>
      <c r="AM29" s="93">
        <v>83</v>
      </c>
      <c r="AN29" s="93">
        <v>83</v>
      </c>
      <c r="AO29" s="93">
        <v>83</v>
      </c>
      <c r="AP29" s="93">
        <v>83</v>
      </c>
      <c r="AQ29" s="93">
        <v>83</v>
      </c>
      <c r="AR29" s="93">
        <v>83</v>
      </c>
      <c r="AS29" s="93">
        <v>83</v>
      </c>
      <c r="AT29" s="93">
        <v>83</v>
      </c>
      <c r="AU29" s="93">
        <v>83</v>
      </c>
      <c r="AV29" s="93">
        <v>83</v>
      </c>
      <c r="AW29" s="93">
        <v>83</v>
      </c>
      <c r="AX29" s="93">
        <v>83</v>
      </c>
      <c r="AY29" s="93">
        <v>83</v>
      </c>
      <c r="AZ29" s="93">
        <v>83</v>
      </c>
      <c r="BA29" s="93">
        <v>83</v>
      </c>
      <c r="BB29" s="93">
        <v>83</v>
      </c>
      <c r="BC29" s="93">
        <v>83</v>
      </c>
      <c r="BD29" s="93">
        <v>83</v>
      </c>
      <c r="BE29" s="93">
        <v>83</v>
      </c>
      <c r="BF29" s="93">
        <v>83</v>
      </c>
      <c r="BG29" s="93">
        <v>83</v>
      </c>
      <c r="BH29" s="93">
        <v>83</v>
      </c>
      <c r="BI29" s="93">
        <v>83</v>
      </c>
      <c r="BJ29" s="93">
        <v>83</v>
      </c>
      <c r="BK29" s="93">
        <v>83</v>
      </c>
      <c r="BL29" s="93">
        <v>83</v>
      </c>
      <c r="BM29" s="93">
        <v>83</v>
      </c>
      <c r="BN29" s="93">
        <v>83</v>
      </c>
      <c r="BO29" s="93">
        <v>83</v>
      </c>
      <c r="BP29" s="93">
        <v>83</v>
      </c>
      <c r="BQ29" s="93">
        <v>83</v>
      </c>
      <c r="BR29" s="93">
        <v>83</v>
      </c>
      <c r="BS29" s="93">
        <v>83</v>
      </c>
      <c r="BT29" s="93">
        <v>83</v>
      </c>
      <c r="BU29" s="93">
        <v>83</v>
      </c>
      <c r="BV29" s="93">
        <v>83</v>
      </c>
      <c r="BW29" s="93">
        <v>83</v>
      </c>
      <c r="BX29" s="93">
        <v>83</v>
      </c>
      <c r="BY29" s="93">
        <v>83</v>
      </c>
      <c r="BZ29" s="93">
        <v>83</v>
      </c>
      <c r="CA29" s="93">
        <v>83</v>
      </c>
      <c r="CB29" s="93">
        <v>83</v>
      </c>
      <c r="CC29" s="93">
        <v>83</v>
      </c>
      <c r="CD29" s="93">
        <v>83</v>
      </c>
      <c r="CE29" s="93">
        <v>83</v>
      </c>
      <c r="CF29" s="93">
        <v>83</v>
      </c>
      <c r="CG29" s="93">
        <v>83</v>
      </c>
      <c r="CH29" s="93">
        <v>83</v>
      </c>
      <c r="CI29" s="93">
        <v>83</v>
      </c>
      <c r="CJ29" s="93">
        <v>83</v>
      </c>
      <c r="CK29" s="93">
        <v>83</v>
      </c>
      <c r="CL29" s="93">
        <v>83</v>
      </c>
      <c r="CM29" s="93">
        <v>83</v>
      </c>
      <c r="CN29" s="93">
        <v>83</v>
      </c>
      <c r="CO29" s="93">
        <v>83</v>
      </c>
      <c r="CP29" s="93">
        <v>83</v>
      </c>
      <c r="CQ29" s="93">
        <v>83</v>
      </c>
      <c r="CR29" s="93">
        <v>83</v>
      </c>
      <c r="CS29" s="93">
        <v>83</v>
      </c>
      <c r="CT29" s="93">
        <v>83</v>
      </c>
      <c r="CU29" s="93">
        <v>83</v>
      </c>
      <c r="CV29" s="93">
        <v>83</v>
      </c>
      <c r="CW29" s="93">
        <v>83</v>
      </c>
      <c r="CX29" s="93">
        <v>83</v>
      </c>
      <c r="CY29" s="93">
        <v>83</v>
      </c>
      <c r="CZ29" s="93">
        <v>83</v>
      </c>
      <c r="DA29" s="93">
        <v>83</v>
      </c>
      <c r="DB29" s="93">
        <v>83</v>
      </c>
      <c r="DC29" s="93">
        <v>83</v>
      </c>
      <c r="DD29" s="93">
        <v>83</v>
      </c>
      <c r="DE29" s="93">
        <v>83</v>
      </c>
    </row>
    <row r="30" spans="1:109">
      <c r="A30" s="92" t="s">
        <v>264</v>
      </c>
      <c r="B30" s="93">
        <v>8</v>
      </c>
      <c r="C30" s="93">
        <v>8</v>
      </c>
      <c r="D30" s="93">
        <v>8</v>
      </c>
      <c r="E30" s="93">
        <v>8</v>
      </c>
      <c r="F30" s="93">
        <v>8</v>
      </c>
      <c r="G30" s="93">
        <v>8</v>
      </c>
      <c r="H30" s="93">
        <v>8</v>
      </c>
      <c r="I30" s="93">
        <v>8</v>
      </c>
      <c r="J30" s="93">
        <v>8</v>
      </c>
      <c r="K30" s="93">
        <v>8</v>
      </c>
      <c r="L30" s="93">
        <v>8</v>
      </c>
      <c r="M30" s="93">
        <v>8</v>
      </c>
      <c r="N30" s="93">
        <v>8</v>
      </c>
      <c r="O30" s="93">
        <v>8</v>
      </c>
      <c r="P30" s="93">
        <v>8</v>
      </c>
      <c r="Q30" s="93">
        <v>8</v>
      </c>
      <c r="R30" s="93">
        <v>8</v>
      </c>
      <c r="S30" s="93">
        <v>8</v>
      </c>
      <c r="T30" s="93">
        <v>8</v>
      </c>
      <c r="U30" s="93">
        <v>8</v>
      </c>
      <c r="V30" s="93">
        <v>8</v>
      </c>
      <c r="W30" s="93">
        <v>8</v>
      </c>
      <c r="X30" s="93">
        <v>8</v>
      </c>
      <c r="Y30" s="93">
        <v>8</v>
      </c>
      <c r="Z30" s="93">
        <v>8</v>
      </c>
      <c r="AA30" s="93">
        <v>8</v>
      </c>
      <c r="AB30" s="93">
        <v>8</v>
      </c>
      <c r="AC30" s="93">
        <v>8</v>
      </c>
      <c r="AD30" s="93">
        <v>8</v>
      </c>
      <c r="AE30" s="93">
        <v>8</v>
      </c>
      <c r="AF30" s="93">
        <v>8</v>
      </c>
      <c r="AG30" s="93">
        <v>8</v>
      </c>
      <c r="AH30" s="93">
        <v>8</v>
      </c>
      <c r="AI30" s="93">
        <v>8</v>
      </c>
      <c r="AJ30" s="93">
        <v>8</v>
      </c>
      <c r="AK30" s="93">
        <v>8</v>
      </c>
      <c r="AL30" s="93">
        <v>8</v>
      </c>
      <c r="AM30" s="93">
        <v>8</v>
      </c>
      <c r="AN30" s="93">
        <v>8</v>
      </c>
      <c r="AO30" s="93">
        <v>8</v>
      </c>
      <c r="AP30" s="93">
        <v>8</v>
      </c>
      <c r="AQ30" s="93">
        <v>8</v>
      </c>
      <c r="AR30" s="93">
        <v>8</v>
      </c>
      <c r="AS30" s="93">
        <v>8</v>
      </c>
      <c r="AT30" s="93">
        <v>8</v>
      </c>
      <c r="AU30" s="93">
        <v>8</v>
      </c>
      <c r="AV30" s="93">
        <v>8</v>
      </c>
      <c r="AW30" s="93">
        <v>8</v>
      </c>
      <c r="AX30" s="93">
        <v>8</v>
      </c>
      <c r="AY30" s="93">
        <v>8</v>
      </c>
      <c r="AZ30" s="93">
        <v>8</v>
      </c>
      <c r="BA30" s="93">
        <v>8</v>
      </c>
      <c r="BB30" s="93">
        <v>8</v>
      </c>
      <c r="BC30" s="93">
        <v>8</v>
      </c>
      <c r="BD30" s="93">
        <v>8</v>
      </c>
      <c r="BE30" s="93">
        <v>8</v>
      </c>
      <c r="BF30" s="93">
        <v>8</v>
      </c>
      <c r="BG30" s="93">
        <v>8</v>
      </c>
      <c r="BH30" s="93">
        <v>8</v>
      </c>
      <c r="BI30" s="93">
        <v>8</v>
      </c>
      <c r="BJ30" s="93">
        <v>8</v>
      </c>
      <c r="BK30" s="93">
        <v>8</v>
      </c>
      <c r="BL30" s="93">
        <v>8</v>
      </c>
      <c r="BM30" s="93">
        <v>8</v>
      </c>
      <c r="BN30" s="93">
        <v>8</v>
      </c>
      <c r="BO30" s="93">
        <v>8</v>
      </c>
      <c r="BP30" s="93">
        <v>8</v>
      </c>
      <c r="BQ30" s="93">
        <v>8</v>
      </c>
      <c r="BR30" s="93">
        <v>8</v>
      </c>
      <c r="BS30" s="93">
        <v>8</v>
      </c>
      <c r="BT30" s="93">
        <v>8</v>
      </c>
      <c r="BU30" s="93">
        <v>8</v>
      </c>
      <c r="BV30" s="93">
        <v>8</v>
      </c>
      <c r="BW30" s="93">
        <v>8</v>
      </c>
      <c r="BX30" s="93">
        <v>8</v>
      </c>
      <c r="BY30" s="93">
        <v>8</v>
      </c>
      <c r="BZ30" s="93">
        <v>8</v>
      </c>
      <c r="CA30" s="93">
        <v>8</v>
      </c>
      <c r="CB30" s="93">
        <v>8</v>
      </c>
      <c r="CC30" s="93">
        <v>8</v>
      </c>
      <c r="CD30" s="93">
        <v>8</v>
      </c>
      <c r="CE30" s="93">
        <v>8</v>
      </c>
      <c r="CF30" s="93">
        <v>8</v>
      </c>
      <c r="CG30" s="93">
        <v>8</v>
      </c>
      <c r="CH30" s="93">
        <v>8</v>
      </c>
      <c r="CI30" s="93">
        <v>8</v>
      </c>
      <c r="CJ30" s="93">
        <v>8</v>
      </c>
      <c r="CK30" s="93">
        <v>8</v>
      </c>
      <c r="CL30" s="93">
        <v>8</v>
      </c>
      <c r="CM30" s="93">
        <v>8</v>
      </c>
      <c r="CN30" s="93">
        <v>8</v>
      </c>
      <c r="CO30" s="93">
        <v>8</v>
      </c>
      <c r="CP30" s="93">
        <v>8</v>
      </c>
      <c r="CQ30" s="93">
        <v>8</v>
      </c>
      <c r="CR30" s="93">
        <v>8</v>
      </c>
      <c r="CS30" s="93">
        <v>8</v>
      </c>
      <c r="CT30" s="93">
        <v>8</v>
      </c>
      <c r="CU30" s="93">
        <v>8</v>
      </c>
      <c r="CV30" s="93">
        <v>8</v>
      </c>
      <c r="CW30" s="93">
        <v>8</v>
      </c>
      <c r="CX30" s="93">
        <v>8</v>
      </c>
      <c r="CY30" s="93">
        <v>8</v>
      </c>
      <c r="CZ30" s="93">
        <v>8</v>
      </c>
      <c r="DA30" s="93">
        <v>8</v>
      </c>
      <c r="DB30" s="93">
        <v>8</v>
      </c>
      <c r="DC30" s="93">
        <v>8</v>
      </c>
      <c r="DD30" s="93">
        <v>8</v>
      </c>
      <c r="DE30" s="93">
        <v>8</v>
      </c>
    </row>
    <row r="31" spans="1:109">
      <c r="A31" s="92" t="s">
        <v>265</v>
      </c>
      <c r="B31" s="93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  <c r="AF31" s="93">
        <v>0</v>
      </c>
      <c r="AG31" s="93">
        <v>0</v>
      </c>
      <c r="AH31" s="93">
        <v>0</v>
      </c>
      <c r="AI31" s="93">
        <v>0</v>
      </c>
      <c r="AJ31" s="93">
        <v>0</v>
      </c>
      <c r="AK31" s="93">
        <v>0</v>
      </c>
      <c r="AL31" s="93">
        <v>0</v>
      </c>
      <c r="AM31" s="93">
        <v>0</v>
      </c>
      <c r="AN31" s="93">
        <v>0</v>
      </c>
      <c r="AO31" s="93">
        <v>0</v>
      </c>
      <c r="AP31" s="93">
        <v>0</v>
      </c>
      <c r="AQ31" s="93">
        <v>0</v>
      </c>
      <c r="AR31" s="93">
        <v>0</v>
      </c>
      <c r="AS31" s="93">
        <v>0</v>
      </c>
      <c r="AT31" s="93">
        <v>0</v>
      </c>
      <c r="AU31" s="93">
        <v>0</v>
      </c>
      <c r="AV31" s="93">
        <v>0</v>
      </c>
      <c r="AW31" s="93">
        <v>0</v>
      </c>
      <c r="AX31" s="93">
        <v>0</v>
      </c>
      <c r="AY31" s="93">
        <v>0</v>
      </c>
      <c r="AZ31" s="93">
        <v>0</v>
      </c>
      <c r="BA31" s="93">
        <v>0</v>
      </c>
      <c r="BB31" s="93">
        <v>0</v>
      </c>
      <c r="BC31" s="93">
        <v>0</v>
      </c>
      <c r="BD31" s="93">
        <v>0</v>
      </c>
      <c r="BE31" s="93">
        <v>0</v>
      </c>
      <c r="BF31" s="93">
        <v>0</v>
      </c>
      <c r="BG31" s="93">
        <v>0</v>
      </c>
      <c r="BH31" s="93">
        <v>0</v>
      </c>
      <c r="BI31" s="93">
        <v>0</v>
      </c>
      <c r="BJ31" s="93">
        <v>0</v>
      </c>
      <c r="BK31" s="93">
        <v>0</v>
      </c>
      <c r="BL31" s="93">
        <v>0</v>
      </c>
      <c r="BM31" s="93">
        <v>0</v>
      </c>
      <c r="BN31" s="93">
        <v>0</v>
      </c>
      <c r="BO31" s="93">
        <v>0</v>
      </c>
      <c r="BP31" s="93">
        <v>0</v>
      </c>
      <c r="BQ31" s="93">
        <v>0</v>
      </c>
      <c r="BR31" s="93">
        <v>0</v>
      </c>
      <c r="BS31" s="93">
        <v>0</v>
      </c>
      <c r="BT31" s="93">
        <v>0</v>
      </c>
      <c r="BU31" s="93">
        <v>0</v>
      </c>
      <c r="BV31" s="93">
        <v>0</v>
      </c>
      <c r="BW31" s="93">
        <v>0</v>
      </c>
      <c r="BX31" s="93">
        <v>0</v>
      </c>
      <c r="BY31" s="93">
        <v>0</v>
      </c>
      <c r="BZ31" s="93">
        <v>0</v>
      </c>
      <c r="CA31" s="93">
        <v>0</v>
      </c>
      <c r="CB31" s="93">
        <v>0</v>
      </c>
      <c r="CC31" s="93">
        <v>0</v>
      </c>
      <c r="CD31" s="93">
        <v>0</v>
      </c>
      <c r="CE31" s="93">
        <v>0</v>
      </c>
      <c r="CF31" s="93">
        <v>0</v>
      </c>
      <c r="CG31" s="93">
        <v>0</v>
      </c>
      <c r="CH31" s="93">
        <v>0</v>
      </c>
      <c r="CI31" s="93">
        <v>0</v>
      </c>
      <c r="CJ31" s="93">
        <v>0</v>
      </c>
      <c r="CK31" s="93">
        <v>0</v>
      </c>
      <c r="CL31" s="93">
        <v>0</v>
      </c>
      <c r="CM31" s="93">
        <v>0</v>
      </c>
      <c r="CN31" s="93">
        <v>0</v>
      </c>
      <c r="CO31" s="93">
        <v>0</v>
      </c>
      <c r="CP31" s="93">
        <v>0</v>
      </c>
      <c r="CQ31" s="93">
        <v>0</v>
      </c>
      <c r="CR31" s="93">
        <v>0</v>
      </c>
      <c r="CS31" s="93">
        <v>0</v>
      </c>
      <c r="CT31" s="93">
        <v>0</v>
      </c>
      <c r="CU31" s="93">
        <v>0</v>
      </c>
      <c r="CV31" s="93">
        <v>0</v>
      </c>
      <c r="CW31" s="93">
        <v>0</v>
      </c>
      <c r="CX31" s="93">
        <v>0</v>
      </c>
      <c r="CY31" s="93">
        <v>0</v>
      </c>
      <c r="CZ31" s="93">
        <v>0</v>
      </c>
      <c r="DA31" s="93">
        <v>0</v>
      </c>
      <c r="DB31" s="93">
        <v>0</v>
      </c>
      <c r="DC31" s="93">
        <v>0</v>
      </c>
      <c r="DD31" s="93">
        <v>0</v>
      </c>
      <c r="DE31" s="93">
        <v>0</v>
      </c>
    </row>
    <row r="32" spans="1:109">
      <c r="A32" s="95" t="s">
        <v>266</v>
      </c>
      <c r="B32" s="93">
        <v>8</v>
      </c>
      <c r="C32" s="93">
        <v>8</v>
      </c>
      <c r="D32" s="93">
        <v>8</v>
      </c>
      <c r="E32" s="93">
        <v>8</v>
      </c>
      <c r="F32" s="93">
        <v>8</v>
      </c>
      <c r="G32" s="93">
        <v>8</v>
      </c>
      <c r="H32" s="93">
        <v>8</v>
      </c>
      <c r="I32" s="93">
        <v>8</v>
      </c>
      <c r="J32" s="93">
        <v>8</v>
      </c>
      <c r="K32" s="93">
        <v>8</v>
      </c>
      <c r="L32" s="93">
        <v>8</v>
      </c>
      <c r="M32" s="93">
        <v>8</v>
      </c>
      <c r="N32" s="93">
        <v>8</v>
      </c>
      <c r="O32" s="93">
        <v>8</v>
      </c>
      <c r="P32" s="93">
        <v>8</v>
      </c>
      <c r="Q32" s="93">
        <v>8</v>
      </c>
      <c r="R32" s="93">
        <v>8</v>
      </c>
      <c r="S32" s="93">
        <v>8</v>
      </c>
      <c r="T32" s="93">
        <v>8</v>
      </c>
      <c r="U32" s="93">
        <v>8</v>
      </c>
      <c r="V32" s="93">
        <v>8</v>
      </c>
      <c r="W32" s="93">
        <v>8</v>
      </c>
      <c r="X32" s="93">
        <v>8</v>
      </c>
      <c r="Y32" s="93">
        <v>8</v>
      </c>
      <c r="Z32" s="93">
        <v>8</v>
      </c>
      <c r="AA32" s="93">
        <v>8</v>
      </c>
      <c r="AB32" s="93">
        <v>8</v>
      </c>
      <c r="AC32" s="93">
        <v>8</v>
      </c>
      <c r="AD32" s="93">
        <v>8</v>
      </c>
      <c r="AE32" s="93">
        <v>8</v>
      </c>
      <c r="AF32" s="93">
        <v>8</v>
      </c>
      <c r="AG32" s="93">
        <v>8</v>
      </c>
      <c r="AH32" s="93">
        <v>8</v>
      </c>
      <c r="AI32" s="93">
        <v>8</v>
      </c>
      <c r="AJ32" s="93">
        <v>8</v>
      </c>
      <c r="AK32" s="93">
        <v>8</v>
      </c>
      <c r="AL32" s="93">
        <v>8</v>
      </c>
      <c r="AM32" s="93">
        <v>8</v>
      </c>
      <c r="AN32" s="93">
        <v>8</v>
      </c>
      <c r="AO32" s="93">
        <v>8</v>
      </c>
      <c r="AP32" s="93">
        <v>8</v>
      </c>
      <c r="AQ32" s="93">
        <v>8</v>
      </c>
      <c r="AR32" s="93">
        <v>8</v>
      </c>
      <c r="AS32" s="93">
        <v>8</v>
      </c>
      <c r="AT32" s="93">
        <v>8</v>
      </c>
      <c r="AU32" s="93">
        <v>8</v>
      </c>
      <c r="AV32" s="93">
        <v>8</v>
      </c>
      <c r="AW32" s="93">
        <v>8</v>
      </c>
      <c r="AX32" s="93">
        <v>8</v>
      </c>
      <c r="AY32" s="93">
        <v>8</v>
      </c>
      <c r="AZ32" s="93">
        <v>8</v>
      </c>
      <c r="BA32" s="93">
        <v>8</v>
      </c>
      <c r="BB32" s="93">
        <v>8</v>
      </c>
      <c r="BC32" s="93">
        <v>8</v>
      </c>
      <c r="BD32" s="93">
        <v>8</v>
      </c>
      <c r="BE32" s="93">
        <v>8</v>
      </c>
      <c r="BF32" s="93">
        <v>8</v>
      </c>
      <c r="BG32" s="93">
        <v>8</v>
      </c>
      <c r="BH32" s="93">
        <v>8</v>
      </c>
      <c r="BI32" s="93">
        <v>8</v>
      </c>
      <c r="BJ32" s="93">
        <v>8</v>
      </c>
      <c r="BK32" s="93">
        <v>8</v>
      </c>
      <c r="BL32" s="93">
        <v>8</v>
      </c>
      <c r="BM32" s="93">
        <v>8</v>
      </c>
      <c r="BN32" s="93">
        <v>8</v>
      </c>
      <c r="BO32" s="93">
        <v>8</v>
      </c>
      <c r="BP32" s="93">
        <v>8</v>
      </c>
      <c r="BQ32" s="93">
        <v>8</v>
      </c>
      <c r="BR32" s="93">
        <v>8</v>
      </c>
      <c r="BS32" s="93">
        <v>8</v>
      </c>
      <c r="BT32" s="93">
        <v>8</v>
      </c>
      <c r="BU32" s="93">
        <v>8</v>
      </c>
      <c r="BV32" s="93">
        <v>8</v>
      </c>
      <c r="BW32" s="93">
        <v>8</v>
      </c>
      <c r="BX32" s="93">
        <v>8</v>
      </c>
      <c r="BY32" s="93">
        <v>8</v>
      </c>
      <c r="BZ32" s="93">
        <v>8</v>
      </c>
      <c r="CA32" s="93">
        <v>8</v>
      </c>
      <c r="CB32" s="93">
        <v>8</v>
      </c>
      <c r="CC32" s="93">
        <v>8</v>
      </c>
      <c r="CD32" s="93">
        <v>8</v>
      </c>
      <c r="CE32" s="93">
        <v>8</v>
      </c>
      <c r="CF32" s="93">
        <v>8</v>
      </c>
      <c r="CG32" s="93">
        <v>8</v>
      </c>
      <c r="CH32" s="93">
        <v>8</v>
      </c>
      <c r="CI32" s="93">
        <v>8</v>
      </c>
      <c r="CJ32" s="93">
        <v>8</v>
      </c>
      <c r="CK32" s="93">
        <v>8</v>
      </c>
      <c r="CL32" s="93">
        <v>8</v>
      </c>
      <c r="CM32" s="93">
        <v>8</v>
      </c>
      <c r="CN32" s="93">
        <v>8</v>
      </c>
      <c r="CO32" s="93">
        <v>8</v>
      </c>
      <c r="CP32" s="93">
        <v>8</v>
      </c>
      <c r="CQ32" s="93">
        <v>8</v>
      </c>
      <c r="CR32" s="93">
        <v>8</v>
      </c>
      <c r="CS32" s="93">
        <v>8</v>
      </c>
      <c r="CT32" s="93">
        <v>8</v>
      </c>
      <c r="CU32" s="93">
        <v>8</v>
      </c>
      <c r="CV32" s="93">
        <v>8</v>
      </c>
      <c r="CW32" s="93">
        <v>8</v>
      </c>
      <c r="CX32" s="93">
        <v>8</v>
      </c>
      <c r="CY32" s="93">
        <v>8</v>
      </c>
      <c r="CZ32" s="93">
        <v>8</v>
      </c>
      <c r="DA32" s="93">
        <v>8</v>
      </c>
      <c r="DB32" s="93">
        <v>8</v>
      </c>
      <c r="DC32" s="93">
        <v>8</v>
      </c>
      <c r="DD32" s="93">
        <v>8</v>
      </c>
      <c r="DE32" s="93">
        <v>8</v>
      </c>
    </row>
    <row r="33" spans="1:109">
      <c r="A33" s="95" t="s">
        <v>267</v>
      </c>
      <c r="B33" s="93">
        <v>2</v>
      </c>
      <c r="C33" s="93">
        <v>2</v>
      </c>
      <c r="D33" s="93">
        <v>2</v>
      </c>
      <c r="E33" s="93">
        <v>2</v>
      </c>
      <c r="F33" s="93">
        <v>2</v>
      </c>
      <c r="G33" s="93">
        <v>2</v>
      </c>
      <c r="H33" s="93">
        <v>2</v>
      </c>
      <c r="I33" s="93">
        <v>2</v>
      </c>
      <c r="J33" s="93">
        <v>2</v>
      </c>
      <c r="K33" s="93">
        <v>2</v>
      </c>
      <c r="L33" s="93">
        <v>2</v>
      </c>
      <c r="M33" s="93">
        <v>2</v>
      </c>
      <c r="N33" s="93">
        <v>2</v>
      </c>
      <c r="O33" s="93">
        <v>2</v>
      </c>
      <c r="P33" s="93">
        <v>2</v>
      </c>
      <c r="Q33" s="93">
        <v>2</v>
      </c>
      <c r="R33" s="93">
        <v>2</v>
      </c>
      <c r="S33" s="93">
        <v>2</v>
      </c>
      <c r="T33" s="93">
        <v>2</v>
      </c>
      <c r="U33" s="93">
        <v>2</v>
      </c>
      <c r="V33" s="93">
        <v>2</v>
      </c>
      <c r="W33" s="93">
        <v>2</v>
      </c>
      <c r="X33" s="93">
        <v>2</v>
      </c>
      <c r="Y33" s="93">
        <v>2</v>
      </c>
      <c r="Z33" s="93">
        <v>2</v>
      </c>
      <c r="AA33" s="93">
        <v>2</v>
      </c>
      <c r="AB33" s="93">
        <v>2</v>
      </c>
      <c r="AC33" s="93">
        <v>2</v>
      </c>
      <c r="AD33" s="93">
        <v>2</v>
      </c>
      <c r="AE33" s="93">
        <v>2</v>
      </c>
      <c r="AF33" s="93">
        <v>2</v>
      </c>
      <c r="AG33" s="93">
        <v>2</v>
      </c>
      <c r="AH33" s="93">
        <v>2</v>
      </c>
      <c r="AI33" s="93">
        <v>2</v>
      </c>
      <c r="AJ33" s="93">
        <v>2</v>
      </c>
      <c r="AK33" s="93">
        <v>2</v>
      </c>
      <c r="AL33" s="93">
        <v>2</v>
      </c>
      <c r="AM33" s="93">
        <v>2</v>
      </c>
      <c r="AN33" s="93">
        <v>2</v>
      </c>
      <c r="AO33" s="93">
        <v>2</v>
      </c>
      <c r="AP33" s="93">
        <v>2</v>
      </c>
      <c r="AQ33" s="93">
        <v>2</v>
      </c>
      <c r="AR33" s="93">
        <v>2</v>
      </c>
      <c r="AS33" s="93">
        <v>2</v>
      </c>
      <c r="AT33" s="93">
        <v>2</v>
      </c>
      <c r="AU33" s="93">
        <v>2</v>
      </c>
      <c r="AV33" s="93">
        <v>2</v>
      </c>
      <c r="AW33" s="93">
        <v>2</v>
      </c>
      <c r="AX33" s="93">
        <v>2</v>
      </c>
      <c r="AY33" s="93">
        <v>2</v>
      </c>
      <c r="AZ33" s="93">
        <v>2</v>
      </c>
      <c r="BA33" s="93">
        <v>2</v>
      </c>
      <c r="BB33" s="93">
        <v>2</v>
      </c>
      <c r="BC33" s="93">
        <v>2</v>
      </c>
      <c r="BD33" s="93">
        <v>2</v>
      </c>
      <c r="BE33" s="93">
        <v>2</v>
      </c>
      <c r="BF33" s="93">
        <v>2</v>
      </c>
      <c r="BG33" s="93">
        <v>2</v>
      </c>
      <c r="BH33" s="93">
        <v>2</v>
      </c>
      <c r="BI33" s="93">
        <v>2</v>
      </c>
      <c r="BJ33" s="93">
        <v>2</v>
      </c>
      <c r="BK33" s="93">
        <v>2</v>
      </c>
      <c r="BL33" s="93">
        <v>2</v>
      </c>
      <c r="BM33" s="93">
        <v>2</v>
      </c>
      <c r="BN33" s="93">
        <v>2</v>
      </c>
      <c r="BO33" s="93">
        <v>2</v>
      </c>
      <c r="BP33" s="93">
        <v>2</v>
      </c>
      <c r="BQ33" s="93">
        <v>2</v>
      </c>
      <c r="BR33" s="93">
        <v>2</v>
      </c>
      <c r="BS33" s="93">
        <v>2</v>
      </c>
      <c r="BT33" s="93">
        <v>2</v>
      </c>
      <c r="BU33" s="93">
        <v>2</v>
      </c>
      <c r="BV33" s="93">
        <v>2</v>
      </c>
      <c r="BW33" s="93">
        <v>2</v>
      </c>
      <c r="BX33" s="93">
        <v>2</v>
      </c>
      <c r="BY33" s="93">
        <v>2</v>
      </c>
      <c r="BZ33" s="93">
        <v>2</v>
      </c>
      <c r="CA33" s="93">
        <v>2</v>
      </c>
      <c r="CB33" s="93">
        <v>2</v>
      </c>
      <c r="CC33" s="93">
        <v>2</v>
      </c>
      <c r="CD33" s="93">
        <v>2</v>
      </c>
      <c r="CE33" s="93">
        <v>2</v>
      </c>
      <c r="CF33" s="93">
        <v>2</v>
      </c>
      <c r="CG33" s="93">
        <v>2</v>
      </c>
      <c r="CH33" s="93">
        <v>2</v>
      </c>
      <c r="CI33" s="93">
        <v>2</v>
      </c>
      <c r="CJ33" s="93">
        <v>2</v>
      </c>
      <c r="CK33" s="93">
        <v>2</v>
      </c>
      <c r="CL33" s="93">
        <v>2</v>
      </c>
      <c r="CM33" s="93">
        <v>2</v>
      </c>
      <c r="CN33" s="93">
        <v>2</v>
      </c>
      <c r="CO33" s="93">
        <v>2</v>
      </c>
      <c r="CP33" s="93">
        <v>2</v>
      </c>
      <c r="CQ33" s="93">
        <v>2</v>
      </c>
      <c r="CR33" s="93">
        <v>2</v>
      </c>
      <c r="CS33" s="93">
        <v>2</v>
      </c>
      <c r="CT33" s="93">
        <v>2</v>
      </c>
      <c r="CU33" s="93">
        <v>2</v>
      </c>
      <c r="CV33" s="93">
        <v>2</v>
      </c>
      <c r="CW33" s="93">
        <v>2</v>
      </c>
      <c r="CX33" s="93">
        <v>2</v>
      </c>
      <c r="CY33" s="93">
        <v>2</v>
      </c>
      <c r="CZ33" s="93">
        <v>2</v>
      </c>
      <c r="DA33" s="93">
        <v>2</v>
      </c>
      <c r="DB33" s="93">
        <v>2</v>
      </c>
      <c r="DC33" s="93">
        <v>2</v>
      </c>
      <c r="DD33" s="93">
        <v>2</v>
      </c>
      <c r="DE33" s="93">
        <v>2</v>
      </c>
    </row>
    <row r="34" spans="1:109">
      <c r="A34" s="94" t="s">
        <v>268</v>
      </c>
      <c r="B34" s="93">
        <v>2</v>
      </c>
      <c r="C34" s="93">
        <v>2</v>
      </c>
      <c r="D34" s="93">
        <v>2</v>
      </c>
      <c r="E34" s="93">
        <v>2</v>
      </c>
      <c r="F34" s="93">
        <v>2</v>
      </c>
      <c r="G34" s="93">
        <v>2</v>
      </c>
      <c r="H34" s="93">
        <v>2</v>
      </c>
      <c r="I34" s="93">
        <v>2</v>
      </c>
      <c r="J34" s="93">
        <v>2</v>
      </c>
      <c r="K34" s="93">
        <v>2</v>
      </c>
      <c r="L34" s="93">
        <v>2</v>
      </c>
      <c r="M34" s="93">
        <v>2</v>
      </c>
      <c r="N34" s="93">
        <v>2</v>
      </c>
      <c r="O34" s="93">
        <v>2</v>
      </c>
      <c r="P34" s="93">
        <v>2</v>
      </c>
      <c r="Q34" s="93">
        <v>2</v>
      </c>
      <c r="R34" s="93">
        <v>2</v>
      </c>
      <c r="S34" s="93">
        <v>2</v>
      </c>
      <c r="T34" s="93">
        <v>2</v>
      </c>
      <c r="U34" s="93">
        <v>2</v>
      </c>
      <c r="V34" s="93">
        <v>2</v>
      </c>
      <c r="W34" s="93">
        <v>2</v>
      </c>
      <c r="X34" s="93">
        <v>2</v>
      </c>
      <c r="Y34" s="93">
        <v>2</v>
      </c>
      <c r="Z34" s="93">
        <v>2</v>
      </c>
      <c r="AA34" s="93">
        <v>2</v>
      </c>
      <c r="AB34" s="93">
        <v>2</v>
      </c>
      <c r="AC34" s="93">
        <v>2</v>
      </c>
      <c r="AD34" s="93">
        <v>2</v>
      </c>
      <c r="AE34" s="93">
        <v>2</v>
      </c>
      <c r="AF34" s="93">
        <v>2</v>
      </c>
      <c r="AG34" s="93">
        <v>2</v>
      </c>
      <c r="AH34" s="93">
        <v>2</v>
      </c>
      <c r="AI34" s="93">
        <v>2</v>
      </c>
      <c r="AJ34" s="93">
        <v>2</v>
      </c>
      <c r="AK34" s="93">
        <v>2</v>
      </c>
      <c r="AL34" s="93">
        <v>2</v>
      </c>
      <c r="AM34" s="93">
        <v>2</v>
      </c>
      <c r="AN34" s="93">
        <v>2</v>
      </c>
      <c r="AO34" s="93">
        <v>2</v>
      </c>
      <c r="AP34" s="93">
        <v>2</v>
      </c>
      <c r="AQ34" s="93">
        <v>2</v>
      </c>
      <c r="AR34" s="93">
        <v>2</v>
      </c>
      <c r="AS34" s="93">
        <v>2</v>
      </c>
      <c r="AT34" s="93">
        <v>2</v>
      </c>
      <c r="AU34" s="93">
        <v>2</v>
      </c>
      <c r="AV34" s="93">
        <v>2</v>
      </c>
      <c r="AW34" s="93">
        <v>2</v>
      </c>
      <c r="AX34" s="93">
        <v>2</v>
      </c>
      <c r="AY34" s="93">
        <v>2</v>
      </c>
      <c r="AZ34" s="93">
        <v>2</v>
      </c>
      <c r="BA34" s="93">
        <v>2</v>
      </c>
      <c r="BB34" s="93">
        <v>2</v>
      </c>
      <c r="BC34" s="93">
        <v>2</v>
      </c>
      <c r="BD34" s="93">
        <v>2</v>
      </c>
      <c r="BE34" s="93">
        <v>2</v>
      </c>
      <c r="BF34" s="93">
        <v>2</v>
      </c>
      <c r="BG34" s="93">
        <v>2</v>
      </c>
      <c r="BH34" s="93">
        <v>2</v>
      </c>
      <c r="BI34" s="93">
        <v>2</v>
      </c>
      <c r="BJ34" s="93">
        <v>2</v>
      </c>
      <c r="BK34" s="93">
        <v>2</v>
      </c>
      <c r="BL34" s="93">
        <v>2</v>
      </c>
      <c r="BM34" s="93">
        <v>2</v>
      </c>
      <c r="BN34" s="93">
        <v>2</v>
      </c>
      <c r="BO34" s="93">
        <v>2</v>
      </c>
      <c r="BP34" s="93">
        <v>2</v>
      </c>
      <c r="BQ34" s="93">
        <v>2</v>
      </c>
      <c r="BR34" s="93">
        <v>2</v>
      </c>
      <c r="BS34" s="93">
        <v>2</v>
      </c>
      <c r="BT34" s="93">
        <v>2</v>
      </c>
      <c r="BU34" s="93">
        <v>2</v>
      </c>
      <c r="BV34" s="93">
        <v>2</v>
      </c>
      <c r="BW34" s="93">
        <v>2</v>
      </c>
      <c r="BX34" s="93">
        <v>2</v>
      </c>
      <c r="BY34" s="93">
        <v>2</v>
      </c>
      <c r="BZ34" s="93">
        <v>2</v>
      </c>
      <c r="CA34" s="93">
        <v>2</v>
      </c>
      <c r="CB34" s="93">
        <v>2</v>
      </c>
      <c r="CC34" s="93">
        <v>2</v>
      </c>
      <c r="CD34" s="93">
        <v>2</v>
      </c>
      <c r="CE34" s="93">
        <v>2</v>
      </c>
      <c r="CF34" s="93">
        <v>2</v>
      </c>
      <c r="CG34" s="93">
        <v>2</v>
      </c>
      <c r="CH34" s="93">
        <v>2</v>
      </c>
      <c r="CI34" s="93">
        <v>2</v>
      </c>
      <c r="CJ34" s="93">
        <v>2</v>
      </c>
      <c r="CK34" s="93">
        <v>2</v>
      </c>
      <c r="CL34" s="93">
        <v>2</v>
      </c>
      <c r="CM34" s="93">
        <v>2</v>
      </c>
      <c r="CN34" s="93">
        <v>2</v>
      </c>
      <c r="CO34" s="93">
        <v>2</v>
      </c>
      <c r="CP34" s="93">
        <v>2</v>
      </c>
      <c r="CQ34" s="93">
        <v>2</v>
      </c>
      <c r="CR34" s="93">
        <v>2</v>
      </c>
      <c r="CS34" s="93">
        <v>2</v>
      </c>
      <c r="CT34" s="93">
        <v>2</v>
      </c>
      <c r="CU34" s="93">
        <v>2</v>
      </c>
      <c r="CV34" s="93">
        <v>2</v>
      </c>
      <c r="CW34" s="93">
        <v>2</v>
      </c>
      <c r="CX34" s="93">
        <v>2</v>
      </c>
      <c r="CY34" s="93">
        <v>2</v>
      </c>
      <c r="CZ34" s="93">
        <v>2</v>
      </c>
      <c r="DA34" s="93">
        <v>2</v>
      </c>
      <c r="DB34" s="93">
        <v>2</v>
      </c>
      <c r="DC34" s="93">
        <v>2</v>
      </c>
      <c r="DD34" s="93">
        <v>2</v>
      </c>
      <c r="DE34" s="93">
        <v>2</v>
      </c>
    </row>
    <row r="35" spans="1:109">
      <c r="A35" s="92" t="s">
        <v>269</v>
      </c>
      <c r="B35" s="93"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>
        <v>0</v>
      </c>
      <c r="AQ35" s="93">
        <v>0</v>
      </c>
      <c r="AR35" s="93">
        <v>0</v>
      </c>
      <c r="AS35" s="93">
        <v>0</v>
      </c>
      <c r="AT35" s="93">
        <v>0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0</v>
      </c>
      <c r="BG35" s="93">
        <v>0</v>
      </c>
      <c r="BH35" s="93">
        <v>0</v>
      </c>
      <c r="BI35" s="93">
        <v>0</v>
      </c>
      <c r="BJ35" s="93">
        <v>0</v>
      </c>
      <c r="BK35" s="93">
        <v>0</v>
      </c>
      <c r="BL35" s="93">
        <v>0</v>
      </c>
      <c r="BM35" s="93">
        <v>0</v>
      </c>
      <c r="BN35" s="93">
        <v>0</v>
      </c>
      <c r="BO35" s="93">
        <v>0</v>
      </c>
      <c r="BP35" s="93">
        <v>0</v>
      </c>
      <c r="BQ35" s="93">
        <v>0</v>
      </c>
      <c r="BR35" s="93">
        <v>0</v>
      </c>
      <c r="BS35" s="93">
        <v>0</v>
      </c>
      <c r="BT35" s="93">
        <v>0</v>
      </c>
      <c r="BU35" s="93">
        <v>0</v>
      </c>
      <c r="BV35" s="93">
        <v>0</v>
      </c>
      <c r="BW35" s="93">
        <v>0</v>
      </c>
      <c r="BX35" s="93">
        <v>0</v>
      </c>
      <c r="BY35" s="93">
        <v>0</v>
      </c>
      <c r="BZ35" s="93">
        <v>0</v>
      </c>
      <c r="CA35" s="93">
        <v>0</v>
      </c>
      <c r="CB35" s="93">
        <v>0</v>
      </c>
      <c r="CC35" s="93">
        <v>0</v>
      </c>
      <c r="CD35" s="93">
        <v>0</v>
      </c>
      <c r="CE35" s="93">
        <v>0</v>
      </c>
      <c r="CF35" s="93">
        <v>0</v>
      </c>
      <c r="CG35" s="93">
        <v>0</v>
      </c>
      <c r="CH35" s="93">
        <v>0</v>
      </c>
      <c r="CI35" s="93">
        <v>0</v>
      </c>
      <c r="CJ35" s="93">
        <v>0</v>
      </c>
      <c r="CK35" s="93">
        <v>0</v>
      </c>
      <c r="CL35" s="93">
        <v>0</v>
      </c>
      <c r="CM35" s="93">
        <v>0</v>
      </c>
      <c r="CN35" s="93">
        <v>0</v>
      </c>
      <c r="CO35" s="93">
        <v>0</v>
      </c>
      <c r="CP35" s="93">
        <v>0</v>
      </c>
      <c r="CQ35" s="93">
        <v>0</v>
      </c>
      <c r="CR35" s="93">
        <v>0</v>
      </c>
      <c r="CS35" s="93">
        <v>0</v>
      </c>
      <c r="CT35" s="93">
        <v>0</v>
      </c>
      <c r="CU35" s="93">
        <v>0</v>
      </c>
      <c r="CV35" s="93">
        <v>0</v>
      </c>
      <c r="CW35" s="93">
        <v>0</v>
      </c>
      <c r="CX35" s="93">
        <v>0</v>
      </c>
      <c r="CY35" s="93">
        <v>0</v>
      </c>
      <c r="CZ35" s="93">
        <v>0</v>
      </c>
      <c r="DA35" s="93">
        <v>0</v>
      </c>
      <c r="DB35" s="93">
        <v>0</v>
      </c>
      <c r="DC35" s="93">
        <v>0</v>
      </c>
      <c r="DD35" s="93">
        <v>0</v>
      </c>
      <c r="DE35" s="93">
        <v>0</v>
      </c>
    </row>
    <row r="36" spans="1:109">
      <c r="A36" s="95" t="s">
        <v>270</v>
      </c>
      <c r="B36" s="93"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>
        <v>0</v>
      </c>
      <c r="AQ36" s="93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  <c r="BK36" s="93">
        <v>0</v>
      </c>
      <c r="BL36" s="93">
        <v>0</v>
      </c>
      <c r="BM36" s="93">
        <v>0</v>
      </c>
      <c r="BN36" s="93">
        <v>0</v>
      </c>
      <c r="BO36" s="93">
        <v>0</v>
      </c>
      <c r="BP36" s="93">
        <v>0</v>
      </c>
      <c r="BQ36" s="93">
        <v>0</v>
      </c>
      <c r="BR36" s="93">
        <v>0</v>
      </c>
      <c r="BS36" s="93">
        <v>0</v>
      </c>
      <c r="BT36" s="93">
        <v>0</v>
      </c>
      <c r="BU36" s="93">
        <v>0</v>
      </c>
      <c r="BV36" s="93">
        <v>0</v>
      </c>
      <c r="BW36" s="93">
        <v>0</v>
      </c>
      <c r="BX36" s="93">
        <v>0</v>
      </c>
      <c r="BY36" s="93">
        <v>0</v>
      </c>
      <c r="BZ36" s="93">
        <v>0</v>
      </c>
      <c r="CA36" s="93">
        <v>0</v>
      </c>
      <c r="CB36" s="93">
        <v>0</v>
      </c>
      <c r="CC36" s="93">
        <v>0</v>
      </c>
      <c r="CD36" s="93">
        <v>0</v>
      </c>
      <c r="CE36" s="93">
        <v>0</v>
      </c>
      <c r="CF36" s="93">
        <v>0</v>
      </c>
      <c r="CG36" s="93">
        <v>0</v>
      </c>
      <c r="CH36" s="93">
        <v>0</v>
      </c>
      <c r="CI36" s="93">
        <v>0</v>
      </c>
      <c r="CJ36" s="93">
        <v>0</v>
      </c>
      <c r="CK36" s="93">
        <v>0</v>
      </c>
      <c r="CL36" s="93">
        <v>0</v>
      </c>
      <c r="CM36" s="93">
        <v>0</v>
      </c>
      <c r="CN36" s="93">
        <v>0</v>
      </c>
      <c r="CO36" s="93">
        <v>0</v>
      </c>
      <c r="CP36" s="93">
        <v>0</v>
      </c>
      <c r="CQ36" s="93">
        <v>0</v>
      </c>
      <c r="CR36" s="93">
        <v>0</v>
      </c>
      <c r="CS36" s="93">
        <v>0</v>
      </c>
      <c r="CT36" s="93">
        <v>0</v>
      </c>
      <c r="CU36" s="93">
        <v>0</v>
      </c>
      <c r="CV36" s="93">
        <v>0</v>
      </c>
      <c r="CW36" s="93">
        <v>0</v>
      </c>
      <c r="CX36" s="93">
        <v>0</v>
      </c>
      <c r="CY36" s="93">
        <v>0</v>
      </c>
      <c r="CZ36" s="93">
        <v>0</v>
      </c>
      <c r="DA36" s="93">
        <v>0</v>
      </c>
      <c r="DB36" s="93">
        <v>0</v>
      </c>
      <c r="DC36" s="93">
        <v>0</v>
      </c>
      <c r="DD36" s="93">
        <v>0</v>
      </c>
      <c r="DE36" s="93">
        <v>0</v>
      </c>
    </row>
    <row r="37" spans="1:109">
      <c r="A37" s="94" t="s">
        <v>271</v>
      </c>
      <c r="B37" s="93">
        <v>61</v>
      </c>
      <c r="C37" s="93">
        <v>61</v>
      </c>
      <c r="D37" s="93">
        <v>61</v>
      </c>
      <c r="E37" s="93">
        <v>61</v>
      </c>
      <c r="F37" s="93">
        <v>61</v>
      </c>
      <c r="G37" s="93">
        <v>61</v>
      </c>
      <c r="H37" s="93">
        <v>61</v>
      </c>
      <c r="I37" s="93">
        <v>61</v>
      </c>
      <c r="J37" s="93">
        <v>61</v>
      </c>
      <c r="K37" s="93">
        <v>61</v>
      </c>
      <c r="L37" s="93">
        <v>61</v>
      </c>
      <c r="M37" s="93">
        <v>61</v>
      </c>
      <c r="N37" s="93">
        <v>61</v>
      </c>
      <c r="O37" s="93">
        <v>61</v>
      </c>
      <c r="P37" s="93">
        <v>61</v>
      </c>
      <c r="Q37" s="93">
        <v>61</v>
      </c>
      <c r="R37" s="93">
        <v>61</v>
      </c>
      <c r="S37" s="93">
        <v>61</v>
      </c>
      <c r="T37" s="93">
        <v>61</v>
      </c>
      <c r="U37" s="93">
        <v>61</v>
      </c>
      <c r="V37" s="93">
        <v>61</v>
      </c>
      <c r="W37" s="93">
        <v>61</v>
      </c>
      <c r="X37" s="93">
        <v>61</v>
      </c>
      <c r="Y37" s="93">
        <v>61</v>
      </c>
      <c r="Z37" s="93">
        <v>61</v>
      </c>
      <c r="AA37" s="93">
        <v>61</v>
      </c>
      <c r="AB37" s="93">
        <v>61</v>
      </c>
      <c r="AC37" s="93">
        <v>61</v>
      </c>
      <c r="AD37" s="93">
        <v>61</v>
      </c>
      <c r="AE37" s="93">
        <v>61</v>
      </c>
      <c r="AF37" s="93">
        <v>61</v>
      </c>
      <c r="AG37" s="93">
        <v>61</v>
      </c>
      <c r="AH37" s="93">
        <v>61</v>
      </c>
      <c r="AI37" s="93">
        <v>61</v>
      </c>
      <c r="AJ37" s="93">
        <v>61</v>
      </c>
      <c r="AK37" s="93">
        <v>61</v>
      </c>
      <c r="AL37" s="93">
        <v>61</v>
      </c>
      <c r="AM37" s="93">
        <v>61</v>
      </c>
      <c r="AN37" s="93">
        <v>61</v>
      </c>
      <c r="AO37" s="93">
        <v>61</v>
      </c>
      <c r="AP37" s="93">
        <v>61</v>
      </c>
      <c r="AQ37" s="93">
        <v>61</v>
      </c>
      <c r="AR37" s="93">
        <v>61</v>
      </c>
      <c r="AS37" s="93">
        <v>61</v>
      </c>
      <c r="AT37" s="93">
        <v>61</v>
      </c>
      <c r="AU37" s="93">
        <v>61</v>
      </c>
      <c r="AV37" s="93">
        <v>61</v>
      </c>
      <c r="AW37" s="93">
        <v>61</v>
      </c>
      <c r="AX37" s="93">
        <v>61</v>
      </c>
      <c r="AY37" s="93">
        <v>61</v>
      </c>
      <c r="AZ37" s="93">
        <v>61</v>
      </c>
      <c r="BA37" s="93">
        <v>61</v>
      </c>
      <c r="BB37" s="93">
        <v>61</v>
      </c>
      <c r="BC37" s="93">
        <v>61</v>
      </c>
      <c r="BD37" s="93">
        <v>61</v>
      </c>
      <c r="BE37" s="93">
        <v>61</v>
      </c>
      <c r="BF37" s="93">
        <v>61</v>
      </c>
      <c r="BG37" s="93">
        <v>61</v>
      </c>
      <c r="BH37" s="93">
        <v>61</v>
      </c>
      <c r="BI37" s="93">
        <v>61</v>
      </c>
      <c r="BJ37" s="93">
        <v>61</v>
      </c>
      <c r="BK37" s="93">
        <v>61</v>
      </c>
      <c r="BL37" s="93">
        <v>61</v>
      </c>
      <c r="BM37" s="93">
        <v>61</v>
      </c>
      <c r="BN37" s="93">
        <v>61</v>
      </c>
      <c r="BO37" s="93">
        <v>61</v>
      </c>
      <c r="BP37" s="93">
        <v>61</v>
      </c>
      <c r="BQ37" s="93">
        <v>61</v>
      </c>
      <c r="BR37" s="93">
        <v>61</v>
      </c>
      <c r="BS37" s="93">
        <v>61</v>
      </c>
      <c r="BT37" s="93">
        <v>61</v>
      </c>
      <c r="BU37" s="93">
        <v>61</v>
      </c>
      <c r="BV37" s="93">
        <v>61</v>
      </c>
      <c r="BW37" s="93">
        <v>61</v>
      </c>
      <c r="BX37" s="93">
        <v>61</v>
      </c>
      <c r="BY37" s="93">
        <v>61</v>
      </c>
      <c r="BZ37" s="93">
        <v>61</v>
      </c>
      <c r="CA37" s="93">
        <v>61</v>
      </c>
      <c r="CB37" s="93">
        <v>61</v>
      </c>
      <c r="CC37" s="93">
        <v>61</v>
      </c>
      <c r="CD37" s="93">
        <v>61</v>
      </c>
      <c r="CE37" s="93">
        <v>61</v>
      </c>
      <c r="CF37" s="93">
        <v>61</v>
      </c>
      <c r="CG37" s="93">
        <v>61</v>
      </c>
      <c r="CH37" s="93">
        <v>61</v>
      </c>
      <c r="CI37" s="93">
        <v>61</v>
      </c>
      <c r="CJ37" s="93">
        <v>61</v>
      </c>
      <c r="CK37" s="93">
        <v>61</v>
      </c>
      <c r="CL37" s="93">
        <v>61</v>
      </c>
      <c r="CM37" s="93">
        <v>61</v>
      </c>
      <c r="CN37" s="93">
        <v>61</v>
      </c>
      <c r="CO37" s="93">
        <v>61</v>
      </c>
      <c r="CP37" s="93">
        <v>61</v>
      </c>
      <c r="CQ37" s="93">
        <v>61</v>
      </c>
      <c r="CR37" s="93">
        <v>61</v>
      </c>
      <c r="CS37" s="93">
        <v>61</v>
      </c>
      <c r="CT37" s="93">
        <v>61</v>
      </c>
      <c r="CU37" s="93">
        <v>61</v>
      </c>
      <c r="CV37" s="93">
        <v>61</v>
      </c>
      <c r="CW37" s="93">
        <v>61</v>
      </c>
      <c r="CX37" s="93">
        <v>61</v>
      </c>
      <c r="CY37" s="93">
        <v>61</v>
      </c>
      <c r="CZ37" s="93">
        <v>61</v>
      </c>
      <c r="DA37" s="93">
        <v>61</v>
      </c>
      <c r="DB37" s="93">
        <v>61</v>
      </c>
      <c r="DC37" s="93">
        <v>61</v>
      </c>
      <c r="DD37" s="93">
        <v>61</v>
      </c>
      <c r="DE37" s="93">
        <v>61</v>
      </c>
    </row>
    <row r="38" spans="1:109" ht="12.75" thickBot="1">
      <c r="A38" s="90" t="s">
        <v>54</v>
      </c>
      <c r="B38" s="96">
        <f>SUM(B28:B37)</f>
        <v>390</v>
      </c>
      <c r="C38" s="96">
        <f t="shared" ref="C38:BN38" si="8">SUM(C28:C37)</f>
        <v>390</v>
      </c>
      <c r="D38" s="96">
        <f t="shared" si="8"/>
        <v>390</v>
      </c>
      <c r="E38" s="96">
        <f t="shared" si="8"/>
        <v>390</v>
      </c>
      <c r="F38" s="96">
        <f t="shared" si="8"/>
        <v>390</v>
      </c>
      <c r="G38" s="96">
        <f t="shared" si="8"/>
        <v>390</v>
      </c>
      <c r="H38" s="96">
        <f t="shared" si="8"/>
        <v>390</v>
      </c>
      <c r="I38" s="96">
        <f t="shared" si="8"/>
        <v>390</v>
      </c>
      <c r="J38" s="96">
        <f t="shared" si="8"/>
        <v>390</v>
      </c>
      <c r="K38" s="96">
        <f t="shared" si="8"/>
        <v>390</v>
      </c>
      <c r="L38" s="96">
        <f t="shared" si="8"/>
        <v>390</v>
      </c>
      <c r="M38" s="96">
        <f t="shared" si="8"/>
        <v>390</v>
      </c>
      <c r="N38" s="96">
        <f t="shared" si="8"/>
        <v>390</v>
      </c>
      <c r="O38" s="96">
        <f t="shared" si="8"/>
        <v>390</v>
      </c>
      <c r="P38" s="96">
        <f t="shared" si="8"/>
        <v>390</v>
      </c>
      <c r="Q38" s="96">
        <f t="shared" si="8"/>
        <v>390</v>
      </c>
      <c r="R38" s="96">
        <f t="shared" si="8"/>
        <v>390</v>
      </c>
      <c r="S38" s="96">
        <f t="shared" si="8"/>
        <v>390</v>
      </c>
      <c r="T38" s="96">
        <f t="shared" si="8"/>
        <v>390</v>
      </c>
      <c r="U38" s="96">
        <f t="shared" si="8"/>
        <v>390</v>
      </c>
      <c r="V38" s="96">
        <f t="shared" si="8"/>
        <v>390</v>
      </c>
      <c r="W38" s="96">
        <f t="shared" si="8"/>
        <v>390</v>
      </c>
      <c r="X38" s="96">
        <f t="shared" si="8"/>
        <v>390</v>
      </c>
      <c r="Y38" s="96">
        <f t="shared" si="8"/>
        <v>390</v>
      </c>
      <c r="Z38" s="96">
        <f t="shared" si="8"/>
        <v>390</v>
      </c>
      <c r="AA38" s="96">
        <f t="shared" si="8"/>
        <v>390</v>
      </c>
      <c r="AB38" s="96">
        <f t="shared" si="8"/>
        <v>390</v>
      </c>
      <c r="AC38" s="96">
        <f t="shared" si="8"/>
        <v>390</v>
      </c>
      <c r="AD38" s="96">
        <f t="shared" si="8"/>
        <v>390</v>
      </c>
      <c r="AE38" s="96">
        <f t="shared" si="8"/>
        <v>390</v>
      </c>
      <c r="AF38" s="96">
        <f t="shared" si="8"/>
        <v>390</v>
      </c>
      <c r="AG38" s="96">
        <f t="shared" si="8"/>
        <v>390</v>
      </c>
      <c r="AH38" s="96">
        <f t="shared" si="8"/>
        <v>390</v>
      </c>
      <c r="AI38" s="96">
        <f t="shared" si="8"/>
        <v>390</v>
      </c>
      <c r="AJ38" s="96">
        <f t="shared" si="8"/>
        <v>390</v>
      </c>
      <c r="AK38" s="96">
        <f t="shared" si="8"/>
        <v>390</v>
      </c>
      <c r="AL38" s="96">
        <f t="shared" si="8"/>
        <v>390</v>
      </c>
      <c r="AM38" s="96">
        <f t="shared" si="8"/>
        <v>390</v>
      </c>
      <c r="AN38" s="96">
        <f t="shared" si="8"/>
        <v>390</v>
      </c>
      <c r="AO38" s="96">
        <f t="shared" si="8"/>
        <v>390</v>
      </c>
      <c r="AP38" s="96">
        <f t="shared" si="8"/>
        <v>390</v>
      </c>
      <c r="AQ38" s="96">
        <f t="shared" si="8"/>
        <v>390</v>
      </c>
      <c r="AR38" s="96">
        <f t="shared" si="8"/>
        <v>390</v>
      </c>
      <c r="AS38" s="96">
        <f t="shared" si="8"/>
        <v>390</v>
      </c>
      <c r="AT38" s="96">
        <f t="shared" si="8"/>
        <v>390</v>
      </c>
      <c r="AU38" s="96">
        <f t="shared" si="8"/>
        <v>390</v>
      </c>
      <c r="AV38" s="96">
        <f t="shared" si="8"/>
        <v>390</v>
      </c>
      <c r="AW38" s="96">
        <f t="shared" si="8"/>
        <v>390</v>
      </c>
      <c r="AX38" s="96">
        <f t="shared" si="8"/>
        <v>390</v>
      </c>
      <c r="AY38" s="96">
        <f t="shared" si="8"/>
        <v>390</v>
      </c>
      <c r="AZ38" s="96">
        <f t="shared" si="8"/>
        <v>390</v>
      </c>
      <c r="BA38" s="96">
        <f t="shared" si="8"/>
        <v>390</v>
      </c>
      <c r="BB38" s="96">
        <f t="shared" si="8"/>
        <v>390</v>
      </c>
      <c r="BC38" s="96">
        <f t="shared" si="8"/>
        <v>390</v>
      </c>
      <c r="BD38" s="96">
        <f t="shared" si="8"/>
        <v>390</v>
      </c>
      <c r="BE38" s="96">
        <f t="shared" si="8"/>
        <v>390</v>
      </c>
      <c r="BF38" s="96">
        <f t="shared" si="8"/>
        <v>390</v>
      </c>
      <c r="BG38" s="96">
        <f t="shared" si="8"/>
        <v>390</v>
      </c>
      <c r="BH38" s="96">
        <f t="shared" si="8"/>
        <v>390</v>
      </c>
      <c r="BI38" s="96">
        <f t="shared" si="8"/>
        <v>390</v>
      </c>
      <c r="BJ38" s="96">
        <f t="shared" si="8"/>
        <v>390</v>
      </c>
      <c r="BK38" s="96">
        <f t="shared" si="8"/>
        <v>390</v>
      </c>
      <c r="BL38" s="96">
        <f t="shared" si="8"/>
        <v>390</v>
      </c>
      <c r="BM38" s="96">
        <f t="shared" si="8"/>
        <v>390</v>
      </c>
      <c r="BN38" s="96">
        <f t="shared" si="8"/>
        <v>390</v>
      </c>
      <c r="BO38" s="96">
        <f t="shared" ref="BO38:DE38" si="9">SUM(BO28:BO37)</f>
        <v>390</v>
      </c>
      <c r="BP38" s="96">
        <f t="shared" si="9"/>
        <v>390</v>
      </c>
      <c r="BQ38" s="96">
        <f t="shared" si="9"/>
        <v>390</v>
      </c>
      <c r="BR38" s="96">
        <f t="shared" si="9"/>
        <v>390</v>
      </c>
      <c r="BS38" s="96">
        <f t="shared" si="9"/>
        <v>390</v>
      </c>
      <c r="BT38" s="96">
        <f t="shared" si="9"/>
        <v>390</v>
      </c>
      <c r="BU38" s="96">
        <f t="shared" si="9"/>
        <v>390</v>
      </c>
      <c r="BV38" s="96">
        <f t="shared" si="9"/>
        <v>390</v>
      </c>
      <c r="BW38" s="96">
        <f t="shared" si="9"/>
        <v>390</v>
      </c>
      <c r="BX38" s="96">
        <f t="shared" si="9"/>
        <v>390</v>
      </c>
      <c r="BY38" s="96">
        <f t="shared" si="9"/>
        <v>390</v>
      </c>
      <c r="BZ38" s="96">
        <f t="shared" si="9"/>
        <v>390</v>
      </c>
      <c r="CA38" s="96">
        <f t="shared" si="9"/>
        <v>390</v>
      </c>
      <c r="CB38" s="96">
        <f t="shared" si="9"/>
        <v>390</v>
      </c>
      <c r="CC38" s="96">
        <f t="shared" si="9"/>
        <v>390</v>
      </c>
      <c r="CD38" s="96">
        <f t="shared" si="9"/>
        <v>390</v>
      </c>
      <c r="CE38" s="96">
        <f t="shared" si="9"/>
        <v>390</v>
      </c>
      <c r="CF38" s="96">
        <f t="shared" si="9"/>
        <v>390</v>
      </c>
      <c r="CG38" s="96">
        <f t="shared" si="9"/>
        <v>390</v>
      </c>
      <c r="CH38" s="96">
        <f t="shared" si="9"/>
        <v>390</v>
      </c>
      <c r="CI38" s="96">
        <f t="shared" si="9"/>
        <v>390</v>
      </c>
      <c r="CJ38" s="96">
        <f t="shared" si="9"/>
        <v>390</v>
      </c>
      <c r="CK38" s="96">
        <f t="shared" si="9"/>
        <v>390</v>
      </c>
      <c r="CL38" s="96">
        <f t="shared" si="9"/>
        <v>390</v>
      </c>
      <c r="CM38" s="96">
        <f t="shared" si="9"/>
        <v>390</v>
      </c>
      <c r="CN38" s="96">
        <f t="shared" si="9"/>
        <v>390</v>
      </c>
      <c r="CO38" s="96">
        <f t="shared" si="9"/>
        <v>390</v>
      </c>
      <c r="CP38" s="96">
        <f t="shared" si="9"/>
        <v>390</v>
      </c>
      <c r="CQ38" s="96">
        <f t="shared" si="9"/>
        <v>390</v>
      </c>
      <c r="CR38" s="96">
        <f t="shared" si="9"/>
        <v>390</v>
      </c>
      <c r="CS38" s="96">
        <f t="shared" si="9"/>
        <v>390</v>
      </c>
      <c r="CT38" s="96">
        <f t="shared" si="9"/>
        <v>390</v>
      </c>
      <c r="CU38" s="96">
        <f t="shared" si="9"/>
        <v>390</v>
      </c>
      <c r="CV38" s="96">
        <f t="shared" si="9"/>
        <v>390</v>
      </c>
      <c r="CW38" s="96">
        <f t="shared" si="9"/>
        <v>390</v>
      </c>
      <c r="CX38" s="96">
        <f t="shared" si="9"/>
        <v>390</v>
      </c>
      <c r="CY38" s="96">
        <f t="shared" si="9"/>
        <v>390</v>
      </c>
      <c r="CZ38" s="96">
        <f t="shared" si="9"/>
        <v>390</v>
      </c>
      <c r="DA38" s="96">
        <f t="shared" si="9"/>
        <v>390</v>
      </c>
      <c r="DB38" s="96">
        <f t="shared" si="9"/>
        <v>390</v>
      </c>
      <c r="DC38" s="96">
        <f t="shared" si="9"/>
        <v>390</v>
      </c>
      <c r="DD38" s="96">
        <f t="shared" si="9"/>
        <v>390</v>
      </c>
      <c r="DE38" s="96">
        <f t="shared" si="9"/>
        <v>390</v>
      </c>
    </row>
    <row r="39" spans="1:109" ht="12.75" thickTop="1">
      <c r="A39" s="97"/>
    </row>
    <row r="40" spans="1:109">
      <c r="A40" s="97"/>
    </row>
    <row r="41" spans="1:109">
      <c r="A41" s="97"/>
    </row>
    <row r="42" spans="1:109">
      <c r="A42" s="97"/>
    </row>
    <row r="43" spans="1:109">
      <c r="A43" s="97"/>
    </row>
    <row r="44" spans="1:109">
      <c r="A44" s="97"/>
    </row>
    <row r="45" spans="1:109">
      <c r="A45" s="97"/>
    </row>
    <row r="46" spans="1:109">
      <c r="A46" s="97"/>
    </row>
    <row r="47" spans="1:109">
      <c r="A47" s="97"/>
    </row>
    <row r="48" spans="1:109">
      <c r="A48" s="97"/>
    </row>
    <row r="49" spans="1:1">
      <c r="A49" s="97"/>
    </row>
    <row r="50" spans="1:1">
      <c r="A50" s="97"/>
    </row>
    <row r="51" spans="1:1">
      <c r="A51" s="97"/>
    </row>
    <row r="52" spans="1:1">
      <c r="A52" s="97"/>
    </row>
    <row r="53" spans="1:1">
      <c r="A53" s="97"/>
    </row>
    <row r="54" spans="1:1">
      <c r="A54" s="97"/>
    </row>
    <row r="55" spans="1:1">
      <c r="A55" s="97"/>
    </row>
    <row r="56" spans="1:1">
      <c r="A56" s="97"/>
    </row>
    <row r="57" spans="1:1">
      <c r="A57" s="97"/>
    </row>
    <row r="58" spans="1:1">
      <c r="A58" s="97"/>
    </row>
    <row r="59" spans="1:1">
      <c r="A59" s="97"/>
    </row>
    <row r="60" spans="1:1">
      <c r="A60" s="97"/>
    </row>
    <row r="61" spans="1:1">
      <c r="A61" s="97"/>
    </row>
    <row r="62" spans="1:1">
      <c r="A62" s="97"/>
    </row>
    <row r="63" spans="1:1">
      <c r="A63" s="97"/>
    </row>
    <row r="64" spans="1:1">
      <c r="A64" s="97"/>
    </row>
    <row r="65" spans="1:1">
      <c r="A65" s="97"/>
    </row>
    <row r="66" spans="1:1">
      <c r="A66" s="97"/>
    </row>
    <row r="67" spans="1:1">
      <c r="A67" s="97"/>
    </row>
    <row r="68" spans="1:1">
      <c r="A68" s="97"/>
    </row>
    <row r="69" spans="1:1">
      <c r="A69" s="97"/>
    </row>
    <row r="70" spans="1:1">
      <c r="A70" s="97"/>
    </row>
    <row r="71" spans="1:1">
      <c r="A71" s="97"/>
    </row>
    <row r="72" spans="1:1">
      <c r="A72" s="97"/>
    </row>
    <row r="73" spans="1:1">
      <c r="A73" s="97"/>
    </row>
    <row r="74" spans="1:1">
      <c r="A74" s="97"/>
    </row>
    <row r="75" spans="1:1">
      <c r="A75" s="97"/>
    </row>
    <row r="76" spans="1:1">
      <c r="A76" s="97"/>
    </row>
    <row r="77" spans="1:1">
      <c r="A77" s="97"/>
    </row>
    <row r="78" spans="1:1">
      <c r="A78" s="97"/>
    </row>
    <row r="79" spans="1:1">
      <c r="A79" s="97"/>
    </row>
    <row r="80" spans="1:1">
      <c r="A80" s="97"/>
    </row>
    <row r="81" spans="1:1">
      <c r="A81" s="97"/>
    </row>
    <row r="82" spans="1:1">
      <c r="A82" s="97"/>
    </row>
    <row r="83" spans="1:1">
      <c r="A83" s="97"/>
    </row>
    <row r="84" spans="1:1">
      <c r="A84" s="97"/>
    </row>
    <row r="85" spans="1:1">
      <c r="A85" s="97"/>
    </row>
    <row r="86" spans="1:1">
      <c r="A86" s="97"/>
    </row>
    <row r="87" spans="1:1">
      <c r="A87" s="97"/>
    </row>
    <row r="88" spans="1:1">
      <c r="A88" s="97"/>
    </row>
    <row r="89" spans="1:1">
      <c r="A89" s="97"/>
    </row>
    <row r="90" spans="1:1">
      <c r="A90" s="97"/>
    </row>
    <row r="91" spans="1:1">
      <c r="A91" s="97"/>
    </row>
    <row r="92" spans="1:1">
      <c r="A92" s="97"/>
    </row>
    <row r="93" spans="1:1">
      <c r="A93" s="97"/>
    </row>
    <row r="94" spans="1:1">
      <c r="A94" s="97"/>
    </row>
    <row r="95" spans="1:1">
      <c r="A95" s="97"/>
    </row>
    <row r="96" spans="1:1">
      <c r="A96" s="97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DE39"/>
  <sheetViews>
    <sheetView workbookViewId="0"/>
  </sheetViews>
  <sheetFormatPr defaultColWidth="9" defaultRowHeight="12"/>
  <cols>
    <col min="1" max="1" width="27.33203125" style="95" bestFit="1" customWidth="1"/>
    <col min="2" max="25" width="12" hidden="1" customWidth="1"/>
    <col min="26" max="109" width="12" customWidth="1"/>
  </cols>
  <sheetData>
    <row r="1" spans="1:109">
      <c r="A1" s="90" t="s">
        <v>261</v>
      </c>
      <c r="B1" s="91">
        <v>43951</v>
      </c>
      <c r="C1" s="91">
        <v>43982</v>
      </c>
      <c r="D1" s="91">
        <v>44012</v>
      </c>
      <c r="E1" s="91">
        <v>44043</v>
      </c>
      <c r="F1" s="91">
        <v>44074</v>
      </c>
      <c r="G1" s="91">
        <v>44104</v>
      </c>
      <c r="H1" s="91">
        <v>44135</v>
      </c>
      <c r="I1" s="91">
        <v>44165</v>
      </c>
      <c r="J1" s="91">
        <v>44196</v>
      </c>
      <c r="K1" s="91">
        <v>44227</v>
      </c>
      <c r="L1" s="91">
        <v>44255</v>
      </c>
      <c r="M1" s="91">
        <v>44286</v>
      </c>
      <c r="N1" s="91">
        <v>44316</v>
      </c>
      <c r="O1" s="91">
        <v>44347</v>
      </c>
      <c r="P1" s="91">
        <v>44377</v>
      </c>
      <c r="Q1" s="91">
        <v>44408</v>
      </c>
      <c r="R1" s="91">
        <v>44439</v>
      </c>
      <c r="S1" s="91">
        <v>44469</v>
      </c>
      <c r="T1" s="91">
        <v>44500</v>
      </c>
      <c r="U1" s="91">
        <v>44530</v>
      </c>
      <c r="V1" s="91">
        <v>44561</v>
      </c>
      <c r="W1" s="91">
        <v>44592</v>
      </c>
      <c r="X1" s="91">
        <v>44620</v>
      </c>
      <c r="Y1" s="91">
        <v>44651</v>
      </c>
      <c r="Z1" s="91">
        <v>44681</v>
      </c>
      <c r="AA1" s="91">
        <v>44712</v>
      </c>
      <c r="AB1" s="91">
        <v>44742</v>
      </c>
      <c r="AC1" s="91">
        <v>44773</v>
      </c>
      <c r="AD1" s="91">
        <v>44804</v>
      </c>
      <c r="AE1" s="91">
        <v>44834</v>
      </c>
      <c r="AF1" s="91">
        <v>44865</v>
      </c>
      <c r="AG1" s="91">
        <v>44895</v>
      </c>
      <c r="AH1" s="91">
        <v>44926</v>
      </c>
      <c r="AI1" s="91">
        <v>44957</v>
      </c>
      <c r="AJ1" s="91">
        <v>44985</v>
      </c>
      <c r="AK1" s="91">
        <v>45016</v>
      </c>
      <c r="AL1" s="91">
        <v>45046</v>
      </c>
      <c r="AM1" s="91">
        <v>45077</v>
      </c>
      <c r="AN1" s="91">
        <v>45107</v>
      </c>
      <c r="AO1" s="91">
        <v>45138</v>
      </c>
      <c r="AP1" s="91">
        <v>45169</v>
      </c>
      <c r="AQ1" s="91">
        <v>45199</v>
      </c>
      <c r="AR1" s="91">
        <v>45230</v>
      </c>
      <c r="AS1" s="91">
        <v>45260</v>
      </c>
      <c r="AT1" s="91">
        <v>45291</v>
      </c>
      <c r="AU1" s="91">
        <v>45322</v>
      </c>
      <c r="AV1" s="91">
        <v>45351</v>
      </c>
      <c r="AW1" s="91">
        <v>45382</v>
      </c>
      <c r="AX1" s="91">
        <v>45412</v>
      </c>
      <c r="AY1" s="91">
        <v>45443</v>
      </c>
      <c r="AZ1" s="91">
        <v>45473</v>
      </c>
      <c r="BA1" s="91">
        <v>45504</v>
      </c>
      <c r="BB1" s="91">
        <v>45535</v>
      </c>
      <c r="BC1" s="91">
        <v>45565</v>
      </c>
      <c r="BD1" s="91">
        <v>45596</v>
      </c>
      <c r="BE1" s="91">
        <v>45626</v>
      </c>
      <c r="BF1" s="91">
        <v>45657</v>
      </c>
      <c r="BG1" s="91">
        <v>45688</v>
      </c>
      <c r="BH1" s="91">
        <v>45716</v>
      </c>
      <c r="BI1" s="91">
        <v>45747</v>
      </c>
      <c r="BJ1" s="91">
        <v>45777</v>
      </c>
      <c r="BK1" s="91">
        <v>45808</v>
      </c>
      <c r="BL1" s="91">
        <v>45838</v>
      </c>
      <c r="BM1" s="91">
        <v>45869</v>
      </c>
      <c r="BN1" s="91">
        <v>45900</v>
      </c>
      <c r="BO1" s="91">
        <v>45930</v>
      </c>
      <c r="BP1" s="91">
        <v>45961</v>
      </c>
      <c r="BQ1" s="91">
        <v>45991</v>
      </c>
      <c r="BR1" s="91">
        <v>46022</v>
      </c>
      <c r="BS1" s="91">
        <v>46053</v>
      </c>
      <c r="BT1" s="91">
        <v>46081</v>
      </c>
      <c r="BU1" s="91">
        <v>46112</v>
      </c>
      <c r="BV1" s="91">
        <v>46142</v>
      </c>
      <c r="BW1" s="91">
        <v>46173</v>
      </c>
      <c r="BX1" s="91">
        <v>46203</v>
      </c>
      <c r="BY1" s="91">
        <v>46234</v>
      </c>
      <c r="BZ1" s="91">
        <v>46265</v>
      </c>
      <c r="CA1" s="91">
        <v>46295</v>
      </c>
      <c r="CB1" s="91">
        <v>46326</v>
      </c>
      <c r="CC1" s="91">
        <v>46356</v>
      </c>
      <c r="CD1" s="91">
        <v>46387</v>
      </c>
      <c r="CE1" s="91">
        <v>46418</v>
      </c>
      <c r="CF1" s="91">
        <v>46446</v>
      </c>
      <c r="CG1" s="91">
        <v>46477</v>
      </c>
      <c r="CH1" s="91">
        <v>46507</v>
      </c>
      <c r="CI1" s="91">
        <v>46538</v>
      </c>
      <c r="CJ1" s="91">
        <v>46568</v>
      </c>
      <c r="CK1" s="91">
        <v>46599</v>
      </c>
      <c r="CL1" s="91">
        <v>46630</v>
      </c>
      <c r="CM1" s="91">
        <v>46660</v>
      </c>
      <c r="CN1" s="91">
        <v>46691</v>
      </c>
      <c r="CO1" s="91">
        <v>46721</v>
      </c>
      <c r="CP1" s="91">
        <v>46752</v>
      </c>
      <c r="CQ1" s="91">
        <v>46783</v>
      </c>
      <c r="CR1" s="91">
        <v>46812</v>
      </c>
      <c r="CS1" s="91">
        <v>46843</v>
      </c>
      <c r="CT1" s="91">
        <v>46873</v>
      </c>
      <c r="CU1" s="91">
        <v>46904</v>
      </c>
      <c r="CV1" s="91">
        <v>46934</v>
      </c>
      <c r="CW1" s="91">
        <v>46965</v>
      </c>
      <c r="CX1" s="91">
        <v>46996</v>
      </c>
      <c r="CY1" s="91">
        <v>47026</v>
      </c>
      <c r="CZ1" s="91">
        <v>47056</v>
      </c>
      <c r="DA1" s="91">
        <v>47087</v>
      </c>
      <c r="DB1" s="91">
        <v>47117</v>
      </c>
      <c r="DC1" s="91">
        <v>47148</v>
      </c>
      <c r="DD1" s="91">
        <v>47177</v>
      </c>
      <c r="DE1" s="91">
        <v>47207</v>
      </c>
    </row>
    <row r="2" spans="1:109">
      <c r="A2" s="92" t="s">
        <v>262</v>
      </c>
      <c r="B2" s="93">
        <v>2849963.19</v>
      </c>
      <c r="C2" s="93">
        <v>2849963.19</v>
      </c>
      <c r="D2" s="93">
        <v>2849963.19</v>
      </c>
      <c r="E2" s="93">
        <v>2849963.19</v>
      </c>
      <c r="F2" s="93">
        <v>2849963.19</v>
      </c>
      <c r="G2" s="93">
        <v>2849963.19</v>
      </c>
      <c r="H2" s="93">
        <v>2849963.19</v>
      </c>
      <c r="I2" s="93">
        <v>2849963.19</v>
      </c>
      <c r="J2" s="93">
        <v>2849963.19</v>
      </c>
      <c r="K2" s="93">
        <v>2849963.19</v>
      </c>
      <c r="L2" s="93">
        <v>2849963.19</v>
      </c>
      <c r="M2" s="93">
        <v>2849963.19</v>
      </c>
      <c r="N2" s="93">
        <v>3049460.6132999999</v>
      </c>
      <c r="O2" s="93">
        <v>3049460.6132999999</v>
      </c>
      <c r="P2" s="93">
        <v>3049460.6132999999</v>
      </c>
      <c r="Q2" s="93">
        <v>3049460.6132999999</v>
      </c>
      <c r="R2" s="93">
        <v>3049460.6132999999</v>
      </c>
      <c r="S2" s="93">
        <v>3049460.6132999999</v>
      </c>
      <c r="T2" s="93">
        <v>3049460.6132999999</v>
      </c>
      <c r="U2" s="93">
        <v>3049460.6132999999</v>
      </c>
      <c r="V2" s="93">
        <v>3049460.6132999999</v>
      </c>
      <c r="W2" s="93">
        <v>3049460.6132999999</v>
      </c>
      <c r="X2" s="93">
        <v>3049460.6132999999</v>
      </c>
      <c r="Y2" s="93">
        <v>3049460.6132999999</v>
      </c>
      <c r="Z2" s="93">
        <v>3262922.8562309998</v>
      </c>
      <c r="AA2" s="93">
        <v>3262922.8562309998</v>
      </c>
      <c r="AB2" s="93">
        <v>3262922.8562309998</v>
      </c>
      <c r="AC2" s="93">
        <v>3262922.8562309998</v>
      </c>
      <c r="AD2" s="93">
        <v>3262922.8562309998</v>
      </c>
      <c r="AE2" s="93">
        <v>3262922.8562309998</v>
      </c>
      <c r="AF2" s="93">
        <v>3262922.8562309998</v>
      </c>
      <c r="AG2" s="93">
        <v>3262922.8562309998</v>
      </c>
      <c r="AH2" s="93">
        <v>3262922.8562309998</v>
      </c>
      <c r="AI2" s="93">
        <v>3262922.8562309998</v>
      </c>
      <c r="AJ2" s="93">
        <v>3262922.8562309998</v>
      </c>
      <c r="AK2" s="93">
        <v>3262922.8562309998</v>
      </c>
      <c r="AL2" s="93">
        <v>3426068.999042551</v>
      </c>
      <c r="AM2" s="93">
        <v>3426068.999042551</v>
      </c>
      <c r="AN2" s="93">
        <v>3426068.999042551</v>
      </c>
      <c r="AO2" s="93">
        <v>3426068.999042551</v>
      </c>
      <c r="AP2" s="93">
        <v>3426068.999042551</v>
      </c>
      <c r="AQ2" s="93">
        <v>3426068.999042551</v>
      </c>
      <c r="AR2" s="93">
        <v>3426068.999042551</v>
      </c>
      <c r="AS2" s="93">
        <v>3426068.999042551</v>
      </c>
      <c r="AT2" s="93">
        <v>3426068.999042551</v>
      </c>
      <c r="AU2" s="93">
        <v>3426068.999042551</v>
      </c>
      <c r="AV2" s="93">
        <v>3426068.999042551</v>
      </c>
      <c r="AW2" s="93">
        <v>3426068.999042551</v>
      </c>
      <c r="AX2" s="93">
        <v>3597372.4489946784</v>
      </c>
      <c r="AY2" s="93">
        <v>3597372.4489946784</v>
      </c>
      <c r="AZ2" s="93">
        <v>3597372.4489946784</v>
      </c>
      <c r="BA2" s="93">
        <v>3597372.4489946784</v>
      </c>
      <c r="BB2" s="93">
        <v>3597372.4489946784</v>
      </c>
      <c r="BC2" s="93">
        <v>3597372.4489946784</v>
      </c>
      <c r="BD2" s="93">
        <v>3597372.4489946784</v>
      </c>
      <c r="BE2" s="93">
        <v>3597372.4489946784</v>
      </c>
      <c r="BF2" s="93">
        <v>3597372.4489946784</v>
      </c>
      <c r="BG2" s="93">
        <v>3597372.4489946784</v>
      </c>
      <c r="BH2" s="93">
        <v>3597372.4489946784</v>
      </c>
      <c r="BI2" s="93">
        <v>3597372.4489946784</v>
      </c>
      <c r="BJ2" s="93">
        <v>3777241.0714444118</v>
      </c>
      <c r="BK2" s="93">
        <v>3777241.0714444118</v>
      </c>
      <c r="BL2" s="93">
        <v>3777241.0714444118</v>
      </c>
      <c r="BM2" s="93">
        <v>3777241.0714444118</v>
      </c>
      <c r="BN2" s="93">
        <v>3777241.0714444118</v>
      </c>
      <c r="BO2" s="93">
        <v>3777241.0714444118</v>
      </c>
      <c r="BP2" s="93">
        <v>3777241.0714444118</v>
      </c>
      <c r="BQ2" s="93">
        <v>3777241.0714444118</v>
      </c>
      <c r="BR2" s="93">
        <v>3777241.0714444118</v>
      </c>
      <c r="BS2" s="93">
        <v>3777241.0714444118</v>
      </c>
      <c r="BT2" s="93">
        <v>3777241.0714444118</v>
      </c>
      <c r="BU2" s="93">
        <v>3777241.0714444118</v>
      </c>
      <c r="BV2" s="93">
        <v>3966103.1250166325</v>
      </c>
      <c r="BW2" s="93">
        <v>3966103.1250166325</v>
      </c>
      <c r="BX2" s="93">
        <v>3966103.1250166325</v>
      </c>
      <c r="BY2" s="93">
        <v>3966103.1250166325</v>
      </c>
      <c r="BZ2" s="93">
        <v>3966103.1250166325</v>
      </c>
      <c r="CA2" s="93">
        <v>3966103.1250166325</v>
      </c>
      <c r="CB2" s="93">
        <v>3966103.1250166325</v>
      </c>
      <c r="CC2" s="93">
        <v>3966103.1250166325</v>
      </c>
      <c r="CD2" s="93">
        <v>3966103.1250166325</v>
      </c>
      <c r="CE2" s="93">
        <v>3966103.1250166325</v>
      </c>
      <c r="CF2" s="93">
        <v>3966103.1250166325</v>
      </c>
      <c r="CG2" s="93">
        <v>3966103.1250166325</v>
      </c>
      <c r="CH2" s="93">
        <v>4164408.2812674651</v>
      </c>
      <c r="CI2" s="93">
        <v>4164408.2812674651</v>
      </c>
      <c r="CJ2" s="93">
        <v>4164408.2812674651</v>
      </c>
      <c r="CK2" s="93">
        <v>4164408.2812674651</v>
      </c>
      <c r="CL2" s="93">
        <v>4164408.2812674651</v>
      </c>
      <c r="CM2" s="93">
        <v>4164408.2812674651</v>
      </c>
      <c r="CN2" s="93">
        <v>4164408.2812674651</v>
      </c>
      <c r="CO2" s="93">
        <v>4164408.2812674651</v>
      </c>
      <c r="CP2" s="93">
        <v>4164408.2812674651</v>
      </c>
      <c r="CQ2" s="93">
        <v>4164408.2812674651</v>
      </c>
      <c r="CR2" s="93">
        <v>4164408.2812674651</v>
      </c>
      <c r="CS2" s="93">
        <v>4164408.2812674651</v>
      </c>
      <c r="CT2" s="93">
        <v>4372628.6953308377</v>
      </c>
      <c r="CU2" s="93">
        <v>4372628.6953308377</v>
      </c>
      <c r="CV2" s="93">
        <v>4372628.6953308377</v>
      </c>
      <c r="CW2" s="93">
        <v>4372628.6953308377</v>
      </c>
      <c r="CX2" s="93">
        <v>4372628.6953308377</v>
      </c>
      <c r="CY2" s="93">
        <v>4372628.6953308377</v>
      </c>
      <c r="CZ2" s="93">
        <v>4372628.6953308377</v>
      </c>
      <c r="DA2" s="93">
        <v>4372628.6953308377</v>
      </c>
      <c r="DB2" s="93">
        <v>4372628.6953308377</v>
      </c>
      <c r="DC2" s="93">
        <v>4372628.6953308377</v>
      </c>
      <c r="DD2" s="93">
        <v>4372628.6953308377</v>
      </c>
      <c r="DE2" s="93">
        <v>4372628.6953308377</v>
      </c>
    </row>
    <row r="3" spans="1:109">
      <c r="A3" s="94" t="s">
        <v>263</v>
      </c>
      <c r="B3" s="93">
        <v>588785.68999999994</v>
      </c>
      <c r="C3" s="93">
        <v>588785.68999999994</v>
      </c>
      <c r="D3" s="93">
        <v>588785.68999999994</v>
      </c>
      <c r="E3" s="93">
        <v>588785.68999999994</v>
      </c>
      <c r="F3" s="93">
        <v>588785.68999999994</v>
      </c>
      <c r="G3" s="93">
        <v>588785.68999999994</v>
      </c>
      <c r="H3" s="93">
        <v>588785.68999999994</v>
      </c>
      <c r="I3" s="93">
        <v>588785.68999999994</v>
      </c>
      <c r="J3" s="93">
        <v>588785.68999999994</v>
      </c>
      <c r="K3" s="93">
        <v>588785.68999999994</v>
      </c>
      <c r="L3" s="93">
        <v>588785.68999999994</v>
      </c>
      <c r="M3" s="93">
        <v>588785.68999999994</v>
      </c>
      <c r="N3" s="93">
        <v>630000.68829999992</v>
      </c>
      <c r="O3" s="93">
        <v>630000.68829999992</v>
      </c>
      <c r="P3" s="93">
        <v>630000.68829999992</v>
      </c>
      <c r="Q3" s="93">
        <v>630000.68829999992</v>
      </c>
      <c r="R3" s="93">
        <v>630000.68829999992</v>
      </c>
      <c r="S3" s="93">
        <v>630000.68829999992</v>
      </c>
      <c r="T3" s="93">
        <v>630000.68829999992</v>
      </c>
      <c r="U3" s="93">
        <v>630000.68829999992</v>
      </c>
      <c r="V3" s="93">
        <v>630000.68829999992</v>
      </c>
      <c r="W3" s="93">
        <v>630000.68829999992</v>
      </c>
      <c r="X3" s="93">
        <v>630000.68829999992</v>
      </c>
      <c r="Y3" s="93">
        <v>630000.68829999992</v>
      </c>
      <c r="Z3" s="93">
        <v>674100.73648100009</v>
      </c>
      <c r="AA3" s="93">
        <v>674100.73648100009</v>
      </c>
      <c r="AB3" s="93">
        <v>674100.73648100009</v>
      </c>
      <c r="AC3" s="93">
        <v>674100.73648100009</v>
      </c>
      <c r="AD3" s="93">
        <v>674100.73648100009</v>
      </c>
      <c r="AE3" s="93">
        <v>674100.73648100009</v>
      </c>
      <c r="AF3" s="93">
        <v>674100.73648100009</v>
      </c>
      <c r="AG3" s="93">
        <v>674100.73648100009</v>
      </c>
      <c r="AH3" s="93">
        <v>674100.73648100009</v>
      </c>
      <c r="AI3" s="93">
        <v>674100.73648100009</v>
      </c>
      <c r="AJ3" s="93">
        <v>674100.73648100009</v>
      </c>
      <c r="AK3" s="93">
        <v>674100.73648100009</v>
      </c>
      <c r="AL3" s="93">
        <v>707805.7733050501</v>
      </c>
      <c r="AM3" s="93">
        <v>707805.7733050501</v>
      </c>
      <c r="AN3" s="93">
        <v>707805.7733050501</v>
      </c>
      <c r="AO3" s="93">
        <v>707805.7733050501</v>
      </c>
      <c r="AP3" s="93">
        <v>707805.7733050501</v>
      </c>
      <c r="AQ3" s="93">
        <v>707805.7733050501</v>
      </c>
      <c r="AR3" s="93">
        <v>707805.7733050501</v>
      </c>
      <c r="AS3" s="93">
        <v>707805.7733050501</v>
      </c>
      <c r="AT3" s="93">
        <v>707805.7733050501</v>
      </c>
      <c r="AU3" s="93">
        <v>707805.7733050501</v>
      </c>
      <c r="AV3" s="93">
        <v>707805.7733050501</v>
      </c>
      <c r="AW3" s="93">
        <v>707805.7733050501</v>
      </c>
      <c r="AX3" s="93">
        <v>743196.06197030272</v>
      </c>
      <c r="AY3" s="93">
        <v>743196.06197030272</v>
      </c>
      <c r="AZ3" s="93">
        <v>743196.06197030272</v>
      </c>
      <c r="BA3" s="93">
        <v>743196.06197030272</v>
      </c>
      <c r="BB3" s="93">
        <v>743196.06197030272</v>
      </c>
      <c r="BC3" s="93">
        <v>743196.06197030272</v>
      </c>
      <c r="BD3" s="93">
        <v>743196.06197030272</v>
      </c>
      <c r="BE3" s="93">
        <v>743196.06197030272</v>
      </c>
      <c r="BF3" s="93">
        <v>743196.06197030272</v>
      </c>
      <c r="BG3" s="93">
        <v>743196.06197030272</v>
      </c>
      <c r="BH3" s="93">
        <v>743196.06197030272</v>
      </c>
      <c r="BI3" s="93">
        <v>743196.06197030272</v>
      </c>
      <c r="BJ3" s="93">
        <v>780355.86506881774</v>
      </c>
      <c r="BK3" s="93">
        <v>780355.86506881774</v>
      </c>
      <c r="BL3" s="93">
        <v>780355.86506881774</v>
      </c>
      <c r="BM3" s="93">
        <v>780355.86506881774</v>
      </c>
      <c r="BN3" s="93">
        <v>780355.86506881774</v>
      </c>
      <c r="BO3" s="93">
        <v>780355.86506881774</v>
      </c>
      <c r="BP3" s="93">
        <v>780355.86506881774</v>
      </c>
      <c r="BQ3" s="93">
        <v>780355.86506881774</v>
      </c>
      <c r="BR3" s="93">
        <v>780355.86506881774</v>
      </c>
      <c r="BS3" s="93">
        <v>780355.86506881774</v>
      </c>
      <c r="BT3" s="93">
        <v>780355.86506881774</v>
      </c>
      <c r="BU3" s="93">
        <v>780355.86506881774</v>
      </c>
      <c r="BV3" s="93">
        <v>819373.65832225874</v>
      </c>
      <c r="BW3" s="93">
        <v>819373.65832225874</v>
      </c>
      <c r="BX3" s="93">
        <v>819373.65832225874</v>
      </c>
      <c r="BY3" s="93">
        <v>819373.65832225874</v>
      </c>
      <c r="BZ3" s="93">
        <v>819373.65832225874</v>
      </c>
      <c r="CA3" s="93">
        <v>819373.65832225874</v>
      </c>
      <c r="CB3" s="93">
        <v>819373.65832225874</v>
      </c>
      <c r="CC3" s="93">
        <v>819373.65832225874</v>
      </c>
      <c r="CD3" s="93">
        <v>819373.65832225874</v>
      </c>
      <c r="CE3" s="93">
        <v>819373.65832225874</v>
      </c>
      <c r="CF3" s="93">
        <v>819373.65832225874</v>
      </c>
      <c r="CG3" s="93">
        <v>819373.65832225874</v>
      </c>
      <c r="CH3" s="93">
        <v>860342.34123837156</v>
      </c>
      <c r="CI3" s="93">
        <v>860342.34123837156</v>
      </c>
      <c r="CJ3" s="93">
        <v>860342.34123837156</v>
      </c>
      <c r="CK3" s="93">
        <v>860342.34123837156</v>
      </c>
      <c r="CL3" s="93">
        <v>860342.34123837156</v>
      </c>
      <c r="CM3" s="93">
        <v>860342.34123837156</v>
      </c>
      <c r="CN3" s="93">
        <v>860342.34123837156</v>
      </c>
      <c r="CO3" s="93">
        <v>860342.34123837156</v>
      </c>
      <c r="CP3" s="93">
        <v>860342.34123837156</v>
      </c>
      <c r="CQ3" s="93">
        <v>860342.34123837156</v>
      </c>
      <c r="CR3" s="93">
        <v>860342.34123837156</v>
      </c>
      <c r="CS3" s="93">
        <v>860342.34123837156</v>
      </c>
      <c r="CT3" s="93">
        <v>903359.45830029028</v>
      </c>
      <c r="CU3" s="93">
        <v>903359.45830029028</v>
      </c>
      <c r="CV3" s="93">
        <v>903359.45830029028</v>
      </c>
      <c r="CW3" s="93">
        <v>903359.45830029028</v>
      </c>
      <c r="CX3" s="93">
        <v>903359.45830029028</v>
      </c>
      <c r="CY3" s="93">
        <v>903359.45830029028</v>
      </c>
      <c r="CZ3" s="93">
        <v>903359.45830029028</v>
      </c>
      <c r="DA3" s="93">
        <v>903359.45830029028</v>
      </c>
      <c r="DB3" s="93">
        <v>903359.45830029028</v>
      </c>
      <c r="DC3" s="93">
        <v>903359.45830029028</v>
      </c>
      <c r="DD3" s="93">
        <v>903359.45830029028</v>
      </c>
      <c r="DE3" s="93">
        <v>903359.45830029028</v>
      </c>
    </row>
    <row r="4" spans="1:109">
      <c r="A4" s="92" t="s">
        <v>264</v>
      </c>
      <c r="B4" s="93">
        <v>456264.05000000005</v>
      </c>
      <c r="C4" s="93">
        <v>456264.05000000005</v>
      </c>
      <c r="D4" s="93">
        <v>456264.05000000005</v>
      </c>
      <c r="E4" s="93">
        <v>456264.05000000005</v>
      </c>
      <c r="F4" s="93">
        <v>456264.05000000005</v>
      </c>
      <c r="G4" s="93">
        <v>456264.05000000005</v>
      </c>
      <c r="H4" s="93">
        <v>456264.05000000005</v>
      </c>
      <c r="I4" s="93">
        <v>456264.05000000005</v>
      </c>
      <c r="J4" s="93">
        <v>456264.05000000005</v>
      </c>
      <c r="K4" s="93">
        <v>456264.05000000005</v>
      </c>
      <c r="L4" s="93">
        <v>456264.05000000005</v>
      </c>
      <c r="M4" s="93">
        <v>456264.05000000005</v>
      </c>
      <c r="N4" s="93">
        <v>488202.53350000002</v>
      </c>
      <c r="O4" s="93">
        <v>488202.53350000002</v>
      </c>
      <c r="P4" s="93">
        <v>488202.53350000002</v>
      </c>
      <c r="Q4" s="93">
        <v>488202.53350000002</v>
      </c>
      <c r="R4" s="93">
        <v>488202.53350000002</v>
      </c>
      <c r="S4" s="93">
        <v>488202.53350000002</v>
      </c>
      <c r="T4" s="93">
        <v>488202.53350000002</v>
      </c>
      <c r="U4" s="93">
        <v>488202.53350000002</v>
      </c>
      <c r="V4" s="93">
        <v>488202.53350000002</v>
      </c>
      <c r="W4" s="93">
        <v>488202.53350000002</v>
      </c>
      <c r="X4" s="93">
        <v>488202.53350000002</v>
      </c>
      <c r="Y4" s="93">
        <v>488202.53350000002</v>
      </c>
      <c r="Z4" s="93">
        <v>522376.71084500005</v>
      </c>
      <c r="AA4" s="93">
        <v>522376.71084500005</v>
      </c>
      <c r="AB4" s="93">
        <v>522376.71084500005</v>
      </c>
      <c r="AC4" s="93">
        <v>522376.71084500005</v>
      </c>
      <c r="AD4" s="93">
        <v>522376.71084500005</v>
      </c>
      <c r="AE4" s="93">
        <v>522376.71084500005</v>
      </c>
      <c r="AF4" s="93">
        <v>522376.71084500005</v>
      </c>
      <c r="AG4" s="93">
        <v>522376.71084500005</v>
      </c>
      <c r="AH4" s="93">
        <v>522376.71084500005</v>
      </c>
      <c r="AI4" s="93">
        <v>522376.71084500005</v>
      </c>
      <c r="AJ4" s="93">
        <v>522376.71084500005</v>
      </c>
      <c r="AK4" s="93">
        <v>522376.71084500005</v>
      </c>
      <c r="AL4" s="93">
        <v>548495.54638725007</v>
      </c>
      <c r="AM4" s="93">
        <v>548495.54638725007</v>
      </c>
      <c r="AN4" s="93">
        <v>548495.54638725007</v>
      </c>
      <c r="AO4" s="93">
        <v>548495.54638725007</v>
      </c>
      <c r="AP4" s="93">
        <v>548495.54638725007</v>
      </c>
      <c r="AQ4" s="93">
        <v>548495.54638725007</v>
      </c>
      <c r="AR4" s="93">
        <v>548495.54638725007</v>
      </c>
      <c r="AS4" s="93">
        <v>548495.54638725007</v>
      </c>
      <c r="AT4" s="93">
        <v>548495.54638725007</v>
      </c>
      <c r="AU4" s="93">
        <v>548495.54638725007</v>
      </c>
      <c r="AV4" s="93">
        <v>548495.54638725007</v>
      </c>
      <c r="AW4" s="93">
        <v>548495.54638725007</v>
      </c>
      <c r="AX4" s="93">
        <v>575920.32370661257</v>
      </c>
      <c r="AY4" s="93">
        <v>575920.32370661257</v>
      </c>
      <c r="AZ4" s="93">
        <v>575920.32370661257</v>
      </c>
      <c r="BA4" s="93">
        <v>575920.32370661257</v>
      </c>
      <c r="BB4" s="93">
        <v>575920.32370661257</v>
      </c>
      <c r="BC4" s="93">
        <v>575920.32370661257</v>
      </c>
      <c r="BD4" s="93">
        <v>575920.32370661257</v>
      </c>
      <c r="BE4" s="93">
        <v>575920.32370661257</v>
      </c>
      <c r="BF4" s="93">
        <v>575920.32370661257</v>
      </c>
      <c r="BG4" s="93">
        <v>575920.32370661257</v>
      </c>
      <c r="BH4" s="93">
        <v>575920.32370661257</v>
      </c>
      <c r="BI4" s="93">
        <v>575920.32370661257</v>
      </c>
      <c r="BJ4" s="93">
        <v>604716.33989194327</v>
      </c>
      <c r="BK4" s="93">
        <v>604716.33989194327</v>
      </c>
      <c r="BL4" s="93">
        <v>604716.33989194327</v>
      </c>
      <c r="BM4" s="93">
        <v>604716.33989194327</v>
      </c>
      <c r="BN4" s="93">
        <v>604716.33989194327</v>
      </c>
      <c r="BO4" s="93">
        <v>604716.33989194327</v>
      </c>
      <c r="BP4" s="93">
        <v>604716.33989194327</v>
      </c>
      <c r="BQ4" s="93">
        <v>604716.33989194327</v>
      </c>
      <c r="BR4" s="93">
        <v>604716.33989194327</v>
      </c>
      <c r="BS4" s="93">
        <v>604716.33989194327</v>
      </c>
      <c r="BT4" s="93">
        <v>604716.33989194327</v>
      </c>
      <c r="BU4" s="93">
        <v>604716.33989194327</v>
      </c>
      <c r="BV4" s="93">
        <v>634952.15688654035</v>
      </c>
      <c r="BW4" s="93">
        <v>634952.15688654035</v>
      </c>
      <c r="BX4" s="93">
        <v>634952.15688654035</v>
      </c>
      <c r="BY4" s="93">
        <v>634952.15688654035</v>
      </c>
      <c r="BZ4" s="93">
        <v>634952.15688654035</v>
      </c>
      <c r="CA4" s="93">
        <v>634952.15688654035</v>
      </c>
      <c r="CB4" s="93">
        <v>634952.15688654035</v>
      </c>
      <c r="CC4" s="93">
        <v>634952.15688654035</v>
      </c>
      <c r="CD4" s="93">
        <v>634952.15688654035</v>
      </c>
      <c r="CE4" s="93">
        <v>634952.15688654035</v>
      </c>
      <c r="CF4" s="93">
        <v>634952.15688654035</v>
      </c>
      <c r="CG4" s="93">
        <v>634952.15688654035</v>
      </c>
      <c r="CH4" s="93">
        <v>666699.76473086746</v>
      </c>
      <c r="CI4" s="93">
        <v>666699.76473086746</v>
      </c>
      <c r="CJ4" s="93">
        <v>666699.76473086746</v>
      </c>
      <c r="CK4" s="93">
        <v>666699.76473086746</v>
      </c>
      <c r="CL4" s="93">
        <v>666699.76473086746</v>
      </c>
      <c r="CM4" s="93">
        <v>666699.76473086746</v>
      </c>
      <c r="CN4" s="93">
        <v>666699.76473086746</v>
      </c>
      <c r="CO4" s="93">
        <v>666699.76473086746</v>
      </c>
      <c r="CP4" s="93">
        <v>666699.76473086746</v>
      </c>
      <c r="CQ4" s="93">
        <v>666699.76473086746</v>
      </c>
      <c r="CR4" s="93">
        <v>666699.76473086746</v>
      </c>
      <c r="CS4" s="93">
        <v>666699.76473086746</v>
      </c>
      <c r="CT4" s="93">
        <v>700034.75296741084</v>
      </c>
      <c r="CU4" s="93">
        <v>700034.75296741084</v>
      </c>
      <c r="CV4" s="93">
        <v>700034.75296741084</v>
      </c>
      <c r="CW4" s="93">
        <v>700034.75296741084</v>
      </c>
      <c r="CX4" s="93">
        <v>700034.75296741084</v>
      </c>
      <c r="CY4" s="93">
        <v>700034.75296741084</v>
      </c>
      <c r="CZ4" s="93">
        <v>700034.75296741084</v>
      </c>
      <c r="DA4" s="93">
        <v>700034.75296741084</v>
      </c>
      <c r="DB4" s="93">
        <v>700034.75296741084</v>
      </c>
      <c r="DC4" s="93">
        <v>700034.75296741084</v>
      </c>
      <c r="DD4" s="93">
        <v>700034.75296741084</v>
      </c>
      <c r="DE4" s="93">
        <v>700034.75296741084</v>
      </c>
    </row>
    <row r="5" spans="1:109">
      <c r="A5" s="92" t="s">
        <v>265</v>
      </c>
      <c r="B5" s="93">
        <v>35470.5</v>
      </c>
      <c r="C5" s="93">
        <v>35470.5</v>
      </c>
      <c r="D5" s="93">
        <v>35470.5</v>
      </c>
      <c r="E5" s="93">
        <v>35470.5</v>
      </c>
      <c r="F5" s="93">
        <v>35470.5</v>
      </c>
      <c r="G5" s="93">
        <v>35470.5</v>
      </c>
      <c r="H5" s="93">
        <v>35470.5</v>
      </c>
      <c r="I5" s="93">
        <v>35470.5</v>
      </c>
      <c r="J5" s="93">
        <v>35470.5</v>
      </c>
      <c r="K5" s="93">
        <v>35470.5</v>
      </c>
      <c r="L5" s="93">
        <v>35470.5</v>
      </c>
      <c r="M5" s="93">
        <v>35470.5</v>
      </c>
      <c r="N5" s="93">
        <v>37953.434999999998</v>
      </c>
      <c r="O5" s="93">
        <v>37953.434999999998</v>
      </c>
      <c r="P5" s="93">
        <v>37953.434999999998</v>
      </c>
      <c r="Q5" s="93">
        <v>37953.434999999998</v>
      </c>
      <c r="R5" s="93">
        <v>37953.434999999998</v>
      </c>
      <c r="S5" s="93">
        <v>37953.434999999998</v>
      </c>
      <c r="T5" s="93">
        <v>37953.434999999998</v>
      </c>
      <c r="U5" s="93">
        <v>37953.434999999998</v>
      </c>
      <c r="V5" s="93">
        <v>37953.434999999998</v>
      </c>
      <c r="W5" s="93">
        <v>37953.434999999998</v>
      </c>
      <c r="X5" s="93">
        <v>37953.434999999998</v>
      </c>
      <c r="Y5" s="93">
        <v>37953.434999999998</v>
      </c>
      <c r="Z5" s="93">
        <v>40610.175450000002</v>
      </c>
      <c r="AA5" s="93">
        <v>40610.175450000002</v>
      </c>
      <c r="AB5" s="93">
        <v>40610.175450000002</v>
      </c>
      <c r="AC5" s="93">
        <v>40610.175450000002</v>
      </c>
      <c r="AD5" s="93">
        <v>40610.175450000002</v>
      </c>
      <c r="AE5" s="93">
        <v>40610.175450000002</v>
      </c>
      <c r="AF5" s="93">
        <v>40610.175450000002</v>
      </c>
      <c r="AG5" s="93">
        <v>40610.175450000002</v>
      </c>
      <c r="AH5" s="93">
        <v>40610.175450000002</v>
      </c>
      <c r="AI5" s="93">
        <v>40610.175450000002</v>
      </c>
      <c r="AJ5" s="93">
        <v>40610.175450000002</v>
      </c>
      <c r="AK5" s="93">
        <v>40610.175450000002</v>
      </c>
      <c r="AL5" s="93">
        <v>42640.684222500007</v>
      </c>
      <c r="AM5" s="93">
        <v>42640.684222500007</v>
      </c>
      <c r="AN5" s="93">
        <v>42640.684222500007</v>
      </c>
      <c r="AO5" s="93">
        <v>42640.684222500007</v>
      </c>
      <c r="AP5" s="93">
        <v>42640.684222500007</v>
      </c>
      <c r="AQ5" s="93">
        <v>42640.684222500007</v>
      </c>
      <c r="AR5" s="93">
        <v>42640.684222500007</v>
      </c>
      <c r="AS5" s="93">
        <v>42640.684222500007</v>
      </c>
      <c r="AT5" s="93">
        <v>42640.684222500007</v>
      </c>
      <c r="AU5" s="93">
        <v>42640.684222500007</v>
      </c>
      <c r="AV5" s="93">
        <v>42640.684222500007</v>
      </c>
      <c r="AW5" s="93">
        <v>42640.684222500007</v>
      </c>
      <c r="AX5" s="93">
        <v>44772.718433625007</v>
      </c>
      <c r="AY5" s="93">
        <v>44772.718433625007</v>
      </c>
      <c r="AZ5" s="93">
        <v>44772.718433625007</v>
      </c>
      <c r="BA5" s="93">
        <v>44772.718433625007</v>
      </c>
      <c r="BB5" s="93">
        <v>44772.718433625007</v>
      </c>
      <c r="BC5" s="93">
        <v>44772.718433625007</v>
      </c>
      <c r="BD5" s="93">
        <v>44772.718433625007</v>
      </c>
      <c r="BE5" s="93">
        <v>44772.718433625007</v>
      </c>
      <c r="BF5" s="93">
        <v>44772.718433625007</v>
      </c>
      <c r="BG5" s="93">
        <v>44772.718433625007</v>
      </c>
      <c r="BH5" s="93">
        <v>44772.718433625007</v>
      </c>
      <c r="BI5" s="93">
        <v>44772.718433625007</v>
      </c>
      <c r="BJ5" s="93">
        <v>47011.354355306255</v>
      </c>
      <c r="BK5" s="93">
        <v>47011.354355306255</v>
      </c>
      <c r="BL5" s="93">
        <v>47011.354355306255</v>
      </c>
      <c r="BM5" s="93">
        <v>47011.354355306255</v>
      </c>
      <c r="BN5" s="93">
        <v>47011.354355306255</v>
      </c>
      <c r="BO5" s="93">
        <v>47011.354355306255</v>
      </c>
      <c r="BP5" s="93">
        <v>47011.354355306255</v>
      </c>
      <c r="BQ5" s="93">
        <v>47011.354355306255</v>
      </c>
      <c r="BR5" s="93">
        <v>47011.354355306255</v>
      </c>
      <c r="BS5" s="93">
        <v>47011.354355306255</v>
      </c>
      <c r="BT5" s="93">
        <v>47011.354355306255</v>
      </c>
      <c r="BU5" s="93">
        <v>47011.354355306255</v>
      </c>
      <c r="BV5" s="93">
        <v>49361.922073071568</v>
      </c>
      <c r="BW5" s="93">
        <v>49361.922073071568</v>
      </c>
      <c r="BX5" s="93">
        <v>49361.922073071568</v>
      </c>
      <c r="BY5" s="93">
        <v>49361.922073071568</v>
      </c>
      <c r="BZ5" s="93">
        <v>49361.922073071568</v>
      </c>
      <c r="CA5" s="93">
        <v>49361.922073071568</v>
      </c>
      <c r="CB5" s="93">
        <v>49361.922073071568</v>
      </c>
      <c r="CC5" s="93">
        <v>49361.922073071568</v>
      </c>
      <c r="CD5" s="93">
        <v>49361.922073071568</v>
      </c>
      <c r="CE5" s="93">
        <v>49361.922073071568</v>
      </c>
      <c r="CF5" s="93">
        <v>49361.922073071568</v>
      </c>
      <c r="CG5" s="93">
        <v>49361.922073071568</v>
      </c>
      <c r="CH5" s="93">
        <v>51830.018176725149</v>
      </c>
      <c r="CI5" s="93">
        <v>51830.018176725149</v>
      </c>
      <c r="CJ5" s="93">
        <v>51830.018176725149</v>
      </c>
      <c r="CK5" s="93">
        <v>51830.018176725149</v>
      </c>
      <c r="CL5" s="93">
        <v>51830.018176725149</v>
      </c>
      <c r="CM5" s="93">
        <v>51830.018176725149</v>
      </c>
      <c r="CN5" s="93">
        <v>51830.018176725149</v>
      </c>
      <c r="CO5" s="93">
        <v>51830.018176725149</v>
      </c>
      <c r="CP5" s="93">
        <v>51830.018176725149</v>
      </c>
      <c r="CQ5" s="93">
        <v>51830.018176725149</v>
      </c>
      <c r="CR5" s="93">
        <v>51830.018176725149</v>
      </c>
      <c r="CS5" s="93">
        <v>51830.018176725149</v>
      </c>
      <c r="CT5" s="93">
        <v>54421.519085561413</v>
      </c>
      <c r="CU5" s="93">
        <v>54421.519085561413</v>
      </c>
      <c r="CV5" s="93">
        <v>54421.519085561413</v>
      </c>
      <c r="CW5" s="93">
        <v>54421.519085561413</v>
      </c>
      <c r="CX5" s="93">
        <v>54421.519085561413</v>
      </c>
      <c r="CY5" s="93">
        <v>54421.519085561413</v>
      </c>
      <c r="CZ5" s="93">
        <v>54421.519085561413</v>
      </c>
      <c r="DA5" s="93">
        <v>54421.519085561413</v>
      </c>
      <c r="DB5" s="93">
        <v>54421.519085561413</v>
      </c>
      <c r="DC5" s="93">
        <v>54421.519085561413</v>
      </c>
      <c r="DD5" s="93">
        <v>54421.519085561413</v>
      </c>
      <c r="DE5" s="93">
        <v>54421.519085561413</v>
      </c>
    </row>
    <row r="6" spans="1:109">
      <c r="A6" s="95" t="s">
        <v>266</v>
      </c>
      <c r="B6" s="93">
        <v>500885.19000000006</v>
      </c>
      <c r="C6" s="93">
        <v>500885.19000000006</v>
      </c>
      <c r="D6" s="93">
        <v>500885.19000000006</v>
      </c>
      <c r="E6" s="93">
        <v>500885.19000000006</v>
      </c>
      <c r="F6" s="93">
        <v>500885.19000000006</v>
      </c>
      <c r="G6" s="93">
        <v>500885.19000000006</v>
      </c>
      <c r="H6" s="93">
        <v>500885.19000000006</v>
      </c>
      <c r="I6" s="93">
        <v>500885.19000000006</v>
      </c>
      <c r="J6" s="93">
        <v>500885.19000000006</v>
      </c>
      <c r="K6" s="93">
        <v>500885.19000000006</v>
      </c>
      <c r="L6" s="93">
        <v>500885.19000000006</v>
      </c>
      <c r="M6" s="93">
        <v>500885.19000000006</v>
      </c>
      <c r="N6" s="93">
        <v>535947.15330000001</v>
      </c>
      <c r="O6" s="93">
        <v>535947.15330000001</v>
      </c>
      <c r="P6" s="93">
        <v>535947.15330000001</v>
      </c>
      <c r="Q6" s="93">
        <v>535947.15330000001</v>
      </c>
      <c r="R6" s="93">
        <v>535947.15330000001</v>
      </c>
      <c r="S6" s="93">
        <v>535947.15330000001</v>
      </c>
      <c r="T6" s="93">
        <v>535947.15330000001</v>
      </c>
      <c r="U6" s="93">
        <v>535947.15330000001</v>
      </c>
      <c r="V6" s="93">
        <v>535947.15330000001</v>
      </c>
      <c r="W6" s="93">
        <v>535947.15330000001</v>
      </c>
      <c r="X6" s="93">
        <v>535947.15330000001</v>
      </c>
      <c r="Y6" s="93">
        <v>535947.15330000001</v>
      </c>
      <c r="Z6" s="93">
        <v>573463.45403100003</v>
      </c>
      <c r="AA6" s="93">
        <v>573463.45403100003</v>
      </c>
      <c r="AB6" s="93">
        <v>573463.45403100003</v>
      </c>
      <c r="AC6" s="93">
        <v>573463.45403100003</v>
      </c>
      <c r="AD6" s="93">
        <v>573463.45403100003</v>
      </c>
      <c r="AE6" s="93">
        <v>573463.45403100003</v>
      </c>
      <c r="AF6" s="93">
        <v>573463.45403100003</v>
      </c>
      <c r="AG6" s="93">
        <v>573463.45403100003</v>
      </c>
      <c r="AH6" s="93">
        <v>573463.45403100003</v>
      </c>
      <c r="AI6" s="93">
        <v>573463.45403100003</v>
      </c>
      <c r="AJ6" s="93">
        <v>573463.45403100003</v>
      </c>
      <c r="AK6" s="93">
        <v>573463.45403100003</v>
      </c>
      <c r="AL6" s="93">
        <v>602136.6267325501</v>
      </c>
      <c r="AM6" s="93">
        <v>602136.6267325501</v>
      </c>
      <c r="AN6" s="93">
        <v>602136.6267325501</v>
      </c>
      <c r="AO6" s="93">
        <v>602136.6267325501</v>
      </c>
      <c r="AP6" s="93">
        <v>602136.6267325501</v>
      </c>
      <c r="AQ6" s="93">
        <v>602136.6267325501</v>
      </c>
      <c r="AR6" s="93">
        <v>602136.6267325501</v>
      </c>
      <c r="AS6" s="93">
        <v>602136.6267325501</v>
      </c>
      <c r="AT6" s="93">
        <v>602136.6267325501</v>
      </c>
      <c r="AU6" s="93">
        <v>602136.6267325501</v>
      </c>
      <c r="AV6" s="93">
        <v>602136.6267325501</v>
      </c>
      <c r="AW6" s="93">
        <v>602136.6267325501</v>
      </c>
      <c r="AX6" s="93">
        <v>632243.45806917769</v>
      </c>
      <c r="AY6" s="93">
        <v>632243.45806917769</v>
      </c>
      <c r="AZ6" s="93">
        <v>632243.45806917769</v>
      </c>
      <c r="BA6" s="93">
        <v>632243.45806917769</v>
      </c>
      <c r="BB6" s="93">
        <v>632243.45806917769</v>
      </c>
      <c r="BC6" s="93">
        <v>632243.45806917769</v>
      </c>
      <c r="BD6" s="93">
        <v>632243.45806917769</v>
      </c>
      <c r="BE6" s="93">
        <v>632243.45806917769</v>
      </c>
      <c r="BF6" s="93">
        <v>632243.45806917769</v>
      </c>
      <c r="BG6" s="93">
        <v>632243.45806917769</v>
      </c>
      <c r="BH6" s="93">
        <v>632243.45806917769</v>
      </c>
      <c r="BI6" s="93">
        <v>632243.45806917769</v>
      </c>
      <c r="BJ6" s="93">
        <v>663855.63097263651</v>
      </c>
      <c r="BK6" s="93">
        <v>663855.63097263651</v>
      </c>
      <c r="BL6" s="93">
        <v>663855.63097263651</v>
      </c>
      <c r="BM6" s="93">
        <v>663855.63097263651</v>
      </c>
      <c r="BN6" s="93">
        <v>663855.63097263651</v>
      </c>
      <c r="BO6" s="93">
        <v>663855.63097263651</v>
      </c>
      <c r="BP6" s="93">
        <v>663855.63097263651</v>
      </c>
      <c r="BQ6" s="93">
        <v>663855.63097263651</v>
      </c>
      <c r="BR6" s="93">
        <v>663855.63097263651</v>
      </c>
      <c r="BS6" s="93">
        <v>663855.63097263651</v>
      </c>
      <c r="BT6" s="93">
        <v>663855.63097263651</v>
      </c>
      <c r="BU6" s="93">
        <v>663855.63097263651</v>
      </c>
      <c r="BV6" s="93">
        <v>697048.41252126836</v>
      </c>
      <c r="BW6" s="93">
        <v>697048.41252126836</v>
      </c>
      <c r="BX6" s="93">
        <v>697048.41252126836</v>
      </c>
      <c r="BY6" s="93">
        <v>697048.41252126836</v>
      </c>
      <c r="BZ6" s="93">
        <v>697048.41252126836</v>
      </c>
      <c r="CA6" s="93">
        <v>697048.41252126836</v>
      </c>
      <c r="CB6" s="93">
        <v>697048.41252126836</v>
      </c>
      <c r="CC6" s="93">
        <v>697048.41252126836</v>
      </c>
      <c r="CD6" s="93">
        <v>697048.41252126836</v>
      </c>
      <c r="CE6" s="93">
        <v>697048.41252126836</v>
      </c>
      <c r="CF6" s="93">
        <v>697048.41252126836</v>
      </c>
      <c r="CG6" s="93">
        <v>697048.41252126836</v>
      </c>
      <c r="CH6" s="93">
        <v>731900.83314733184</v>
      </c>
      <c r="CI6" s="93">
        <v>731900.83314733184</v>
      </c>
      <c r="CJ6" s="93">
        <v>731900.83314733184</v>
      </c>
      <c r="CK6" s="93">
        <v>731900.83314733184</v>
      </c>
      <c r="CL6" s="93">
        <v>731900.83314733184</v>
      </c>
      <c r="CM6" s="93">
        <v>731900.83314733184</v>
      </c>
      <c r="CN6" s="93">
        <v>731900.83314733184</v>
      </c>
      <c r="CO6" s="93">
        <v>731900.83314733184</v>
      </c>
      <c r="CP6" s="93">
        <v>731900.83314733184</v>
      </c>
      <c r="CQ6" s="93">
        <v>731900.83314733184</v>
      </c>
      <c r="CR6" s="93">
        <v>731900.83314733184</v>
      </c>
      <c r="CS6" s="93">
        <v>731900.83314733184</v>
      </c>
      <c r="CT6" s="93">
        <v>768495.87480469828</v>
      </c>
      <c r="CU6" s="93">
        <v>768495.87480469828</v>
      </c>
      <c r="CV6" s="93">
        <v>768495.87480469828</v>
      </c>
      <c r="CW6" s="93">
        <v>768495.87480469828</v>
      </c>
      <c r="CX6" s="93">
        <v>768495.87480469828</v>
      </c>
      <c r="CY6" s="93">
        <v>768495.87480469828</v>
      </c>
      <c r="CZ6" s="93">
        <v>768495.87480469828</v>
      </c>
      <c r="DA6" s="93">
        <v>768495.87480469828</v>
      </c>
      <c r="DB6" s="93">
        <v>768495.87480469828</v>
      </c>
      <c r="DC6" s="93">
        <v>768495.87480469828</v>
      </c>
      <c r="DD6" s="93">
        <v>768495.87480469828</v>
      </c>
      <c r="DE6" s="93">
        <v>768495.87480469828</v>
      </c>
    </row>
    <row r="7" spans="1:109">
      <c r="A7" s="95" t="s">
        <v>267</v>
      </c>
      <c r="B7" s="93">
        <v>1210452.48</v>
      </c>
      <c r="C7" s="93">
        <v>1210452.48</v>
      </c>
      <c r="D7" s="93">
        <v>1210452.48</v>
      </c>
      <c r="E7" s="93">
        <v>1210452.48</v>
      </c>
      <c r="F7" s="93">
        <v>1210452.48</v>
      </c>
      <c r="G7" s="93">
        <v>1210452.48</v>
      </c>
      <c r="H7" s="93">
        <v>1210452.48</v>
      </c>
      <c r="I7" s="93">
        <v>1210452.48</v>
      </c>
      <c r="J7" s="93">
        <v>1210452.48</v>
      </c>
      <c r="K7" s="93">
        <v>1210452.48</v>
      </c>
      <c r="L7" s="93">
        <v>1210452.48</v>
      </c>
      <c r="M7" s="93">
        <v>1210452.48</v>
      </c>
      <c r="N7" s="93">
        <v>1295184.1535999998</v>
      </c>
      <c r="O7" s="93">
        <v>1295184.1535999998</v>
      </c>
      <c r="P7" s="93">
        <v>1295184.1535999998</v>
      </c>
      <c r="Q7" s="93">
        <v>1295184.1535999998</v>
      </c>
      <c r="R7" s="93">
        <v>1295184.1535999998</v>
      </c>
      <c r="S7" s="93">
        <v>1295184.1535999998</v>
      </c>
      <c r="T7" s="93">
        <v>1295184.1535999998</v>
      </c>
      <c r="U7" s="93">
        <v>1295184.1535999998</v>
      </c>
      <c r="V7" s="93">
        <v>1295184.1535999998</v>
      </c>
      <c r="W7" s="93">
        <v>1295184.1535999998</v>
      </c>
      <c r="X7" s="93">
        <v>1295184.1535999998</v>
      </c>
      <c r="Y7" s="93">
        <v>1295184.1535999998</v>
      </c>
      <c r="Z7" s="93">
        <v>1385847.0443520001</v>
      </c>
      <c r="AA7" s="93">
        <v>1385847.0443520001</v>
      </c>
      <c r="AB7" s="93">
        <v>1385847.0443520001</v>
      </c>
      <c r="AC7" s="93">
        <v>1385847.0443520001</v>
      </c>
      <c r="AD7" s="93">
        <v>1385847.0443520001</v>
      </c>
      <c r="AE7" s="93">
        <v>1385847.0443520001</v>
      </c>
      <c r="AF7" s="93">
        <v>1385847.0443520001</v>
      </c>
      <c r="AG7" s="93">
        <v>1385847.0443520001</v>
      </c>
      <c r="AH7" s="93">
        <v>1385847.0443520001</v>
      </c>
      <c r="AI7" s="93">
        <v>1385847.0443520001</v>
      </c>
      <c r="AJ7" s="93">
        <v>1385847.0443520001</v>
      </c>
      <c r="AK7" s="93">
        <v>1385847.0443520001</v>
      </c>
      <c r="AL7" s="93">
        <v>1455139.3965696001</v>
      </c>
      <c r="AM7" s="93">
        <v>1455139.3965696001</v>
      </c>
      <c r="AN7" s="93">
        <v>1455139.3965696001</v>
      </c>
      <c r="AO7" s="93">
        <v>1455139.3965696001</v>
      </c>
      <c r="AP7" s="93">
        <v>1455139.3965696001</v>
      </c>
      <c r="AQ7" s="93">
        <v>1455139.3965696001</v>
      </c>
      <c r="AR7" s="93">
        <v>1455139.3965696001</v>
      </c>
      <c r="AS7" s="93">
        <v>1455139.3965696001</v>
      </c>
      <c r="AT7" s="93">
        <v>1455139.3965696001</v>
      </c>
      <c r="AU7" s="93">
        <v>1455139.3965696001</v>
      </c>
      <c r="AV7" s="93">
        <v>1455139.3965696001</v>
      </c>
      <c r="AW7" s="93">
        <v>1455139.3965696001</v>
      </c>
      <c r="AX7" s="93">
        <v>1527896.36639808</v>
      </c>
      <c r="AY7" s="93">
        <v>1527896.36639808</v>
      </c>
      <c r="AZ7" s="93">
        <v>1527896.36639808</v>
      </c>
      <c r="BA7" s="93">
        <v>1527896.36639808</v>
      </c>
      <c r="BB7" s="93">
        <v>1527896.36639808</v>
      </c>
      <c r="BC7" s="93">
        <v>1527896.36639808</v>
      </c>
      <c r="BD7" s="93">
        <v>1527896.36639808</v>
      </c>
      <c r="BE7" s="93">
        <v>1527896.36639808</v>
      </c>
      <c r="BF7" s="93">
        <v>1527896.36639808</v>
      </c>
      <c r="BG7" s="93">
        <v>1527896.36639808</v>
      </c>
      <c r="BH7" s="93">
        <v>1527896.36639808</v>
      </c>
      <c r="BI7" s="93">
        <v>1527896.36639808</v>
      </c>
      <c r="BJ7" s="93">
        <v>1604291.1847179842</v>
      </c>
      <c r="BK7" s="93">
        <v>1604291.1847179842</v>
      </c>
      <c r="BL7" s="93">
        <v>1604291.1847179842</v>
      </c>
      <c r="BM7" s="93">
        <v>1604291.1847179842</v>
      </c>
      <c r="BN7" s="93">
        <v>1604291.1847179842</v>
      </c>
      <c r="BO7" s="93">
        <v>1604291.1847179842</v>
      </c>
      <c r="BP7" s="93">
        <v>1604291.1847179842</v>
      </c>
      <c r="BQ7" s="93">
        <v>1604291.1847179842</v>
      </c>
      <c r="BR7" s="93">
        <v>1604291.1847179842</v>
      </c>
      <c r="BS7" s="93">
        <v>1604291.1847179842</v>
      </c>
      <c r="BT7" s="93">
        <v>1604291.1847179842</v>
      </c>
      <c r="BU7" s="93">
        <v>1604291.1847179842</v>
      </c>
      <c r="BV7" s="93">
        <v>1684505.7439538834</v>
      </c>
      <c r="BW7" s="93">
        <v>1684505.7439538834</v>
      </c>
      <c r="BX7" s="93">
        <v>1684505.7439538834</v>
      </c>
      <c r="BY7" s="93">
        <v>1684505.7439538834</v>
      </c>
      <c r="BZ7" s="93">
        <v>1684505.7439538834</v>
      </c>
      <c r="CA7" s="93">
        <v>1684505.7439538834</v>
      </c>
      <c r="CB7" s="93">
        <v>1684505.7439538834</v>
      </c>
      <c r="CC7" s="93">
        <v>1684505.7439538834</v>
      </c>
      <c r="CD7" s="93">
        <v>1684505.7439538834</v>
      </c>
      <c r="CE7" s="93">
        <v>1684505.7439538834</v>
      </c>
      <c r="CF7" s="93">
        <v>1684505.7439538834</v>
      </c>
      <c r="CG7" s="93">
        <v>1684505.7439538834</v>
      </c>
      <c r="CH7" s="93">
        <v>1768731.0311515776</v>
      </c>
      <c r="CI7" s="93">
        <v>1768731.0311515776</v>
      </c>
      <c r="CJ7" s="93">
        <v>1768731.0311515776</v>
      </c>
      <c r="CK7" s="93">
        <v>1768731.0311515776</v>
      </c>
      <c r="CL7" s="93">
        <v>1768731.0311515776</v>
      </c>
      <c r="CM7" s="93">
        <v>1768731.0311515776</v>
      </c>
      <c r="CN7" s="93">
        <v>1768731.0311515776</v>
      </c>
      <c r="CO7" s="93">
        <v>1768731.0311515776</v>
      </c>
      <c r="CP7" s="93">
        <v>1768731.0311515776</v>
      </c>
      <c r="CQ7" s="93">
        <v>1768731.0311515776</v>
      </c>
      <c r="CR7" s="93">
        <v>1768731.0311515776</v>
      </c>
      <c r="CS7" s="93">
        <v>1768731.0311515776</v>
      </c>
      <c r="CT7" s="93">
        <v>1857167.5827091564</v>
      </c>
      <c r="CU7" s="93">
        <v>1857167.5827091564</v>
      </c>
      <c r="CV7" s="93">
        <v>1857167.5827091564</v>
      </c>
      <c r="CW7" s="93">
        <v>1857167.5827091564</v>
      </c>
      <c r="CX7" s="93">
        <v>1857167.5827091564</v>
      </c>
      <c r="CY7" s="93">
        <v>1857167.5827091564</v>
      </c>
      <c r="CZ7" s="93">
        <v>1857167.5827091564</v>
      </c>
      <c r="DA7" s="93">
        <v>1857167.5827091564</v>
      </c>
      <c r="DB7" s="93">
        <v>1857167.5827091564</v>
      </c>
      <c r="DC7" s="93">
        <v>1857167.5827091564</v>
      </c>
      <c r="DD7" s="93">
        <v>1857167.5827091564</v>
      </c>
      <c r="DE7" s="93">
        <v>1857167.5827091564</v>
      </c>
    </row>
    <row r="8" spans="1:109">
      <c r="A8" s="94" t="s">
        <v>268</v>
      </c>
      <c r="B8" s="93">
        <v>376322.21</v>
      </c>
      <c r="C8" s="93">
        <v>376322.21</v>
      </c>
      <c r="D8" s="93">
        <v>376322.21</v>
      </c>
      <c r="E8" s="93">
        <v>376322.21</v>
      </c>
      <c r="F8" s="93">
        <v>376322.21</v>
      </c>
      <c r="G8" s="93">
        <v>376322.21</v>
      </c>
      <c r="H8" s="93">
        <v>376322.21</v>
      </c>
      <c r="I8" s="93">
        <v>376322.21</v>
      </c>
      <c r="J8" s="93">
        <v>376322.21</v>
      </c>
      <c r="K8" s="93">
        <v>376322.21</v>
      </c>
      <c r="L8" s="93">
        <v>376322.21</v>
      </c>
      <c r="M8" s="93">
        <v>376322.21</v>
      </c>
      <c r="N8" s="93">
        <v>402664.76469999994</v>
      </c>
      <c r="O8" s="93">
        <v>402664.76469999994</v>
      </c>
      <c r="P8" s="93">
        <v>402664.76469999994</v>
      </c>
      <c r="Q8" s="93">
        <v>402664.76469999994</v>
      </c>
      <c r="R8" s="93">
        <v>402664.76469999994</v>
      </c>
      <c r="S8" s="93">
        <v>402664.76469999994</v>
      </c>
      <c r="T8" s="93">
        <v>402664.76469999994</v>
      </c>
      <c r="U8" s="93">
        <v>402664.76469999994</v>
      </c>
      <c r="V8" s="93">
        <v>402664.76469999994</v>
      </c>
      <c r="W8" s="93">
        <v>402664.76469999994</v>
      </c>
      <c r="X8" s="93">
        <v>402664.76469999994</v>
      </c>
      <c r="Y8" s="93">
        <v>402664.76469999994</v>
      </c>
      <c r="Z8" s="93">
        <v>430851.29822900001</v>
      </c>
      <c r="AA8" s="93">
        <v>430851.29822900001</v>
      </c>
      <c r="AB8" s="93">
        <v>430851.29822900001</v>
      </c>
      <c r="AC8" s="93">
        <v>430851.29822900001</v>
      </c>
      <c r="AD8" s="93">
        <v>430851.29822900001</v>
      </c>
      <c r="AE8" s="93">
        <v>430851.29822900001</v>
      </c>
      <c r="AF8" s="93">
        <v>430851.29822900001</v>
      </c>
      <c r="AG8" s="93">
        <v>430851.29822900001</v>
      </c>
      <c r="AH8" s="93">
        <v>430851.29822900001</v>
      </c>
      <c r="AI8" s="93">
        <v>430851.29822900001</v>
      </c>
      <c r="AJ8" s="93">
        <v>430851.29822900001</v>
      </c>
      <c r="AK8" s="93">
        <v>430851.29822900001</v>
      </c>
      <c r="AL8" s="93">
        <v>452393.86314045009</v>
      </c>
      <c r="AM8" s="93">
        <v>452393.86314045009</v>
      </c>
      <c r="AN8" s="93">
        <v>452393.86314045009</v>
      </c>
      <c r="AO8" s="93">
        <v>452393.86314045009</v>
      </c>
      <c r="AP8" s="93">
        <v>452393.86314045009</v>
      </c>
      <c r="AQ8" s="93">
        <v>452393.86314045009</v>
      </c>
      <c r="AR8" s="93">
        <v>452393.86314045009</v>
      </c>
      <c r="AS8" s="93">
        <v>452393.86314045009</v>
      </c>
      <c r="AT8" s="93">
        <v>452393.86314045009</v>
      </c>
      <c r="AU8" s="93">
        <v>452393.86314045009</v>
      </c>
      <c r="AV8" s="93">
        <v>452393.86314045009</v>
      </c>
      <c r="AW8" s="93">
        <v>452393.86314045009</v>
      </c>
      <c r="AX8" s="93">
        <v>475013.55629747256</v>
      </c>
      <c r="AY8" s="93">
        <v>475013.55629747256</v>
      </c>
      <c r="AZ8" s="93">
        <v>475013.55629747256</v>
      </c>
      <c r="BA8" s="93">
        <v>475013.55629747256</v>
      </c>
      <c r="BB8" s="93">
        <v>475013.55629747256</v>
      </c>
      <c r="BC8" s="93">
        <v>475013.55629747256</v>
      </c>
      <c r="BD8" s="93">
        <v>475013.55629747256</v>
      </c>
      <c r="BE8" s="93">
        <v>475013.55629747256</v>
      </c>
      <c r="BF8" s="93">
        <v>475013.55629747256</v>
      </c>
      <c r="BG8" s="93">
        <v>475013.55629747256</v>
      </c>
      <c r="BH8" s="93">
        <v>475013.55629747256</v>
      </c>
      <c r="BI8" s="93">
        <v>475013.55629747256</v>
      </c>
      <c r="BJ8" s="93">
        <v>498764.2341123462</v>
      </c>
      <c r="BK8" s="93">
        <v>498764.2341123462</v>
      </c>
      <c r="BL8" s="93">
        <v>498764.2341123462</v>
      </c>
      <c r="BM8" s="93">
        <v>498764.2341123462</v>
      </c>
      <c r="BN8" s="93">
        <v>498764.2341123462</v>
      </c>
      <c r="BO8" s="93">
        <v>498764.2341123462</v>
      </c>
      <c r="BP8" s="93">
        <v>498764.2341123462</v>
      </c>
      <c r="BQ8" s="93">
        <v>498764.2341123462</v>
      </c>
      <c r="BR8" s="93">
        <v>498764.2341123462</v>
      </c>
      <c r="BS8" s="93">
        <v>498764.2341123462</v>
      </c>
      <c r="BT8" s="93">
        <v>498764.2341123462</v>
      </c>
      <c r="BU8" s="93">
        <v>498764.2341123462</v>
      </c>
      <c r="BV8" s="93">
        <v>523702.44581796357</v>
      </c>
      <c r="BW8" s="93">
        <v>523702.44581796357</v>
      </c>
      <c r="BX8" s="93">
        <v>523702.44581796357</v>
      </c>
      <c r="BY8" s="93">
        <v>523702.44581796357</v>
      </c>
      <c r="BZ8" s="93">
        <v>523702.44581796357</v>
      </c>
      <c r="CA8" s="93">
        <v>523702.44581796357</v>
      </c>
      <c r="CB8" s="93">
        <v>523702.44581796357</v>
      </c>
      <c r="CC8" s="93">
        <v>523702.44581796357</v>
      </c>
      <c r="CD8" s="93">
        <v>523702.44581796357</v>
      </c>
      <c r="CE8" s="93">
        <v>523702.44581796357</v>
      </c>
      <c r="CF8" s="93">
        <v>523702.44581796357</v>
      </c>
      <c r="CG8" s="93">
        <v>523702.44581796357</v>
      </c>
      <c r="CH8" s="93">
        <v>549887.56810886168</v>
      </c>
      <c r="CI8" s="93">
        <v>549887.56810886168</v>
      </c>
      <c r="CJ8" s="93">
        <v>549887.56810886168</v>
      </c>
      <c r="CK8" s="93">
        <v>549887.56810886168</v>
      </c>
      <c r="CL8" s="93">
        <v>549887.56810886168</v>
      </c>
      <c r="CM8" s="93">
        <v>549887.56810886168</v>
      </c>
      <c r="CN8" s="93">
        <v>549887.56810886168</v>
      </c>
      <c r="CO8" s="93">
        <v>549887.56810886168</v>
      </c>
      <c r="CP8" s="93">
        <v>549887.56810886168</v>
      </c>
      <c r="CQ8" s="93">
        <v>549887.56810886168</v>
      </c>
      <c r="CR8" s="93">
        <v>549887.56810886168</v>
      </c>
      <c r="CS8" s="93">
        <v>549887.56810886168</v>
      </c>
      <c r="CT8" s="93">
        <v>577381.94651430473</v>
      </c>
      <c r="CU8" s="93">
        <v>577381.94651430473</v>
      </c>
      <c r="CV8" s="93">
        <v>577381.94651430473</v>
      </c>
      <c r="CW8" s="93">
        <v>577381.94651430473</v>
      </c>
      <c r="CX8" s="93">
        <v>577381.94651430473</v>
      </c>
      <c r="CY8" s="93">
        <v>577381.94651430473</v>
      </c>
      <c r="CZ8" s="93">
        <v>577381.94651430473</v>
      </c>
      <c r="DA8" s="93">
        <v>577381.94651430473</v>
      </c>
      <c r="DB8" s="93">
        <v>577381.94651430473</v>
      </c>
      <c r="DC8" s="93">
        <v>577381.94651430473</v>
      </c>
      <c r="DD8" s="93">
        <v>577381.94651430473</v>
      </c>
      <c r="DE8" s="93">
        <v>577381.94651430473</v>
      </c>
    </row>
    <row r="9" spans="1:109">
      <c r="A9" s="92" t="s">
        <v>269</v>
      </c>
      <c r="B9" s="93">
        <v>600270</v>
      </c>
      <c r="C9" s="93">
        <v>600270</v>
      </c>
      <c r="D9" s="93">
        <v>600270</v>
      </c>
      <c r="E9" s="93">
        <v>600270</v>
      </c>
      <c r="F9" s="93">
        <v>600270</v>
      </c>
      <c r="G9" s="93">
        <v>600270</v>
      </c>
      <c r="H9" s="93">
        <v>600270</v>
      </c>
      <c r="I9" s="93">
        <v>600270</v>
      </c>
      <c r="J9" s="93">
        <v>600270</v>
      </c>
      <c r="K9" s="93">
        <v>600270</v>
      </c>
      <c r="L9" s="93">
        <v>600270</v>
      </c>
      <c r="M9" s="93">
        <v>600270</v>
      </c>
      <c r="N9" s="93">
        <v>642288.9</v>
      </c>
      <c r="O9" s="93">
        <v>642288.9</v>
      </c>
      <c r="P9" s="93">
        <v>642288.9</v>
      </c>
      <c r="Q9" s="93">
        <v>642288.9</v>
      </c>
      <c r="R9" s="93">
        <v>642288.9</v>
      </c>
      <c r="S9" s="93">
        <v>642288.9</v>
      </c>
      <c r="T9" s="93">
        <v>642288.9</v>
      </c>
      <c r="U9" s="93">
        <v>642288.9</v>
      </c>
      <c r="V9" s="93">
        <v>642288.9</v>
      </c>
      <c r="W9" s="93">
        <v>642288.9</v>
      </c>
      <c r="X9" s="93">
        <v>642288.9</v>
      </c>
      <c r="Y9" s="93">
        <v>642288.9</v>
      </c>
      <c r="Z9" s="93">
        <v>687249.12300000002</v>
      </c>
      <c r="AA9" s="93">
        <v>687249.12300000002</v>
      </c>
      <c r="AB9" s="93">
        <v>687249.12300000002</v>
      </c>
      <c r="AC9" s="93">
        <v>687249.12300000002</v>
      </c>
      <c r="AD9" s="93">
        <v>687249.12300000002</v>
      </c>
      <c r="AE9" s="93">
        <v>687249.12300000002</v>
      </c>
      <c r="AF9" s="93">
        <v>687249.12300000002</v>
      </c>
      <c r="AG9" s="93">
        <v>687249.12300000002</v>
      </c>
      <c r="AH9" s="93">
        <v>687249.12300000002</v>
      </c>
      <c r="AI9" s="93">
        <v>687249.12300000002</v>
      </c>
      <c r="AJ9" s="93">
        <v>687249.12300000002</v>
      </c>
      <c r="AK9" s="93">
        <v>687249.12300000002</v>
      </c>
      <c r="AL9" s="93">
        <v>721611.57915000012</v>
      </c>
      <c r="AM9" s="93">
        <v>721611.57915000012</v>
      </c>
      <c r="AN9" s="93">
        <v>721611.57915000012</v>
      </c>
      <c r="AO9" s="93">
        <v>721611.57915000012</v>
      </c>
      <c r="AP9" s="93">
        <v>721611.57915000012</v>
      </c>
      <c r="AQ9" s="93">
        <v>721611.57915000012</v>
      </c>
      <c r="AR9" s="93">
        <v>721611.57915000012</v>
      </c>
      <c r="AS9" s="93">
        <v>721611.57915000012</v>
      </c>
      <c r="AT9" s="93">
        <v>721611.57915000012</v>
      </c>
      <c r="AU9" s="93">
        <v>721611.57915000012</v>
      </c>
      <c r="AV9" s="93">
        <v>721611.57915000012</v>
      </c>
      <c r="AW9" s="93">
        <v>721611.57915000012</v>
      </c>
      <c r="AX9" s="93">
        <v>757692.15810750006</v>
      </c>
      <c r="AY9" s="93">
        <v>757692.15810750006</v>
      </c>
      <c r="AZ9" s="93">
        <v>757692.15810750006</v>
      </c>
      <c r="BA9" s="93">
        <v>757692.15810750006</v>
      </c>
      <c r="BB9" s="93">
        <v>757692.15810750006</v>
      </c>
      <c r="BC9" s="93">
        <v>757692.15810750006</v>
      </c>
      <c r="BD9" s="93">
        <v>757692.15810750006</v>
      </c>
      <c r="BE9" s="93">
        <v>757692.15810750006</v>
      </c>
      <c r="BF9" s="93">
        <v>757692.15810750006</v>
      </c>
      <c r="BG9" s="93">
        <v>757692.15810750006</v>
      </c>
      <c r="BH9" s="93">
        <v>757692.15810750006</v>
      </c>
      <c r="BI9" s="93">
        <v>757692.15810750006</v>
      </c>
      <c r="BJ9" s="93">
        <v>795576.76601287513</v>
      </c>
      <c r="BK9" s="93">
        <v>795576.76601287513</v>
      </c>
      <c r="BL9" s="93">
        <v>795576.76601287513</v>
      </c>
      <c r="BM9" s="93">
        <v>795576.76601287513</v>
      </c>
      <c r="BN9" s="93">
        <v>795576.76601287513</v>
      </c>
      <c r="BO9" s="93">
        <v>795576.76601287513</v>
      </c>
      <c r="BP9" s="93">
        <v>795576.76601287513</v>
      </c>
      <c r="BQ9" s="93">
        <v>795576.76601287513</v>
      </c>
      <c r="BR9" s="93">
        <v>795576.76601287513</v>
      </c>
      <c r="BS9" s="93">
        <v>795576.76601287513</v>
      </c>
      <c r="BT9" s="93">
        <v>795576.76601287513</v>
      </c>
      <c r="BU9" s="93">
        <v>795576.76601287513</v>
      </c>
      <c r="BV9" s="93">
        <v>835355.60431351885</v>
      </c>
      <c r="BW9" s="93">
        <v>835355.60431351885</v>
      </c>
      <c r="BX9" s="93">
        <v>835355.60431351885</v>
      </c>
      <c r="BY9" s="93">
        <v>835355.60431351885</v>
      </c>
      <c r="BZ9" s="93">
        <v>835355.60431351885</v>
      </c>
      <c r="CA9" s="93">
        <v>835355.60431351885</v>
      </c>
      <c r="CB9" s="93">
        <v>835355.60431351885</v>
      </c>
      <c r="CC9" s="93">
        <v>835355.60431351885</v>
      </c>
      <c r="CD9" s="93">
        <v>835355.60431351885</v>
      </c>
      <c r="CE9" s="93">
        <v>835355.60431351885</v>
      </c>
      <c r="CF9" s="93">
        <v>835355.60431351885</v>
      </c>
      <c r="CG9" s="93">
        <v>835355.60431351885</v>
      </c>
      <c r="CH9" s="93">
        <v>877123.38452919479</v>
      </c>
      <c r="CI9" s="93">
        <v>877123.38452919479</v>
      </c>
      <c r="CJ9" s="93">
        <v>877123.38452919479</v>
      </c>
      <c r="CK9" s="93">
        <v>877123.38452919479</v>
      </c>
      <c r="CL9" s="93">
        <v>877123.38452919479</v>
      </c>
      <c r="CM9" s="93">
        <v>877123.38452919479</v>
      </c>
      <c r="CN9" s="93">
        <v>877123.38452919479</v>
      </c>
      <c r="CO9" s="93">
        <v>877123.38452919479</v>
      </c>
      <c r="CP9" s="93">
        <v>877123.38452919479</v>
      </c>
      <c r="CQ9" s="93">
        <v>877123.38452919479</v>
      </c>
      <c r="CR9" s="93">
        <v>877123.38452919479</v>
      </c>
      <c r="CS9" s="93">
        <v>877123.38452919479</v>
      </c>
      <c r="CT9" s="93">
        <v>920979.5537556546</v>
      </c>
      <c r="CU9" s="93">
        <v>920979.5537556546</v>
      </c>
      <c r="CV9" s="93">
        <v>920979.5537556546</v>
      </c>
      <c r="CW9" s="93">
        <v>920979.5537556546</v>
      </c>
      <c r="CX9" s="93">
        <v>920979.5537556546</v>
      </c>
      <c r="CY9" s="93">
        <v>920979.5537556546</v>
      </c>
      <c r="CZ9" s="93">
        <v>920979.5537556546</v>
      </c>
      <c r="DA9" s="93">
        <v>920979.5537556546</v>
      </c>
      <c r="DB9" s="93">
        <v>920979.5537556546</v>
      </c>
      <c r="DC9" s="93">
        <v>920979.5537556546</v>
      </c>
      <c r="DD9" s="93">
        <v>920979.5537556546</v>
      </c>
      <c r="DE9" s="93">
        <v>920979.5537556546</v>
      </c>
    </row>
    <row r="10" spans="1:109">
      <c r="A10" s="95" t="s">
        <v>270</v>
      </c>
      <c r="B10" s="93">
        <v>222975.16000000003</v>
      </c>
      <c r="C10" s="93">
        <v>222975.16000000003</v>
      </c>
      <c r="D10" s="93">
        <v>222975.16000000003</v>
      </c>
      <c r="E10" s="93">
        <v>222975.16000000003</v>
      </c>
      <c r="F10" s="93">
        <v>222975.16000000003</v>
      </c>
      <c r="G10" s="93">
        <v>222975.16000000003</v>
      </c>
      <c r="H10" s="93">
        <v>222975.16000000003</v>
      </c>
      <c r="I10" s="93">
        <v>222975.16000000003</v>
      </c>
      <c r="J10" s="93">
        <v>222975.16000000003</v>
      </c>
      <c r="K10" s="93">
        <v>222975.16000000003</v>
      </c>
      <c r="L10" s="93">
        <v>222975.16000000003</v>
      </c>
      <c r="M10" s="93">
        <v>222975.16000000003</v>
      </c>
      <c r="N10" s="93">
        <v>238583.42120000004</v>
      </c>
      <c r="O10" s="93">
        <v>238583.42120000004</v>
      </c>
      <c r="P10" s="93">
        <v>238583.42120000004</v>
      </c>
      <c r="Q10" s="93">
        <v>238583.42120000004</v>
      </c>
      <c r="R10" s="93">
        <v>238583.42120000004</v>
      </c>
      <c r="S10" s="93">
        <v>238583.42120000004</v>
      </c>
      <c r="T10" s="93">
        <v>238583.42120000004</v>
      </c>
      <c r="U10" s="93">
        <v>238583.42120000004</v>
      </c>
      <c r="V10" s="93">
        <v>238583.42120000004</v>
      </c>
      <c r="W10" s="93">
        <v>238583.42120000004</v>
      </c>
      <c r="X10" s="93">
        <v>238583.42120000004</v>
      </c>
      <c r="Y10" s="93">
        <v>238583.42120000004</v>
      </c>
      <c r="Z10" s="93">
        <v>255284.26068400004</v>
      </c>
      <c r="AA10" s="93">
        <v>255284.26068400004</v>
      </c>
      <c r="AB10" s="93">
        <v>255284.26068400004</v>
      </c>
      <c r="AC10" s="93">
        <v>255284.26068400004</v>
      </c>
      <c r="AD10" s="93">
        <v>255284.26068400004</v>
      </c>
      <c r="AE10" s="93">
        <v>255284.26068400004</v>
      </c>
      <c r="AF10" s="93">
        <v>255284.26068400004</v>
      </c>
      <c r="AG10" s="93">
        <v>255284.26068400004</v>
      </c>
      <c r="AH10" s="93">
        <v>255284.26068400004</v>
      </c>
      <c r="AI10" s="93">
        <v>255284.26068400004</v>
      </c>
      <c r="AJ10" s="93">
        <v>255284.26068400004</v>
      </c>
      <c r="AK10" s="93">
        <v>255284.26068400004</v>
      </c>
      <c r="AL10" s="93">
        <v>268048.4737182</v>
      </c>
      <c r="AM10" s="93">
        <v>268048.4737182</v>
      </c>
      <c r="AN10" s="93">
        <v>268048.4737182</v>
      </c>
      <c r="AO10" s="93">
        <v>268048.4737182</v>
      </c>
      <c r="AP10" s="93">
        <v>268048.4737182</v>
      </c>
      <c r="AQ10" s="93">
        <v>268048.4737182</v>
      </c>
      <c r="AR10" s="93">
        <v>268048.4737182</v>
      </c>
      <c r="AS10" s="93">
        <v>268048.4737182</v>
      </c>
      <c r="AT10" s="93">
        <v>268048.4737182</v>
      </c>
      <c r="AU10" s="93">
        <v>268048.4737182</v>
      </c>
      <c r="AV10" s="93">
        <v>268048.4737182</v>
      </c>
      <c r="AW10" s="93">
        <v>268048.4737182</v>
      </c>
      <c r="AX10" s="93">
        <v>281450.89740411006</v>
      </c>
      <c r="AY10" s="93">
        <v>281450.89740411006</v>
      </c>
      <c r="AZ10" s="93">
        <v>281450.89740411006</v>
      </c>
      <c r="BA10" s="93">
        <v>281450.89740411006</v>
      </c>
      <c r="BB10" s="93">
        <v>281450.89740411006</v>
      </c>
      <c r="BC10" s="93">
        <v>281450.89740411006</v>
      </c>
      <c r="BD10" s="93">
        <v>281450.89740411006</v>
      </c>
      <c r="BE10" s="93">
        <v>281450.89740411006</v>
      </c>
      <c r="BF10" s="93">
        <v>281450.89740411006</v>
      </c>
      <c r="BG10" s="93">
        <v>281450.89740411006</v>
      </c>
      <c r="BH10" s="93">
        <v>281450.89740411006</v>
      </c>
      <c r="BI10" s="93">
        <v>281450.89740411006</v>
      </c>
      <c r="BJ10" s="93">
        <v>295523.44227431557</v>
      </c>
      <c r="BK10" s="93">
        <v>295523.44227431557</v>
      </c>
      <c r="BL10" s="93">
        <v>295523.44227431557</v>
      </c>
      <c r="BM10" s="93">
        <v>295523.44227431557</v>
      </c>
      <c r="BN10" s="93">
        <v>295523.44227431557</v>
      </c>
      <c r="BO10" s="93">
        <v>295523.44227431557</v>
      </c>
      <c r="BP10" s="93">
        <v>295523.44227431557</v>
      </c>
      <c r="BQ10" s="93">
        <v>295523.44227431557</v>
      </c>
      <c r="BR10" s="93">
        <v>295523.44227431557</v>
      </c>
      <c r="BS10" s="93">
        <v>295523.44227431557</v>
      </c>
      <c r="BT10" s="93">
        <v>295523.44227431557</v>
      </c>
      <c r="BU10" s="93">
        <v>295523.44227431557</v>
      </c>
      <c r="BV10" s="93">
        <v>310299.6143880313</v>
      </c>
      <c r="BW10" s="93">
        <v>310299.6143880313</v>
      </c>
      <c r="BX10" s="93">
        <v>310299.6143880313</v>
      </c>
      <c r="BY10" s="93">
        <v>310299.6143880313</v>
      </c>
      <c r="BZ10" s="93">
        <v>310299.6143880313</v>
      </c>
      <c r="CA10" s="93">
        <v>310299.6143880313</v>
      </c>
      <c r="CB10" s="93">
        <v>310299.6143880313</v>
      </c>
      <c r="CC10" s="93">
        <v>310299.6143880313</v>
      </c>
      <c r="CD10" s="93">
        <v>310299.6143880313</v>
      </c>
      <c r="CE10" s="93">
        <v>310299.6143880313</v>
      </c>
      <c r="CF10" s="93">
        <v>310299.6143880313</v>
      </c>
      <c r="CG10" s="93">
        <v>310299.6143880313</v>
      </c>
      <c r="CH10" s="93">
        <v>325814.59510743292</v>
      </c>
      <c r="CI10" s="93">
        <v>325814.59510743292</v>
      </c>
      <c r="CJ10" s="93">
        <v>325814.59510743292</v>
      </c>
      <c r="CK10" s="93">
        <v>325814.59510743292</v>
      </c>
      <c r="CL10" s="93">
        <v>325814.59510743292</v>
      </c>
      <c r="CM10" s="93">
        <v>325814.59510743292</v>
      </c>
      <c r="CN10" s="93">
        <v>325814.59510743292</v>
      </c>
      <c r="CO10" s="93">
        <v>325814.59510743292</v>
      </c>
      <c r="CP10" s="93">
        <v>325814.59510743292</v>
      </c>
      <c r="CQ10" s="93">
        <v>325814.59510743292</v>
      </c>
      <c r="CR10" s="93">
        <v>325814.59510743292</v>
      </c>
      <c r="CS10" s="93">
        <v>325814.59510743292</v>
      </c>
      <c r="CT10" s="93">
        <v>342105.3248628045</v>
      </c>
      <c r="CU10" s="93">
        <v>342105.3248628045</v>
      </c>
      <c r="CV10" s="93">
        <v>342105.3248628045</v>
      </c>
      <c r="CW10" s="93">
        <v>342105.3248628045</v>
      </c>
      <c r="CX10" s="93">
        <v>342105.3248628045</v>
      </c>
      <c r="CY10" s="93">
        <v>342105.3248628045</v>
      </c>
      <c r="CZ10" s="93">
        <v>342105.3248628045</v>
      </c>
      <c r="DA10" s="93">
        <v>342105.3248628045</v>
      </c>
      <c r="DB10" s="93">
        <v>342105.3248628045</v>
      </c>
      <c r="DC10" s="93">
        <v>342105.3248628045</v>
      </c>
      <c r="DD10" s="93">
        <v>342105.3248628045</v>
      </c>
      <c r="DE10" s="93">
        <v>342105.3248628045</v>
      </c>
    </row>
    <row r="11" spans="1:109">
      <c r="A11" s="94" t="s">
        <v>271</v>
      </c>
      <c r="B11" s="93">
        <v>3263664.7799999993</v>
      </c>
      <c r="C11" s="93">
        <v>3263664.7799999993</v>
      </c>
      <c r="D11" s="93">
        <v>3263664.7799999993</v>
      </c>
      <c r="E11" s="93">
        <v>3263664.7799999993</v>
      </c>
      <c r="F11" s="93">
        <v>3263664.7799999993</v>
      </c>
      <c r="G11" s="93">
        <v>3263664.7799999993</v>
      </c>
      <c r="H11" s="93">
        <v>3263664.7799999993</v>
      </c>
      <c r="I11" s="93">
        <v>3263664.7799999993</v>
      </c>
      <c r="J11" s="93">
        <v>3263664.7799999993</v>
      </c>
      <c r="K11" s="93">
        <v>3263664.7799999993</v>
      </c>
      <c r="L11" s="93">
        <v>3263664.7799999993</v>
      </c>
      <c r="M11" s="93">
        <v>3263664.7799999993</v>
      </c>
      <c r="N11" s="93">
        <v>3492121.3145999997</v>
      </c>
      <c r="O11" s="93">
        <v>3492121.3145999997</v>
      </c>
      <c r="P11" s="93">
        <v>3492121.3145999997</v>
      </c>
      <c r="Q11" s="93">
        <v>3492121.3145999997</v>
      </c>
      <c r="R11" s="93">
        <v>3492121.3145999997</v>
      </c>
      <c r="S11" s="93">
        <v>3492121.3145999997</v>
      </c>
      <c r="T11" s="93">
        <v>3492121.3145999997</v>
      </c>
      <c r="U11" s="93">
        <v>3492121.3145999997</v>
      </c>
      <c r="V11" s="93">
        <v>3492121.3145999997</v>
      </c>
      <c r="W11" s="93">
        <v>3492121.3145999997</v>
      </c>
      <c r="X11" s="93">
        <v>3492121.3145999997</v>
      </c>
      <c r="Y11" s="93">
        <v>3492121.3145999997</v>
      </c>
      <c r="Z11" s="93">
        <v>3736569.8066220009</v>
      </c>
      <c r="AA11" s="93">
        <v>3736569.8066220009</v>
      </c>
      <c r="AB11" s="93">
        <v>3736569.8066220009</v>
      </c>
      <c r="AC11" s="93">
        <v>3736569.8066220009</v>
      </c>
      <c r="AD11" s="93">
        <v>3736569.8066220009</v>
      </c>
      <c r="AE11" s="93">
        <v>3736569.8066220009</v>
      </c>
      <c r="AF11" s="93">
        <v>3736569.8066220009</v>
      </c>
      <c r="AG11" s="93">
        <v>3736569.8066220009</v>
      </c>
      <c r="AH11" s="93">
        <v>3736569.8066220009</v>
      </c>
      <c r="AI11" s="93">
        <v>3736569.8066220009</v>
      </c>
      <c r="AJ11" s="93">
        <v>3736569.8066220009</v>
      </c>
      <c r="AK11" s="93">
        <v>3736569.8066220009</v>
      </c>
      <c r="AL11" s="93">
        <v>3923398.2969531002</v>
      </c>
      <c r="AM11" s="93">
        <v>3923398.2969531002</v>
      </c>
      <c r="AN11" s="93">
        <v>3923398.2969531002</v>
      </c>
      <c r="AO11" s="93">
        <v>3923398.2969531002</v>
      </c>
      <c r="AP11" s="93">
        <v>3923398.2969531002</v>
      </c>
      <c r="AQ11" s="93">
        <v>3923398.2969531002</v>
      </c>
      <c r="AR11" s="93">
        <v>3923398.2969531002</v>
      </c>
      <c r="AS11" s="93">
        <v>3923398.2969531002</v>
      </c>
      <c r="AT11" s="93">
        <v>3923398.2969531002</v>
      </c>
      <c r="AU11" s="93">
        <v>3923398.2969531002</v>
      </c>
      <c r="AV11" s="93">
        <v>3923398.2969531002</v>
      </c>
      <c r="AW11" s="93">
        <v>3923398.2969531002</v>
      </c>
      <c r="AX11" s="93">
        <v>4119568.2118007559</v>
      </c>
      <c r="AY11" s="93">
        <v>4119568.2118007559</v>
      </c>
      <c r="AZ11" s="93">
        <v>4119568.2118007559</v>
      </c>
      <c r="BA11" s="93">
        <v>4119568.2118007559</v>
      </c>
      <c r="BB11" s="93">
        <v>4119568.2118007559</v>
      </c>
      <c r="BC11" s="93">
        <v>4119568.2118007559</v>
      </c>
      <c r="BD11" s="93">
        <v>4119568.2118007559</v>
      </c>
      <c r="BE11" s="93">
        <v>4119568.2118007559</v>
      </c>
      <c r="BF11" s="93">
        <v>4119568.2118007559</v>
      </c>
      <c r="BG11" s="93">
        <v>4119568.2118007559</v>
      </c>
      <c r="BH11" s="93">
        <v>4119568.2118007559</v>
      </c>
      <c r="BI11" s="93">
        <v>4119568.2118007559</v>
      </c>
      <c r="BJ11" s="93">
        <v>4325546.6223907927</v>
      </c>
      <c r="BK11" s="93">
        <v>4325546.6223907927</v>
      </c>
      <c r="BL11" s="93">
        <v>4325546.6223907927</v>
      </c>
      <c r="BM11" s="93">
        <v>4325546.6223907927</v>
      </c>
      <c r="BN11" s="93">
        <v>4325546.6223907927</v>
      </c>
      <c r="BO11" s="93">
        <v>4325546.6223907927</v>
      </c>
      <c r="BP11" s="93">
        <v>4325546.6223907927</v>
      </c>
      <c r="BQ11" s="93">
        <v>4325546.6223907927</v>
      </c>
      <c r="BR11" s="93">
        <v>4325546.6223907927</v>
      </c>
      <c r="BS11" s="93">
        <v>4325546.6223907927</v>
      </c>
      <c r="BT11" s="93">
        <v>4325546.6223907927</v>
      </c>
      <c r="BU11" s="93">
        <v>4325546.6223907927</v>
      </c>
      <c r="BV11" s="93">
        <v>4541823.9535103329</v>
      </c>
      <c r="BW11" s="93">
        <v>4541823.9535103329</v>
      </c>
      <c r="BX11" s="93">
        <v>4541823.9535103329</v>
      </c>
      <c r="BY11" s="93">
        <v>4541823.9535103329</v>
      </c>
      <c r="BZ11" s="93">
        <v>4541823.9535103329</v>
      </c>
      <c r="CA11" s="93">
        <v>4541823.9535103329</v>
      </c>
      <c r="CB11" s="93">
        <v>4541823.9535103329</v>
      </c>
      <c r="CC11" s="93">
        <v>4541823.9535103329</v>
      </c>
      <c r="CD11" s="93">
        <v>4541823.9535103329</v>
      </c>
      <c r="CE11" s="93">
        <v>4541823.9535103329</v>
      </c>
      <c r="CF11" s="93">
        <v>4541823.9535103329</v>
      </c>
      <c r="CG11" s="93">
        <v>4541823.9535103329</v>
      </c>
      <c r="CH11" s="93">
        <v>4768915.1511858497</v>
      </c>
      <c r="CI11" s="93">
        <v>4768915.1511858497</v>
      </c>
      <c r="CJ11" s="93">
        <v>4768915.1511858497</v>
      </c>
      <c r="CK11" s="93">
        <v>4768915.1511858497</v>
      </c>
      <c r="CL11" s="93">
        <v>4768915.1511858497</v>
      </c>
      <c r="CM11" s="93">
        <v>4768915.1511858497</v>
      </c>
      <c r="CN11" s="93">
        <v>4768915.1511858497</v>
      </c>
      <c r="CO11" s="93">
        <v>4768915.1511858497</v>
      </c>
      <c r="CP11" s="93">
        <v>4768915.1511858497</v>
      </c>
      <c r="CQ11" s="93">
        <v>4768915.1511858497</v>
      </c>
      <c r="CR11" s="93">
        <v>4768915.1511858497</v>
      </c>
      <c r="CS11" s="93">
        <v>4768915.1511858497</v>
      </c>
      <c r="CT11" s="93">
        <v>5007360.9087451408</v>
      </c>
      <c r="CU11" s="93">
        <v>5007360.9087451408</v>
      </c>
      <c r="CV11" s="93">
        <v>5007360.9087451408</v>
      </c>
      <c r="CW11" s="93">
        <v>5007360.9087451408</v>
      </c>
      <c r="CX11" s="93">
        <v>5007360.9087451408</v>
      </c>
      <c r="CY11" s="93">
        <v>5007360.9087451408</v>
      </c>
      <c r="CZ11" s="93">
        <v>5007360.9087451408</v>
      </c>
      <c r="DA11" s="93">
        <v>5007360.9087451408</v>
      </c>
      <c r="DB11" s="93">
        <v>5007360.9087451408</v>
      </c>
      <c r="DC11" s="93">
        <v>5007360.9087451408</v>
      </c>
      <c r="DD11" s="93">
        <v>5007360.9087451408</v>
      </c>
      <c r="DE11" s="93">
        <v>5007360.9087451408</v>
      </c>
    </row>
    <row r="12" spans="1:109" ht="12.75" thickBot="1">
      <c r="A12" s="90" t="s">
        <v>54</v>
      </c>
      <c r="B12" s="96">
        <f>SUM(B2:B11)</f>
        <v>10105053.25</v>
      </c>
      <c r="C12" s="96">
        <f t="shared" ref="C12:BN12" si="0">SUM(C2:C11)</f>
        <v>10105053.25</v>
      </c>
      <c r="D12" s="96">
        <f t="shared" si="0"/>
        <v>10105053.25</v>
      </c>
      <c r="E12" s="96">
        <f t="shared" si="0"/>
        <v>10105053.25</v>
      </c>
      <c r="F12" s="96">
        <f t="shared" si="0"/>
        <v>10105053.25</v>
      </c>
      <c r="G12" s="96">
        <f t="shared" si="0"/>
        <v>10105053.25</v>
      </c>
      <c r="H12" s="96">
        <f t="shared" si="0"/>
        <v>10105053.25</v>
      </c>
      <c r="I12" s="96">
        <f t="shared" si="0"/>
        <v>10105053.25</v>
      </c>
      <c r="J12" s="96">
        <f t="shared" si="0"/>
        <v>10105053.25</v>
      </c>
      <c r="K12" s="96">
        <f t="shared" si="0"/>
        <v>10105053.25</v>
      </c>
      <c r="L12" s="96">
        <f t="shared" si="0"/>
        <v>10105053.25</v>
      </c>
      <c r="M12" s="96">
        <f t="shared" si="0"/>
        <v>10105053.25</v>
      </c>
      <c r="N12" s="96">
        <f t="shared" si="0"/>
        <v>10812406.977499999</v>
      </c>
      <c r="O12" s="96">
        <f t="shared" si="0"/>
        <v>10812406.977499999</v>
      </c>
      <c r="P12" s="96">
        <f t="shared" si="0"/>
        <v>10812406.977499999</v>
      </c>
      <c r="Q12" s="96">
        <f t="shared" si="0"/>
        <v>10812406.977499999</v>
      </c>
      <c r="R12" s="96">
        <f t="shared" si="0"/>
        <v>10812406.977499999</v>
      </c>
      <c r="S12" s="96">
        <f t="shared" si="0"/>
        <v>10812406.977499999</v>
      </c>
      <c r="T12" s="96">
        <f t="shared" si="0"/>
        <v>10812406.977499999</v>
      </c>
      <c r="U12" s="96">
        <f t="shared" si="0"/>
        <v>10812406.977499999</v>
      </c>
      <c r="V12" s="96">
        <f t="shared" si="0"/>
        <v>10812406.977499999</v>
      </c>
      <c r="W12" s="96">
        <f t="shared" si="0"/>
        <v>10812406.977499999</v>
      </c>
      <c r="X12" s="96">
        <f t="shared" si="0"/>
        <v>10812406.977499999</v>
      </c>
      <c r="Y12" s="96">
        <f t="shared" si="0"/>
        <v>10812406.977499999</v>
      </c>
      <c r="Z12" s="96">
        <f t="shared" si="0"/>
        <v>11569275.465925001</v>
      </c>
      <c r="AA12" s="96">
        <f t="shared" si="0"/>
        <v>11569275.465925001</v>
      </c>
      <c r="AB12" s="96">
        <f t="shared" si="0"/>
        <v>11569275.465925001</v>
      </c>
      <c r="AC12" s="96">
        <f t="shared" si="0"/>
        <v>11569275.465925001</v>
      </c>
      <c r="AD12" s="96">
        <f t="shared" si="0"/>
        <v>11569275.465925001</v>
      </c>
      <c r="AE12" s="96">
        <f t="shared" si="0"/>
        <v>11569275.465925001</v>
      </c>
      <c r="AF12" s="96">
        <f t="shared" si="0"/>
        <v>11569275.465925001</v>
      </c>
      <c r="AG12" s="96">
        <f t="shared" si="0"/>
        <v>11569275.465925001</v>
      </c>
      <c r="AH12" s="96">
        <f t="shared" si="0"/>
        <v>11569275.465925001</v>
      </c>
      <c r="AI12" s="96">
        <f t="shared" si="0"/>
        <v>11569275.465925001</v>
      </c>
      <c r="AJ12" s="96">
        <f t="shared" si="0"/>
        <v>11569275.465925001</v>
      </c>
      <c r="AK12" s="96">
        <f t="shared" si="0"/>
        <v>11569275.465925001</v>
      </c>
      <c r="AL12" s="96">
        <f t="shared" si="0"/>
        <v>12147739.239221251</v>
      </c>
      <c r="AM12" s="96">
        <f t="shared" si="0"/>
        <v>12147739.239221251</v>
      </c>
      <c r="AN12" s="96">
        <f t="shared" si="0"/>
        <v>12147739.239221251</v>
      </c>
      <c r="AO12" s="96">
        <f t="shared" si="0"/>
        <v>12147739.239221251</v>
      </c>
      <c r="AP12" s="96">
        <f t="shared" si="0"/>
        <v>12147739.239221251</v>
      </c>
      <c r="AQ12" s="96">
        <f t="shared" si="0"/>
        <v>12147739.239221251</v>
      </c>
      <c r="AR12" s="96">
        <f t="shared" si="0"/>
        <v>12147739.239221251</v>
      </c>
      <c r="AS12" s="96">
        <f t="shared" si="0"/>
        <v>12147739.239221251</v>
      </c>
      <c r="AT12" s="96">
        <f t="shared" si="0"/>
        <v>12147739.239221251</v>
      </c>
      <c r="AU12" s="96">
        <f t="shared" si="0"/>
        <v>12147739.239221251</v>
      </c>
      <c r="AV12" s="96">
        <f t="shared" si="0"/>
        <v>12147739.239221251</v>
      </c>
      <c r="AW12" s="96">
        <f t="shared" si="0"/>
        <v>12147739.239221251</v>
      </c>
      <c r="AX12" s="96">
        <f t="shared" si="0"/>
        <v>12755126.201182315</v>
      </c>
      <c r="AY12" s="96">
        <f t="shared" si="0"/>
        <v>12755126.201182315</v>
      </c>
      <c r="AZ12" s="96">
        <f t="shared" si="0"/>
        <v>12755126.201182315</v>
      </c>
      <c r="BA12" s="96">
        <f t="shared" si="0"/>
        <v>12755126.201182315</v>
      </c>
      <c r="BB12" s="96">
        <f t="shared" si="0"/>
        <v>12755126.201182315</v>
      </c>
      <c r="BC12" s="96">
        <f t="shared" si="0"/>
        <v>12755126.201182315</v>
      </c>
      <c r="BD12" s="96">
        <f t="shared" si="0"/>
        <v>12755126.201182315</v>
      </c>
      <c r="BE12" s="96">
        <f t="shared" si="0"/>
        <v>12755126.201182315</v>
      </c>
      <c r="BF12" s="96">
        <f t="shared" si="0"/>
        <v>12755126.201182315</v>
      </c>
      <c r="BG12" s="96">
        <f t="shared" si="0"/>
        <v>12755126.201182315</v>
      </c>
      <c r="BH12" s="96">
        <f t="shared" si="0"/>
        <v>12755126.201182315</v>
      </c>
      <c r="BI12" s="96">
        <f t="shared" si="0"/>
        <v>12755126.201182315</v>
      </c>
      <c r="BJ12" s="96">
        <f t="shared" si="0"/>
        <v>13392882.511241429</v>
      </c>
      <c r="BK12" s="96">
        <f t="shared" si="0"/>
        <v>13392882.511241429</v>
      </c>
      <c r="BL12" s="96">
        <f t="shared" si="0"/>
        <v>13392882.511241429</v>
      </c>
      <c r="BM12" s="96">
        <f t="shared" si="0"/>
        <v>13392882.511241429</v>
      </c>
      <c r="BN12" s="96">
        <f t="shared" si="0"/>
        <v>13392882.511241429</v>
      </c>
      <c r="BO12" s="96">
        <f t="shared" ref="BO12:DE12" si="1">SUM(BO2:BO11)</f>
        <v>13392882.511241429</v>
      </c>
      <c r="BP12" s="96">
        <f t="shared" si="1"/>
        <v>13392882.511241429</v>
      </c>
      <c r="BQ12" s="96">
        <f t="shared" si="1"/>
        <v>13392882.511241429</v>
      </c>
      <c r="BR12" s="96">
        <f t="shared" si="1"/>
        <v>13392882.511241429</v>
      </c>
      <c r="BS12" s="96">
        <f t="shared" si="1"/>
        <v>13392882.511241429</v>
      </c>
      <c r="BT12" s="96">
        <f t="shared" si="1"/>
        <v>13392882.511241429</v>
      </c>
      <c r="BU12" s="96">
        <f t="shared" si="1"/>
        <v>13392882.511241429</v>
      </c>
      <c r="BV12" s="96">
        <f t="shared" si="1"/>
        <v>14062526.636803502</v>
      </c>
      <c r="BW12" s="96">
        <f t="shared" si="1"/>
        <v>14062526.636803502</v>
      </c>
      <c r="BX12" s="96">
        <f t="shared" si="1"/>
        <v>14062526.636803502</v>
      </c>
      <c r="BY12" s="96">
        <f t="shared" si="1"/>
        <v>14062526.636803502</v>
      </c>
      <c r="BZ12" s="96">
        <f t="shared" si="1"/>
        <v>14062526.636803502</v>
      </c>
      <c r="CA12" s="96">
        <f t="shared" si="1"/>
        <v>14062526.636803502</v>
      </c>
      <c r="CB12" s="96">
        <f t="shared" si="1"/>
        <v>14062526.636803502</v>
      </c>
      <c r="CC12" s="96">
        <f t="shared" si="1"/>
        <v>14062526.636803502</v>
      </c>
      <c r="CD12" s="96">
        <f t="shared" si="1"/>
        <v>14062526.636803502</v>
      </c>
      <c r="CE12" s="96">
        <f t="shared" si="1"/>
        <v>14062526.636803502</v>
      </c>
      <c r="CF12" s="96">
        <f t="shared" si="1"/>
        <v>14062526.636803502</v>
      </c>
      <c r="CG12" s="96">
        <f t="shared" si="1"/>
        <v>14062526.636803502</v>
      </c>
      <c r="CH12" s="96">
        <f t="shared" si="1"/>
        <v>14765652.968643678</v>
      </c>
      <c r="CI12" s="96">
        <f t="shared" si="1"/>
        <v>14765652.968643678</v>
      </c>
      <c r="CJ12" s="96">
        <f t="shared" si="1"/>
        <v>14765652.968643678</v>
      </c>
      <c r="CK12" s="96">
        <f t="shared" si="1"/>
        <v>14765652.968643678</v>
      </c>
      <c r="CL12" s="96">
        <f t="shared" si="1"/>
        <v>14765652.968643678</v>
      </c>
      <c r="CM12" s="96">
        <f t="shared" si="1"/>
        <v>14765652.968643678</v>
      </c>
      <c r="CN12" s="96">
        <f t="shared" si="1"/>
        <v>14765652.968643678</v>
      </c>
      <c r="CO12" s="96">
        <f t="shared" si="1"/>
        <v>14765652.968643678</v>
      </c>
      <c r="CP12" s="96">
        <f t="shared" si="1"/>
        <v>14765652.968643678</v>
      </c>
      <c r="CQ12" s="96">
        <f t="shared" si="1"/>
        <v>14765652.968643678</v>
      </c>
      <c r="CR12" s="96">
        <f t="shared" si="1"/>
        <v>14765652.968643678</v>
      </c>
      <c r="CS12" s="96">
        <f t="shared" si="1"/>
        <v>14765652.968643678</v>
      </c>
      <c r="CT12" s="96">
        <f t="shared" si="1"/>
        <v>15503935.617075861</v>
      </c>
      <c r="CU12" s="96">
        <f t="shared" si="1"/>
        <v>15503935.617075861</v>
      </c>
      <c r="CV12" s="96">
        <f t="shared" si="1"/>
        <v>15503935.617075861</v>
      </c>
      <c r="CW12" s="96">
        <f t="shared" si="1"/>
        <v>15503935.617075861</v>
      </c>
      <c r="CX12" s="96">
        <f t="shared" si="1"/>
        <v>15503935.617075861</v>
      </c>
      <c r="CY12" s="96">
        <f t="shared" si="1"/>
        <v>15503935.617075861</v>
      </c>
      <c r="CZ12" s="96">
        <f t="shared" si="1"/>
        <v>15503935.617075861</v>
      </c>
      <c r="DA12" s="96">
        <f t="shared" si="1"/>
        <v>15503935.617075861</v>
      </c>
      <c r="DB12" s="96">
        <f t="shared" si="1"/>
        <v>15503935.617075861</v>
      </c>
      <c r="DC12" s="96">
        <f t="shared" si="1"/>
        <v>15503935.617075861</v>
      </c>
      <c r="DD12" s="96">
        <f t="shared" si="1"/>
        <v>15503935.617075861</v>
      </c>
      <c r="DE12" s="96">
        <f t="shared" si="1"/>
        <v>15503935.617075861</v>
      </c>
    </row>
    <row r="13" spans="1:109" ht="12.75" thickTop="1">
      <c r="A13" s="97"/>
    </row>
    <row r="14" spans="1:109">
      <c r="A14" s="90" t="s">
        <v>272</v>
      </c>
      <c r="B14" s="91">
        <f>B1</f>
        <v>43951</v>
      </c>
      <c r="C14" s="91">
        <f t="shared" ref="C14:BN14" si="2">C1</f>
        <v>43982</v>
      </c>
      <c r="D14" s="91">
        <f t="shared" si="2"/>
        <v>44012</v>
      </c>
      <c r="E14" s="91">
        <f t="shared" si="2"/>
        <v>44043</v>
      </c>
      <c r="F14" s="91">
        <f t="shared" si="2"/>
        <v>44074</v>
      </c>
      <c r="G14" s="91">
        <f t="shared" si="2"/>
        <v>44104</v>
      </c>
      <c r="H14" s="91">
        <f t="shared" si="2"/>
        <v>44135</v>
      </c>
      <c r="I14" s="91">
        <f t="shared" si="2"/>
        <v>44165</v>
      </c>
      <c r="J14" s="91">
        <f t="shared" si="2"/>
        <v>44196</v>
      </c>
      <c r="K14" s="91">
        <f t="shared" si="2"/>
        <v>44227</v>
      </c>
      <c r="L14" s="91">
        <f t="shared" si="2"/>
        <v>44255</v>
      </c>
      <c r="M14" s="91">
        <f t="shared" si="2"/>
        <v>44286</v>
      </c>
      <c r="N14" s="91">
        <f t="shared" si="2"/>
        <v>44316</v>
      </c>
      <c r="O14" s="91">
        <f t="shared" si="2"/>
        <v>44347</v>
      </c>
      <c r="P14" s="91">
        <f t="shared" si="2"/>
        <v>44377</v>
      </c>
      <c r="Q14" s="91">
        <f t="shared" si="2"/>
        <v>44408</v>
      </c>
      <c r="R14" s="91">
        <f t="shared" si="2"/>
        <v>44439</v>
      </c>
      <c r="S14" s="91">
        <f t="shared" si="2"/>
        <v>44469</v>
      </c>
      <c r="T14" s="91">
        <f t="shared" si="2"/>
        <v>44500</v>
      </c>
      <c r="U14" s="91">
        <f t="shared" si="2"/>
        <v>44530</v>
      </c>
      <c r="V14" s="91">
        <f t="shared" si="2"/>
        <v>44561</v>
      </c>
      <c r="W14" s="91">
        <f t="shared" si="2"/>
        <v>44592</v>
      </c>
      <c r="X14" s="91">
        <f t="shared" si="2"/>
        <v>44620</v>
      </c>
      <c r="Y14" s="91">
        <f t="shared" si="2"/>
        <v>44651</v>
      </c>
      <c r="Z14" s="91">
        <f t="shared" si="2"/>
        <v>44681</v>
      </c>
      <c r="AA14" s="91">
        <f t="shared" si="2"/>
        <v>44712</v>
      </c>
      <c r="AB14" s="91">
        <f t="shared" si="2"/>
        <v>44742</v>
      </c>
      <c r="AC14" s="91">
        <f t="shared" si="2"/>
        <v>44773</v>
      </c>
      <c r="AD14" s="91">
        <f t="shared" si="2"/>
        <v>44804</v>
      </c>
      <c r="AE14" s="91">
        <f t="shared" si="2"/>
        <v>44834</v>
      </c>
      <c r="AF14" s="91">
        <f t="shared" si="2"/>
        <v>44865</v>
      </c>
      <c r="AG14" s="91">
        <f t="shared" si="2"/>
        <v>44895</v>
      </c>
      <c r="AH14" s="91">
        <f t="shared" si="2"/>
        <v>44926</v>
      </c>
      <c r="AI14" s="91">
        <f t="shared" si="2"/>
        <v>44957</v>
      </c>
      <c r="AJ14" s="91">
        <f t="shared" si="2"/>
        <v>44985</v>
      </c>
      <c r="AK14" s="91">
        <f t="shared" si="2"/>
        <v>45016</v>
      </c>
      <c r="AL14" s="91">
        <f t="shared" si="2"/>
        <v>45046</v>
      </c>
      <c r="AM14" s="91">
        <f t="shared" si="2"/>
        <v>45077</v>
      </c>
      <c r="AN14" s="91">
        <f t="shared" si="2"/>
        <v>45107</v>
      </c>
      <c r="AO14" s="91">
        <f t="shared" si="2"/>
        <v>45138</v>
      </c>
      <c r="AP14" s="91">
        <f t="shared" si="2"/>
        <v>45169</v>
      </c>
      <c r="AQ14" s="91">
        <f t="shared" si="2"/>
        <v>45199</v>
      </c>
      <c r="AR14" s="91">
        <f t="shared" si="2"/>
        <v>45230</v>
      </c>
      <c r="AS14" s="91">
        <f t="shared" si="2"/>
        <v>45260</v>
      </c>
      <c r="AT14" s="91">
        <f t="shared" si="2"/>
        <v>45291</v>
      </c>
      <c r="AU14" s="91">
        <f t="shared" si="2"/>
        <v>45322</v>
      </c>
      <c r="AV14" s="91">
        <f t="shared" si="2"/>
        <v>45351</v>
      </c>
      <c r="AW14" s="91">
        <f t="shared" si="2"/>
        <v>45382</v>
      </c>
      <c r="AX14" s="91">
        <f t="shared" si="2"/>
        <v>45412</v>
      </c>
      <c r="AY14" s="91">
        <f t="shared" si="2"/>
        <v>45443</v>
      </c>
      <c r="AZ14" s="91">
        <f t="shared" si="2"/>
        <v>45473</v>
      </c>
      <c r="BA14" s="91">
        <f t="shared" si="2"/>
        <v>45504</v>
      </c>
      <c r="BB14" s="91">
        <f t="shared" si="2"/>
        <v>45535</v>
      </c>
      <c r="BC14" s="91">
        <f t="shared" si="2"/>
        <v>45565</v>
      </c>
      <c r="BD14" s="91">
        <f t="shared" si="2"/>
        <v>45596</v>
      </c>
      <c r="BE14" s="91">
        <f t="shared" si="2"/>
        <v>45626</v>
      </c>
      <c r="BF14" s="91">
        <f t="shared" si="2"/>
        <v>45657</v>
      </c>
      <c r="BG14" s="91">
        <f t="shared" si="2"/>
        <v>45688</v>
      </c>
      <c r="BH14" s="91">
        <f t="shared" si="2"/>
        <v>45716</v>
      </c>
      <c r="BI14" s="91">
        <f t="shared" si="2"/>
        <v>45747</v>
      </c>
      <c r="BJ14" s="91">
        <f t="shared" si="2"/>
        <v>45777</v>
      </c>
      <c r="BK14" s="91">
        <f t="shared" si="2"/>
        <v>45808</v>
      </c>
      <c r="BL14" s="91">
        <f t="shared" si="2"/>
        <v>45838</v>
      </c>
      <c r="BM14" s="91">
        <f t="shared" si="2"/>
        <v>45869</v>
      </c>
      <c r="BN14" s="91">
        <f t="shared" si="2"/>
        <v>45900</v>
      </c>
      <c r="BO14" s="91">
        <f t="shared" ref="BO14:DE14" si="3">BO1</f>
        <v>45930</v>
      </c>
      <c r="BP14" s="91">
        <f t="shared" si="3"/>
        <v>45961</v>
      </c>
      <c r="BQ14" s="91">
        <f t="shared" si="3"/>
        <v>45991</v>
      </c>
      <c r="BR14" s="91">
        <f t="shared" si="3"/>
        <v>46022</v>
      </c>
      <c r="BS14" s="91">
        <f t="shared" si="3"/>
        <v>46053</v>
      </c>
      <c r="BT14" s="91">
        <f t="shared" si="3"/>
        <v>46081</v>
      </c>
      <c r="BU14" s="91">
        <f t="shared" si="3"/>
        <v>46112</v>
      </c>
      <c r="BV14" s="91">
        <f t="shared" si="3"/>
        <v>46142</v>
      </c>
      <c r="BW14" s="91">
        <f t="shared" si="3"/>
        <v>46173</v>
      </c>
      <c r="BX14" s="91">
        <f t="shared" si="3"/>
        <v>46203</v>
      </c>
      <c r="BY14" s="91">
        <f t="shared" si="3"/>
        <v>46234</v>
      </c>
      <c r="BZ14" s="91">
        <f t="shared" si="3"/>
        <v>46265</v>
      </c>
      <c r="CA14" s="91">
        <f t="shared" si="3"/>
        <v>46295</v>
      </c>
      <c r="CB14" s="91">
        <f t="shared" si="3"/>
        <v>46326</v>
      </c>
      <c r="CC14" s="91">
        <f t="shared" si="3"/>
        <v>46356</v>
      </c>
      <c r="CD14" s="91">
        <f t="shared" si="3"/>
        <v>46387</v>
      </c>
      <c r="CE14" s="91">
        <f t="shared" si="3"/>
        <v>46418</v>
      </c>
      <c r="CF14" s="91">
        <f t="shared" si="3"/>
        <v>46446</v>
      </c>
      <c r="CG14" s="91">
        <f t="shared" si="3"/>
        <v>46477</v>
      </c>
      <c r="CH14" s="91">
        <f t="shared" si="3"/>
        <v>46507</v>
      </c>
      <c r="CI14" s="91">
        <f t="shared" si="3"/>
        <v>46538</v>
      </c>
      <c r="CJ14" s="91">
        <f t="shared" si="3"/>
        <v>46568</v>
      </c>
      <c r="CK14" s="91">
        <f t="shared" si="3"/>
        <v>46599</v>
      </c>
      <c r="CL14" s="91">
        <f t="shared" si="3"/>
        <v>46630</v>
      </c>
      <c r="CM14" s="91">
        <f t="shared" si="3"/>
        <v>46660</v>
      </c>
      <c r="CN14" s="91">
        <f t="shared" si="3"/>
        <v>46691</v>
      </c>
      <c r="CO14" s="91">
        <f t="shared" si="3"/>
        <v>46721</v>
      </c>
      <c r="CP14" s="91">
        <f t="shared" si="3"/>
        <v>46752</v>
      </c>
      <c r="CQ14" s="91">
        <f t="shared" si="3"/>
        <v>46783</v>
      </c>
      <c r="CR14" s="91">
        <f t="shared" si="3"/>
        <v>46812</v>
      </c>
      <c r="CS14" s="91">
        <f t="shared" si="3"/>
        <v>46843</v>
      </c>
      <c r="CT14" s="91">
        <f t="shared" si="3"/>
        <v>46873</v>
      </c>
      <c r="CU14" s="91">
        <f t="shared" si="3"/>
        <v>46904</v>
      </c>
      <c r="CV14" s="91">
        <f t="shared" si="3"/>
        <v>46934</v>
      </c>
      <c r="CW14" s="91">
        <f t="shared" si="3"/>
        <v>46965</v>
      </c>
      <c r="CX14" s="91">
        <f t="shared" si="3"/>
        <v>46996</v>
      </c>
      <c r="CY14" s="91">
        <f t="shared" si="3"/>
        <v>47026</v>
      </c>
      <c r="CZ14" s="91">
        <f t="shared" si="3"/>
        <v>47056</v>
      </c>
      <c r="DA14" s="91">
        <f t="shared" si="3"/>
        <v>47087</v>
      </c>
      <c r="DB14" s="91">
        <f t="shared" si="3"/>
        <v>47117</v>
      </c>
      <c r="DC14" s="91">
        <f t="shared" si="3"/>
        <v>47148</v>
      </c>
      <c r="DD14" s="91">
        <f t="shared" si="3"/>
        <v>47177</v>
      </c>
      <c r="DE14" s="91">
        <f t="shared" si="3"/>
        <v>47207</v>
      </c>
    </row>
    <row r="15" spans="1:109">
      <c r="A15" s="92" t="s">
        <v>262</v>
      </c>
      <c r="B15" s="93">
        <v>1668938.9199999997</v>
      </c>
      <c r="C15" s="93">
        <v>1668938.9199999997</v>
      </c>
      <c r="D15" s="93">
        <v>1668938.9199999997</v>
      </c>
      <c r="E15" s="93">
        <v>1668938.9199999997</v>
      </c>
      <c r="F15" s="93">
        <v>1668938.9199999997</v>
      </c>
      <c r="G15" s="93">
        <v>1668938.9199999997</v>
      </c>
      <c r="H15" s="93">
        <v>1668938.9199999997</v>
      </c>
      <c r="I15" s="93">
        <v>1668938.9199999997</v>
      </c>
      <c r="J15" s="93">
        <v>1668938.9199999997</v>
      </c>
      <c r="K15" s="93">
        <v>1668938.9199999997</v>
      </c>
      <c r="L15" s="93">
        <v>1668938.9199999997</v>
      </c>
      <c r="M15" s="93">
        <v>1668938.9199999997</v>
      </c>
      <c r="N15" s="93">
        <v>1785764.6444000003</v>
      </c>
      <c r="O15" s="93">
        <v>1785764.6444000003</v>
      </c>
      <c r="P15" s="93">
        <v>1785764.6444000003</v>
      </c>
      <c r="Q15" s="93">
        <v>1785764.6444000003</v>
      </c>
      <c r="R15" s="93">
        <v>1785764.6444000003</v>
      </c>
      <c r="S15" s="93">
        <v>1785764.6444000003</v>
      </c>
      <c r="T15" s="93">
        <v>1785764.6444000003</v>
      </c>
      <c r="U15" s="93">
        <v>1785764.6444000003</v>
      </c>
      <c r="V15" s="93">
        <v>1785764.6444000003</v>
      </c>
      <c r="W15" s="93">
        <v>1785764.6444000003</v>
      </c>
      <c r="X15" s="93">
        <v>1785764.6444000003</v>
      </c>
      <c r="Y15" s="93">
        <v>1785764.6444000003</v>
      </c>
      <c r="Z15" s="93">
        <v>1910768.1695080001</v>
      </c>
      <c r="AA15" s="93">
        <v>1910768.1695080001</v>
      </c>
      <c r="AB15" s="93">
        <v>1910768.1695080001</v>
      </c>
      <c r="AC15" s="93">
        <v>1910768.1695080001</v>
      </c>
      <c r="AD15" s="93">
        <v>1910768.1695080001</v>
      </c>
      <c r="AE15" s="93">
        <v>1910768.1695080001</v>
      </c>
      <c r="AF15" s="93">
        <v>1910768.1695080001</v>
      </c>
      <c r="AG15" s="93">
        <v>1910768.1695080001</v>
      </c>
      <c r="AH15" s="93">
        <v>1910768.1695080001</v>
      </c>
      <c r="AI15" s="93">
        <v>1910768.1695080001</v>
      </c>
      <c r="AJ15" s="93">
        <v>1910768.1695080001</v>
      </c>
      <c r="AK15" s="93">
        <v>1910768.1695080001</v>
      </c>
      <c r="AL15" s="93">
        <v>2006306.5779833996</v>
      </c>
      <c r="AM15" s="93">
        <v>2006306.5779833996</v>
      </c>
      <c r="AN15" s="93">
        <v>2006306.5779833996</v>
      </c>
      <c r="AO15" s="93">
        <v>2006306.5779833996</v>
      </c>
      <c r="AP15" s="93">
        <v>2006306.5779833996</v>
      </c>
      <c r="AQ15" s="93">
        <v>2006306.5779833996</v>
      </c>
      <c r="AR15" s="93">
        <v>2006306.5779833996</v>
      </c>
      <c r="AS15" s="93">
        <v>2006306.5779833996</v>
      </c>
      <c r="AT15" s="93">
        <v>2006306.5779833996</v>
      </c>
      <c r="AU15" s="93">
        <v>2006306.5779833996</v>
      </c>
      <c r="AV15" s="93">
        <v>2006306.5779833996</v>
      </c>
      <c r="AW15" s="93">
        <v>2006306.5779833996</v>
      </c>
      <c r="AX15" s="93">
        <v>2106621.9068825701</v>
      </c>
      <c r="AY15" s="93">
        <v>2106621.9068825701</v>
      </c>
      <c r="AZ15" s="93">
        <v>2106621.9068825701</v>
      </c>
      <c r="BA15" s="93">
        <v>2106621.9068825701</v>
      </c>
      <c r="BB15" s="93">
        <v>2106621.9068825701</v>
      </c>
      <c r="BC15" s="93">
        <v>2106621.9068825701</v>
      </c>
      <c r="BD15" s="93">
        <v>2106621.9068825701</v>
      </c>
      <c r="BE15" s="93">
        <v>2106621.9068825701</v>
      </c>
      <c r="BF15" s="93">
        <v>2106621.9068825701</v>
      </c>
      <c r="BG15" s="93">
        <v>2106621.9068825701</v>
      </c>
      <c r="BH15" s="93">
        <v>2106621.9068825701</v>
      </c>
      <c r="BI15" s="93">
        <v>2106621.9068825701</v>
      </c>
      <c r="BJ15" s="93">
        <v>2211953.0022266987</v>
      </c>
      <c r="BK15" s="93">
        <v>2211953.0022266987</v>
      </c>
      <c r="BL15" s="93">
        <v>2211953.0022266987</v>
      </c>
      <c r="BM15" s="93">
        <v>2211953.0022266987</v>
      </c>
      <c r="BN15" s="93">
        <v>2211953.0022266987</v>
      </c>
      <c r="BO15" s="93">
        <v>2211953.0022266987</v>
      </c>
      <c r="BP15" s="93">
        <v>2211953.0022266987</v>
      </c>
      <c r="BQ15" s="93">
        <v>2211953.0022266987</v>
      </c>
      <c r="BR15" s="93">
        <v>2211953.0022266987</v>
      </c>
      <c r="BS15" s="93">
        <v>2211953.0022266987</v>
      </c>
      <c r="BT15" s="93">
        <v>2211953.0022266987</v>
      </c>
      <c r="BU15" s="93">
        <v>2211953.0022266987</v>
      </c>
      <c r="BV15" s="93">
        <v>2322550.652338034</v>
      </c>
      <c r="BW15" s="93">
        <v>2322550.652338034</v>
      </c>
      <c r="BX15" s="93">
        <v>2322550.652338034</v>
      </c>
      <c r="BY15" s="93">
        <v>2322550.652338034</v>
      </c>
      <c r="BZ15" s="93">
        <v>2322550.652338034</v>
      </c>
      <c r="CA15" s="93">
        <v>2322550.652338034</v>
      </c>
      <c r="CB15" s="93">
        <v>2322550.652338034</v>
      </c>
      <c r="CC15" s="93">
        <v>2322550.652338034</v>
      </c>
      <c r="CD15" s="93">
        <v>2322550.652338034</v>
      </c>
      <c r="CE15" s="93">
        <v>2322550.652338034</v>
      </c>
      <c r="CF15" s="93">
        <v>2322550.652338034</v>
      </c>
      <c r="CG15" s="93">
        <v>2322550.652338034</v>
      </c>
      <c r="CH15" s="93">
        <v>2438678.1849549362</v>
      </c>
      <c r="CI15" s="93">
        <v>2438678.1849549362</v>
      </c>
      <c r="CJ15" s="93">
        <v>2438678.1849549362</v>
      </c>
      <c r="CK15" s="93">
        <v>2438678.1849549362</v>
      </c>
      <c r="CL15" s="93">
        <v>2438678.1849549362</v>
      </c>
      <c r="CM15" s="93">
        <v>2438678.1849549362</v>
      </c>
      <c r="CN15" s="93">
        <v>2438678.1849549362</v>
      </c>
      <c r="CO15" s="93">
        <v>2438678.1849549362</v>
      </c>
      <c r="CP15" s="93">
        <v>2438678.1849549362</v>
      </c>
      <c r="CQ15" s="93">
        <v>2438678.1849549362</v>
      </c>
      <c r="CR15" s="93">
        <v>2438678.1849549362</v>
      </c>
      <c r="CS15" s="93">
        <v>2438678.1849549362</v>
      </c>
      <c r="CT15" s="93">
        <v>2560612.0942026819</v>
      </c>
      <c r="CU15" s="93">
        <v>2560612.0942026819</v>
      </c>
      <c r="CV15" s="93">
        <v>2560612.0942026819</v>
      </c>
      <c r="CW15" s="93">
        <v>2560612.0942026819</v>
      </c>
      <c r="CX15" s="93">
        <v>2560612.0942026819</v>
      </c>
      <c r="CY15" s="93">
        <v>2560612.0942026819</v>
      </c>
      <c r="CZ15" s="93">
        <v>2560612.0942026819</v>
      </c>
      <c r="DA15" s="93">
        <v>2560612.0942026819</v>
      </c>
      <c r="DB15" s="93">
        <v>2560612.0942026819</v>
      </c>
      <c r="DC15" s="93">
        <v>2560612.0942026819</v>
      </c>
      <c r="DD15" s="93">
        <v>2560612.0942026819</v>
      </c>
      <c r="DE15" s="93">
        <v>2560612.0942026819</v>
      </c>
    </row>
    <row r="16" spans="1:109">
      <c r="A16" s="94" t="s">
        <v>263</v>
      </c>
      <c r="B16" s="93">
        <v>234636.02000000002</v>
      </c>
      <c r="C16" s="93">
        <v>234636.02000000002</v>
      </c>
      <c r="D16" s="93">
        <v>234636.02000000002</v>
      </c>
      <c r="E16" s="93">
        <v>234636.02000000002</v>
      </c>
      <c r="F16" s="93">
        <v>234636.02000000002</v>
      </c>
      <c r="G16" s="93">
        <v>234636.02000000002</v>
      </c>
      <c r="H16" s="93">
        <v>234636.02000000002</v>
      </c>
      <c r="I16" s="93">
        <v>234636.02000000002</v>
      </c>
      <c r="J16" s="93">
        <v>234636.02000000002</v>
      </c>
      <c r="K16" s="93">
        <v>234636.02000000002</v>
      </c>
      <c r="L16" s="93">
        <v>234636.02000000002</v>
      </c>
      <c r="M16" s="93">
        <v>234636.02000000002</v>
      </c>
      <c r="N16" s="93">
        <v>251060.54139999996</v>
      </c>
      <c r="O16" s="93">
        <v>251060.54139999996</v>
      </c>
      <c r="P16" s="93">
        <v>251060.54139999996</v>
      </c>
      <c r="Q16" s="93">
        <v>251060.54139999996</v>
      </c>
      <c r="R16" s="93">
        <v>251060.54139999996</v>
      </c>
      <c r="S16" s="93">
        <v>251060.54139999996</v>
      </c>
      <c r="T16" s="93">
        <v>251060.54139999996</v>
      </c>
      <c r="U16" s="93">
        <v>251060.54139999996</v>
      </c>
      <c r="V16" s="93">
        <v>251060.54139999996</v>
      </c>
      <c r="W16" s="93">
        <v>251060.54139999996</v>
      </c>
      <c r="X16" s="93">
        <v>251060.54139999996</v>
      </c>
      <c r="Y16" s="93">
        <v>251060.54139999996</v>
      </c>
      <c r="Z16" s="93">
        <v>268634.77929800004</v>
      </c>
      <c r="AA16" s="93">
        <v>268634.77929800004</v>
      </c>
      <c r="AB16" s="93">
        <v>268634.77929800004</v>
      </c>
      <c r="AC16" s="93">
        <v>268634.77929800004</v>
      </c>
      <c r="AD16" s="93">
        <v>268634.77929800004</v>
      </c>
      <c r="AE16" s="93">
        <v>268634.77929800004</v>
      </c>
      <c r="AF16" s="93">
        <v>268634.77929800004</v>
      </c>
      <c r="AG16" s="93">
        <v>268634.77929800004</v>
      </c>
      <c r="AH16" s="93">
        <v>268634.77929800004</v>
      </c>
      <c r="AI16" s="93">
        <v>268634.77929800004</v>
      </c>
      <c r="AJ16" s="93">
        <v>268634.77929800004</v>
      </c>
      <c r="AK16" s="93">
        <v>268634.77929800004</v>
      </c>
      <c r="AL16" s="93">
        <v>282066.5182629</v>
      </c>
      <c r="AM16" s="93">
        <v>282066.5182629</v>
      </c>
      <c r="AN16" s="93">
        <v>282066.5182629</v>
      </c>
      <c r="AO16" s="93">
        <v>282066.5182629</v>
      </c>
      <c r="AP16" s="93">
        <v>282066.5182629</v>
      </c>
      <c r="AQ16" s="93">
        <v>282066.5182629</v>
      </c>
      <c r="AR16" s="93">
        <v>282066.5182629</v>
      </c>
      <c r="AS16" s="93">
        <v>282066.5182629</v>
      </c>
      <c r="AT16" s="93">
        <v>282066.5182629</v>
      </c>
      <c r="AU16" s="93">
        <v>282066.5182629</v>
      </c>
      <c r="AV16" s="93">
        <v>282066.5182629</v>
      </c>
      <c r="AW16" s="93">
        <v>282066.5182629</v>
      </c>
      <c r="AX16" s="93">
        <v>296169.84417604504</v>
      </c>
      <c r="AY16" s="93">
        <v>296169.84417604504</v>
      </c>
      <c r="AZ16" s="93">
        <v>296169.84417604504</v>
      </c>
      <c r="BA16" s="93">
        <v>296169.84417604504</v>
      </c>
      <c r="BB16" s="93">
        <v>296169.84417604504</v>
      </c>
      <c r="BC16" s="93">
        <v>296169.84417604504</v>
      </c>
      <c r="BD16" s="93">
        <v>296169.84417604504</v>
      </c>
      <c r="BE16" s="93">
        <v>296169.84417604504</v>
      </c>
      <c r="BF16" s="93">
        <v>296169.84417604504</v>
      </c>
      <c r="BG16" s="93">
        <v>296169.84417604504</v>
      </c>
      <c r="BH16" s="93">
        <v>296169.84417604504</v>
      </c>
      <c r="BI16" s="93">
        <v>296169.84417604504</v>
      </c>
      <c r="BJ16" s="93">
        <v>310978.33638484729</v>
      </c>
      <c r="BK16" s="93">
        <v>310978.33638484729</v>
      </c>
      <c r="BL16" s="93">
        <v>310978.33638484729</v>
      </c>
      <c r="BM16" s="93">
        <v>310978.33638484729</v>
      </c>
      <c r="BN16" s="93">
        <v>310978.33638484729</v>
      </c>
      <c r="BO16" s="93">
        <v>310978.33638484729</v>
      </c>
      <c r="BP16" s="93">
        <v>310978.33638484729</v>
      </c>
      <c r="BQ16" s="93">
        <v>310978.33638484729</v>
      </c>
      <c r="BR16" s="93">
        <v>310978.33638484729</v>
      </c>
      <c r="BS16" s="93">
        <v>310978.33638484729</v>
      </c>
      <c r="BT16" s="93">
        <v>310978.33638484729</v>
      </c>
      <c r="BU16" s="93">
        <v>310978.33638484729</v>
      </c>
      <c r="BV16" s="93">
        <v>326527.25320408965</v>
      </c>
      <c r="BW16" s="93">
        <v>326527.25320408965</v>
      </c>
      <c r="BX16" s="93">
        <v>326527.25320408965</v>
      </c>
      <c r="BY16" s="93">
        <v>326527.25320408965</v>
      </c>
      <c r="BZ16" s="93">
        <v>326527.25320408965</v>
      </c>
      <c r="CA16" s="93">
        <v>326527.25320408965</v>
      </c>
      <c r="CB16" s="93">
        <v>326527.25320408965</v>
      </c>
      <c r="CC16" s="93">
        <v>326527.25320408965</v>
      </c>
      <c r="CD16" s="93">
        <v>326527.25320408965</v>
      </c>
      <c r="CE16" s="93">
        <v>326527.25320408965</v>
      </c>
      <c r="CF16" s="93">
        <v>326527.25320408965</v>
      </c>
      <c r="CG16" s="93">
        <v>326527.25320408965</v>
      </c>
      <c r="CH16" s="93">
        <v>342853.61586429412</v>
      </c>
      <c r="CI16" s="93">
        <v>342853.61586429412</v>
      </c>
      <c r="CJ16" s="93">
        <v>342853.61586429412</v>
      </c>
      <c r="CK16" s="93">
        <v>342853.61586429412</v>
      </c>
      <c r="CL16" s="93">
        <v>342853.61586429412</v>
      </c>
      <c r="CM16" s="93">
        <v>342853.61586429412</v>
      </c>
      <c r="CN16" s="93">
        <v>342853.61586429412</v>
      </c>
      <c r="CO16" s="93">
        <v>342853.61586429412</v>
      </c>
      <c r="CP16" s="93">
        <v>342853.61586429412</v>
      </c>
      <c r="CQ16" s="93">
        <v>342853.61586429412</v>
      </c>
      <c r="CR16" s="93">
        <v>342853.61586429412</v>
      </c>
      <c r="CS16" s="93">
        <v>342853.61586429412</v>
      </c>
      <c r="CT16" s="93">
        <v>359996.29665750888</v>
      </c>
      <c r="CU16" s="93">
        <v>359996.29665750888</v>
      </c>
      <c r="CV16" s="93">
        <v>359996.29665750888</v>
      </c>
      <c r="CW16" s="93">
        <v>359996.29665750888</v>
      </c>
      <c r="CX16" s="93">
        <v>359996.29665750888</v>
      </c>
      <c r="CY16" s="93">
        <v>359996.29665750888</v>
      </c>
      <c r="CZ16" s="93">
        <v>359996.29665750888</v>
      </c>
      <c r="DA16" s="93">
        <v>359996.29665750888</v>
      </c>
      <c r="DB16" s="93">
        <v>359996.29665750888</v>
      </c>
      <c r="DC16" s="93">
        <v>359996.29665750888</v>
      </c>
      <c r="DD16" s="93">
        <v>359996.29665750888</v>
      </c>
      <c r="DE16" s="93">
        <v>359996.29665750888</v>
      </c>
    </row>
    <row r="17" spans="1:109">
      <c r="A17" s="92" t="s">
        <v>264</v>
      </c>
      <c r="B17" s="93">
        <v>0</v>
      </c>
      <c r="C17" s="93">
        <v>0</v>
      </c>
      <c r="D17" s="93">
        <v>0</v>
      </c>
      <c r="E17" s="93">
        <v>0</v>
      </c>
      <c r="F17" s="93">
        <v>0</v>
      </c>
      <c r="G17" s="93">
        <v>0</v>
      </c>
      <c r="H17" s="93">
        <v>0</v>
      </c>
      <c r="I17" s="93">
        <v>0</v>
      </c>
      <c r="J17" s="93">
        <v>0</v>
      </c>
      <c r="K17" s="93">
        <v>0</v>
      </c>
      <c r="L17" s="93">
        <v>0</v>
      </c>
      <c r="M17" s="93">
        <v>0</v>
      </c>
      <c r="N17" s="93">
        <v>0</v>
      </c>
      <c r="O17" s="93">
        <v>0</v>
      </c>
      <c r="P17" s="93">
        <v>0</v>
      </c>
      <c r="Q17" s="93">
        <v>0</v>
      </c>
      <c r="R17" s="93">
        <v>0</v>
      </c>
      <c r="S17" s="93">
        <v>0</v>
      </c>
      <c r="T17" s="93">
        <v>0</v>
      </c>
      <c r="U17" s="93">
        <v>0</v>
      </c>
      <c r="V17" s="93">
        <v>0</v>
      </c>
      <c r="W17" s="93">
        <v>0</v>
      </c>
      <c r="X17" s="93">
        <v>0</v>
      </c>
      <c r="Y17" s="93">
        <v>0</v>
      </c>
      <c r="Z17" s="93">
        <v>0</v>
      </c>
      <c r="AA17" s="93">
        <v>0</v>
      </c>
      <c r="AB17" s="93">
        <v>0</v>
      </c>
      <c r="AC17" s="93">
        <v>0</v>
      </c>
      <c r="AD17" s="93">
        <v>0</v>
      </c>
      <c r="AE17" s="93">
        <v>0</v>
      </c>
      <c r="AF17" s="93">
        <v>0</v>
      </c>
      <c r="AG17" s="93">
        <v>0</v>
      </c>
      <c r="AH17" s="93">
        <v>0</v>
      </c>
      <c r="AI17" s="93">
        <v>0</v>
      </c>
      <c r="AJ17" s="93">
        <v>0</v>
      </c>
      <c r="AK17" s="93">
        <v>0</v>
      </c>
      <c r="AL17" s="93">
        <v>0</v>
      </c>
      <c r="AM17" s="93">
        <v>0</v>
      </c>
      <c r="AN17" s="93">
        <v>0</v>
      </c>
      <c r="AO17" s="93">
        <v>0</v>
      </c>
      <c r="AP17" s="93">
        <v>0</v>
      </c>
      <c r="AQ17" s="93">
        <v>0</v>
      </c>
      <c r="AR17" s="93">
        <v>0</v>
      </c>
      <c r="AS17" s="93">
        <v>0</v>
      </c>
      <c r="AT17" s="93">
        <v>0</v>
      </c>
      <c r="AU17" s="93">
        <v>0</v>
      </c>
      <c r="AV17" s="93">
        <v>0</v>
      </c>
      <c r="AW17" s="93">
        <v>0</v>
      </c>
      <c r="AX17" s="93">
        <v>0</v>
      </c>
      <c r="AY17" s="93">
        <v>0</v>
      </c>
      <c r="AZ17" s="93">
        <v>0</v>
      </c>
      <c r="BA17" s="93">
        <v>0</v>
      </c>
      <c r="BB17" s="93">
        <v>0</v>
      </c>
      <c r="BC17" s="93">
        <v>0</v>
      </c>
      <c r="BD17" s="93">
        <v>0</v>
      </c>
      <c r="BE17" s="93">
        <v>0</v>
      </c>
      <c r="BF17" s="93">
        <v>0</v>
      </c>
      <c r="BG17" s="93">
        <v>0</v>
      </c>
      <c r="BH17" s="93">
        <v>0</v>
      </c>
      <c r="BI17" s="93">
        <v>0</v>
      </c>
      <c r="BJ17" s="93">
        <v>0</v>
      </c>
      <c r="BK17" s="93">
        <v>0</v>
      </c>
      <c r="BL17" s="93">
        <v>0</v>
      </c>
      <c r="BM17" s="93">
        <v>0</v>
      </c>
      <c r="BN17" s="93">
        <v>0</v>
      </c>
      <c r="BO17" s="93">
        <v>0</v>
      </c>
      <c r="BP17" s="93">
        <v>0</v>
      </c>
      <c r="BQ17" s="93">
        <v>0</v>
      </c>
      <c r="BR17" s="93">
        <v>0</v>
      </c>
      <c r="BS17" s="93">
        <v>0</v>
      </c>
      <c r="BT17" s="93">
        <v>0</v>
      </c>
      <c r="BU17" s="93">
        <v>0</v>
      </c>
      <c r="BV17" s="93">
        <v>0</v>
      </c>
      <c r="BW17" s="93">
        <v>0</v>
      </c>
      <c r="BX17" s="93">
        <v>0</v>
      </c>
      <c r="BY17" s="93">
        <v>0</v>
      </c>
      <c r="BZ17" s="93">
        <v>0</v>
      </c>
      <c r="CA17" s="93">
        <v>0</v>
      </c>
      <c r="CB17" s="93">
        <v>0</v>
      </c>
      <c r="CC17" s="93">
        <v>0</v>
      </c>
      <c r="CD17" s="93">
        <v>0</v>
      </c>
      <c r="CE17" s="93">
        <v>0</v>
      </c>
      <c r="CF17" s="93">
        <v>0</v>
      </c>
      <c r="CG17" s="93">
        <v>0</v>
      </c>
      <c r="CH17" s="93">
        <v>0</v>
      </c>
      <c r="CI17" s="93">
        <v>0</v>
      </c>
      <c r="CJ17" s="93">
        <v>0</v>
      </c>
      <c r="CK17" s="93">
        <v>0</v>
      </c>
      <c r="CL17" s="93">
        <v>0</v>
      </c>
      <c r="CM17" s="93">
        <v>0</v>
      </c>
      <c r="CN17" s="93">
        <v>0</v>
      </c>
      <c r="CO17" s="93">
        <v>0</v>
      </c>
      <c r="CP17" s="93">
        <v>0</v>
      </c>
      <c r="CQ17" s="93">
        <v>0</v>
      </c>
      <c r="CR17" s="93">
        <v>0</v>
      </c>
      <c r="CS17" s="93">
        <v>0</v>
      </c>
      <c r="CT17" s="93">
        <v>0</v>
      </c>
      <c r="CU17" s="93">
        <v>0</v>
      </c>
      <c r="CV17" s="93">
        <v>0</v>
      </c>
      <c r="CW17" s="93">
        <v>0</v>
      </c>
      <c r="CX17" s="93">
        <v>0</v>
      </c>
      <c r="CY17" s="93">
        <v>0</v>
      </c>
      <c r="CZ17" s="93">
        <v>0</v>
      </c>
      <c r="DA17" s="93">
        <v>0</v>
      </c>
      <c r="DB17" s="93">
        <v>0</v>
      </c>
      <c r="DC17" s="93">
        <v>0</v>
      </c>
      <c r="DD17" s="93">
        <v>0</v>
      </c>
      <c r="DE17" s="93">
        <v>0</v>
      </c>
    </row>
    <row r="18" spans="1:109">
      <c r="A18" s="92" t="s">
        <v>265</v>
      </c>
      <c r="B18" s="93">
        <v>51941.01</v>
      </c>
      <c r="C18" s="93">
        <v>51941.01</v>
      </c>
      <c r="D18" s="93">
        <v>51941.01</v>
      </c>
      <c r="E18" s="93">
        <v>51941.01</v>
      </c>
      <c r="F18" s="93">
        <v>51941.01</v>
      </c>
      <c r="G18" s="93">
        <v>51941.01</v>
      </c>
      <c r="H18" s="93">
        <v>51941.01</v>
      </c>
      <c r="I18" s="93">
        <v>51941.01</v>
      </c>
      <c r="J18" s="93">
        <v>51941.01</v>
      </c>
      <c r="K18" s="93">
        <v>51941.01</v>
      </c>
      <c r="L18" s="93">
        <v>51941.01</v>
      </c>
      <c r="M18" s="93">
        <v>51941.01</v>
      </c>
      <c r="N18" s="93">
        <v>55576.880700000002</v>
      </c>
      <c r="O18" s="93">
        <v>55576.880700000002</v>
      </c>
      <c r="P18" s="93">
        <v>55576.880700000002</v>
      </c>
      <c r="Q18" s="93">
        <v>55576.880700000002</v>
      </c>
      <c r="R18" s="93">
        <v>55576.880700000002</v>
      </c>
      <c r="S18" s="93">
        <v>55576.880700000002</v>
      </c>
      <c r="T18" s="93">
        <v>55576.880700000002</v>
      </c>
      <c r="U18" s="93">
        <v>55576.880700000002</v>
      </c>
      <c r="V18" s="93">
        <v>55576.880700000002</v>
      </c>
      <c r="W18" s="93">
        <v>55576.880700000002</v>
      </c>
      <c r="X18" s="93">
        <v>55576.880700000002</v>
      </c>
      <c r="Y18" s="93">
        <v>55576.880700000002</v>
      </c>
      <c r="Z18" s="93">
        <v>59467.262349000004</v>
      </c>
      <c r="AA18" s="93">
        <v>59467.262349000004</v>
      </c>
      <c r="AB18" s="93">
        <v>59467.262349000004</v>
      </c>
      <c r="AC18" s="93">
        <v>59467.262349000004</v>
      </c>
      <c r="AD18" s="93">
        <v>59467.262349000004</v>
      </c>
      <c r="AE18" s="93">
        <v>59467.262349000004</v>
      </c>
      <c r="AF18" s="93">
        <v>59467.262349000004</v>
      </c>
      <c r="AG18" s="93">
        <v>59467.262349000004</v>
      </c>
      <c r="AH18" s="93">
        <v>59467.262349000004</v>
      </c>
      <c r="AI18" s="93">
        <v>59467.262349000004</v>
      </c>
      <c r="AJ18" s="93">
        <v>59467.262349000004</v>
      </c>
      <c r="AK18" s="93">
        <v>59467.262349000004</v>
      </c>
      <c r="AL18" s="93">
        <v>62440.625466450008</v>
      </c>
      <c r="AM18" s="93">
        <v>62440.625466450008</v>
      </c>
      <c r="AN18" s="93">
        <v>62440.625466450008</v>
      </c>
      <c r="AO18" s="93">
        <v>62440.625466450008</v>
      </c>
      <c r="AP18" s="93">
        <v>62440.625466450008</v>
      </c>
      <c r="AQ18" s="93">
        <v>62440.625466450008</v>
      </c>
      <c r="AR18" s="93">
        <v>62440.625466450008</v>
      </c>
      <c r="AS18" s="93">
        <v>62440.625466450008</v>
      </c>
      <c r="AT18" s="93">
        <v>62440.625466450008</v>
      </c>
      <c r="AU18" s="93">
        <v>62440.625466450008</v>
      </c>
      <c r="AV18" s="93">
        <v>62440.625466450008</v>
      </c>
      <c r="AW18" s="93">
        <v>62440.625466450008</v>
      </c>
      <c r="AX18" s="93">
        <v>65562.656739772516</v>
      </c>
      <c r="AY18" s="93">
        <v>65562.656739772516</v>
      </c>
      <c r="AZ18" s="93">
        <v>65562.656739772516</v>
      </c>
      <c r="BA18" s="93">
        <v>65562.656739772516</v>
      </c>
      <c r="BB18" s="93">
        <v>65562.656739772516</v>
      </c>
      <c r="BC18" s="93">
        <v>65562.656739772516</v>
      </c>
      <c r="BD18" s="93">
        <v>65562.656739772516</v>
      </c>
      <c r="BE18" s="93">
        <v>65562.656739772516</v>
      </c>
      <c r="BF18" s="93">
        <v>65562.656739772516</v>
      </c>
      <c r="BG18" s="93">
        <v>65562.656739772516</v>
      </c>
      <c r="BH18" s="93">
        <v>65562.656739772516</v>
      </c>
      <c r="BI18" s="93">
        <v>65562.656739772516</v>
      </c>
      <c r="BJ18" s="93">
        <v>68840.789576761134</v>
      </c>
      <c r="BK18" s="93">
        <v>68840.789576761134</v>
      </c>
      <c r="BL18" s="93">
        <v>68840.789576761134</v>
      </c>
      <c r="BM18" s="93">
        <v>68840.789576761134</v>
      </c>
      <c r="BN18" s="93">
        <v>68840.789576761134</v>
      </c>
      <c r="BO18" s="93">
        <v>68840.789576761134</v>
      </c>
      <c r="BP18" s="93">
        <v>68840.789576761134</v>
      </c>
      <c r="BQ18" s="93">
        <v>68840.789576761134</v>
      </c>
      <c r="BR18" s="93">
        <v>68840.789576761134</v>
      </c>
      <c r="BS18" s="93">
        <v>68840.789576761134</v>
      </c>
      <c r="BT18" s="93">
        <v>68840.789576761134</v>
      </c>
      <c r="BU18" s="93">
        <v>68840.789576761134</v>
      </c>
      <c r="BV18" s="93">
        <v>72282.829055599199</v>
      </c>
      <c r="BW18" s="93">
        <v>72282.829055599199</v>
      </c>
      <c r="BX18" s="93">
        <v>72282.829055599199</v>
      </c>
      <c r="BY18" s="93">
        <v>72282.829055599199</v>
      </c>
      <c r="BZ18" s="93">
        <v>72282.829055599199</v>
      </c>
      <c r="CA18" s="93">
        <v>72282.829055599199</v>
      </c>
      <c r="CB18" s="93">
        <v>72282.829055599199</v>
      </c>
      <c r="CC18" s="93">
        <v>72282.829055599199</v>
      </c>
      <c r="CD18" s="93">
        <v>72282.829055599199</v>
      </c>
      <c r="CE18" s="93">
        <v>72282.829055599199</v>
      </c>
      <c r="CF18" s="93">
        <v>72282.829055599199</v>
      </c>
      <c r="CG18" s="93">
        <v>72282.829055599199</v>
      </c>
      <c r="CH18" s="93">
        <v>75896.970508379149</v>
      </c>
      <c r="CI18" s="93">
        <v>75896.970508379149</v>
      </c>
      <c r="CJ18" s="93">
        <v>75896.970508379149</v>
      </c>
      <c r="CK18" s="93">
        <v>75896.970508379149</v>
      </c>
      <c r="CL18" s="93">
        <v>75896.970508379149</v>
      </c>
      <c r="CM18" s="93">
        <v>75896.970508379149</v>
      </c>
      <c r="CN18" s="93">
        <v>75896.970508379149</v>
      </c>
      <c r="CO18" s="93">
        <v>75896.970508379149</v>
      </c>
      <c r="CP18" s="93">
        <v>75896.970508379149</v>
      </c>
      <c r="CQ18" s="93">
        <v>75896.970508379149</v>
      </c>
      <c r="CR18" s="93">
        <v>75896.970508379149</v>
      </c>
      <c r="CS18" s="93">
        <v>75896.970508379149</v>
      </c>
      <c r="CT18" s="93">
        <v>79691.819033798121</v>
      </c>
      <c r="CU18" s="93">
        <v>79691.819033798121</v>
      </c>
      <c r="CV18" s="93">
        <v>79691.819033798121</v>
      </c>
      <c r="CW18" s="93">
        <v>79691.819033798121</v>
      </c>
      <c r="CX18" s="93">
        <v>79691.819033798121</v>
      </c>
      <c r="CY18" s="93">
        <v>79691.819033798121</v>
      </c>
      <c r="CZ18" s="93">
        <v>79691.819033798121</v>
      </c>
      <c r="DA18" s="93">
        <v>79691.819033798121</v>
      </c>
      <c r="DB18" s="93">
        <v>79691.819033798121</v>
      </c>
      <c r="DC18" s="93">
        <v>79691.819033798121</v>
      </c>
      <c r="DD18" s="93">
        <v>79691.819033798121</v>
      </c>
      <c r="DE18" s="93">
        <v>79691.819033798121</v>
      </c>
    </row>
    <row r="19" spans="1:109">
      <c r="A19" s="95" t="s">
        <v>266</v>
      </c>
      <c r="B19" s="93">
        <v>338804.80000000005</v>
      </c>
      <c r="C19" s="93">
        <v>338804.80000000005</v>
      </c>
      <c r="D19" s="93">
        <v>338804.80000000005</v>
      </c>
      <c r="E19" s="93">
        <v>338804.80000000005</v>
      </c>
      <c r="F19" s="93">
        <v>338804.80000000005</v>
      </c>
      <c r="G19" s="93">
        <v>338804.80000000005</v>
      </c>
      <c r="H19" s="93">
        <v>338804.80000000005</v>
      </c>
      <c r="I19" s="93">
        <v>338804.80000000005</v>
      </c>
      <c r="J19" s="93">
        <v>338804.80000000005</v>
      </c>
      <c r="K19" s="93">
        <v>338804.80000000005</v>
      </c>
      <c r="L19" s="93">
        <v>338804.80000000005</v>
      </c>
      <c r="M19" s="93">
        <v>338804.80000000005</v>
      </c>
      <c r="N19" s="93">
        <v>362521.13599999994</v>
      </c>
      <c r="O19" s="93">
        <v>362521.13599999994</v>
      </c>
      <c r="P19" s="93">
        <v>362521.13599999994</v>
      </c>
      <c r="Q19" s="93">
        <v>362521.13599999994</v>
      </c>
      <c r="R19" s="93">
        <v>362521.13599999994</v>
      </c>
      <c r="S19" s="93">
        <v>362521.13599999994</v>
      </c>
      <c r="T19" s="93">
        <v>362521.13599999994</v>
      </c>
      <c r="U19" s="93">
        <v>362521.13599999994</v>
      </c>
      <c r="V19" s="93">
        <v>362521.13599999994</v>
      </c>
      <c r="W19" s="93">
        <v>362521.13599999994</v>
      </c>
      <c r="X19" s="93">
        <v>362521.13599999994</v>
      </c>
      <c r="Y19" s="93">
        <v>362521.13599999994</v>
      </c>
      <c r="Z19" s="93">
        <v>387897.61552000005</v>
      </c>
      <c r="AA19" s="93">
        <v>387897.61552000005</v>
      </c>
      <c r="AB19" s="93">
        <v>387897.61552000005</v>
      </c>
      <c r="AC19" s="93">
        <v>387897.61552000005</v>
      </c>
      <c r="AD19" s="93">
        <v>387897.61552000005</v>
      </c>
      <c r="AE19" s="93">
        <v>387897.61552000005</v>
      </c>
      <c r="AF19" s="93">
        <v>387897.61552000005</v>
      </c>
      <c r="AG19" s="93">
        <v>387897.61552000005</v>
      </c>
      <c r="AH19" s="93">
        <v>387897.61552000005</v>
      </c>
      <c r="AI19" s="93">
        <v>387897.61552000005</v>
      </c>
      <c r="AJ19" s="93">
        <v>387897.61552000005</v>
      </c>
      <c r="AK19" s="93">
        <v>387897.61552000005</v>
      </c>
      <c r="AL19" s="93">
        <v>407292.49629600008</v>
      </c>
      <c r="AM19" s="93">
        <v>407292.49629600008</v>
      </c>
      <c r="AN19" s="93">
        <v>407292.49629600008</v>
      </c>
      <c r="AO19" s="93">
        <v>407292.49629600008</v>
      </c>
      <c r="AP19" s="93">
        <v>407292.49629600008</v>
      </c>
      <c r="AQ19" s="93">
        <v>407292.49629600008</v>
      </c>
      <c r="AR19" s="93">
        <v>407292.49629600008</v>
      </c>
      <c r="AS19" s="93">
        <v>407292.49629600008</v>
      </c>
      <c r="AT19" s="93">
        <v>407292.49629600008</v>
      </c>
      <c r="AU19" s="93">
        <v>407292.49629600008</v>
      </c>
      <c r="AV19" s="93">
        <v>407292.49629600008</v>
      </c>
      <c r="AW19" s="93">
        <v>407292.49629600008</v>
      </c>
      <c r="AX19" s="93">
        <v>427657.12111080007</v>
      </c>
      <c r="AY19" s="93">
        <v>427657.12111080007</v>
      </c>
      <c r="AZ19" s="93">
        <v>427657.12111080007</v>
      </c>
      <c r="BA19" s="93">
        <v>427657.12111080007</v>
      </c>
      <c r="BB19" s="93">
        <v>427657.12111080007</v>
      </c>
      <c r="BC19" s="93">
        <v>427657.12111080007</v>
      </c>
      <c r="BD19" s="93">
        <v>427657.12111080007</v>
      </c>
      <c r="BE19" s="93">
        <v>427657.12111080007</v>
      </c>
      <c r="BF19" s="93">
        <v>427657.12111080007</v>
      </c>
      <c r="BG19" s="93">
        <v>427657.12111080007</v>
      </c>
      <c r="BH19" s="93">
        <v>427657.12111080007</v>
      </c>
      <c r="BI19" s="93">
        <v>427657.12111080007</v>
      </c>
      <c r="BJ19" s="93">
        <v>449039.9771663401</v>
      </c>
      <c r="BK19" s="93">
        <v>449039.9771663401</v>
      </c>
      <c r="BL19" s="93">
        <v>449039.9771663401</v>
      </c>
      <c r="BM19" s="93">
        <v>449039.9771663401</v>
      </c>
      <c r="BN19" s="93">
        <v>449039.9771663401</v>
      </c>
      <c r="BO19" s="93">
        <v>449039.9771663401</v>
      </c>
      <c r="BP19" s="93">
        <v>449039.9771663401</v>
      </c>
      <c r="BQ19" s="93">
        <v>449039.9771663401</v>
      </c>
      <c r="BR19" s="93">
        <v>449039.9771663401</v>
      </c>
      <c r="BS19" s="93">
        <v>449039.9771663401</v>
      </c>
      <c r="BT19" s="93">
        <v>449039.9771663401</v>
      </c>
      <c r="BU19" s="93">
        <v>449039.9771663401</v>
      </c>
      <c r="BV19" s="93">
        <v>471491.97602465714</v>
      </c>
      <c r="BW19" s="93">
        <v>471491.97602465714</v>
      </c>
      <c r="BX19" s="93">
        <v>471491.97602465714</v>
      </c>
      <c r="BY19" s="93">
        <v>471491.97602465714</v>
      </c>
      <c r="BZ19" s="93">
        <v>471491.97602465714</v>
      </c>
      <c r="CA19" s="93">
        <v>471491.97602465714</v>
      </c>
      <c r="CB19" s="93">
        <v>471491.97602465714</v>
      </c>
      <c r="CC19" s="93">
        <v>471491.97602465714</v>
      </c>
      <c r="CD19" s="93">
        <v>471491.97602465714</v>
      </c>
      <c r="CE19" s="93">
        <v>471491.97602465714</v>
      </c>
      <c r="CF19" s="93">
        <v>471491.97602465714</v>
      </c>
      <c r="CG19" s="93">
        <v>471491.97602465714</v>
      </c>
      <c r="CH19" s="93">
        <v>495066.57482588995</v>
      </c>
      <c r="CI19" s="93">
        <v>495066.57482588995</v>
      </c>
      <c r="CJ19" s="93">
        <v>495066.57482588995</v>
      </c>
      <c r="CK19" s="93">
        <v>495066.57482588995</v>
      </c>
      <c r="CL19" s="93">
        <v>495066.57482588995</v>
      </c>
      <c r="CM19" s="93">
        <v>495066.57482588995</v>
      </c>
      <c r="CN19" s="93">
        <v>495066.57482588995</v>
      </c>
      <c r="CO19" s="93">
        <v>495066.57482588995</v>
      </c>
      <c r="CP19" s="93">
        <v>495066.57482588995</v>
      </c>
      <c r="CQ19" s="93">
        <v>495066.57482588995</v>
      </c>
      <c r="CR19" s="93">
        <v>495066.57482588995</v>
      </c>
      <c r="CS19" s="93">
        <v>495066.57482588995</v>
      </c>
      <c r="CT19" s="93">
        <v>519819.90356718446</v>
      </c>
      <c r="CU19" s="93">
        <v>519819.90356718446</v>
      </c>
      <c r="CV19" s="93">
        <v>519819.90356718446</v>
      </c>
      <c r="CW19" s="93">
        <v>519819.90356718446</v>
      </c>
      <c r="CX19" s="93">
        <v>519819.90356718446</v>
      </c>
      <c r="CY19" s="93">
        <v>519819.90356718446</v>
      </c>
      <c r="CZ19" s="93">
        <v>519819.90356718446</v>
      </c>
      <c r="DA19" s="93">
        <v>519819.90356718446</v>
      </c>
      <c r="DB19" s="93">
        <v>519819.90356718446</v>
      </c>
      <c r="DC19" s="93">
        <v>519819.90356718446</v>
      </c>
      <c r="DD19" s="93">
        <v>519819.90356718446</v>
      </c>
      <c r="DE19" s="93">
        <v>519819.90356718446</v>
      </c>
    </row>
    <row r="20" spans="1:109">
      <c r="A20" s="95" t="s">
        <v>267</v>
      </c>
      <c r="B20" s="93">
        <v>0</v>
      </c>
      <c r="C20" s="93">
        <v>0</v>
      </c>
      <c r="D20" s="93">
        <v>0</v>
      </c>
      <c r="E20" s="93">
        <v>0</v>
      </c>
      <c r="F20" s="93">
        <v>0</v>
      </c>
      <c r="G20" s="93">
        <v>0</v>
      </c>
      <c r="H20" s="93">
        <v>0</v>
      </c>
      <c r="I20" s="93">
        <v>0</v>
      </c>
      <c r="J20" s="93">
        <v>0</v>
      </c>
      <c r="K20" s="93">
        <v>0</v>
      </c>
      <c r="L20" s="93">
        <v>0</v>
      </c>
      <c r="M20" s="93">
        <v>0</v>
      </c>
      <c r="N20" s="93">
        <v>0</v>
      </c>
      <c r="O20" s="93">
        <v>0</v>
      </c>
      <c r="P20" s="93">
        <v>0</v>
      </c>
      <c r="Q20" s="93">
        <v>0</v>
      </c>
      <c r="R20" s="93">
        <v>0</v>
      </c>
      <c r="S20" s="93">
        <v>0</v>
      </c>
      <c r="T20" s="93">
        <v>0</v>
      </c>
      <c r="U20" s="93">
        <v>0</v>
      </c>
      <c r="V20" s="93">
        <v>0</v>
      </c>
      <c r="W20" s="93">
        <v>0</v>
      </c>
      <c r="X20" s="93">
        <v>0</v>
      </c>
      <c r="Y20" s="93">
        <v>0</v>
      </c>
      <c r="Z20" s="93">
        <v>0</v>
      </c>
      <c r="AA20" s="93">
        <v>0</v>
      </c>
      <c r="AB20" s="93">
        <v>0</v>
      </c>
      <c r="AC20" s="93">
        <v>0</v>
      </c>
      <c r="AD20" s="93">
        <v>0</v>
      </c>
      <c r="AE20" s="93">
        <v>0</v>
      </c>
      <c r="AF20" s="93">
        <v>0</v>
      </c>
      <c r="AG20" s="93">
        <v>0</v>
      </c>
      <c r="AH20" s="93">
        <v>0</v>
      </c>
      <c r="AI20" s="93">
        <v>0</v>
      </c>
      <c r="AJ20" s="93">
        <v>0</v>
      </c>
      <c r="AK20" s="93">
        <v>0</v>
      </c>
      <c r="AL20" s="93">
        <v>0</v>
      </c>
      <c r="AM20" s="93">
        <v>0</v>
      </c>
      <c r="AN20" s="93">
        <v>0</v>
      </c>
      <c r="AO20" s="93">
        <v>0</v>
      </c>
      <c r="AP20" s="93">
        <v>0</v>
      </c>
      <c r="AQ20" s="93">
        <v>0</v>
      </c>
      <c r="AR20" s="93">
        <v>0</v>
      </c>
      <c r="AS20" s="93">
        <v>0</v>
      </c>
      <c r="AT20" s="93">
        <v>0</v>
      </c>
      <c r="AU20" s="93">
        <v>0</v>
      </c>
      <c r="AV20" s="93">
        <v>0</v>
      </c>
      <c r="AW20" s="93">
        <v>0</v>
      </c>
      <c r="AX20" s="93">
        <v>0</v>
      </c>
      <c r="AY20" s="93">
        <v>0</v>
      </c>
      <c r="AZ20" s="93">
        <v>0</v>
      </c>
      <c r="BA20" s="93">
        <v>0</v>
      </c>
      <c r="BB20" s="93">
        <v>0</v>
      </c>
      <c r="BC20" s="93">
        <v>0</v>
      </c>
      <c r="BD20" s="93">
        <v>0</v>
      </c>
      <c r="BE20" s="93">
        <v>0</v>
      </c>
      <c r="BF20" s="93">
        <v>0</v>
      </c>
      <c r="BG20" s="93">
        <v>0</v>
      </c>
      <c r="BH20" s="93">
        <v>0</v>
      </c>
      <c r="BI20" s="93">
        <v>0</v>
      </c>
      <c r="BJ20" s="93">
        <v>0</v>
      </c>
      <c r="BK20" s="93">
        <v>0</v>
      </c>
      <c r="BL20" s="93">
        <v>0</v>
      </c>
      <c r="BM20" s="93">
        <v>0</v>
      </c>
      <c r="BN20" s="93">
        <v>0</v>
      </c>
      <c r="BO20" s="93">
        <v>0</v>
      </c>
      <c r="BP20" s="93">
        <v>0</v>
      </c>
      <c r="BQ20" s="93">
        <v>0</v>
      </c>
      <c r="BR20" s="93">
        <v>0</v>
      </c>
      <c r="BS20" s="93">
        <v>0</v>
      </c>
      <c r="BT20" s="93">
        <v>0</v>
      </c>
      <c r="BU20" s="93">
        <v>0</v>
      </c>
      <c r="BV20" s="93">
        <v>0</v>
      </c>
      <c r="BW20" s="93">
        <v>0</v>
      </c>
      <c r="BX20" s="93">
        <v>0</v>
      </c>
      <c r="BY20" s="93">
        <v>0</v>
      </c>
      <c r="BZ20" s="93">
        <v>0</v>
      </c>
      <c r="CA20" s="93">
        <v>0</v>
      </c>
      <c r="CB20" s="93">
        <v>0</v>
      </c>
      <c r="CC20" s="93">
        <v>0</v>
      </c>
      <c r="CD20" s="93">
        <v>0</v>
      </c>
      <c r="CE20" s="93">
        <v>0</v>
      </c>
      <c r="CF20" s="93">
        <v>0</v>
      </c>
      <c r="CG20" s="93">
        <v>0</v>
      </c>
      <c r="CH20" s="93">
        <v>0</v>
      </c>
      <c r="CI20" s="93">
        <v>0</v>
      </c>
      <c r="CJ20" s="93">
        <v>0</v>
      </c>
      <c r="CK20" s="93">
        <v>0</v>
      </c>
      <c r="CL20" s="93">
        <v>0</v>
      </c>
      <c r="CM20" s="93">
        <v>0</v>
      </c>
      <c r="CN20" s="93">
        <v>0</v>
      </c>
      <c r="CO20" s="93">
        <v>0</v>
      </c>
      <c r="CP20" s="93">
        <v>0</v>
      </c>
      <c r="CQ20" s="93">
        <v>0</v>
      </c>
      <c r="CR20" s="93">
        <v>0</v>
      </c>
      <c r="CS20" s="93">
        <v>0</v>
      </c>
      <c r="CT20" s="93">
        <v>0</v>
      </c>
      <c r="CU20" s="93">
        <v>0</v>
      </c>
      <c r="CV20" s="93">
        <v>0</v>
      </c>
      <c r="CW20" s="93">
        <v>0</v>
      </c>
      <c r="CX20" s="93">
        <v>0</v>
      </c>
      <c r="CY20" s="93">
        <v>0</v>
      </c>
      <c r="CZ20" s="93">
        <v>0</v>
      </c>
      <c r="DA20" s="93">
        <v>0</v>
      </c>
      <c r="DB20" s="93">
        <v>0</v>
      </c>
      <c r="DC20" s="93">
        <v>0</v>
      </c>
      <c r="DD20" s="93">
        <v>0</v>
      </c>
      <c r="DE20" s="93">
        <v>0</v>
      </c>
    </row>
    <row r="21" spans="1:109">
      <c r="A21" s="94" t="s">
        <v>268</v>
      </c>
      <c r="B21" s="93">
        <v>0</v>
      </c>
      <c r="C21" s="93">
        <v>0</v>
      </c>
      <c r="D21" s="93">
        <v>0</v>
      </c>
      <c r="E21" s="93">
        <v>0</v>
      </c>
      <c r="F21" s="93">
        <v>0</v>
      </c>
      <c r="G21" s="93">
        <v>0</v>
      </c>
      <c r="H21" s="93">
        <v>0</v>
      </c>
      <c r="I21" s="93">
        <v>0</v>
      </c>
      <c r="J21" s="93">
        <v>0</v>
      </c>
      <c r="K21" s="93">
        <v>0</v>
      </c>
      <c r="L21" s="93">
        <v>0</v>
      </c>
      <c r="M21" s="93">
        <v>0</v>
      </c>
      <c r="N21" s="93">
        <v>0</v>
      </c>
      <c r="O21" s="93">
        <v>0</v>
      </c>
      <c r="P21" s="93">
        <v>0</v>
      </c>
      <c r="Q21" s="93">
        <v>0</v>
      </c>
      <c r="R21" s="93">
        <v>0</v>
      </c>
      <c r="S21" s="93">
        <v>0</v>
      </c>
      <c r="T21" s="93">
        <v>0</v>
      </c>
      <c r="U21" s="93">
        <v>0</v>
      </c>
      <c r="V21" s="93">
        <v>0</v>
      </c>
      <c r="W21" s="93">
        <v>0</v>
      </c>
      <c r="X21" s="93">
        <v>0</v>
      </c>
      <c r="Y21" s="93">
        <v>0</v>
      </c>
      <c r="Z21" s="93">
        <v>0</v>
      </c>
      <c r="AA21" s="93">
        <v>0</v>
      </c>
      <c r="AB21" s="93">
        <v>0</v>
      </c>
      <c r="AC21" s="93">
        <v>0</v>
      </c>
      <c r="AD21" s="93">
        <v>0</v>
      </c>
      <c r="AE21" s="93">
        <v>0</v>
      </c>
      <c r="AF21" s="93">
        <v>0</v>
      </c>
      <c r="AG21" s="93">
        <v>0</v>
      </c>
      <c r="AH21" s="93">
        <v>0</v>
      </c>
      <c r="AI21" s="93">
        <v>0</v>
      </c>
      <c r="AJ21" s="93">
        <v>0</v>
      </c>
      <c r="AK21" s="93">
        <v>0</v>
      </c>
      <c r="AL21" s="93">
        <v>0</v>
      </c>
      <c r="AM21" s="93">
        <v>0</v>
      </c>
      <c r="AN21" s="93">
        <v>0</v>
      </c>
      <c r="AO21" s="93">
        <v>0</v>
      </c>
      <c r="AP21" s="93">
        <v>0</v>
      </c>
      <c r="AQ21" s="93">
        <v>0</v>
      </c>
      <c r="AR21" s="93">
        <v>0</v>
      </c>
      <c r="AS21" s="93">
        <v>0</v>
      </c>
      <c r="AT21" s="93">
        <v>0</v>
      </c>
      <c r="AU21" s="93">
        <v>0</v>
      </c>
      <c r="AV21" s="93">
        <v>0</v>
      </c>
      <c r="AW21" s="93">
        <v>0</v>
      </c>
      <c r="AX21" s="93">
        <v>0</v>
      </c>
      <c r="AY21" s="93">
        <v>0</v>
      </c>
      <c r="AZ21" s="93">
        <v>0</v>
      </c>
      <c r="BA21" s="93">
        <v>0</v>
      </c>
      <c r="BB21" s="93">
        <v>0</v>
      </c>
      <c r="BC21" s="93">
        <v>0</v>
      </c>
      <c r="BD21" s="93">
        <v>0</v>
      </c>
      <c r="BE21" s="93">
        <v>0</v>
      </c>
      <c r="BF21" s="93">
        <v>0</v>
      </c>
      <c r="BG21" s="93">
        <v>0</v>
      </c>
      <c r="BH21" s="93">
        <v>0</v>
      </c>
      <c r="BI21" s="93">
        <v>0</v>
      </c>
      <c r="BJ21" s="93">
        <v>0</v>
      </c>
      <c r="BK21" s="93">
        <v>0</v>
      </c>
      <c r="BL21" s="93">
        <v>0</v>
      </c>
      <c r="BM21" s="93">
        <v>0</v>
      </c>
      <c r="BN21" s="93">
        <v>0</v>
      </c>
      <c r="BO21" s="93">
        <v>0</v>
      </c>
      <c r="BP21" s="93">
        <v>0</v>
      </c>
      <c r="BQ21" s="93">
        <v>0</v>
      </c>
      <c r="BR21" s="93">
        <v>0</v>
      </c>
      <c r="BS21" s="93">
        <v>0</v>
      </c>
      <c r="BT21" s="93">
        <v>0</v>
      </c>
      <c r="BU21" s="93">
        <v>0</v>
      </c>
      <c r="BV21" s="93">
        <v>0</v>
      </c>
      <c r="BW21" s="93">
        <v>0</v>
      </c>
      <c r="BX21" s="93">
        <v>0</v>
      </c>
      <c r="BY21" s="93">
        <v>0</v>
      </c>
      <c r="BZ21" s="93">
        <v>0</v>
      </c>
      <c r="CA21" s="93">
        <v>0</v>
      </c>
      <c r="CB21" s="93">
        <v>0</v>
      </c>
      <c r="CC21" s="93">
        <v>0</v>
      </c>
      <c r="CD21" s="93">
        <v>0</v>
      </c>
      <c r="CE21" s="93">
        <v>0</v>
      </c>
      <c r="CF21" s="93">
        <v>0</v>
      </c>
      <c r="CG21" s="93">
        <v>0</v>
      </c>
      <c r="CH21" s="93">
        <v>0</v>
      </c>
      <c r="CI21" s="93">
        <v>0</v>
      </c>
      <c r="CJ21" s="93">
        <v>0</v>
      </c>
      <c r="CK21" s="93">
        <v>0</v>
      </c>
      <c r="CL21" s="93">
        <v>0</v>
      </c>
      <c r="CM21" s="93">
        <v>0</v>
      </c>
      <c r="CN21" s="93">
        <v>0</v>
      </c>
      <c r="CO21" s="93">
        <v>0</v>
      </c>
      <c r="CP21" s="93">
        <v>0</v>
      </c>
      <c r="CQ21" s="93">
        <v>0</v>
      </c>
      <c r="CR21" s="93">
        <v>0</v>
      </c>
      <c r="CS21" s="93">
        <v>0</v>
      </c>
      <c r="CT21" s="93">
        <v>0</v>
      </c>
      <c r="CU21" s="93">
        <v>0</v>
      </c>
      <c r="CV21" s="93">
        <v>0</v>
      </c>
      <c r="CW21" s="93">
        <v>0</v>
      </c>
      <c r="CX21" s="93">
        <v>0</v>
      </c>
      <c r="CY21" s="93">
        <v>0</v>
      </c>
      <c r="CZ21" s="93">
        <v>0</v>
      </c>
      <c r="DA21" s="93">
        <v>0</v>
      </c>
      <c r="DB21" s="93">
        <v>0</v>
      </c>
      <c r="DC21" s="93">
        <v>0</v>
      </c>
      <c r="DD21" s="93">
        <v>0</v>
      </c>
      <c r="DE21" s="93">
        <v>0</v>
      </c>
    </row>
    <row r="22" spans="1:109">
      <c r="A22" s="92" t="s">
        <v>269</v>
      </c>
      <c r="B22" s="93">
        <v>0</v>
      </c>
      <c r="C22" s="93">
        <v>0</v>
      </c>
      <c r="D22" s="93">
        <v>0</v>
      </c>
      <c r="E22" s="93">
        <v>0</v>
      </c>
      <c r="F22" s="93">
        <v>0</v>
      </c>
      <c r="G22" s="93">
        <v>0</v>
      </c>
      <c r="H22" s="93">
        <v>0</v>
      </c>
      <c r="I22" s="93">
        <v>0</v>
      </c>
      <c r="J22" s="93">
        <v>0</v>
      </c>
      <c r="K22" s="93">
        <v>0</v>
      </c>
      <c r="L22" s="93">
        <v>0</v>
      </c>
      <c r="M22" s="93">
        <v>0</v>
      </c>
      <c r="N22" s="93">
        <v>0</v>
      </c>
      <c r="O22" s="93">
        <v>0</v>
      </c>
      <c r="P22" s="93">
        <v>0</v>
      </c>
      <c r="Q22" s="93">
        <v>0</v>
      </c>
      <c r="R22" s="93">
        <v>0</v>
      </c>
      <c r="S22" s="93">
        <v>0</v>
      </c>
      <c r="T22" s="93">
        <v>0</v>
      </c>
      <c r="U22" s="93">
        <v>0</v>
      </c>
      <c r="V22" s="93">
        <v>0</v>
      </c>
      <c r="W22" s="93">
        <v>0</v>
      </c>
      <c r="X22" s="93">
        <v>0</v>
      </c>
      <c r="Y22" s="93">
        <v>0</v>
      </c>
      <c r="Z22" s="93">
        <v>0</v>
      </c>
      <c r="AA22" s="93">
        <v>0</v>
      </c>
      <c r="AB22" s="93">
        <v>0</v>
      </c>
      <c r="AC22" s="93">
        <v>0</v>
      </c>
      <c r="AD22" s="93">
        <v>0</v>
      </c>
      <c r="AE22" s="93">
        <v>0</v>
      </c>
      <c r="AF22" s="93">
        <v>0</v>
      </c>
      <c r="AG22" s="93">
        <v>0</v>
      </c>
      <c r="AH22" s="93">
        <v>0</v>
      </c>
      <c r="AI22" s="93">
        <v>0</v>
      </c>
      <c r="AJ22" s="93">
        <v>0</v>
      </c>
      <c r="AK22" s="93">
        <v>0</v>
      </c>
      <c r="AL22" s="93">
        <v>0</v>
      </c>
      <c r="AM22" s="93">
        <v>0</v>
      </c>
      <c r="AN22" s="93">
        <v>0</v>
      </c>
      <c r="AO22" s="93">
        <v>0</v>
      </c>
      <c r="AP22" s="93">
        <v>0</v>
      </c>
      <c r="AQ22" s="93">
        <v>0</v>
      </c>
      <c r="AR22" s="93">
        <v>0</v>
      </c>
      <c r="AS22" s="93">
        <v>0</v>
      </c>
      <c r="AT22" s="93">
        <v>0</v>
      </c>
      <c r="AU22" s="93">
        <v>0</v>
      </c>
      <c r="AV22" s="93">
        <v>0</v>
      </c>
      <c r="AW22" s="93">
        <v>0</v>
      </c>
      <c r="AX22" s="93">
        <v>0</v>
      </c>
      <c r="AY22" s="93">
        <v>0</v>
      </c>
      <c r="AZ22" s="93">
        <v>0</v>
      </c>
      <c r="BA22" s="93">
        <v>0</v>
      </c>
      <c r="BB22" s="93">
        <v>0</v>
      </c>
      <c r="BC22" s="93">
        <v>0</v>
      </c>
      <c r="BD22" s="93">
        <v>0</v>
      </c>
      <c r="BE22" s="93">
        <v>0</v>
      </c>
      <c r="BF22" s="93">
        <v>0</v>
      </c>
      <c r="BG22" s="93">
        <v>0</v>
      </c>
      <c r="BH22" s="93">
        <v>0</v>
      </c>
      <c r="BI22" s="93">
        <v>0</v>
      </c>
      <c r="BJ22" s="93">
        <v>0</v>
      </c>
      <c r="BK22" s="93">
        <v>0</v>
      </c>
      <c r="BL22" s="93">
        <v>0</v>
      </c>
      <c r="BM22" s="93">
        <v>0</v>
      </c>
      <c r="BN22" s="93">
        <v>0</v>
      </c>
      <c r="BO22" s="93">
        <v>0</v>
      </c>
      <c r="BP22" s="93">
        <v>0</v>
      </c>
      <c r="BQ22" s="93">
        <v>0</v>
      </c>
      <c r="BR22" s="93">
        <v>0</v>
      </c>
      <c r="BS22" s="93">
        <v>0</v>
      </c>
      <c r="BT22" s="93">
        <v>0</v>
      </c>
      <c r="BU22" s="93">
        <v>0</v>
      </c>
      <c r="BV22" s="93">
        <v>0</v>
      </c>
      <c r="BW22" s="93">
        <v>0</v>
      </c>
      <c r="BX22" s="93">
        <v>0</v>
      </c>
      <c r="BY22" s="93">
        <v>0</v>
      </c>
      <c r="BZ22" s="93">
        <v>0</v>
      </c>
      <c r="CA22" s="93">
        <v>0</v>
      </c>
      <c r="CB22" s="93">
        <v>0</v>
      </c>
      <c r="CC22" s="93">
        <v>0</v>
      </c>
      <c r="CD22" s="93">
        <v>0</v>
      </c>
      <c r="CE22" s="93">
        <v>0</v>
      </c>
      <c r="CF22" s="93">
        <v>0</v>
      </c>
      <c r="CG22" s="93">
        <v>0</v>
      </c>
      <c r="CH22" s="93">
        <v>0</v>
      </c>
      <c r="CI22" s="93">
        <v>0</v>
      </c>
      <c r="CJ22" s="93">
        <v>0</v>
      </c>
      <c r="CK22" s="93">
        <v>0</v>
      </c>
      <c r="CL22" s="93">
        <v>0</v>
      </c>
      <c r="CM22" s="93">
        <v>0</v>
      </c>
      <c r="CN22" s="93">
        <v>0</v>
      </c>
      <c r="CO22" s="93">
        <v>0</v>
      </c>
      <c r="CP22" s="93">
        <v>0</v>
      </c>
      <c r="CQ22" s="93">
        <v>0</v>
      </c>
      <c r="CR22" s="93">
        <v>0</v>
      </c>
      <c r="CS22" s="93">
        <v>0</v>
      </c>
      <c r="CT22" s="93">
        <v>0</v>
      </c>
      <c r="CU22" s="93">
        <v>0</v>
      </c>
      <c r="CV22" s="93">
        <v>0</v>
      </c>
      <c r="CW22" s="93">
        <v>0</v>
      </c>
      <c r="CX22" s="93">
        <v>0</v>
      </c>
      <c r="CY22" s="93">
        <v>0</v>
      </c>
      <c r="CZ22" s="93">
        <v>0</v>
      </c>
      <c r="DA22" s="93">
        <v>0</v>
      </c>
      <c r="DB22" s="93">
        <v>0</v>
      </c>
      <c r="DC22" s="93">
        <v>0</v>
      </c>
      <c r="DD22" s="93">
        <v>0</v>
      </c>
      <c r="DE22" s="93">
        <v>0</v>
      </c>
    </row>
    <row r="23" spans="1:109">
      <c r="A23" s="95" t="s">
        <v>270</v>
      </c>
      <c r="B23" s="93">
        <v>65888.459999999992</v>
      </c>
      <c r="C23" s="93">
        <v>65888.459999999992</v>
      </c>
      <c r="D23" s="93">
        <v>65888.459999999992</v>
      </c>
      <c r="E23" s="93">
        <v>65888.459999999992</v>
      </c>
      <c r="F23" s="93">
        <v>65888.459999999992</v>
      </c>
      <c r="G23" s="93">
        <v>65888.459999999992</v>
      </c>
      <c r="H23" s="93">
        <v>65888.459999999992</v>
      </c>
      <c r="I23" s="93">
        <v>65888.459999999992</v>
      </c>
      <c r="J23" s="93">
        <v>65888.459999999992</v>
      </c>
      <c r="K23" s="93">
        <v>65888.459999999992</v>
      </c>
      <c r="L23" s="93">
        <v>65888.459999999992</v>
      </c>
      <c r="M23" s="93">
        <v>65888.459999999992</v>
      </c>
      <c r="N23" s="93">
        <v>70500.652200000011</v>
      </c>
      <c r="O23" s="93">
        <v>70500.652200000011</v>
      </c>
      <c r="P23" s="93">
        <v>70500.652200000011</v>
      </c>
      <c r="Q23" s="93">
        <v>70500.652200000011</v>
      </c>
      <c r="R23" s="93">
        <v>70500.652200000011</v>
      </c>
      <c r="S23" s="93">
        <v>70500.652200000011</v>
      </c>
      <c r="T23" s="93">
        <v>70500.652200000011</v>
      </c>
      <c r="U23" s="93">
        <v>70500.652200000011</v>
      </c>
      <c r="V23" s="93">
        <v>70500.652200000011</v>
      </c>
      <c r="W23" s="93">
        <v>70500.652200000011</v>
      </c>
      <c r="X23" s="93">
        <v>70500.652200000011</v>
      </c>
      <c r="Y23" s="93">
        <v>70500.652200000011</v>
      </c>
      <c r="Z23" s="93">
        <v>75435.697853999998</v>
      </c>
      <c r="AA23" s="93">
        <v>75435.697853999998</v>
      </c>
      <c r="AB23" s="93">
        <v>75435.697853999998</v>
      </c>
      <c r="AC23" s="93">
        <v>75435.697853999998</v>
      </c>
      <c r="AD23" s="93">
        <v>75435.697853999998</v>
      </c>
      <c r="AE23" s="93">
        <v>75435.697853999998</v>
      </c>
      <c r="AF23" s="93">
        <v>75435.697853999998</v>
      </c>
      <c r="AG23" s="93">
        <v>75435.697853999998</v>
      </c>
      <c r="AH23" s="93">
        <v>75435.697853999998</v>
      </c>
      <c r="AI23" s="93">
        <v>75435.697853999998</v>
      </c>
      <c r="AJ23" s="93">
        <v>75435.697853999998</v>
      </c>
      <c r="AK23" s="93">
        <v>75435.697853999998</v>
      </c>
      <c r="AL23" s="93">
        <v>79207.4827467</v>
      </c>
      <c r="AM23" s="93">
        <v>79207.4827467</v>
      </c>
      <c r="AN23" s="93">
        <v>79207.4827467</v>
      </c>
      <c r="AO23" s="93">
        <v>79207.4827467</v>
      </c>
      <c r="AP23" s="93">
        <v>79207.4827467</v>
      </c>
      <c r="AQ23" s="93">
        <v>79207.4827467</v>
      </c>
      <c r="AR23" s="93">
        <v>79207.4827467</v>
      </c>
      <c r="AS23" s="93">
        <v>79207.4827467</v>
      </c>
      <c r="AT23" s="93">
        <v>79207.4827467</v>
      </c>
      <c r="AU23" s="93">
        <v>79207.4827467</v>
      </c>
      <c r="AV23" s="93">
        <v>79207.4827467</v>
      </c>
      <c r="AW23" s="93">
        <v>79207.4827467</v>
      </c>
      <c r="AX23" s="93">
        <v>83167.85688403502</v>
      </c>
      <c r="AY23" s="93">
        <v>83167.85688403502</v>
      </c>
      <c r="AZ23" s="93">
        <v>83167.85688403502</v>
      </c>
      <c r="BA23" s="93">
        <v>83167.85688403502</v>
      </c>
      <c r="BB23" s="93">
        <v>83167.85688403502</v>
      </c>
      <c r="BC23" s="93">
        <v>83167.85688403502</v>
      </c>
      <c r="BD23" s="93">
        <v>83167.85688403502</v>
      </c>
      <c r="BE23" s="93">
        <v>83167.85688403502</v>
      </c>
      <c r="BF23" s="93">
        <v>83167.85688403502</v>
      </c>
      <c r="BG23" s="93">
        <v>83167.85688403502</v>
      </c>
      <c r="BH23" s="93">
        <v>83167.85688403502</v>
      </c>
      <c r="BI23" s="93">
        <v>83167.85688403502</v>
      </c>
      <c r="BJ23" s="93">
        <v>87326.249728236755</v>
      </c>
      <c r="BK23" s="93">
        <v>87326.249728236755</v>
      </c>
      <c r="BL23" s="93">
        <v>87326.249728236755</v>
      </c>
      <c r="BM23" s="93">
        <v>87326.249728236755</v>
      </c>
      <c r="BN23" s="93">
        <v>87326.249728236755</v>
      </c>
      <c r="BO23" s="93">
        <v>87326.249728236755</v>
      </c>
      <c r="BP23" s="93">
        <v>87326.249728236755</v>
      </c>
      <c r="BQ23" s="93">
        <v>87326.249728236755</v>
      </c>
      <c r="BR23" s="93">
        <v>87326.249728236755</v>
      </c>
      <c r="BS23" s="93">
        <v>87326.249728236755</v>
      </c>
      <c r="BT23" s="93">
        <v>87326.249728236755</v>
      </c>
      <c r="BU23" s="93">
        <v>87326.249728236755</v>
      </c>
      <c r="BV23" s="93">
        <v>91692.562214648613</v>
      </c>
      <c r="BW23" s="93">
        <v>91692.562214648613</v>
      </c>
      <c r="BX23" s="93">
        <v>91692.562214648613</v>
      </c>
      <c r="BY23" s="93">
        <v>91692.562214648613</v>
      </c>
      <c r="BZ23" s="93">
        <v>91692.562214648613</v>
      </c>
      <c r="CA23" s="93">
        <v>91692.562214648613</v>
      </c>
      <c r="CB23" s="93">
        <v>91692.562214648613</v>
      </c>
      <c r="CC23" s="93">
        <v>91692.562214648613</v>
      </c>
      <c r="CD23" s="93">
        <v>91692.562214648613</v>
      </c>
      <c r="CE23" s="93">
        <v>91692.562214648613</v>
      </c>
      <c r="CF23" s="93">
        <v>91692.562214648613</v>
      </c>
      <c r="CG23" s="93">
        <v>91692.562214648613</v>
      </c>
      <c r="CH23" s="93">
        <v>96277.190325381031</v>
      </c>
      <c r="CI23" s="93">
        <v>96277.190325381031</v>
      </c>
      <c r="CJ23" s="93">
        <v>96277.190325381031</v>
      </c>
      <c r="CK23" s="93">
        <v>96277.190325381031</v>
      </c>
      <c r="CL23" s="93">
        <v>96277.190325381031</v>
      </c>
      <c r="CM23" s="93">
        <v>96277.190325381031</v>
      </c>
      <c r="CN23" s="93">
        <v>96277.190325381031</v>
      </c>
      <c r="CO23" s="93">
        <v>96277.190325381031</v>
      </c>
      <c r="CP23" s="93">
        <v>96277.190325381031</v>
      </c>
      <c r="CQ23" s="93">
        <v>96277.190325381031</v>
      </c>
      <c r="CR23" s="93">
        <v>96277.190325381031</v>
      </c>
      <c r="CS23" s="93">
        <v>96277.190325381031</v>
      </c>
      <c r="CT23" s="93">
        <v>101091.04984165009</v>
      </c>
      <c r="CU23" s="93">
        <v>101091.04984165009</v>
      </c>
      <c r="CV23" s="93">
        <v>101091.04984165009</v>
      </c>
      <c r="CW23" s="93">
        <v>101091.04984165009</v>
      </c>
      <c r="CX23" s="93">
        <v>101091.04984165009</v>
      </c>
      <c r="CY23" s="93">
        <v>101091.04984165009</v>
      </c>
      <c r="CZ23" s="93">
        <v>101091.04984165009</v>
      </c>
      <c r="DA23" s="93">
        <v>101091.04984165009</v>
      </c>
      <c r="DB23" s="93">
        <v>101091.04984165009</v>
      </c>
      <c r="DC23" s="93">
        <v>101091.04984165009</v>
      </c>
      <c r="DD23" s="93">
        <v>101091.04984165009</v>
      </c>
      <c r="DE23" s="93">
        <v>101091.04984165009</v>
      </c>
    </row>
    <row r="24" spans="1:109">
      <c r="A24" s="94" t="s">
        <v>271</v>
      </c>
      <c r="B24" s="93">
        <v>654163.76</v>
      </c>
      <c r="C24" s="93">
        <v>654163.76</v>
      </c>
      <c r="D24" s="93">
        <v>654163.76</v>
      </c>
      <c r="E24" s="93">
        <v>654163.76</v>
      </c>
      <c r="F24" s="93">
        <v>654163.76</v>
      </c>
      <c r="G24" s="93">
        <v>654163.76</v>
      </c>
      <c r="H24" s="93">
        <v>654163.76</v>
      </c>
      <c r="I24" s="93">
        <v>654163.76</v>
      </c>
      <c r="J24" s="93">
        <v>654163.76</v>
      </c>
      <c r="K24" s="93">
        <v>654163.76</v>
      </c>
      <c r="L24" s="93">
        <v>654163.76</v>
      </c>
      <c r="M24" s="93">
        <v>654163.76</v>
      </c>
      <c r="N24" s="93">
        <v>699955.22320000012</v>
      </c>
      <c r="O24" s="93">
        <v>699955.22320000012</v>
      </c>
      <c r="P24" s="93">
        <v>699955.22320000012</v>
      </c>
      <c r="Q24" s="93">
        <v>699955.22320000012</v>
      </c>
      <c r="R24" s="93">
        <v>699955.22320000012</v>
      </c>
      <c r="S24" s="93">
        <v>699955.22320000012</v>
      </c>
      <c r="T24" s="93">
        <v>699955.22320000012</v>
      </c>
      <c r="U24" s="93">
        <v>699955.22320000012</v>
      </c>
      <c r="V24" s="93">
        <v>699955.22320000012</v>
      </c>
      <c r="W24" s="93">
        <v>699955.22320000012</v>
      </c>
      <c r="X24" s="93">
        <v>699955.22320000012</v>
      </c>
      <c r="Y24" s="93">
        <v>699955.22320000012</v>
      </c>
      <c r="Z24" s="93">
        <v>748952.08882400009</v>
      </c>
      <c r="AA24" s="93">
        <v>748952.08882400009</v>
      </c>
      <c r="AB24" s="93">
        <v>748952.08882400009</v>
      </c>
      <c r="AC24" s="93">
        <v>748952.08882400009</v>
      </c>
      <c r="AD24" s="93">
        <v>748952.08882400009</v>
      </c>
      <c r="AE24" s="93">
        <v>748952.08882400009</v>
      </c>
      <c r="AF24" s="93">
        <v>748952.08882400009</v>
      </c>
      <c r="AG24" s="93">
        <v>748952.08882400009</v>
      </c>
      <c r="AH24" s="93">
        <v>748952.08882400009</v>
      </c>
      <c r="AI24" s="93">
        <v>748952.08882400009</v>
      </c>
      <c r="AJ24" s="93">
        <v>748952.08882400009</v>
      </c>
      <c r="AK24" s="93">
        <v>748952.08882400009</v>
      </c>
      <c r="AL24" s="93">
        <v>786399.69326520013</v>
      </c>
      <c r="AM24" s="93">
        <v>786399.69326520013</v>
      </c>
      <c r="AN24" s="93">
        <v>786399.69326520013</v>
      </c>
      <c r="AO24" s="93">
        <v>786399.69326520013</v>
      </c>
      <c r="AP24" s="93">
        <v>786399.69326520013</v>
      </c>
      <c r="AQ24" s="93">
        <v>786399.69326520013</v>
      </c>
      <c r="AR24" s="93">
        <v>786399.69326520013</v>
      </c>
      <c r="AS24" s="93">
        <v>786399.69326520013</v>
      </c>
      <c r="AT24" s="93">
        <v>786399.69326520013</v>
      </c>
      <c r="AU24" s="93">
        <v>786399.69326520013</v>
      </c>
      <c r="AV24" s="93">
        <v>786399.69326520013</v>
      </c>
      <c r="AW24" s="93">
        <v>786399.69326520013</v>
      </c>
      <c r="AX24" s="93">
        <v>825719.67792846006</v>
      </c>
      <c r="AY24" s="93">
        <v>825719.67792846006</v>
      </c>
      <c r="AZ24" s="93">
        <v>825719.67792846006</v>
      </c>
      <c r="BA24" s="93">
        <v>825719.67792846006</v>
      </c>
      <c r="BB24" s="93">
        <v>825719.67792846006</v>
      </c>
      <c r="BC24" s="93">
        <v>825719.67792846006</v>
      </c>
      <c r="BD24" s="93">
        <v>825719.67792846006</v>
      </c>
      <c r="BE24" s="93">
        <v>825719.67792846006</v>
      </c>
      <c r="BF24" s="93">
        <v>825719.67792846006</v>
      </c>
      <c r="BG24" s="93">
        <v>825719.67792846006</v>
      </c>
      <c r="BH24" s="93">
        <v>825719.67792846006</v>
      </c>
      <c r="BI24" s="93">
        <v>825719.67792846006</v>
      </c>
      <c r="BJ24" s="93">
        <v>867005.66182488319</v>
      </c>
      <c r="BK24" s="93">
        <v>867005.66182488319</v>
      </c>
      <c r="BL24" s="93">
        <v>867005.66182488319</v>
      </c>
      <c r="BM24" s="93">
        <v>867005.66182488319</v>
      </c>
      <c r="BN24" s="93">
        <v>867005.66182488319</v>
      </c>
      <c r="BO24" s="93">
        <v>867005.66182488319</v>
      </c>
      <c r="BP24" s="93">
        <v>867005.66182488319</v>
      </c>
      <c r="BQ24" s="93">
        <v>867005.66182488319</v>
      </c>
      <c r="BR24" s="93">
        <v>867005.66182488319</v>
      </c>
      <c r="BS24" s="93">
        <v>867005.66182488319</v>
      </c>
      <c r="BT24" s="93">
        <v>867005.66182488319</v>
      </c>
      <c r="BU24" s="93">
        <v>867005.66182488319</v>
      </c>
      <c r="BV24" s="93">
        <v>910355.94491612737</v>
      </c>
      <c r="BW24" s="93">
        <v>910355.94491612737</v>
      </c>
      <c r="BX24" s="93">
        <v>910355.94491612737</v>
      </c>
      <c r="BY24" s="93">
        <v>910355.94491612737</v>
      </c>
      <c r="BZ24" s="93">
        <v>910355.94491612737</v>
      </c>
      <c r="CA24" s="93">
        <v>910355.94491612737</v>
      </c>
      <c r="CB24" s="93">
        <v>910355.94491612737</v>
      </c>
      <c r="CC24" s="93">
        <v>910355.94491612737</v>
      </c>
      <c r="CD24" s="93">
        <v>910355.94491612737</v>
      </c>
      <c r="CE24" s="93">
        <v>910355.94491612737</v>
      </c>
      <c r="CF24" s="93">
        <v>910355.94491612737</v>
      </c>
      <c r="CG24" s="93">
        <v>910355.94491612737</v>
      </c>
      <c r="CH24" s="93">
        <v>955873.7421619338</v>
      </c>
      <c r="CI24" s="93">
        <v>955873.7421619338</v>
      </c>
      <c r="CJ24" s="93">
        <v>955873.7421619338</v>
      </c>
      <c r="CK24" s="93">
        <v>955873.7421619338</v>
      </c>
      <c r="CL24" s="93">
        <v>955873.7421619338</v>
      </c>
      <c r="CM24" s="93">
        <v>955873.7421619338</v>
      </c>
      <c r="CN24" s="93">
        <v>955873.7421619338</v>
      </c>
      <c r="CO24" s="93">
        <v>955873.7421619338</v>
      </c>
      <c r="CP24" s="93">
        <v>955873.7421619338</v>
      </c>
      <c r="CQ24" s="93">
        <v>955873.7421619338</v>
      </c>
      <c r="CR24" s="93">
        <v>955873.7421619338</v>
      </c>
      <c r="CS24" s="93">
        <v>955873.7421619338</v>
      </c>
      <c r="CT24" s="93">
        <v>1003667.4292700303</v>
      </c>
      <c r="CU24" s="93">
        <v>1003667.4292700303</v>
      </c>
      <c r="CV24" s="93">
        <v>1003667.4292700303</v>
      </c>
      <c r="CW24" s="93">
        <v>1003667.4292700303</v>
      </c>
      <c r="CX24" s="93">
        <v>1003667.4292700303</v>
      </c>
      <c r="CY24" s="93">
        <v>1003667.4292700303</v>
      </c>
      <c r="CZ24" s="93">
        <v>1003667.4292700303</v>
      </c>
      <c r="DA24" s="93">
        <v>1003667.4292700303</v>
      </c>
      <c r="DB24" s="93">
        <v>1003667.4292700303</v>
      </c>
      <c r="DC24" s="93">
        <v>1003667.4292700303</v>
      </c>
      <c r="DD24" s="93">
        <v>1003667.4292700303</v>
      </c>
      <c r="DE24" s="93">
        <v>1003667.4292700303</v>
      </c>
    </row>
    <row r="25" spans="1:109" ht="12.75" thickBot="1">
      <c r="A25" s="90" t="s">
        <v>54</v>
      </c>
      <c r="B25" s="96">
        <f>SUM(B15:B24)</f>
        <v>3014372.9699999997</v>
      </c>
      <c r="C25" s="96">
        <f t="shared" ref="C25:BN25" si="4">SUM(C15:C24)</f>
        <v>3014372.9699999997</v>
      </c>
      <c r="D25" s="96">
        <f t="shared" si="4"/>
        <v>3014372.9699999997</v>
      </c>
      <c r="E25" s="96">
        <f t="shared" si="4"/>
        <v>3014372.9699999997</v>
      </c>
      <c r="F25" s="96">
        <f t="shared" si="4"/>
        <v>3014372.9699999997</v>
      </c>
      <c r="G25" s="96">
        <f t="shared" si="4"/>
        <v>3014372.9699999997</v>
      </c>
      <c r="H25" s="96">
        <f t="shared" si="4"/>
        <v>3014372.9699999997</v>
      </c>
      <c r="I25" s="96">
        <f t="shared" si="4"/>
        <v>3014372.9699999997</v>
      </c>
      <c r="J25" s="96">
        <f t="shared" si="4"/>
        <v>3014372.9699999997</v>
      </c>
      <c r="K25" s="96">
        <f t="shared" si="4"/>
        <v>3014372.9699999997</v>
      </c>
      <c r="L25" s="96">
        <f t="shared" si="4"/>
        <v>3014372.9699999997</v>
      </c>
      <c r="M25" s="96">
        <f t="shared" si="4"/>
        <v>3014372.9699999997</v>
      </c>
      <c r="N25" s="96">
        <f t="shared" si="4"/>
        <v>3225379.0779000008</v>
      </c>
      <c r="O25" s="96">
        <f t="shared" si="4"/>
        <v>3225379.0779000008</v>
      </c>
      <c r="P25" s="96">
        <f t="shared" si="4"/>
        <v>3225379.0779000008</v>
      </c>
      <c r="Q25" s="96">
        <f t="shared" si="4"/>
        <v>3225379.0779000008</v>
      </c>
      <c r="R25" s="96">
        <f t="shared" si="4"/>
        <v>3225379.0779000008</v>
      </c>
      <c r="S25" s="96">
        <f t="shared" si="4"/>
        <v>3225379.0779000008</v>
      </c>
      <c r="T25" s="96">
        <f t="shared" si="4"/>
        <v>3225379.0779000008</v>
      </c>
      <c r="U25" s="96">
        <f t="shared" si="4"/>
        <v>3225379.0779000008</v>
      </c>
      <c r="V25" s="96">
        <f t="shared" si="4"/>
        <v>3225379.0779000008</v>
      </c>
      <c r="W25" s="96">
        <f t="shared" si="4"/>
        <v>3225379.0779000008</v>
      </c>
      <c r="X25" s="96">
        <f t="shared" si="4"/>
        <v>3225379.0779000008</v>
      </c>
      <c r="Y25" s="96">
        <f t="shared" si="4"/>
        <v>3225379.0779000008</v>
      </c>
      <c r="Z25" s="96">
        <f t="shared" si="4"/>
        <v>3451155.6133530005</v>
      </c>
      <c r="AA25" s="96">
        <f t="shared" si="4"/>
        <v>3451155.6133530005</v>
      </c>
      <c r="AB25" s="96">
        <f t="shared" si="4"/>
        <v>3451155.6133530005</v>
      </c>
      <c r="AC25" s="96">
        <f t="shared" si="4"/>
        <v>3451155.6133530005</v>
      </c>
      <c r="AD25" s="96">
        <f t="shared" si="4"/>
        <v>3451155.6133530005</v>
      </c>
      <c r="AE25" s="96">
        <f t="shared" si="4"/>
        <v>3451155.6133530005</v>
      </c>
      <c r="AF25" s="96">
        <f t="shared" si="4"/>
        <v>3451155.6133530005</v>
      </c>
      <c r="AG25" s="96">
        <f t="shared" si="4"/>
        <v>3451155.6133530005</v>
      </c>
      <c r="AH25" s="96">
        <f t="shared" si="4"/>
        <v>3451155.6133530005</v>
      </c>
      <c r="AI25" s="96">
        <f t="shared" si="4"/>
        <v>3451155.6133530005</v>
      </c>
      <c r="AJ25" s="96">
        <f t="shared" si="4"/>
        <v>3451155.6133530005</v>
      </c>
      <c r="AK25" s="96">
        <f t="shared" si="4"/>
        <v>3451155.6133530005</v>
      </c>
      <c r="AL25" s="96">
        <f t="shared" si="4"/>
        <v>3623713.3940206501</v>
      </c>
      <c r="AM25" s="96">
        <f t="shared" si="4"/>
        <v>3623713.3940206501</v>
      </c>
      <c r="AN25" s="96">
        <f t="shared" si="4"/>
        <v>3623713.3940206501</v>
      </c>
      <c r="AO25" s="96">
        <f t="shared" si="4"/>
        <v>3623713.3940206501</v>
      </c>
      <c r="AP25" s="96">
        <f t="shared" si="4"/>
        <v>3623713.3940206501</v>
      </c>
      <c r="AQ25" s="96">
        <f t="shared" si="4"/>
        <v>3623713.3940206501</v>
      </c>
      <c r="AR25" s="96">
        <f t="shared" si="4"/>
        <v>3623713.3940206501</v>
      </c>
      <c r="AS25" s="96">
        <f t="shared" si="4"/>
        <v>3623713.3940206501</v>
      </c>
      <c r="AT25" s="96">
        <f t="shared" si="4"/>
        <v>3623713.3940206501</v>
      </c>
      <c r="AU25" s="96">
        <f t="shared" si="4"/>
        <v>3623713.3940206501</v>
      </c>
      <c r="AV25" s="96">
        <f t="shared" si="4"/>
        <v>3623713.3940206501</v>
      </c>
      <c r="AW25" s="96">
        <f t="shared" si="4"/>
        <v>3623713.3940206501</v>
      </c>
      <c r="AX25" s="96">
        <f t="shared" si="4"/>
        <v>3804899.0637216829</v>
      </c>
      <c r="AY25" s="96">
        <f t="shared" si="4"/>
        <v>3804899.0637216829</v>
      </c>
      <c r="AZ25" s="96">
        <f t="shared" si="4"/>
        <v>3804899.0637216829</v>
      </c>
      <c r="BA25" s="96">
        <f t="shared" si="4"/>
        <v>3804899.0637216829</v>
      </c>
      <c r="BB25" s="96">
        <f t="shared" si="4"/>
        <v>3804899.0637216829</v>
      </c>
      <c r="BC25" s="96">
        <f t="shared" si="4"/>
        <v>3804899.0637216829</v>
      </c>
      <c r="BD25" s="96">
        <f t="shared" si="4"/>
        <v>3804899.0637216829</v>
      </c>
      <c r="BE25" s="96">
        <f t="shared" si="4"/>
        <v>3804899.0637216829</v>
      </c>
      <c r="BF25" s="96">
        <f t="shared" si="4"/>
        <v>3804899.0637216829</v>
      </c>
      <c r="BG25" s="96">
        <f t="shared" si="4"/>
        <v>3804899.0637216829</v>
      </c>
      <c r="BH25" s="96">
        <f t="shared" si="4"/>
        <v>3804899.0637216829</v>
      </c>
      <c r="BI25" s="96">
        <f t="shared" si="4"/>
        <v>3804899.0637216829</v>
      </c>
      <c r="BJ25" s="96">
        <f t="shared" si="4"/>
        <v>3995144.0169077674</v>
      </c>
      <c r="BK25" s="96">
        <f t="shared" si="4"/>
        <v>3995144.0169077674</v>
      </c>
      <c r="BL25" s="96">
        <f t="shared" si="4"/>
        <v>3995144.0169077674</v>
      </c>
      <c r="BM25" s="96">
        <f t="shared" si="4"/>
        <v>3995144.0169077674</v>
      </c>
      <c r="BN25" s="96">
        <f t="shared" si="4"/>
        <v>3995144.0169077674</v>
      </c>
      <c r="BO25" s="96">
        <f t="shared" ref="BO25:DE25" si="5">SUM(BO15:BO24)</f>
        <v>3995144.0169077674</v>
      </c>
      <c r="BP25" s="96">
        <f t="shared" si="5"/>
        <v>3995144.0169077674</v>
      </c>
      <c r="BQ25" s="96">
        <f t="shared" si="5"/>
        <v>3995144.0169077674</v>
      </c>
      <c r="BR25" s="96">
        <f t="shared" si="5"/>
        <v>3995144.0169077674</v>
      </c>
      <c r="BS25" s="96">
        <f t="shared" si="5"/>
        <v>3995144.0169077674</v>
      </c>
      <c r="BT25" s="96">
        <f t="shared" si="5"/>
        <v>3995144.0169077674</v>
      </c>
      <c r="BU25" s="96">
        <f t="shared" si="5"/>
        <v>3995144.0169077674</v>
      </c>
      <c r="BV25" s="96">
        <f t="shared" si="5"/>
        <v>4194901.2177531561</v>
      </c>
      <c r="BW25" s="96">
        <f t="shared" si="5"/>
        <v>4194901.2177531561</v>
      </c>
      <c r="BX25" s="96">
        <f t="shared" si="5"/>
        <v>4194901.2177531561</v>
      </c>
      <c r="BY25" s="96">
        <f t="shared" si="5"/>
        <v>4194901.2177531561</v>
      </c>
      <c r="BZ25" s="96">
        <f t="shared" si="5"/>
        <v>4194901.2177531561</v>
      </c>
      <c r="CA25" s="96">
        <f t="shared" si="5"/>
        <v>4194901.2177531561</v>
      </c>
      <c r="CB25" s="96">
        <f t="shared" si="5"/>
        <v>4194901.2177531561</v>
      </c>
      <c r="CC25" s="96">
        <f t="shared" si="5"/>
        <v>4194901.2177531561</v>
      </c>
      <c r="CD25" s="96">
        <f t="shared" si="5"/>
        <v>4194901.2177531561</v>
      </c>
      <c r="CE25" s="96">
        <f t="shared" si="5"/>
        <v>4194901.2177531561</v>
      </c>
      <c r="CF25" s="96">
        <f t="shared" si="5"/>
        <v>4194901.2177531561</v>
      </c>
      <c r="CG25" s="96">
        <f t="shared" si="5"/>
        <v>4194901.2177531561</v>
      </c>
      <c r="CH25" s="96">
        <f t="shared" si="5"/>
        <v>4404646.2786408141</v>
      </c>
      <c r="CI25" s="96">
        <f t="shared" si="5"/>
        <v>4404646.2786408141</v>
      </c>
      <c r="CJ25" s="96">
        <f t="shared" si="5"/>
        <v>4404646.2786408141</v>
      </c>
      <c r="CK25" s="96">
        <f t="shared" si="5"/>
        <v>4404646.2786408141</v>
      </c>
      <c r="CL25" s="96">
        <f t="shared" si="5"/>
        <v>4404646.2786408141</v>
      </c>
      <c r="CM25" s="96">
        <f t="shared" si="5"/>
        <v>4404646.2786408141</v>
      </c>
      <c r="CN25" s="96">
        <f t="shared" si="5"/>
        <v>4404646.2786408141</v>
      </c>
      <c r="CO25" s="96">
        <f t="shared" si="5"/>
        <v>4404646.2786408141</v>
      </c>
      <c r="CP25" s="96">
        <f t="shared" si="5"/>
        <v>4404646.2786408141</v>
      </c>
      <c r="CQ25" s="96">
        <f t="shared" si="5"/>
        <v>4404646.2786408141</v>
      </c>
      <c r="CR25" s="96">
        <f t="shared" si="5"/>
        <v>4404646.2786408141</v>
      </c>
      <c r="CS25" s="96">
        <f t="shared" si="5"/>
        <v>4404646.2786408141</v>
      </c>
      <c r="CT25" s="96">
        <f t="shared" si="5"/>
        <v>4624878.5925728539</v>
      </c>
      <c r="CU25" s="96">
        <f t="shared" si="5"/>
        <v>4624878.5925728539</v>
      </c>
      <c r="CV25" s="96">
        <f t="shared" si="5"/>
        <v>4624878.5925728539</v>
      </c>
      <c r="CW25" s="96">
        <f t="shared" si="5"/>
        <v>4624878.5925728539</v>
      </c>
      <c r="CX25" s="96">
        <f t="shared" si="5"/>
        <v>4624878.5925728539</v>
      </c>
      <c r="CY25" s="96">
        <f t="shared" si="5"/>
        <v>4624878.5925728539</v>
      </c>
      <c r="CZ25" s="96">
        <f t="shared" si="5"/>
        <v>4624878.5925728539</v>
      </c>
      <c r="DA25" s="96">
        <f t="shared" si="5"/>
        <v>4624878.5925728539</v>
      </c>
      <c r="DB25" s="96">
        <f t="shared" si="5"/>
        <v>4624878.5925728539</v>
      </c>
      <c r="DC25" s="96">
        <f t="shared" si="5"/>
        <v>4624878.5925728539</v>
      </c>
      <c r="DD25" s="96">
        <f t="shared" si="5"/>
        <v>4624878.5925728539</v>
      </c>
      <c r="DE25" s="96">
        <f t="shared" si="5"/>
        <v>4624878.5925728539</v>
      </c>
    </row>
    <row r="26" spans="1:109" ht="12.75" thickTop="1">
      <c r="A26" s="97"/>
    </row>
    <row r="27" spans="1:109">
      <c r="A27" s="90" t="s">
        <v>273</v>
      </c>
      <c r="B27" s="91">
        <f>B14</f>
        <v>43951</v>
      </c>
      <c r="C27" s="91">
        <f t="shared" ref="C27:BN27" si="6">C14</f>
        <v>43982</v>
      </c>
      <c r="D27" s="91">
        <f t="shared" si="6"/>
        <v>44012</v>
      </c>
      <c r="E27" s="91">
        <f t="shared" si="6"/>
        <v>44043</v>
      </c>
      <c r="F27" s="91">
        <f t="shared" si="6"/>
        <v>44074</v>
      </c>
      <c r="G27" s="91">
        <f t="shared" si="6"/>
        <v>44104</v>
      </c>
      <c r="H27" s="91">
        <f t="shared" si="6"/>
        <v>44135</v>
      </c>
      <c r="I27" s="91">
        <f t="shared" si="6"/>
        <v>44165</v>
      </c>
      <c r="J27" s="91">
        <f t="shared" si="6"/>
        <v>44196</v>
      </c>
      <c r="K27" s="91">
        <f t="shared" si="6"/>
        <v>44227</v>
      </c>
      <c r="L27" s="91">
        <f t="shared" si="6"/>
        <v>44255</v>
      </c>
      <c r="M27" s="91">
        <f t="shared" si="6"/>
        <v>44286</v>
      </c>
      <c r="N27" s="91">
        <f t="shared" si="6"/>
        <v>44316</v>
      </c>
      <c r="O27" s="91">
        <f t="shared" si="6"/>
        <v>44347</v>
      </c>
      <c r="P27" s="91">
        <f t="shared" si="6"/>
        <v>44377</v>
      </c>
      <c r="Q27" s="91">
        <f t="shared" si="6"/>
        <v>44408</v>
      </c>
      <c r="R27" s="91">
        <f t="shared" si="6"/>
        <v>44439</v>
      </c>
      <c r="S27" s="91">
        <f t="shared" si="6"/>
        <v>44469</v>
      </c>
      <c r="T27" s="91">
        <f t="shared" si="6"/>
        <v>44500</v>
      </c>
      <c r="U27" s="91">
        <f t="shared" si="6"/>
        <v>44530</v>
      </c>
      <c r="V27" s="91">
        <f t="shared" si="6"/>
        <v>44561</v>
      </c>
      <c r="W27" s="91">
        <f t="shared" si="6"/>
        <v>44592</v>
      </c>
      <c r="X27" s="91">
        <f t="shared" si="6"/>
        <v>44620</v>
      </c>
      <c r="Y27" s="91">
        <f t="shared" si="6"/>
        <v>44651</v>
      </c>
      <c r="Z27" s="91">
        <f t="shared" si="6"/>
        <v>44681</v>
      </c>
      <c r="AA27" s="91">
        <f t="shared" si="6"/>
        <v>44712</v>
      </c>
      <c r="AB27" s="91">
        <f t="shared" si="6"/>
        <v>44742</v>
      </c>
      <c r="AC27" s="91">
        <f t="shared" si="6"/>
        <v>44773</v>
      </c>
      <c r="AD27" s="91">
        <f t="shared" si="6"/>
        <v>44804</v>
      </c>
      <c r="AE27" s="91">
        <f t="shared" si="6"/>
        <v>44834</v>
      </c>
      <c r="AF27" s="91">
        <f t="shared" si="6"/>
        <v>44865</v>
      </c>
      <c r="AG27" s="91">
        <f t="shared" si="6"/>
        <v>44895</v>
      </c>
      <c r="AH27" s="91">
        <f t="shared" si="6"/>
        <v>44926</v>
      </c>
      <c r="AI27" s="91">
        <f t="shared" si="6"/>
        <v>44957</v>
      </c>
      <c r="AJ27" s="91">
        <f t="shared" si="6"/>
        <v>44985</v>
      </c>
      <c r="AK27" s="91">
        <f t="shared" si="6"/>
        <v>45016</v>
      </c>
      <c r="AL27" s="91">
        <f t="shared" si="6"/>
        <v>45046</v>
      </c>
      <c r="AM27" s="91">
        <f t="shared" si="6"/>
        <v>45077</v>
      </c>
      <c r="AN27" s="91">
        <f t="shared" si="6"/>
        <v>45107</v>
      </c>
      <c r="AO27" s="91">
        <f t="shared" si="6"/>
        <v>45138</v>
      </c>
      <c r="AP27" s="91">
        <f t="shared" si="6"/>
        <v>45169</v>
      </c>
      <c r="AQ27" s="91">
        <f t="shared" si="6"/>
        <v>45199</v>
      </c>
      <c r="AR27" s="91">
        <f t="shared" si="6"/>
        <v>45230</v>
      </c>
      <c r="AS27" s="91">
        <f t="shared" si="6"/>
        <v>45260</v>
      </c>
      <c r="AT27" s="91">
        <f t="shared" si="6"/>
        <v>45291</v>
      </c>
      <c r="AU27" s="91">
        <f t="shared" si="6"/>
        <v>45322</v>
      </c>
      <c r="AV27" s="91">
        <f t="shared" si="6"/>
        <v>45351</v>
      </c>
      <c r="AW27" s="91">
        <f t="shared" si="6"/>
        <v>45382</v>
      </c>
      <c r="AX27" s="91">
        <f t="shared" si="6"/>
        <v>45412</v>
      </c>
      <c r="AY27" s="91">
        <f t="shared" si="6"/>
        <v>45443</v>
      </c>
      <c r="AZ27" s="91">
        <f t="shared" si="6"/>
        <v>45473</v>
      </c>
      <c r="BA27" s="91">
        <f t="shared" si="6"/>
        <v>45504</v>
      </c>
      <c r="BB27" s="91">
        <f t="shared" si="6"/>
        <v>45535</v>
      </c>
      <c r="BC27" s="91">
        <f t="shared" si="6"/>
        <v>45565</v>
      </c>
      <c r="BD27" s="91">
        <f t="shared" si="6"/>
        <v>45596</v>
      </c>
      <c r="BE27" s="91">
        <f t="shared" si="6"/>
        <v>45626</v>
      </c>
      <c r="BF27" s="91">
        <f t="shared" si="6"/>
        <v>45657</v>
      </c>
      <c r="BG27" s="91">
        <f t="shared" si="6"/>
        <v>45688</v>
      </c>
      <c r="BH27" s="91">
        <f t="shared" si="6"/>
        <v>45716</v>
      </c>
      <c r="BI27" s="91">
        <f t="shared" si="6"/>
        <v>45747</v>
      </c>
      <c r="BJ27" s="91">
        <f t="shared" si="6"/>
        <v>45777</v>
      </c>
      <c r="BK27" s="91">
        <f t="shared" si="6"/>
        <v>45808</v>
      </c>
      <c r="BL27" s="91">
        <f t="shared" si="6"/>
        <v>45838</v>
      </c>
      <c r="BM27" s="91">
        <f t="shared" si="6"/>
        <v>45869</v>
      </c>
      <c r="BN27" s="91">
        <f t="shared" si="6"/>
        <v>45900</v>
      </c>
      <c r="BO27" s="91">
        <f t="shared" ref="BO27:DE27" si="7">BO14</f>
        <v>45930</v>
      </c>
      <c r="BP27" s="91">
        <f t="shared" si="7"/>
        <v>45961</v>
      </c>
      <c r="BQ27" s="91">
        <f t="shared" si="7"/>
        <v>45991</v>
      </c>
      <c r="BR27" s="91">
        <f t="shared" si="7"/>
        <v>46022</v>
      </c>
      <c r="BS27" s="91">
        <f t="shared" si="7"/>
        <v>46053</v>
      </c>
      <c r="BT27" s="91">
        <f t="shared" si="7"/>
        <v>46081</v>
      </c>
      <c r="BU27" s="91">
        <f t="shared" si="7"/>
        <v>46112</v>
      </c>
      <c r="BV27" s="91">
        <f t="shared" si="7"/>
        <v>46142</v>
      </c>
      <c r="BW27" s="91">
        <f t="shared" si="7"/>
        <v>46173</v>
      </c>
      <c r="BX27" s="91">
        <f t="shared" si="7"/>
        <v>46203</v>
      </c>
      <c r="BY27" s="91">
        <f t="shared" si="7"/>
        <v>46234</v>
      </c>
      <c r="BZ27" s="91">
        <f t="shared" si="7"/>
        <v>46265</v>
      </c>
      <c r="CA27" s="91">
        <f t="shared" si="7"/>
        <v>46295</v>
      </c>
      <c r="CB27" s="91">
        <f t="shared" si="7"/>
        <v>46326</v>
      </c>
      <c r="CC27" s="91">
        <f t="shared" si="7"/>
        <v>46356</v>
      </c>
      <c r="CD27" s="91">
        <f t="shared" si="7"/>
        <v>46387</v>
      </c>
      <c r="CE27" s="91">
        <f t="shared" si="7"/>
        <v>46418</v>
      </c>
      <c r="CF27" s="91">
        <f t="shared" si="7"/>
        <v>46446</v>
      </c>
      <c r="CG27" s="91">
        <f t="shared" si="7"/>
        <v>46477</v>
      </c>
      <c r="CH27" s="91">
        <f t="shared" si="7"/>
        <v>46507</v>
      </c>
      <c r="CI27" s="91">
        <f t="shared" si="7"/>
        <v>46538</v>
      </c>
      <c r="CJ27" s="91">
        <f t="shared" si="7"/>
        <v>46568</v>
      </c>
      <c r="CK27" s="91">
        <f t="shared" si="7"/>
        <v>46599</v>
      </c>
      <c r="CL27" s="91">
        <f t="shared" si="7"/>
        <v>46630</v>
      </c>
      <c r="CM27" s="91">
        <f t="shared" si="7"/>
        <v>46660</v>
      </c>
      <c r="CN27" s="91">
        <f t="shared" si="7"/>
        <v>46691</v>
      </c>
      <c r="CO27" s="91">
        <f t="shared" si="7"/>
        <v>46721</v>
      </c>
      <c r="CP27" s="91">
        <f t="shared" si="7"/>
        <v>46752</v>
      </c>
      <c r="CQ27" s="91">
        <f t="shared" si="7"/>
        <v>46783</v>
      </c>
      <c r="CR27" s="91">
        <f t="shared" si="7"/>
        <v>46812</v>
      </c>
      <c r="CS27" s="91">
        <f t="shared" si="7"/>
        <v>46843</v>
      </c>
      <c r="CT27" s="91">
        <f t="shared" si="7"/>
        <v>46873</v>
      </c>
      <c r="CU27" s="91">
        <f t="shared" si="7"/>
        <v>46904</v>
      </c>
      <c r="CV27" s="91">
        <f t="shared" si="7"/>
        <v>46934</v>
      </c>
      <c r="CW27" s="91">
        <f t="shared" si="7"/>
        <v>46965</v>
      </c>
      <c r="CX27" s="91">
        <f t="shared" si="7"/>
        <v>46996</v>
      </c>
      <c r="CY27" s="91">
        <f t="shared" si="7"/>
        <v>47026</v>
      </c>
      <c r="CZ27" s="91">
        <f t="shared" si="7"/>
        <v>47056</v>
      </c>
      <c r="DA27" s="91">
        <f t="shared" si="7"/>
        <v>47087</v>
      </c>
      <c r="DB27" s="91">
        <f t="shared" si="7"/>
        <v>47117</v>
      </c>
      <c r="DC27" s="91">
        <f t="shared" si="7"/>
        <v>47148</v>
      </c>
      <c r="DD27" s="91">
        <f t="shared" si="7"/>
        <v>47177</v>
      </c>
      <c r="DE27" s="91">
        <f t="shared" si="7"/>
        <v>47207</v>
      </c>
    </row>
    <row r="28" spans="1:109">
      <c r="A28" s="92" t="s">
        <v>262</v>
      </c>
      <c r="B28" s="93">
        <v>4358113.2100000009</v>
      </c>
      <c r="C28" s="93">
        <v>4358113.2100000009</v>
      </c>
      <c r="D28" s="93">
        <v>4358113.2100000009</v>
      </c>
      <c r="E28" s="93">
        <v>4358113.2100000009</v>
      </c>
      <c r="F28" s="93">
        <v>4358113.2100000009</v>
      </c>
      <c r="G28" s="93">
        <v>4358113.2100000009</v>
      </c>
      <c r="H28" s="93">
        <v>4358113.2100000009</v>
      </c>
      <c r="I28" s="93">
        <v>4358113.2100000009</v>
      </c>
      <c r="J28" s="93">
        <v>4358113.2100000009</v>
      </c>
      <c r="K28" s="93">
        <v>4358113.2100000009</v>
      </c>
      <c r="L28" s="93">
        <v>4358113.2100000009</v>
      </c>
      <c r="M28" s="93">
        <v>4358113.2100000009</v>
      </c>
      <c r="N28" s="93">
        <v>4663181.1347000012</v>
      </c>
      <c r="O28" s="93">
        <v>4663181.1347000012</v>
      </c>
      <c r="P28" s="93">
        <v>4663181.1347000012</v>
      </c>
      <c r="Q28" s="93">
        <v>4663181.1347000012</v>
      </c>
      <c r="R28" s="93">
        <v>4663181.1347000012</v>
      </c>
      <c r="S28" s="93">
        <v>4663181.1347000012</v>
      </c>
      <c r="T28" s="93">
        <v>4663181.1347000012</v>
      </c>
      <c r="U28" s="93">
        <v>4663181.1347000012</v>
      </c>
      <c r="V28" s="93">
        <v>4663181.1347000012</v>
      </c>
      <c r="W28" s="93">
        <v>4663181.1347000012</v>
      </c>
      <c r="X28" s="93">
        <v>4663181.1347000012</v>
      </c>
      <c r="Y28" s="93">
        <v>4663181.1347000012</v>
      </c>
      <c r="Z28" s="93">
        <v>4989603.8141289996</v>
      </c>
      <c r="AA28" s="93">
        <v>4989603.8141289996</v>
      </c>
      <c r="AB28" s="93">
        <v>4989603.8141289996</v>
      </c>
      <c r="AC28" s="93">
        <v>4989603.8141289996</v>
      </c>
      <c r="AD28" s="93">
        <v>4989603.8141289996</v>
      </c>
      <c r="AE28" s="93">
        <v>4989603.8141289996</v>
      </c>
      <c r="AF28" s="93">
        <v>4989603.8141289996</v>
      </c>
      <c r="AG28" s="93">
        <v>4989603.8141289996</v>
      </c>
      <c r="AH28" s="93">
        <v>4989603.8141289996</v>
      </c>
      <c r="AI28" s="93">
        <v>4989603.8141289996</v>
      </c>
      <c r="AJ28" s="93">
        <v>4989603.8141289996</v>
      </c>
      <c r="AK28" s="93">
        <v>4989603.8141289996</v>
      </c>
      <c r="AL28" s="93">
        <v>5239084.004835451</v>
      </c>
      <c r="AM28" s="93">
        <v>5239084.004835451</v>
      </c>
      <c r="AN28" s="93">
        <v>5239084.004835451</v>
      </c>
      <c r="AO28" s="93">
        <v>5239084.004835451</v>
      </c>
      <c r="AP28" s="93">
        <v>5239084.004835451</v>
      </c>
      <c r="AQ28" s="93">
        <v>5239084.004835451</v>
      </c>
      <c r="AR28" s="93">
        <v>5239084.004835451</v>
      </c>
      <c r="AS28" s="93">
        <v>5239084.004835451</v>
      </c>
      <c r="AT28" s="93">
        <v>5239084.004835451</v>
      </c>
      <c r="AU28" s="93">
        <v>5239084.004835451</v>
      </c>
      <c r="AV28" s="93">
        <v>5239084.004835451</v>
      </c>
      <c r="AW28" s="93">
        <v>5239084.004835451</v>
      </c>
      <c r="AX28" s="93">
        <v>5501038.2050772235</v>
      </c>
      <c r="AY28" s="93">
        <v>5501038.2050772235</v>
      </c>
      <c r="AZ28" s="93">
        <v>5501038.2050772235</v>
      </c>
      <c r="BA28" s="93">
        <v>5501038.2050772235</v>
      </c>
      <c r="BB28" s="93">
        <v>5501038.2050772235</v>
      </c>
      <c r="BC28" s="93">
        <v>5501038.2050772235</v>
      </c>
      <c r="BD28" s="93">
        <v>5501038.2050772235</v>
      </c>
      <c r="BE28" s="93">
        <v>5501038.2050772235</v>
      </c>
      <c r="BF28" s="93">
        <v>5501038.2050772235</v>
      </c>
      <c r="BG28" s="93">
        <v>5501038.2050772235</v>
      </c>
      <c r="BH28" s="93">
        <v>5501038.2050772235</v>
      </c>
      <c r="BI28" s="93">
        <v>5501038.2050772235</v>
      </c>
      <c r="BJ28" s="93">
        <v>5776090.1153310845</v>
      </c>
      <c r="BK28" s="93">
        <v>5776090.1153310845</v>
      </c>
      <c r="BL28" s="93">
        <v>5776090.1153310845</v>
      </c>
      <c r="BM28" s="93">
        <v>5776090.1153310845</v>
      </c>
      <c r="BN28" s="93">
        <v>5776090.1153310845</v>
      </c>
      <c r="BO28" s="93">
        <v>5776090.1153310845</v>
      </c>
      <c r="BP28" s="93">
        <v>5776090.1153310845</v>
      </c>
      <c r="BQ28" s="93">
        <v>5776090.1153310845</v>
      </c>
      <c r="BR28" s="93">
        <v>5776090.1153310845</v>
      </c>
      <c r="BS28" s="93">
        <v>5776090.1153310845</v>
      </c>
      <c r="BT28" s="93">
        <v>5776090.1153310845</v>
      </c>
      <c r="BU28" s="93">
        <v>5776090.1153310845</v>
      </c>
      <c r="BV28" s="93">
        <v>6064894.6210976392</v>
      </c>
      <c r="BW28" s="93">
        <v>6064894.6210976392</v>
      </c>
      <c r="BX28" s="93">
        <v>6064894.6210976392</v>
      </c>
      <c r="BY28" s="93">
        <v>6064894.6210976392</v>
      </c>
      <c r="BZ28" s="93">
        <v>6064894.6210976392</v>
      </c>
      <c r="CA28" s="93">
        <v>6064894.6210976392</v>
      </c>
      <c r="CB28" s="93">
        <v>6064894.6210976392</v>
      </c>
      <c r="CC28" s="93">
        <v>6064894.6210976392</v>
      </c>
      <c r="CD28" s="93">
        <v>6064894.6210976392</v>
      </c>
      <c r="CE28" s="93">
        <v>6064894.6210976392</v>
      </c>
      <c r="CF28" s="93">
        <v>6064894.6210976392</v>
      </c>
      <c r="CG28" s="93">
        <v>6064894.6210976392</v>
      </c>
      <c r="CH28" s="93">
        <v>6368139.3521525208</v>
      </c>
      <c r="CI28" s="93">
        <v>6368139.3521525208</v>
      </c>
      <c r="CJ28" s="93">
        <v>6368139.3521525208</v>
      </c>
      <c r="CK28" s="93">
        <v>6368139.3521525208</v>
      </c>
      <c r="CL28" s="93">
        <v>6368139.3521525208</v>
      </c>
      <c r="CM28" s="93">
        <v>6368139.3521525208</v>
      </c>
      <c r="CN28" s="93">
        <v>6368139.3521525208</v>
      </c>
      <c r="CO28" s="93">
        <v>6368139.3521525208</v>
      </c>
      <c r="CP28" s="93">
        <v>6368139.3521525208</v>
      </c>
      <c r="CQ28" s="93">
        <v>6368139.3521525208</v>
      </c>
      <c r="CR28" s="93">
        <v>6368139.3521525208</v>
      </c>
      <c r="CS28" s="93">
        <v>6368139.3521525208</v>
      </c>
      <c r="CT28" s="93">
        <v>6686546.3197601466</v>
      </c>
      <c r="CU28" s="93">
        <v>6686546.3197601466</v>
      </c>
      <c r="CV28" s="93">
        <v>6686546.3197601466</v>
      </c>
      <c r="CW28" s="93">
        <v>6686546.3197601466</v>
      </c>
      <c r="CX28" s="93">
        <v>6686546.3197601466</v>
      </c>
      <c r="CY28" s="93">
        <v>6686546.3197601466</v>
      </c>
      <c r="CZ28" s="93">
        <v>6686546.3197601466</v>
      </c>
      <c r="DA28" s="93">
        <v>6686546.3197601466</v>
      </c>
      <c r="DB28" s="93">
        <v>6686546.3197601466</v>
      </c>
      <c r="DC28" s="93">
        <v>6686546.3197601466</v>
      </c>
      <c r="DD28" s="93">
        <v>6686546.3197601466</v>
      </c>
      <c r="DE28" s="93">
        <v>6686546.3197601466</v>
      </c>
    </row>
    <row r="29" spans="1:109">
      <c r="A29" s="94" t="s">
        <v>263</v>
      </c>
      <c r="B29" s="93">
        <v>1645467.4</v>
      </c>
      <c r="C29" s="93">
        <v>1645467.4</v>
      </c>
      <c r="D29" s="93">
        <v>1645467.4</v>
      </c>
      <c r="E29" s="93">
        <v>1645467.4</v>
      </c>
      <c r="F29" s="93">
        <v>1645467.4</v>
      </c>
      <c r="G29" s="93">
        <v>1645467.4</v>
      </c>
      <c r="H29" s="93">
        <v>1645467.4</v>
      </c>
      <c r="I29" s="93">
        <v>1645467.4</v>
      </c>
      <c r="J29" s="93">
        <v>1645467.4</v>
      </c>
      <c r="K29" s="93">
        <v>1645467.4</v>
      </c>
      <c r="L29" s="93">
        <v>1645467.4</v>
      </c>
      <c r="M29" s="93">
        <v>1645467.4</v>
      </c>
      <c r="N29" s="93">
        <v>1760650.1180000002</v>
      </c>
      <c r="O29" s="93">
        <v>1760650.1180000002</v>
      </c>
      <c r="P29" s="93">
        <v>1760650.1180000002</v>
      </c>
      <c r="Q29" s="93">
        <v>1760650.1180000002</v>
      </c>
      <c r="R29" s="93">
        <v>1760650.1180000002</v>
      </c>
      <c r="S29" s="93">
        <v>1760650.1180000002</v>
      </c>
      <c r="T29" s="93">
        <v>1760650.1180000002</v>
      </c>
      <c r="U29" s="93">
        <v>1760650.1180000002</v>
      </c>
      <c r="V29" s="93">
        <v>1760650.1180000002</v>
      </c>
      <c r="W29" s="93">
        <v>1760650.1180000002</v>
      </c>
      <c r="X29" s="93">
        <v>1760650.1180000002</v>
      </c>
      <c r="Y29" s="93">
        <v>1760650.1180000002</v>
      </c>
      <c r="Z29" s="93">
        <v>1883895.6262600007</v>
      </c>
      <c r="AA29" s="93">
        <v>1883895.6262600007</v>
      </c>
      <c r="AB29" s="93">
        <v>1883895.6262600007</v>
      </c>
      <c r="AC29" s="93">
        <v>1883895.6262600007</v>
      </c>
      <c r="AD29" s="93">
        <v>1883895.6262600007</v>
      </c>
      <c r="AE29" s="93">
        <v>1883895.6262600007</v>
      </c>
      <c r="AF29" s="93">
        <v>1883895.6262600007</v>
      </c>
      <c r="AG29" s="93">
        <v>1883895.6262600007</v>
      </c>
      <c r="AH29" s="93">
        <v>1883895.6262600007</v>
      </c>
      <c r="AI29" s="93">
        <v>1883895.6262600007</v>
      </c>
      <c r="AJ29" s="93">
        <v>1883895.6262600007</v>
      </c>
      <c r="AK29" s="93">
        <v>1883895.6262600007</v>
      </c>
      <c r="AL29" s="93">
        <v>1978090.4075730005</v>
      </c>
      <c r="AM29" s="93">
        <v>1978090.4075730005</v>
      </c>
      <c r="AN29" s="93">
        <v>1978090.4075730005</v>
      </c>
      <c r="AO29" s="93">
        <v>1978090.4075730005</v>
      </c>
      <c r="AP29" s="93">
        <v>1978090.4075730005</v>
      </c>
      <c r="AQ29" s="93">
        <v>1978090.4075730005</v>
      </c>
      <c r="AR29" s="93">
        <v>1978090.4075730005</v>
      </c>
      <c r="AS29" s="93">
        <v>1978090.4075730005</v>
      </c>
      <c r="AT29" s="93">
        <v>1978090.4075730005</v>
      </c>
      <c r="AU29" s="93">
        <v>1978090.4075730005</v>
      </c>
      <c r="AV29" s="93">
        <v>1978090.4075730005</v>
      </c>
      <c r="AW29" s="93">
        <v>1978090.4075730005</v>
      </c>
      <c r="AX29" s="93">
        <v>2076994.9279516495</v>
      </c>
      <c r="AY29" s="93">
        <v>2076994.9279516495</v>
      </c>
      <c r="AZ29" s="93">
        <v>2076994.9279516495</v>
      </c>
      <c r="BA29" s="93">
        <v>2076994.9279516495</v>
      </c>
      <c r="BB29" s="93">
        <v>2076994.9279516495</v>
      </c>
      <c r="BC29" s="93">
        <v>2076994.9279516495</v>
      </c>
      <c r="BD29" s="93">
        <v>2076994.9279516495</v>
      </c>
      <c r="BE29" s="93">
        <v>2076994.9279516495</v>
      </c>
      <c r="BF29" s="93">
        <v>2076994.9279516495</v>
      </c>
      <c r="BG29" s="93">
        <v>2076994.9279516495</v>
      </c>
      <c r="BH29" s="93">
        <v>2076994.9279516495</v>
      </c>
      <c r="BI29" s="93">
        <v>2076994.9279516495</v>
      </c>
      <c r="BJ29" s="93">
        <v>2180844.674349233</v>
      </c>
      <c r="BK29" s="93">
        <v>2180844.674349233</v>
      </c>
      <c r="BL29" s="93">
        <v>2180844.674349233</v>
      </c>
      <c r="BM29" s="93">
        <v>2180844.674349233</v>
      </c>
      <c r="BN29" s="93">
        <v>2180844.674349233</v>
      </c>
      <c r="BO29" s="93">
        <v>2180844.674349233</v>
      </c>
      <c r="BP29" s="93">
        <v>2180844.674349233</v>
      </c>
      <c r="BQ29" s="93">
        <v>2180844.674349233</v>
      </c>
      <c r="BR29" s="93">
        <v>2180844.674349233</v>
      </c>
      <c r="BS29" s="93">
        <v>2180844.674349233</v>
      </c>
      <c r="BT29" s="93">
        <v>2180844.674349233</v>
      </c>
      <c r="BU29" s="93">
        <v>2180844.674349233</v>
      </c>
      <c r="BV29" s="93">
        <v>2289886.9080666946</v>
      </c>
      <c r="BW29" s="93">
        <v>2289886.9080666946</v>
      </c>
      <c r="BX29" s="93">
        <v>2289886.9080666946</v>
      </c>
      <c r="BY29" s="93">
        <v>2289886.9080666946</v>
      </c>
      <c r="BZ29" s="93">
        <v>2289886.9080666946</v>
      </c>
      <c r="CA29" s="93">
        <v>2289886.9080666946</v>
      </c>
      <c r="CB29" s="93">
        <v>2289886.9080666946</v>
      </c>
      <c r="CC29" s="93">
        <v>2289886.9080666946</v>
      </c>
      <c r="CD29" s="93">
        <v>2289886.9080666946</v>
      </c>
      <c r="CE29" s="93">
        <v>2289886.9080666946</v>
      </c>
      <c r="CF29" s="93">
        <v>2289886.9080666946</v>
      </c>
      <c r="CG29" s="93">
        <v>2289886.9080666946</v>
      </c>
      <c r="CH29" s="93">
        <v>2404381.2534700288</v>
      </c>
      <c r="CI29" s="93">
        <v>2404381.2534700288</v>
      </c>
      <c r="CJ29" s="93">
        <v>2404381.2534700288</v>
      </c>
      <c r="CK29" s="93">
        <v>2404381.2534700288</v>
      </c>
      <c r="CL29" s="93">
        <v>2404381.2534700288</v>
      </c>
      <c r="CM29" s="93">
        <v>2404381.2534700288</v>
      </c>
      <c r="CN29" s="93">
        <v>2404381.2534700288</v>
      </c>
      <c r="CO29" s="93">
        <v>2404381.2534700288</v>
      </c>
      <c r="CP29" s="93">
        <v>2404381.2534700288</v>
      </c>
      <c r="CQ29" s="93">
        <v>2404381.2534700288</v>
      </c>
      <c r="CR29" s="93">
        <v>2404381.2534700288</v>
      </c>
      <c r="CS29" s="93">
        <v>2404381.2534700288</v>
      </c>
      <c r="CT29" s="93">
        <v>2524600.3161435314</v>
      </c>
      <c r="CU29" s="93">
        <v>2524600.3161435314</v>
      </c>
      <c r="CV29" s="93">
        <v>2524600.3161435314</v>
      </c>
      <c r="CW29" s="93">
        <v>2524600.3161435314</v>
      </c>
      <c r="CX29" s="93">
        <v>2524600.3161435314</v>
      </c>
      <c r="CY29" s="93">
        <v>2524600.3161435314</v>
      </c>
      <c r="CZ29" s="93">
        <v>2524600.3161435314</v>
      </c>
      <c r="DA29" s="93">
        <v>2524600.3161435314</v>
      </c>
      <c r="DB29" s="93">
        <v>2524600.3161435314</v>
      </c>
      <c r="DC29" s="93">
        <v>2524600.3161435314</v>
      </c>
      <c r="DD29" s="93">
        <v>2524600.3161435314</v>
      </c>
      <c r="DE29" s="93">
        <v>2524600.3161435314</v>
      </c>
    </row>
    <row r="30" spans="1:109">
      <c r="A30" s="92" t="s">
        <v>264</v>
      </c>
      <c r="B30" s="93">
        <v>163935.76999999999</v>
      </c>
      <c r="C30" s="93">
        <v>163935.76999999999</v>
      </c>
      <c r="D30" s="93">
        <v>163935.76999999999</v>
      </c>
      <c r="E30" s="93">
        <v>163935.76999999999</v>
      </c>
      <c r="F30" s="93">
        <v>163935.76999999999</v>
      </c>
      <c r="G30" s="93">
        <v>163935.76999999999</v>
      </c>
      <c r="H30" s="93">
        <v>163935.76999999999</v>
      </c>
      <c r="I30" s="93">
        <v>163935.76999999999</v>
      </c>
      <c r="J30" s="93">
        <v>163935.76999999999</v>
      </c>
      <c r="K30" s="93">
        <v>163935.76999999999</v>
      </c>
      <c r="L30" s="93">
        <v>163935.76999999999</v>
      </c>
      <c r="M30" s="93">
        <v>163935.76999999999</v>
      </c>
      <c r="N30" s="93">
        <v>175411.2739</v>
      </c>
      <c r="O30" s="93">
        <v>175411.2739</v>
      </c>
      <c r="P30" s="93">
        <v>175411.2739</v>
      </c>
      <c r="Q30" s="93">
        <v>175411.2739</v>
      </c>
      <c r="R30" s="93">
        <v>175411.2739</v>
      </c>
      <c r="S30" s="93">
        <v>175411.2739</v>
      </c>
      <c r="T30" s="93">
        <v>175411.2739</v>
      </c>
      <c r="U30" s="93">
        <v>175411.2739</v>
      </c>
      <c r="V30" s="93">
        <v>175411.2739</v>
      </c>
      <c r="W30" s="93">
        <v>175411.2739</v>
      </c>
      <c r="X30" s="93">
        <v>175411.2739</v>
      </c>
      <c r="Y30" s="93">
        <v>175411.2739</v>
      </c>
      <c r="Z30" s="93">
        <v>187690.063073</v>
      </c>
      <c r="AA30" s="93">
        <v>187690.063073</v>
      </c>
      <c r="AB30" s="93">
        <v>187690.063073</v>
      </c>
      <c r="AC30" s="93">
        <v>187690.063073</v>
      </c>
      <c r="AD30" s="93">
        <v>187690.063073</v>
      </c>
      <c r="AE30" s="93">
        <v>187690.063073</v>
      </c>
      <c r="AF30" s="93">
        <v>187690.063073</v>
      </c>
      <c r="AG30" s="93">
        <v>187690.063073</v>
      </c>
      <c r="AH30" s="93">
        <v>187690.063073</v>
      </c>
      <c r="AI30" s="93">
        <v>187690.063073</v>
      </c>
      <c r="AJ30" s="93">
        <v>187690.063073</v>
      </c>
      <c r="AK30" s="93">
        <v>187690.063073</v>
      </c>
      <c r="AL30" s="93">
        <v>197074.56622665003</v>
      </c>
      <c r="AM30" s="93">
        <v>197074.56622665003</v>
      </c>
      <c r="AN30" s="93">
        <v>197074.56622665003</v>
      </c>
      <c r="AO30" s="93">
        <v>197074.56622665003</v>
      </c>
      <c r="AP30" s="93">
        <v>197074.56622665003</v>
      </c>
      <c r="AQ30" s="93">
        <v>197074.56622665003</v>
      </c>
      <c r="AR30" s="93">
        <v>197074.56622665003</v>
      </c>
      <c r="AS30" s="93">
        <v>197074.56622665003</v>
      </c>
      <c r="AT30" s="93">
        <v>197074.56622665003</v>
      </c>
      <c r="AU30" s="93">
        <v>197074.56622665003</v>
      </c>
      <c r="AV30" s="93">
        <v>197074.56622665003</v>
      </c>
      <c r="AW30" s="93">
        <v>197074.56622665003</v>
      </c>
      <c r="AX30" s="93">
        <v>206928.29453798255</v>
      </c>
      <c r="AY30" s="93">
        <v>206928.29453798255</v>
      </c>
      <c r="AZ30" s="93">
        <v>206928.29453798255</v>
      </c>
      <c r="BA30" s="93">
        <v>206928.29453798255</v>
      </c>
      <c r="BB30" s="93">
        <v>206928.29453798255</v>
      </c>
      <c r="BC30" s="93">
        <v>206928.29453798255</v>
      </c>
      <c r="BD30" s="93">
        <v>206928.29453798255</v>
      </c>
      <c r="BE30" s="93">
        <v>206928.29453798255</v>
      </c>
      <c r="BF30" s="93">
        <v>206928.29453798255</v>
      </c>
      <c r="BG30" s="93">
        <v>206928.29453798255</v>
      </c>
      <c r="BH30" s="93">
        <v>206928.29453798255</v>
      </c>
      <c r="BI30" s="93">
        <v>206928.29453798255</v>
      </c>
      <c r="BJ30" s="93">
        <v>217274.70926488165</v>
      </c>
      <c r="BK30" s="93">
        <v>217274.70926488165</v>
      </c>
      <c r="BL30" s="93">
        <v>217274.70926488165</v>
      </c>
      <c r="BM30" s="93">
        <v>217274.70926488165</v>
      </c>
      <c r="BN30" s="93">
        <v>217274.70926488165</v>
      </c>
      <c r="BO30" s="93">
        <v>217274.70926488165</v>
      </c>
      <c r="BP30" s="93">
        <v>217274.70926488165</v>
      </c>
      <c r="BQ30" s="93">
        <v>217274.70926488165</v>
      </c>
      <c r="BR30" s="93">
        <v>217274.70926488165</v>
      </c>
      <c r="BS30" s="93">
        <v>217274.70926488165</v>
      </c>
      <c r="BT30" s="93">
        <v>217274.70926488165</v>
      </c>
      <c r="BU30" s="93">
        <v>217274.70926488165</v>
      </c>
      <c r="BV30" s="93">
        <v>228138.44472812576</v>
      </c>
      <c r="BW30" s="93">
        <v>228138.44472812576</v>
      </c>
      <c r="BX30" s="93">
        <v>228138.44472812576</v>
      </c>
      <c r="BY30" s="93">
        <v>228138.44472812576</v>
      </c>
      <c r="BZ30" s="93">
        <v>228138.44472812576</v>
      </c>
      <c r="CA30" s="93">
        <v>228138.44472812576</v>
      </c>
      <c r="CB30" s="93">
        <v>228138.44472812576</v>
      </c>
      <c r="CC30" s="93">
        <v>228138.44472812576</v>
      </c>
      <c r="CD30" s="93">
        <v>228138.44472812576</v>
      </c>
      <c r="CE30" s="93">
        <v>228138.44472812576</v>
      </c>
      <c r="CF30" s="93">
        <v>228138.44472812576</v>
      </c>
      <c r="CG30" s="93">
        <v>228138.44472812576</v>
      </c>
      <c r="CH30" s="93">
        <v>239545.36696453203</v>
      </c>
      <c r="CI30" s="93">
        <v>239545.36696453203</v>
      </c>
      <c r="CJ30" s="93">
        <v>239545.36696453203</v>
      </c>
      <c r="CK30" s="93">
        <v>239545.36696453203</v>
      </c>
      <c r="CL30" s="93">
        <v>239545.36696453203</v>
      </c>
      <c r="CM30" s="93">
        <v>239545.36696453203</v>
      </c>
      <c r="CN30" s="93">
        <v>239545.36696453203</v>
      </c>
      <c r="CO30" s="93">
        <v>239545.36696453203</v>
      </c>
      <c r="CP30" s="93">
        <v>239545.36696453203</v>
      </c>
      <c r="CQ30" s="93">
        <v>239545.36696453203</v>
      </c>
      <c r="CR30" s="93">
        <v>239545.36696453203</v>
      </c>
      <c r="CS30" s="93">
        <v>239545.36696453203</v>
      </c>
      <c r="CT30" s="93">
        <v>251522.63531275862</v>
      </c>
      <c r="CU30" s="93">
        <v>251522.63531275862</v>
      </c>
      <c r="CV30" s="93">
        <v>251522.63531275862</v>
      </c>
      <c r="CW30" s="93">
        <v>251522.63531275862</v>
      </c>
      <c r="CX30" s="93">
        <v>251522.63531275862</v>
      </c>
      <c r="CY30" s="93">
        <v>251522.63531275862</v>
      </c>
      <c r="CZ30" s="93">
        <v>251522.63531275862</v>
      </c>
      <c r="DA30" s="93">
        <v>251522.63531275862</v>
      </c>
      <c r="DB30" s="93">
        <v>251522.63531275862</v>
      </c>
      <c r="DC30" s="93">
        <v>251522.63531275862</v>
      </c>
      <c r="DD30" s="93">
        <v>251522.63531275862</v>
      </c>
      <c r="DE30" s="93">
        <v>251522.63531275862</v>
      </c>
    </row>
    <row r="31" spans="1:109">
      <c r="A31" s="92" t="s">
        <v>265</v>
      </c>
      <c r="B31" s="93">
        <v>0</v>
      </c>
      <c r="C31" s="93">
        <v>0</v>
      </c>
      <c r="D31" s="93">
        <v>0</v>
      </c>
      <c r="E31" s="93">
        <v>0</v>
      </c>
      <c r="F31" s="93">
        <v>0</v>
      </c>
      <c r="G31" s="93">
        <v>0</v>
      </c>
      <c r="H31" s="93">
        <v>0</v>
      </c>
      <c r="I31" s="93">
        <v>0</v>
      </c>
      <c r="J31" s="93">
        <v>0</v>
      </c>
      <c r="K31" s="93">
        <v>0</v>
      </c>
      <c r="L31" s="93">
        <v>0</v>
      </c>
      <c r="M31" s="93">
        <v>0</v>
      </c>
      <c r="N31" s="93">
        <v>0</v>
      </c>
      <c r="O31" s="93">
        <v>0</v>
      </c>
      <c r="P31" s="93">
        <v>0</v>
      </c>
      <c r="Q31" s="93">
        <v>0</v>
      </c>
      <c r="R31" s="93">
        <v>0</v>
      </c>
      <c r="S31" s="93">
        <v>0</v>
      </c>
      <c r="T31" s="93">
        <v>0</v>
      </c>
      <c r="U31" s="93">
        <v>0</v>
      </c>
      <c r="V31" s="93">
        <v>0</v>
      </c>
      <c r="W31" s="93">
        <v>0</v>
      </c>
      <c r="X31" s="93">
        <v>0</v>
      </c>
      <c r="Y31" s="93">
        <v>0</v>
      </c>
      <c r="Z31" s="93">
        <v>0</v>
      </c>
      <c r="AA31" s="93">
        <v>0</v>
      </c>
      <c r="AB31" s="93">
        <v>0</v>
      </c>
      <c r="AC31" s="93">
        <v>0</v>
      </c>
      <c r="AD31" s="93">
        <v>0</v>
      </c>
      <c r="AE31" s="93">
        <v>0</v>
      </c>
      <c r="AF31" s="93">
        <v>0</v>
      </c>
      <c r="AG31" s="93">
        <v>0</v>
      </c>
      <c r="AH31" s="93">
        <v>0</v>
      </c>
      <c r="AI31" s="93">
        <v>0</v>
      </c>
      <c r="AJ31" s="93">
        <v>0</v>
      </c>
      <c r="AK31" s="93">
        <v>0</v>
      </c>
      <c r="AL31" s="93">
        <v>0</v>
      </c>
      <c r="AM31" s="93">
        <v>0</v>
      </c>
      <c r="AN31" s="93">
        <v>0</v>
      </c>
      <c r="AO31" s="93">
        <v>0</v>
      </c>
      <c r="AP31" s="93">
        <v>0</v>
      </c>
      <c r="AQ31" s="93">
        <v>0</v>
      </c>
      <c r="AR31" s="93">
        <v>0</v>
      </c>
      <c r="AS31" s="93">
        <v>0</v>
      </c>
      <c r="AT31" s="93">
        <v>0</v>
      </c>
      <c r="AU31" s="93">
        <v>0</v>
      </c>
      <c r="AV31" s="93">
        <v>0</v>
      </c>
      <c r="AW31" s="93">
        <v>0</v>
      </c>
      <c r="AX31" s="93">
        <v>0</v>
      </c>
      <c r="AY31" s="93">
        <v>0</v>
      </c>
      <c r="AZ31" s="93">
        <v>0</v>
      </c>
      <c r="BA31" s="93">
        <v>0</v>
      </c>
      <c r="BB31" s="93">
        <v>0</v>
      </c>
      <c r="BC31" s="93">
        <v>0</v>
      </c>
      <c r="BD31" s="93">
        <v>0</v>
      </c>
      <c r="BE31" s="93">
        <v>0</v>
      </c>
      <c r="BF31" s="93">
        <v>0</v>
      </c>
      <c r="BG31" s="93">
        <v>0</v>
      </c>
      <c r="BH31" s="93">
        <v>0</v>
      </c>
      <c r="BI31" s="93">
        <v>0</v>
      </c>
      <c r="BJ31" s="93">
        <v>0</v>
      </c>
      <c r="BK31" s="93">
        <v>0</v>
      </c>
      <c r="BL31" s="93">
        <v>0</v>
      </c>
      <c r="BM31" s="93">
        <v>0</v>
      </c>
      <c r="BN31" s="93">
        <v>0</v>
      </c>
      <c r="BO31" s="93">
        <v>0</v>
      </c>
      <c r="BP31" s="93">
        <v>0</v>
      </c>
      <c r="BQ31" s="93">
        <v>0</v>
      </c>
      <c r="BR31" s="93">
        <v>0</v>
      </c>
      <c r="BS31" s="93">
        <v>0</v>
      </c>
      <c r="BT31" s="93">
        <v>0</v>
      </c>
      <c r="BU31" s="93">
        <v>0</v>
      </c>
      <c r="BV31" s="93">
        <v>0</v>
      </c>
      <c r="BW31" s="93">
        <v>0</v>
      </c>
      <c r="BX31" s="93">
        <v>0</v>
      </c>
      <c r="BY31" s="93">
        <v>0</v>
      </c>
      <c r="BZ31" s="93">
        <v>0</v>
      </c>
      <c r="CA31" s="93">
        <v>0</v>
      </c>
      <c r="CB31" s="93">
        <v>0</v>
      </c>
      <c r="CC31" s="93">
        <v>0</v>
      </c>
      <c r="CD31" s="93">
        <v>0</v>
      </c>
      <c r="CE31" s="93">
        <v>0</v>
      </c>
      <c r="CF31" s="93">
        <v>0</v>
      </c>
      <c r="CG31" s="93">
        <v>0</v>
      </c>
      <c r="CH31" s="93">
        <v>0</v>
      </c>
      <c r="CI31" s="93">
        <v>0</v>
      </c>
      <c r="CJ31" s="93">
        <v>0</v>
      </c>
      <c r="CK31" s="93">
        <v>0</v>
      </c>
      <c r="CL31" s="93">
        <v>0</v>
      </c>
      <c r="CM31" s="93">
        <v>0</v>
      </c>
      <c r="CN31" s="93">
        <v>0</v>
      </c>
      <c r="CO31" s="93">
        <v>0</v>
      </c>
      <c r="CP31" s="93">
        <v>0</v>
      </c>
      <c r="CQ31" s="93">
        <v>0</v>
      </c>
      <c r="CR31" s="93">
        <v>0</v>
      </c>
      <c r="CS31" s="93">
        <v>0</v>
      </c>
      <c r="CT31" s="93">
        <v>0</v>
      </c>
      <c r="CU31" s="93">
        <v>0</v>
      </c>
      <c r="CV31" s="93">
        <v>0</v>
      </c>
      <c r="CW31" s="93">
        <v>0</v>
      </c>
      <c r="CX31" s="93">
        <v>0</v>
      </c>
      <c r="CY31" s="93">
        <v>0</v>
      </c>
      <c r="CZ31" s="93">
        <v>0</v>
      </c>
      <c r="DA31" s="93">
        <v>0</v>
      </c>
      <c r="DB31" s="93">
        <v>0</v>
      </c>
      <c r="DC31" s="93">
        <v>0</v>
      </c>
      <c r="DD31" s="93">
        <v>0</v>
      </c>
      <c r="DE31" s="93">
        <v>0</v>
      </c>
    </row>
    <row r="32" spans="1:109">
      <c r="A32" s="95" t="s">
        <v>266</v>
      </c>
      <c r="B32" s="93">
        <v>162023.67999999999</v>
      </c>
      <c r="C32" s="93">
        <v>162023.67999999999</v>
      </c>
      <c r="D32" s="93">
        <v>162023.67999999999</v>
      </c>
      <c r="E32" s="93">
        <v>162023.67999999999</v>
      </c>
      <c r="F32" s="93">
        <v>162023.67999999999</v>
      </c>
      <c r="G32" s="93">
        <v>162023.67999999999</v>
      </c>
      <c r="H32" s="93">
        <v>162023.67999999999</v>
      </c>
      <c r="I32" s="93">
        <v>162023.67999999999</v>
      </c>
      <c r="J32" s="93">
        <v>162023.67999999999</v>
      </c>
      <c r="K32" s="93">
        <v>162023.67999999999</v>
      </c>
      <c r="L32" s="93">
        <v>162023.67999999999</v>
      </c>
      <c r="M32" s="93">
        <v>162023.67999999999</v>
      </c>
      <c r="N32" s="93">
        <v>173365.3376</v>
      </c>
      <c r="O32" s="93">
        <v>173365.3376</v>
      </c>
      <c r="P32" s="93">
        <v>173365.3376</v>
      </c>
      <c r="Q32" s="93">
        <v>173365.3376</v>
      </c>
      <c r="R32" s="93">
        <v>173365.3376</v>
      </c>
      <c r="S32" s="93">
        <v>173365.3376</v>
      </c>
      <c r="T32" s="93">
        <v>173365.3376</v>
      </c>
      <c r="U32" s="93">
        <v>173365.3376</v>
      </c>
      <c r="V32" s="93">
        <v>173365.3376</v>
      </c>
      <c r="W32" s="93">
        <v>173365.3376</v>
      </c>
      <c r="X32" s="93">
        <v>173365.3376</v>
      </c>
      <c r="Y32" s="93">
        <v>173365.3376</v>
      </c>
      <c r="Z32" s="93">
        <v>185500.91123200001</v>
      </c>
      <c r="AA32" s="93">
        <v>185500.91123200001</v>
      </c>
      <c r="AB32" s="93">
        <v>185500.91123200001</v>
      </c>
      <c r="AC32" s="93">
        <v>185500.91123200001</v>
      </c>
      <c r="AD32" s="93">
        <v>185500.91123200001</v>
      </c>
      <c r="AE32" s="93">
        <v>185500.91123200001</v>
      </c>
      <c r="AF32" s="93">
        <v>185500.91123200001</v>
      </c>
      <c r="AG32" s="93">
        <v>185500.91123200001</v>
      </c>
      <c r="AH32" s="93">
        <v>185500.91123200001</v>
      </c>
      <c r="AI32" s="93">
        <v>185500.91123200001</v>
      </c>
      <c r="AJ32" s="93">
        <v>185500.91123200001</v>
      </c>
      <c r="AK32" s="93">
        <v>185500.91123200001</v>
      </c>
      <c r="AL32" s="93">
        <v>194775.95679360002</v>
      </c>
      <c r="AM32" s="93">
        <v>194775.95679360002</v>
      </c>
      <c r="AN32" s="93">
        <v>194775.95679360002</v>
      </c>
      <c r="AO32" s="93">
        <v>194775.95679360002</v>
      </c>
      <c r="AP32" s="93">
        <v>194775.95679360002</v>
      </c>
      <c r="AQ32" s="93">
        <v>194775.95679360002</v>
      </c>
      <c r="AR32" s="93">
        <v>194775.95679360002</v>
      </c>
      <c r="AS32" s="93">
        <v>194775.95679360002</v>
      </c>
      <c r="AT32" s="93">
        <v>194775.95679360002</v>
      </c>
      <c r="AU32" s="93">
        <v>194775.95679360002</v>
      </c>
      <c r="AV32" s="93">
        <v>194775.95679360002</v>
      </c>
      <c r="AW32" s="93">
        <v>194775.95679360002</v>
      </c>
      <c r="AX32" s="93">
        <v>204514.75463328004</v>
      </c>
      <c r="AY32" s="93">
        <v>204514.75463328004</v>
      </c>
      <c r="AZ32" s="93">
        <v>204514.75463328004</v>
      </c>
      <c r="BA32" s="93">
        <v>204514.75463328004</v>
      </c>
      <c r="BB32" s="93">
        <v>204514.75463328004</v>
      </c>
      <c r="BC32" s="93">
        <v>204514.75463328004</v>
      </c>
      <c r="BD32" s="93">
        <v>204514.75463328004</v>
      </c>
      <c r="BE32" s="93">
        <v>204514.75463328004</v>
      </c>
      <c r="BF32" s="93">
        <v>204514.75463328004</v>
      </c>
      <c r="BG32" s="93">
        <v>204514.75463328004</v>
      </c>
      <c r="BH32" s="93">
        <v>204514.75463328004</v>
      </c>
      <c r="BI32" s="93">
        <v>204514.75463328004</v>
      </c>
      <c r="BJ32" s="93">
        <v>214740.49236494402</v>
      </c>
      <c r="BK32" s="93">
        <v>214740.49236494402</v>
      </c>
      <c r="BL32" s="93">
        <v>214740.49236494402</v>
      </c>
      <c r="BM32" s="93">
        <v>214740.49236494402</v>
      </c>
      <c r="BN32" s="93">
        <v>214740.49236494402</v>
      </c>
      <c r="BO32" s="93">
        <v>214740.49236494402</v>
      </c>
      <c r="BP32" s="93">
        <v>214740.49236494402</v>
      </c>
      <c r="BQ32" s="93">
        <v>214740.49236494402</v>
      </c>
      <c r="BR32" s="93">
        <v>214740.49236494402</v>
      </c>
      <c r="BS32" s="93">
        <v>214740.49236494402</v>
      </c>
      <c r="BT32" s="93">
        <v>214740.49236494402</v>
      </c>
      <c r="BU32" s="93">
        <v>214740.49236494402</v>
      </c>
      <c r="BV32" s="93">
        <v>225477.51698319125</v>
      </c>
      <c r="BW32" s="93">
        <v>225477.51698319125</v>
      </c>
      <c r="BX32" s="93">
        <v>225477.51698319125</v>
      </c>
      <c r="BY32" s="93">
        <v>225477.51698319125</v>
      </c>
      <c r="BZ32" s="93">
        <v>225477.51698319125</v>
      </c>
      <c r="CA32" s="93">
        <v>225477.51698319125</v>
      </c>
      <c r="CB32" s="93">
        <v>225477.51698319125</v>
      </c>
      <c r="CC32" s="93">
        <v>225477.51698319125</v>
      </c>
      <c r="CD32" s="93">
        <v>225477.51698319125</v>
      </c>
      <c r="CE32" s="93">
        <v>225477.51698319125</v>
      </c>
      <c r="CF32" s="93">
        <v>225477.51698319125</v>
      </c>
      <c r="CG32" s="93">
        <v>225477.51698319125</v>
      </c>
      <c r="CH32" s="93">
        <v>236751.3928323508</v>
      </c>
      <c r="CI32" s="93">
        <v>236751.3928323508</v>
      </c>
      <c r="CJ32" s="93">
        <v>236751.3928323508</v>
      </c>
      <c r="CK32" s="93">
        <v>236751.3928323508</v>
      </c>
      <c r="CL32" s="93">
        <v>236751.3928323508</v>
      </c>
      <c r="CM32" s="93">
        <v>236751.3928323508</v>
      </c>
      <c r="CN32" s="93">
        <v>236751.3928323508</v>
      </c>
      <c r="CO32" s="93">
        <v>236751.3928323508</v>
      </c>
      <c r="CP32" s="93">
        <v>236751.3928323508</v>
      </c>
      <c r="CQ32" s="93">
        <v>236751.3928323508</v>
      </c>
      <c r="CR32" s="93">
        <v>236751.3928323508</v>
      </c>
      <c r="CS32" s="93">
        <v>236751.3928323508</v>
      </c>
      <c r="CT32" s="93">
        <v>248588.96247396836</v>
      </c>
      <c r="CU32" s="93">
        <v>248588.96247396836</v>
      </c>
      <c r="CV32" s="93">
        <v>248588.96247396836</v>
      </c>
      <c r="CW32" s="93">
        <v>248588.96247396836</v>
      </c>
      <c r="CX32" s="93">
        <v>248588.96247396836</v>
      </c>
      <c r="CY32" s="93">
        <v>248588.96247396836</v>
      </c>
      <c r="CZ32" s="93">
        <v>248588.96247396836</v>
      </c>
      <c r="DA32" s="93">
        <v>248588.96247396836</v>
      </c>
      <c r="DB32" s="93">
        <v>248588.96247396836</v>
      </c>
      <c r="DC32" s="93">
        <v>248588.96247396836</v>
      </c>
      <c r="DD32" s="93">
        <v>248588.96247396836</v>
      </c>
      <c r="DE32" s="93">
        <v>248588.96247396836</v>
      </c>
    </row>
    <row r="33" spans="1:109">
      <c r="A33" s="95" t="s">
        <v>267</v>
      </c>
      <c r="B33" s="93">
        <v>42231.83</v>
      </c>
      <c r="C33" s="93">
        <v>42231.83</v>
      </c>
      <c r="D33" s="93">
        <v>42231.83</v>
      </c>
      <c r="E33" s="93">
        <v>42231.83</v>
      </c>
      <c r="F33" s="93">
        <v>42231.83</v>
      </c>
      <c r="G33" s="93">
        <v>42231.83</v>
      </c>
      <c r="H33" s="93">
        <v>42231.83</v>
      </c>
      <c r="I33" s="93">
        <v>42231.83</v>
      </c>
      <c r="J33" s="93">
        <v>42231.83</v>
      </c>
      <c r="K33" s="93">
        <v>42231.83</v>
      </c>
      <c r="L33" s="93">
        <v>42231.83</v>
      </c>
      <c r="M33" s="93">
        <v>42231.83</v>
      </c>
      <c r="N33" s="93">
        <v>45188.058100000002</v>
      </c>
      <c r="O33" s="93">
        <v>45188.058100000002</v>
      </c>
      <c r="P33" s="93">
        <v>45188.058100000002</v>
      </c>
      <c r="Q33" s="93">
        <v>45188.058100000002</v>
      </c>
      <c r="R33" s="93">
        <v>45188.058100000002</v>
      </c>
      <c r="S33" s="93">
        <v>45188.058100000002</v>
      </c>
      <c r="T33" s="93">
        <v>45188.058100000002</v>
      </c>
      <c r="U33" s="93">
        <v>45188.058100000002</v>
      </c>
      <c r="V33" s="93">
        <v>45188.058100000002</v>
      </c>
      <c r="W33" s="93">
        <v>45188.058100000002</v>
      </c>
      <c r="X33" s="93">
        <v>45188.058100000002</v>
      </c>
      <c r="Y33" s="93">
        <v>45188.058100000002</v>
      </c>
      <c r="Z33" s="93">
        <v>48351.222167</v>
      </c>
      <c r="AA33" s="93">
        <v>48351.222167</v>
      </c>
      <c r="AB33" s="93">
        <v>48351.222167</v>
      </c>
      <c r="AC33" s="93">
        <v>48351.222167</v>
      </c>
      <c r="AD33" s="93">
        <v>48351.222167</v>
      </c>
      <c r="AE33" s="93">
        <v>48351.222167</v>
      </c>
      <c r="AF33" s="93">
        <v>48351.222167</v>
      </c>
      <c r="AG33" s="93">
        <v>48351.222167</v>
      </c>
      <c r="AH33" s="93">
        <v>48351.222167</v>
      </c>
      <c r="AI33" s="93">
        <v>48351.222167</v>
      </c>
      <c r="AJ33" s="93">
        <v>48351.222167</v>
      </c>
      <c r="AK33" s="93">
        <v>48351.222167</v>
      </c>
      <c r="AL33" s="93">
        <v>50768.783275350004</v>
      </c>
      <c r="AM33" s="93">
        <v>50768.783275350004</v>
      </c>
      <c r="AN33" s="93">
        <v>50768.783275350004</v>
      </c>
      <c r="AO33" s="93">
        <v>50768.783275350004</v>
      </c>
      <c r="AP33" s="93">
        <v>50768.783275350004</v>
      </c>
      <c r="AQ33" s="93">
        <v>50768.783275350004</v>
      </c>
      <c r="AR33" s="93">
        <v>50768.783275350004</v>
      </c>
      <c r="AS33" s="93">
        <v>50768.783275350004</v>
      </c>
      <c r="AT33" s="93">
        <v>50768.783275350004</v>
      </c>
      <c r="AU33" s="93">
        <v>50768.783275350004</v>
      </c>
      <c r="AV33" s="93">
        <v>50768.783275350004</v>
      </c>
      <c r="AW33" s="93">
        <v>50768.783275350004</v>
      </c>
      <c r="AX33" s="93">
        <v>53307.222439117511</v>
      </c>
      <c r="AY33" s="93">
        <v>53307.222439117511</v>
      </c>
      <c r="AZ33" s="93">
        <v>53307.222439117511</v>
      </c>
      <c r="BA33" s="93">
        <v>53307.222439117511</v>
      </c>
      <c r="BB33" s="93">
        <v>53307.222439117511</v>
      </c>
      <c r="BC33" s="93">
        <v>53307.222439117511</v>
      </c>
      <c r="BD33" s="93">
        <v>53307.222439117511</v>
      </c>
      <c r="BE33" s="93">
        <v>53307.222439117511</v>
      </c>
      <c r="BF33" s="93">
        <v>53307.222439117511</v>
      </c>
      <c r="BG33" s="93">
        <v>53307.222439117511</v>
      </c>
      <c r="BH33" s="93">
        <v>53307.222439117511</v>
      </c>
      <c r="BI33" s="93">
        <v>53307.222439117511</v>
      </c>
      <c r="BJ33" s="93">
        <v>55972.583561073377</v>
      </c>
      <c r="BK33" s="93">
        <v>55972.583561073377</v>
      </c>
      <c r="BL33" s="93">
        <v>55972.583561073377</v>
      </c>
      <c r="BM33" s="93">
        <v>55972.583561073377</v>
      </c>
      <c r="BN33" s="93">
        <v>55972.583561073377</v>
      </c>
      <c r="BO33" s="93">
        <v>55972.583561073377</v>
      </c>
      <c r="BP33" s="93">
        <v>55972.583561073377</v>
      </c>
      <c r="BQ33" s="93">
        <v>55972.583561073377</v>
      </c>
      <c r="BR33" s="93">
        <v>55972.583561073377</v>
      </c>
      <c r="BS33" s="93">
        <v>55972.583561073377</v>
      </c>
      <c r="BT33" s="93">
        <v>55972.583561073377</v>
      </c>
      <c r="BU33" s="93">
        <v>55972.583561073377</v>
      </c>
      <c r="BV33" s="93">
        <v>58771.212739127055</v>
      </c>
      <c r="BW33" s="93">
        <v>58771.212739127055</v>
      </c>
      <c r="BX33" s="93">
        <v>58771.212739127055</v>
      </c>
      <c r="BY33" s="93">
        <v>58771.212739127055</v>
      </c>
      <c r="BZ33" s="93">
        <v>58771.212739127055</v>
      </c>
      <c r="CA33" s="93">
        <v>58771.212739127055</v>
      </c>
      <c r="CB33" s="93">
        <v>58771.212739127055</v>
      </c>
      <c r="CC33" s="93">
        <v>58771.212739127055</v>
      </c>
      <c r="CD33" s="93">
        <v>58771.212739127055</v>
      </c>
      <c r="CE33" s="93">
        <v>58771.212739127055</v>
      </c>
      <c r="CF33" s="93">
        <v>58771.212739127055</v>
      </c>
      <c r="CG33" s="93">
        <v>58771.212739127055</v>
      </c>
      <c r="CH33" s="93">
        <v>61709.773376083409</v>
      </c>
      <c r="CI33" s="93">
        <v>61709.773376083409</v>
      </c>
      <c r="CJ33" s="93">
        <v>61709.773376083409</v>
      </c>
      <c r="CK33" s="93">
        <v>61709.773376083409</v>
      </c>
      <c r="CL33" s="93">
        <v>61709.773376083409</v>
      </c>
      <c r="CM33" s="93">
        <v>61709.773376083409</v>
      </c>
      <c r="CN33" s="93">
        <v>61709.773376083409</v>
      </c>
      <c r="CO33" s="93">
        <v>61709.773376083409</v>
      </c>
      <c r="CP33" s="93">
        <v>61709.773376083409</v>
      </c>
      <c r="CQ33" s="93">
        <v>61709.773376083409</v>
      </c>
      <c r="CR33" s="93">
        <v>61709.773376083409</v>
      </c>
      <c r="CS33" s="93">
        <v>61709.773376083409</v>
      </c>
      <c r="CT33" s="93">
        <v>64795.262044887582</v>
      </c>
      <c r="CU33" s="93">
        <v>64795.262044887582</v>
      </c>
      <c r="CV33" s="93">
        <v>64795.262044887582</v>
      </c>
      <c r="CW33" s="93">
        <v>64795.262044887582</v>
      </c>
      <c r="CX33" s="93">
        <v>64795.262044887582</v>
      </c>
      <c r="CY33" s="93">
        <v>64795.262044887582</v>
      </c>
      <c r="CZ33" s="93">
        <v>64795.262044887582</v>
      </c>
      <c r="DA33" s="93">
        <v>64795.262044887582</v>
      </c>
      <c r="DB33" s="93">
        <v>64795.262044887582</v>
      </c>
      <c r="DC33" s="93">
        <v>64795.262044887582</v>
      </c>
      <c r="DD33" s="93">
        <v>64795.262044887582</v>
      </c>
      <c r="DE33" s="93">
        <v>64795.262044887582</v>
      </c>
    </row>
    <row r="34" spans="1:109">
      <c r="A34" s="94" t="s">
        <v>268</v>
      </c>
      <c r="B34" s="93">
        <v>40424.600000000006</v>
      </c>
      <c r="C34" s="93">
        <v>40424.600000000006</v>
      </c>
      <c r="D34" s="93">
        <v>40424.600000000006</v>
      </c>
      <c r="E34" s="93">
        <v>40424.600000000006</v>
      </c>
      <c r="F34" s="93">
        <v>40424.600000000006</v>
      </c>
      <c r="G34" s="93">
        <v>40424.600000000006</v>
      </c>
      <c r="H34" s="93">
        <v>40424.600000000006</v>
      </c>
      <c r="I34" s="93">
        <v>40424.600000000006</v>
      </c>
      <c r="J34" s="93">
        <v>40424.600000000006</v>
      </c>
      <c r="K34" s="93">
        <v>40424.600000000006</v>
      </c>
      <c r="L34" s="93">
        <v>40424.600000000006</v>
      </c>
      <c r="M34" s="93">
        <v>40424.600000000006</v>
      </c>
      <c r="N34" s="93">
        <v>43254.322</v>
      </c>
      <c r="O34" s="93">
        <v>43254.322</v>
      </c>
      <c r="P34" s="93">
        <v>43254.322</v>
      </c>
      <c r="Q34" s="93">
        <v>43254.322</v>
      </c>
      <c r="R34" s="93">
        <v>43254.322</v>
      </c>
      <c r="S34" s="93">
        <v>43254.322</v>
      </c>
      <c r="T34" s="93">
        <v>43254.322</v>
      </c>
      <c r="U34" s="93">
        <v>43254.322</v>
      </c>
      <c r="V34" s="93">
        <v>43254.322</v>
      </c>
      <c r="W34" s="93">
        <v>43254.322</v>
      </c>
      <c r="X34" s="93">
        <v>43254.322</v>
      </c>
      <c r="Y34" s="93">
        <v>43254.322</v>
      </c>
      <c r="Z34" s="93">
        <v>46282.124540000004</v>
      </c>
      <c r="AA34" s="93">
        <v>46282.124540000004</v>
      </c>
      <c r="AB34" s="93">
        <v>46282.124540000004</v>
      </c>
      <c r="AC34" s="93">
        <v>46282.124540000004</v>
      </c>
      <c r="AD34" s="93">
        <v>46282.124540000004</v>
      </c>
      <c r="AE34" s="93">
        <v>46282.124540000004</v>
      </c>
      <c r="AF34" s="93">
        <v>46282.124540000004</v>
      </c>
      <c r="AG34" s="93">
        <v>46282.124540000004</v>
      </c>
      <c r="AH34" s="93">
        <v>46282.124540000004</v>
      </c>
      <c r="AI34" s="93">
        <v>46282.124540000004</v>
      </c>
      <c r="AJ34" s="93">
        <v>46282.124540000004</v>
      </c>
      <c r="AK34" s="93">
        <v>46282.124540000004</v>
      </c>
      <c r="AL34" s="93">
        <v>48596.230767000001</v>
      </c>
      <c r="AM34" s="93">
        <v>48596.230767000001</v>
      </c>
      <c r="AN34" s="93">
        <v>48596.230767000001</v>
      </c>
      <c r="AO34" s="93">
        <v>48596.230767000001</v>
      </c>
      <c r="AP34" s="93">
        <v>48596.230767000001</v>
      </c>
      <c r="AQ34" s="93">
        <v>48596.230767000001</v>
      </c>
      <c r="AR34" s="93">
        <v>48596.230767000001</v>
      </c>
      <c r="AS34" s="93">
        <v>48596.230767000001</v>
      </c>
      <c r="AT34" s="93">
        <v>48596.230767000001</v>
      </c>
      <c r="AU34" s="93">
        <v>48596.230767000001</v>
      </c>
      <c r="AV34" s="93">
        <v>48596.230767000001</v>
      </c>
      <c r="AW34" s="93">
        <v>48596.230767000001</v>
      </c>
      <c r="AX34" s="93">
        <v>51026.042305350013</v>
      </c>
      <c r="AY34" s="93">
        <v>51026.042305350013</v>
      </c>
      <c r="AZ34" s="93">
        <v>51026.042305350013</v>
      </c>
      <c r="BA34" s="93">
        <v>51026.042305350013</v>
      </c>
      <c r="BB34" s="93">
        <v>51026.042305350013</v>
      </c>
      <c r="BC34" s="93">
        <v>51026.042305350013</v>
      </c>
      <c r="BD34" s="93">
        <v>51026.042305350013</v>
      </c>
      <c r="BE34" s="93">
        <v>51026.042305350013</v>
      </c>
      <c r="BF34" s="93">
        <v>51026.042305350013</v>
      </c>
      <c r="BG34" s="93">
        <v>51026.042305350013</v>
      </c>
      <c r="BH34" s="93">
        <v>51026.042305350013</v>
      </c>
      <c r="BI34" s="93">
        <v>51026.042305350013</v>
      </c>
      <c r="BJ34" s="93">
        <v>53577.344420617505</v>
      </c>
      <c r="BK34" s="93">
        <v>53577.344420617505</v>
      </c>
      <c r="BL34" s="93">
        <v>53577.344420617505</v>
      </c>
      <c r="BM34" s="93">
        <v>53577.344420617505</v>
      </c>
      <c r="BN34" s="93">
        <v>53577.344420617505</v>
      </c>
      <c r="BO34" s="93">
        <v>53577.344420617505</v>
      </c>
      <c r="BP34" s="93">
        <v>53577.344420617505</v>
      </c>
      <c r="BQ34" s="93">
        <v>53577.344420617505</v>
      </c>
      <c r="BR34" s="93">
        <v>53577.344420617505</v>
      </c>
      <c r="BS34" s="93">
        <v>53577.344420617505</v>
      </c>
      <c r="BT34" s="93">
        <v>53577.344420617505</v>
      </c>
      <c r="BU34" s="93">
        <v>53577.344420617505</v>
      </c>
      <c r="BV34" s="93">
        <v>56256.211641648384</v>
      </c>
      <c r="BW34" s="93">
        <v>56256.211641648384</v>
      </c>
      <c r="BX34" s="93">
        <v>56256.211641648384</v>
      </c>
      <c r="BY34" s="93">
        <v>56256.211641648384</v>
      </c>
      <c r="BZ34" s="93">
        <v>56256.211641648384</v>
      </c>
      <c r="CA34" s="93">
        <v>56256.211641648384</v>
      </c>
      <c r="CB34" s="93">
        <v>56256.211641648384</v>
      </c>
      <c r="CC34" s="93">
        <v>56256.211641648384</v>
      </c>
      <c r="CD34" s="93">
        <v>56256.211641648384</v>
      </c>
      <c r="CE34" s="93">
        <v>56256.211641648384</v>
      </c>
      <c r="CF34" s="93">
        <v>56256.211641648384</v>
      </c>
      <c r="CG34" s="93">
        <v>56256.211641648384</v>
      </c>
      <c r="CH34" s="93">
        <v>59069.022223730804</v>
      </c>
      <c r="CI34" s="93">
        <v>59069.022223730804</v>
      </c>
      <c r="CJ34" s="93">
        <v>59069.022223730804</v>
      </c>
      <c r="CK34" s="93">
        <v>59069.022223730804</v>
      </c>
      <c r="CL34" s="93">
        <v>59069.022223730804</v>
      </c>
      <c r="CM34" s="93">
        <v>59069.022223730804</v>
      </c>
      <c r="CN34" s="93">
        <v>59069.022223730804</v>
      </c>
      <c r="CO34" s="93">
        <v>59069.022223730804</v>
      </c>
      <c r="CP34" s="93">
        <v>59069.022223730804</v>
      </c>
      <c r="CQ34" s="93">
        <v>59069.022223730804</v>
      </c>
      <c r="CR34" s="93">
        <v>59069.022223730804</v>
      </c>
      <c r="CS34" s="93">
        <v>59069.022223730804</v>
      </c>
      <c r="CT34" s="93">
        <v>62022.473334917348</v>
      </c>
      <c r="CU34" s="93">
        <v>62022.473334917348</v>
      </c>
      <c r="CV34" s="93">
        <v>62022.473334917348</v>
      </c>
      <c r="CW34" s="93">
        <v>62022.473334917348</v>
      </c>
      <c r="CX34" s="93">
        <v>62022.473334917348</v>
      </c>
      <c r="CY34" s="93">
        <v>62022.473334917348</v>
      </c>
      <c r="CZ34" s="93">
        <v>62022.473334917348</v>
      </c>
      <c r="DA34" s="93">
        <v>62022.473334917348</v>
      </c>
      <c r="DB34" s="93">
        <v>62022.473334917348</v>
      </c>
      <c r="DC34" s="93">
        <v>62022.473334917348</v>
      </c>
      <c r="DD34" s="93">
        <v>62022.473334917348</v>
      </c>
      <c r="DE34" s="93">
        <v>62022.473334917348</v>
      </c>
    </row>
    <row r="35" spans="1:109">
      <c r="A35" s="92" t="s">
        <v>269</v>
      </c>
      <c r="B35" s="93">
        <v>0</v>
      </c>
      <c r="C35" s="93">
        <v>0</v>
      </c>
      <c r="D35" s="93">
        <v>0</v>
      </c>
      <c r="E35" s="93">
        <v>0</v>
      </c>
      <c r="F35" s="93">
        <v>0</v>
      </c>
      <c r="G35" s="93">
        <v>0</v>
      </c>
      <c r="H35" s="93">
        <v>0</v>
      </c>
      <c r="I35" s="93">
        <v>0</v>
      </c>
      <c r="J35" s="93">
        <v>0</v>
      </c>
      <c r="K35" s="93">
        <v>0</v>
      </c>
      <c r="L35" s="93">
        <v>0</v>
      </c>
      <c r="M35" s="93">
        <v>0</v>
      </c>
      <c r="N35" s="93">
        <v>0</v>
      </c>
      <c r="O35" s="93">
        <v>0</v>
      </c>
      <c r="P35" s="93">
        <v>0</v>
      </c>
      <c r="Q35" s="93">
        <v>0</v>
      </c>
      <c r="R35" s="93">
        <v>0</v>
      </c>
      <c r="S35" s="93">
        <v>0</v>
      </c>
      <c r="T35" s="93">
        <v>0</v>
      </c>
      <c r="U35" s="93">
        <v>0</v>
      </c>
      <c r="V35" s="93">
        <v>0</v>
      </c>
      <c r="W35" s="93">
        <v>0</v>
      </c>
      <c r="X35" s="93">
        <v>0</v>
      </c>
      <c r="Y35" s="93">
        <v>0</v>
      </c>
      <c r="Z35" s="93">
        <v>0</v>
      </c>
      <c r="AA35" s="93">
        <v>0</v>
      </c>
      <c r="AB35" s="93">
        <v>0</v>
      </c>
      <c r="AC35" s="93">
        <v>0</v>
      </c>
      <c r="AD35" s="93">
        <v>0</v>
      </c>
      <c r="AE35" s="93">
        <v>0</v>
      </c>
      <c r="AF35" s="93">
        <v>0</v>
      </c>
      <c r="AG35" s="93">
        <v>0</v>
      </c>
      <c r="AH35" s="93">
        <v>0</v>
      </c>
      <c r="AI35" s="93">
        <v>0</v>
      </c>
      <c r="AJ35" s="93">
        <v>0</v>
      </c>
      <c r="AK35" s="93">
        <v>0</v>
      </c>
      <c r="AL35" s="93">
        <v>0</v>
      </c>
      <c r="AM35" s="93">
        <v>0</v>
      </c>
      <c r="AN35" s="93">
        <v>0</v>
      </c>
      <c r="AO35" s="93">
        <v>0</v>
      </c>
      <c r="AP35" s="93">
        <v>0</v>
      </c>
      <c r="AQ35" s="93">
        <v>0</v>
      </c>
      <c r="AR35" s="93">
        <v>0</v>
      </c>
      <c r="AS35" s="93">
        <v>0</v>
      </c>
      <c r="AT35" s="93">
        <v>0</v>
      </c>
      <c r="AU35" s="93">
        <v>0</v>
      </c>
      <c r="AV35" s="93">
        <v>0</v>
      </c>
      <c r="AW35" s="93">
        <v>0</v>
      </c>
      <c r="AX35" s="93">
        <v>0</v>
      </c>
      <c r="AY35" s="93">
        <v>0</v>
      </c>
      <c r="AZ35" s="93">
        <v>0</v>
      </c>
      <c r="BA35" s="93">
        <v>0</v>
      </c>
      <c r="BB35" s="93">
        <v>0</v>
      </c>
      <c r="BC35" s="93">
        <v>0</v>
      </c>
      <c r="BD35" s="93">
        <v>0</v>
      </c>
      <c r="BE35" s="93">
        <v>0</v>
      </c>
      <c r="BF35" s="93">
        <v>0</v>
      </c>
      <c r="BG35" s="93">
        <v>0</v>
      </c>
      <c r="BH35" s="93">
        <v>0</v>
      </c>
      <c r="BI35" s="93">
        <v>0</v>
      </c>
      <c r="BJ35" s="93">
        <v>0</v>
      </c>
      <c r="BK35" s="93">
        <v>0</v>
      </c>
      <c r="BL35" s="93">
        <v>0</v>
      </c>
      <c r="BM35" s="93">
        <v>0</v>
      </c>
      <c r="BN35" s="93">
        <v>0</v>
      </c>
      <c r="BO35" s="93">
        <v>0</v>
      </c>
      <c r="BP35" s="93">
        <v>0</v>
      </c>
      <c r="BQ35" s="93">
        <v>0</v>
      </c>
      <c r="BR35" s="93">
        <v>0</v>
      </c>
      <c r="BS35" s="93">
        <v>0</v>
      </c>
      <c r="BT35" s="93">
        <v>0</v>
      </c>
      <c r="BU35" s="93">
        <v>0</v>
      </c>
      <c r="BV35" s="93">
        <v>0</v>
      </c>
      <c r="BW35" s="93">
        <v>0</v>
      </c>
      <c r="BX35" s="93">
        <v>0</v>
      </c>
      <c r="BY35" s="93">
        <v>0</v>
      </c>
      <c r="BZ35" s="93">
        <v>0</v>
      </c>
      <c r="CA35" s="93">
        <v>0</v>
      </c>
      <c r="CB35" s="93">
        <v>0</v>
      </c>
      <c r="CC35" s="93">
        <v>0</v>
      </c>
      <c r="CD35" s="93">
        <v>0</v>
      </c>
      <c r="CE35" s="93">
        <v>0</v>
      </c>
      <c r="CF35" s="93">
        <v>0</v>
      </c>
      <c r="CG35" s="93">
        <v>0</v>
      </c>
      <c r="CH35" s="93">
        <v>0</v>
      </c>
      <c r="CI35" s="93">
        <v>0</v>
      </c>
      <c r="CJ35" s="93">
        <v>0</v>
      </c>
      <c r="CK35" s="93">
        <v>0</v>
      </c>
      <c r="CL35" s="93">
        <v>0</v>
      </c>
      <c r="CM35" s="93">
        <v>0</v>
      </c>
      <c r="CN35" s="93">
        <v>0</v>
      </c>
      <c r="CO35" s="93">
        <v>0</v>
      </c>
      <c r="CP35" s="93">
        <v>0</v>
      </c>
      <c r="CQ35" s="93">
        <v>0</v>
      </c>
      <c r="CR35" s="93">
        <v>0</v>
      </c>
      <c r="CS35" s="93">
        <v>0</v>
      </c>
      <c r="CT35" s="93">
        <v>0</v>
      </c>
      <c r="CU35" s="93">
        <v>0</v>
      </c>
      <c r="CV35" s="93">
        <v>0</v>
      </c>
      <c r="CW35" s="93">
        <v>0</v>
      </c>
      <c r="CX35" s="93">
        <v>0</v>
      </c>
      <c r="CY35" s="93">
        <v>0</v>
      </c>
      <c r="CZ35" s="93">
        <v>0</v>
      </c>
      <c r="DA35" s="93">
        <v>0</v>
      </c>
      <c r="DB35" s="93">
        <v>0</v>
      </c>
      <c r="DC35" s="93">
        <v>0</v>
      </c>
      <c r="DD35" s="93">
        <v>0</v>
      </c>
      <c r="DE35" s="93">
        <v>0</v>
      </c>
    </row>
    <row r="36" spans="1:109">
      <c r="A36" s="95" t="s">
        <v>270</v>
      </c>
      <c r="B36" s="93">
        <v>0</v>
      </c>
      <c r="C36" s="93">
        <v>0</v>
      </c>
      <c r="D36" s="93">
        <v>0</v>
      </c>
      <c r="E36" s="93">
        <v>0</v>
      </c>
      <c r="F36" s="93">
        <v>0</v>
      </c>
      <c r="G36" s="93">
        <v>0</v>
      </c>
      <c r="H36" s="93">
        <v>0</v>
      </c>
      <c r="I36" s="93">
        <v>0</v>
      </c>
      <c r="J36" s="93">
        <v>0</v>
      </c>
      <c r="K36" s="93">
        <v>0</v>
      </c>
      <c r="L36" s="93">
        <v>0</v>
      </c>
      <c r="M36" s="93">
        <v>0</v>
      </c>
      <c r="N36" s="93">
        <v>0</v>
      </c>
      <c r="O36" s="93">
        <v>0</v>
      </c>
      <c r="P36" s="93">
        <v>0</v>
      </c>
      <c r="Q36" s="93">
        <v>0</v>
      </c>
      <c r="R36" s="93">
        <v>0</v>
      </c>
      <c r="S36" s="93">
        <v>0</v>
      </c>
      <c r="T36" s="93">
        <v>0</v>
      </c>
      <c r="U36" s="93">
        <v>0</v>
      </c>
      <c r="V36" s="93">
        <v>0</v>
      </c>
      <c r="W36" s="93">
        <v>0</v>
      </c>
      <c r="X36" s="93">
        <v>0</v>
      </c>
      <c r="Y36" s="93">
        <v>0</v>
      </c>
      <c r="Z36" s="93">
        <v>0</v>
      </c>
      <c r="AA36" s="93">
        <v>0</v>
      </c>
      <c r="AB36" s="93">
        <v>0</v>
      </c>
      <c r="AC36" s="93">
        <v>0</v>
      </c>
      <c r="AD36" s="93">
        <v>0</v>
      </c>
      <c r="AE36" s="93">
        <v>0</v>
      </c>
      <c r="AF36" s="93">
        <v>0</v>
      </c>
      <c r="AG36" s="93">
        <v>0</v>
      </c>
      <c r="AH36" s="93">
        <v>0</v>
      </c>
      <c r="AI36" s="93">
        <v>0</v>
      </c>
      <c r="AJ36" s="93">
        <v>0</v>
      </c>
      <c r="AK36" s="93">
        <v>0</v>
      </c>
      <c r="AL36" s="93">
        <v>0</v>
      </c>
      <c r="AM36" s="93">
        <v>0</v>
      </c>
      <c r="AN36" s="93">
        <v>0</v>
      </c>
      <c r="AO36" s="93">
        <v>0</v>
      </c>
      <c r="AP36" s="93">
        <v>0</v>
      </c>
      <c r="AQ36" s="93">
        <v>0</v>
      </c>
      <c r="AR36" s="93">
        <v>0</v>
      </c>
      <c r="AS36" s="93">
        <v>0</v>
      </c>
      <c r="AT36" s="93">
        <v>0</v>
      </c>
      <c r="AU36" s="93">
        <v>0</v>
      </c>
      <c r="AV36" s="93">
        <v>0</v>
      </c>
      <c r="AW36" s="93">
        <v>0</v>
      </c>
      <c r="AX36" s="93">
        <v>0</v>
      </c>
      <c r="AY36" s="93">
        <v>0</v>
      </c>
      <c r="AZ36" s="93">
        <v>0</v>
      </c>
      <c r="BA36" s="93">
        <v>0</v>
      </c>
      <c r="BB36" s="93">
        <v>0</v>
      </c>
      <c r="BC36" s="93">
        <v>0</v>
      </c>
      <c r="BD36" s="93">
        <v>0</v>
      </c>
      <c r="BE36" s="93">
        <v>0</v>
      </c>
      <c r="BF36" s="93">
        <v>0</v>
      </c>
      <c r="BG36" s="93">
        <v>0</v>
      </c>
      <c r="BH36" s="93">
        <v>0</v>
      </c>
      <c r="BI36" s="93">
        <v>0</v>
      </c>
      <c r="BJ36" s="93">
        <v>0</v>
      </c>
      <c r="BK36" s="93">
        <v>0</v>
      </c>
      <c r="BL36" s="93">
        <v>0</v>
      </c>
      <c r="BM36" s="93">
        <v>0</v>
      </c>
      <c r="BN36" s="93">
        <v>0</v>
      </c>
      <c r="BO36" s="93">
        <v>0</v>
      </c>
      <c r="BP36" s="93">
        <v>0</v>
      </c>
      <c r="BQ36" s="93">
        <v>0</v>
      </c>
      <c r="BR36" s="93">
        <v>0</v>
      </c>
      <c r="BS36" s="93">
        <v>0</v>
      </c>
      <c r="BT36" s="93">
        <v>0</v>
      </c>
      <c r="BU36" s="93">
        <v>0</v>
      </c>
      <c r="BV36" s="93">
        <v>0</v>
      </c>
      <c r="BW36" s="93">
        <v>0</v>
      </c>
      <c r="BX36" s="93">
        <v>0</v>
      </c>
      <c r="BY36" s="93">
        <v>0</v>
      </c>
      <c r="BZ36" s="93">
        <v>0</v>
      </c>
      <c r="CA36" s="93">
        <v>0</v>
      </c>
      <c r="CB36" s="93">
        <v>0</v>
      </c>
      <c r="CC36" s="93">
        <v>0</v>
      </c>
      <c r="CD36" s="93">
        <v>0</v>
      </c>
      <c r="CE36" s="93">
        <v>0</v>
      </c>
      <c r="CF36" s="93">
        <v>0</v>
      </c>
      <c r="CG36" s="93">
        <v>0</v>
      </c>
      <c r="CH36" s="93">
        <v>0</v>
      </c>
      <c r="CI36" s="93">
        <v>0</v>
      </c>
      <c r="CJ36" s="93">
        <v>0</v>
      </c>
      <c r="CK36" s="93">
        <v>0</v>
      </c>
      <c r="CL36" s="93">
        <v>0</v>
      </c>
      <c r="CM36" s="93">
        <v>0</v>
      </c>
      <c r="CN36" s="93">
        <v>0</v>
      </c>
      <c r="CO36" s="93">
        <v>0</v>
      </c>
      <c r="CP36" s="93">
        <v>0</v>
      </c>
      <c r="CQ36" s="93">
        <v>0</v>
      </c>
      <c r="CR36" s="93">
        <v>0</v>
      </c>
      <c r="CS36" s="93">
        <v>0</v>
      </c>
      <c r="CT36" s="93">
        <v>0</v>
      </c>
      <c r="CU36" s="93">
        <v>0</v>
      </c>
      <c r="CV36" s="93">
        <v>0</v>
      </c>
      <c r="CW36" s="93">
        <v>0</v>
      </c>
      <c r="CX36" s="93">
        <v>0</v>
      </c>
      <c r="CY36" s="93">
        <v>0</v>
      </c>
      <c r="CZ36" s="93">
        <v>0</v>
      </c>
      <c r="DA36" s="93">
        <v>0</v>
      </c>
      <c r="DB36" s="93">
        <v>0</v>
      </c>
      <c r="DC36" s="93">
        <v>0</v>
      </c>
      <c r="DD36" s="93">
        <v>0</v>
      </c>
      <c r="DE36" s="93">
        <v>0</v>
      </c>
    </row>
    <row r="37" spans="1:109">
      <c r="A37" s="94" t="s">
        <v>271</v>
      </c>
      <c r="B37" s="93">
        <v>1182599.31</v>
      </c>
      <c r="C37" s="93">
        <v>1182599.31</v>
      </c>
      <c r="D37" s="93">
        <v>1182599.31</v>
      </c>
      <c r="E37" s="93">
        <v>1182599.31</v>
      </c>
      <c r="F37" s="93">
        <v>1182599.31</v>
      </c>
      <c r="G37" s="93">
        <v>1182599.31</v>
      </c>
      <c r="H37" s="93">
        <v>1182599.31</v>
      </c>
      <c r="I37" s="93">
        <v>1182599.31</v>
      </c>
      <c r="J37" s="93">
        <v>1182599.31</v>
      </c>
      <c r="K37" s="93">
        <v>1182599.31</v>
      </c>
      <c r="L37" s="93">
        <v>1182599.31</v>
      </c>
      <c r="M37" s="93">
        <v>1182599.31</v>
      </c>
      <c r="N37" s="93">
        <v>1265381.2617000001</v>
      </c>
      <c r="O37" s="93">
        <v>1265381.2617000001</v>
      </c>
      <c r="P37" s="93">
        <v>1265381.2617000001</v>
      </c>
      <c r="Q37" s="93">
        <v>1265381.2617000001</v>
      </c>
      <c r="R37" s="93">
        <v>1265381.2617000001</v>
      </c>
      <c r="S37" s="93">
        <v>1265381.2617000001</v>
      </c>
      <c r="T37" s="93">
        <v>1265381.2617000001</v>
      </c>
      <c r="U37" s="93">
        <v>1265381.2617000001</v>
      </c>
      <c r="V37" s="93">
        <v>1265381.2617000001</v>
      </c>
      <c r="W37" s="93">
        <v>1265381.2617000001</v>
      </c>
      <c r="X37" s="93">
        <v>1265381.2617000001</v>
      </c>
      <c r="Y37" s="93">
        <v>1265381.2617000001</v>
      </c>
      <c r="Z37" s="93">
        <v>1353957.9500190001</v>
      </c>
      <c r="AA37" s="93">
        <v>1353957.9500190001</v>
      </c>
      <c r="AB37" s="93">
        <v>1353957.9500190001</v>
      </c>
      <c r="AC37" s="93">
        <v>1353957.9500190001</v>
      </c>
      <c r="AD37" s="93">
        <v>1353957.9500190001</v>
      </c>
      <c r="AE37" s="93">
        <v>1353957.9500190001</v>
      </c>
      <c r="AF37" s="93">
        <v>1353957.9500190001</v>
      </c>
      <c r="AG37" s="93">
        <v>1353957.9500190001</v>
      </c>
      <c r="AH37" s="93">
        <v>1353957.9500190001</v>
      </c>
      <c r="AI37" s="93">
        <v>1353957.9500190001</v>
      </c>
      <c r="AJ37" s="93">
        <v>1353957.9500190001</v>
      </c>
      <c r="AK37" s="93">
        <v>1353957.9500190001</v>
      </c>
      <c r="AL37" s="93">
        <v>1421655.84751995</v>
      </c>
      <c r="AM37" s="93">
        <v>1421655.84751995</v>
      </c>
      <c r="AN37" s="93">
        <v>1421655.84751995</v>
      </c>
      <c r="AO37" s="93">
        <v>1421655.84751995</v>
      </c>
      <c r="AP37" s="93">
        <v>1421655.84751995</v>
      </c>
      <c r="AQ37" s="93">
        <v>1421655.84751995</v>
      </c>
      <c r="AR37" s="93">
        <v>1421655.84751995</v>
      </c>
      <c r="AS37" s="93">
        <v>1421655.84751995</v>
      </c>
      <c r="AT37" s="93">
        <v>1421655.84751995</v>
      </c>
      <c r="AU37" s="93">
        <v>1421655.84751995</v>
      </c>
      <c r="AV37" s="93">
        <v>1421655.84751995</v>
      </c>
      <c r="AW37" s="93">
        <v>1421655.84751995</v>
      </c>
      <c r="AX37" s="93">
        <v>1492738.6398959477</v>
      </c>
      <c r="AY37" s="93">
        <v>1492738.6398959477</v>
      </c>
      <c r="AZ37" s="93">
        <v>1492738.6398959477</v>
      </c>
      <c r="BA37" s="93">
        <v>1492738.6398959477</v>
      </c>
      <c r="BB37" s="93">
        <v>1492738.6398959477</v>
      </c>
      <c r="BC37" s="93">
        <v>1492738.6398959477</v>
      </c>
      <c r="BD37" s="93">
        <v>1492738.6398959477</v>
      </c>
      <c r="BE37" s="93">
        <v>1492738.6398959477</v>
      </c>
      <c r="BF37" s="93">
        <v>1492738.6398959477</v>
      </c>
      <c r="BG37" s="93">
        <v>1492738.6398959477</v>
      </c>
      <c r="BH37" s="93">
        <v>1492738.6398959477</v>
      </c>
      <c r="BI37" s="93">
        <v>1492738.6398959477</v>
      </c>
      <c r="BJ37" s="93">
        <v>1567375.5718907451</v>
      </c>
      <c r="BK37" s="93">
        <v>1567375.5718907451</v>
      </c>
      <c r="BL37" s="93">
        <v>1567375.5718907451</v>
      </c>
      <c r="BM37" s="93">
        <v>1567375.5718907451</v>
      </c>
      <c r="BN37" s="93">
        <v>1567375.5718907451</v>
      </c>
      <c r="BO37" s="93">
        <v>1567375.5718907451</v>
      </c>
      <c r="BP37" s="93">
        <v>1567375.5718907451</v>
      </c>
      <c r="BQ37" s="93">
        <v>1567375.5718907451</v>
      </c>
      <c r="BR37" s="93">
        <v>1567375.5718907451</v>
      </c>
      <c r="BS37" s="93">
        <v>1567375.5718907451</v>
      </c>
      <c r="BT37" s="93">
        <v>1567375.5718907451</v>
      </c>
      <c r="BU37" s="93">
        <v>1567375.5718907451</v>
      </c>
      <c r="BV37" s="93">
        <v>1645744.3504852825</v>
      </c>
      <c r="BW37" s="93">
        <v>1645744.3504852825</v>
      </c>
      <c r="BX37" s="93">
        <v>1645744.3504852825</v>
      </c>
      <c r="BY37" s="93">
        <v>1645744.3504852825</v>
      </c>
      <c r="BZ37" s="93">
        <v>1645744.3504852825</v>
      </c>
      <c r="CA37" s="93">
        <v>1645744.3504852825</v>
      </c>
      <c r="CB37" s="93">
        <v>1645744.3504852825</v>
      </c>
      <c r="CC37" s="93">
        <v>1645744.3504852825</v>
      </c>
      <c r="CD37" s="93">
        <v>1645744.3504852825</v>
      </c>
      <c r="CE37" s="93">
        <v>1645744.3504852825</v>
      </c>
      <c r="CF37" s="93">
        <v>1645744.3504852825</v>
      </c>
      <c r="CG37" s="93">
        <v>1645744.3504852825</v>
      </c>
      <c r="CH37" s="93">
        <v>1728031.5680095465</v>
      </c>
      <c r="CI37" s="93">
        <v>1728031.5680095465</v>
      </c>
      <c r="CJ37" s="93">
        <v>1728031.5680095465</v>
      </c>
      <c r="CK37" s="93">
        <v>1728031.5680095465</v>
      </c>
      <c r="CL37" s="93">
        <v>1728031.5680095465</v>
      </c>
      <c r="CM37" s="93">
        <v>1728031.5680095465</v>
      </c>
      <c r="CN37" s="93">
        <v>1728031.5680095465</v>
      </c>
      <c r="CO37" s="93">
        <v>1728031.5680095465</v>
      </c>
      <c r="CP37" s="93">
        <v>1728031.5680095465</v>
      </c>
      <c r="CQ37" s="93">
        <v>1728031.5680095465</v>
      </c>
      <c r="CR37" s="93">
        <v>1728031.5680095465</v>
      </c>
      <c r="CS37" s="93">
        <v>1728031.5680095465</v>
      </c>
      <c r="CT37" s="93">
        <v>1814433.146410024</v>
      </c>
      <c r="CU37" s="93">
        <v>1814433.146410024</v>
      </c>
      <c r="CV37" s="93">
        <v>1814433.146410024</v>
      </c>
      <c r="CW37" s="93">
        <v>1814433.146410024</v>
      </c>
      <c r="CX37" s="93">
        <v>1814433.146410024</v>
      </c>
      <c r="CY37" s="93">
        <v>1814433.146410024</v>
      </c>
      <c r="CZ37" s="93">
        <v>1814433.146410024</v>
      </c>
      <c r="DA37" s="93">
        <v>1814433.146410024</v>
      </c>
      <c r="DB37" s="93">
        <v>1814433.146410024</v>
      </c>
      <c r="DC37" s="93">
        <v>1814433.146410024</v>
      </c>
      <c r="DD37" s="93">
        <v>1814433.146410024</v>
      </c>
      <c r="DE37" s="93">
        <v>1814433.146410024</v>
      </c>
    </row>
    <row r="38" spans="1:109" ht="12.75" thickBot="1">
      <c r="A38" s="90" t="s">
        <v>54</v>
      </c>
      <c r="B38" s="96">
        <f>SUM(B28:B37)</f>
        <v>7594795.8000000007</v>
      </c>
      <c r="C38" s="96">
        <f t="shared" ref="C38:BN38" si="8">SUM(C28:C37)</f>
        <v>7594795.8000000007</v>
      </c>
      <c r="D38" s="96">
        <f t="shared" si="8"/>
        <v>7594795.8000000007</v>
      </c>
      <c r="E38" s="96">
        <f t="shared" si="8"/>
        <v>7594795.8000000007</v>
      </c>
      <c r="F38" s="96">
        <f t="shared" si="8"/>
        <v>7594795.8000000007</v>
      </c>
      <c r="G38" s="96">
        <f t="shared" si="8"/>
        <v>7594795.8000000007</v>
      </c>
      <c r="H38" s="96">
        <f t="shared" si="8"/>
        <v>7594795.8000000007</v>
      </c>
      <c r="I38" s="96">
        <f t="shared" si="8"/>
        <v>7594795.8000000007</v>
      </c>
      <c r="J38" s="96">
        <f t="shared" si="8"/>
        <v>7594795.8000000007</v>
      </c>
      <c r="K38" s="96">
        <f t="shared" si="8"/>
        <v>7594795.8000000007</v>
      </c>
      <c r="L38" s="96">
        <f t="shared" si="8"/>
        <v>7594795.8000000007</v>
      </c>
      <c r="M38" s="96">
        <f t="shared" si="8"/>
        <v>7594795.8000000007</v>
      </c>
      <c r="N38" s="96">
        <f t="shared" si="8"/>
        <v>8126431.506000001</v>
      </c>
      <c r="O38" s="96">
        <f t="shared" si="8"/>
        <v>8126431.506000001</v>
      </c>
      <c r="P38" s="96">
        <f t="shared" si="8"/>
        <v>8126431.506000001</v>
      </c>
      <c r="Q38" s="96">
        <f t="shared" si="8"/>
        <v>8126431.506000001</v>
      </c>
      <c r="R38" s="96">
        <f t="shared" si="8"/>
        <v>8126431.506000001</v>
      </c>
      <c r="S38" s="96">
        <f t="shared" si="8"/>
        <v>8126431.506000001</v>
      </c>
      <c r="T38" s="96">
        <f t="shared" si="8"/>
        <v>8126431.506000001</v>
      </c>
      <c r="U38" s="96">
        <f t="shared" si="8"/>
        <v>8126431.506000001</v>
      </c>
      <c r="V38" s="96">
        <f t="shared" si="8"/>
        <v>8126431.506000001</v>
      </c>
      <c r="W38" s="96">
        <f t="shared" si="8"/>
        <v>8126431.506000001</v>
      </c>
      <c r="X38" s="96">
        <f t="shared" si="8"/>
        <v>8126431.506000001</v>
      </c>
      <c r="Y38" s="96">
        <f t="shared" si="8"/>
        <v>8126431.506000001</v>
      </c>
      <c r="Z38" s="96">
        <f t="shared" si="8"/>
        <v>8695281.7114199996</v>
      </c>
      <c r="AA38" s="96">
        <f t="shared" si="8"/>
        <v>8695281.7114199996</v>
      </c>
      <c r="AB38" s="96">
        <f t="shared" si="8"/>
        <v>8695281.7114199996</v>
      </c>
      <c r="AC38" s="96">
        <f t="shared" si="8"/>
        <v>8695281.7114199996</v>
      </c>
      <c r="AD38" s="96">
        <f t="shared" si="8"/>
        <v>8695281.7114199996</v>
      </c>
      <c r="AE38" s="96">
        <f t="shared" si="8"/>
        <v>8695281.7114199996</v>
      </c>
      <c r="AF38" s="96">
        <f t="shared" si="8"/>
        <v>8695281.7114199996</v>
      </c>
      <c r="AG38" s="96">
        <f t="shared" si="8"/>
        <v>8695281.7114199996</v>
      </c>
      <c r="AH38" s="96">
        <f t="shared" si="8"/>
        <v>8695281.7114199996</v>
      </c>
      <c r="AI38" s="96">
        <f t="shared" si="8"/>
        <v>8695281.7114199996</v>
      </c>
      <c r="AJ38" s="96">
        <f t="shared" si="8"/>
        <v>8695281.7114199996</v>
      </c>
      <c r="AK38" s="96">
        <f t="shared" si="8"/>
        <v>8695281.7114199996</v>
      </c>
      <c r="AL38" s="96">
        <f t="shared" si="8"/>
        <v>9130045.7969910018</v>
      </c>
      <c r="AM38" s="96">
        <f t="shared" si="8"/>
        <v>9130045.7969910018</v>
      </c>
      <c r="AN38" s="96">
        <f t="shared" si="8"/>
        <v>9130045.7969910018</v>
      </c>
      <c r="AO38" s="96">
        <f t="shared" si="8"/>
        <v>9130045.7969910018</v>
      </c>
      <c r="AP38" s="96">
        <f t="shared" si="8"/>
        <v>9130045.7969910018</v>
      </c>
      <c r="AQ38" s="96">
        <f t="shared" si="8"/>
        <v>9130045.7969910018</v>
      </c>
      <c r="AR38" s="96">
        <f t="shared" si="8"/>
        <v>9130045.7969910018</v>
      </c>
      <c r="AS38" s="96">
        <f t="shared" si="8"/>
        <v>9130045.7969910018</v>
      </c>
      <c r="AT38" s="96">
        <f t="shared" si="8"/>
        <v>9130045.7969910018</v>
      </c>
      <c r="AU38" s="96">
        <f t="shared" si="8"/>
        <v>9130045.7969910018</v>
      </c>
      <c r="AV38" s="96">
        <f t="shared" si="8"/>
        <v>9130045.7969910018</v>
      </c>
      <c r="AW38" s="96">
        <f t="shared" si="8"/>
        <v>9130045.7969910018</v>
      </c>
      <c r="AX38" s="96">
        <f t="shared" si="8"/>
        <v>9586548.0868405513</v>
      </c>
      <c r="AY38" s="96">
        <f t="shared" si="8"/>
        <v>9586548.0868405513</v>
      </c>
      <c r="AZ38" s="96">
        <f t="shared" si="8"/>
        <v>9586548.0868405513</v>
      </c>
      <c r="BA38" s="96">
        <f t="shared" si="8"/>
        <v>9586548.0868405513</v>
      </c>
      <c r="BB38" s="96">
        <f t="shared" si="8"/>
        <v>9586548.0868405513</v>
      </c>
      <c r="BC38" s="96">
        <f t="shared" si="8"/>
        <v>9586548.0868405513</v>
      </c>
      <c r="BD38" s="96">
        <f t="shared" si="8"/>
        <v>9586548.0868405513</v>
      </c>
      <c r="BE38" s="96">
        <f t="shared" si="8"/>
        <v>9586548.0868405513</v>
      </c>
      <c r="BF38" s="96">
        <f t="shared" si="8"/>
        <v>9586548.0868405513</v>
      </c>
      <c r="BG38" s="96">
        <f t="shared" si="8"/>
        <v>9586548.0868405513</v>
      </c>
      <c r="BH38" s="96">
        <f t="shared" si="8"/>
        <v>9586548.0868405513</v>
      </c>
      <c r="BI38" s="96">
        <f t="shared" si="8"/>
        <v>9586548.0868405513</v>
      </c>
      <c r="BJ38" s="96">
        <f t="shared" si="8"/>
        <v>10065875.491182581</v>
      </c>
      <c r="BK38" s="96">
        <f t="shared" si="8"/>
        <v>10065875.491182581</v>
      </c>
      <c r="BL38" s="96">
        <f t="shared" si="8"/>
        <v>10065875.491182581</v>
      </c>
      <c r="BM38" s="96">
        <f t="shared" si="8"/>
        <v>10065875.491182581</v>
      </c>
      <c r="BN38" s="96">
        <f t="shared" si="8"/>
        <v>10065875.491182581</v>
      </c>
      <c r="BO38" s="96">
        <f t="shared" ref="BO38:DE38" si="9">SUM(BO28:BO37)</f>
        <v>10065875.491182581</v>
      </c>
      <c r="BP38" s="96">
        <f t="shared" si="9"/>
        <v>10065875.491182581</v>
      </c>
      <c r="BQ38" s="96">
        <f t="shared" si="9"/>
        <v>10065875.491182581</v>
      </c>
      <c r="BR38" s="96">
        <f t="shared" si="9"/>
        <v>10065875.491182581</v>
      </c>
      <c r="BS38" s="96">
        <f t="shared" si="9"/>
        <v>10065875.491182581</v>
      </c>
      <c r="BT38" s="96">
        <f t="shared" si="9"/>
        <v>10065875.491182581</v>
      </c>
      <c r="BU38" s="96">
        <f t="shared" si="9"/>
        <v>10065875.491182581</v>
      </c>
      <c r="BV38" s="96">
        <f t="shared" si="9"/>
        <v>10569169.265741708</v>
      </c>
      <c r="BW38" s="96">
        <f t="shared" si="9"/>
        <v>10569169.265741708</v>
      </c>
      <c r="BX38" s="96">
        <f t="shared" si="9"/>
        <v>10569169.265741708</v>
      </c>
      <c r="BY38" s="96">
        <f t="shared" si="9"/>
        <v>10569169.265741708</v>
      </c>
      <c r="BZ38" s="96">
        <f t="shared" si="9"/>
        <v>10569169.265741708</v>
      </c>
      <c r="CA38" s="96">
        <f t="shared" si="9"/>
        <v>10569169.265741708</v>
      </c>
      <c r="CB38" s="96">
        <f t="shared" si="9"/>
        <v>10569169.265741708</v>
      </c>
      <c r="CC38" s="96">
        <f t="shared" si="9"/>
        <v>10569169.265741708</v>
      </c>
      <c r="CD38" s="96">
        <f t="shared" si="9"/>
        <v>10569169.265741708</v>
      </c>
      <c r="CE38" s="96">
        <f t="shared" si="9"/>
        <v>10569169.265741708</v>
      </c>
      <c r="CF38" s="96">
        <f t="shared" si="9"/>
        <v>10569169.265741708</v>
      </c>
      <c r="CG38" s="96">
        <f t="shared" si="9"/>
        <v>10569169.265741708</v>
      </c>
      <c r="CH38" s="96">
        <f t="shared" si="9"/>
        <v>11097627.729028791</v>
      </c>
      <c r="CI38" s="96">
        <f t="shared" si="9"/>
        <v>11097627.729028791</v>
      </c>
      <c r="CJ38" s="96">
        <f t="shared" si="9"/>
        <v>11097627.729028791</v>
      </c>
      <c r="CK38" s="96">
        <f t="shared" si="9"/>
        <v>11097627.729028791</v>
      </c>
      <c r="CL38" s="96">
        <f t="shared" si="9"/>
        <v>11097627.729028791</v>
      </c>
      <c r="CM38" s="96">
        <f t="shared" si="9"/>
        <v>11097627.729028791</v>
      </c>
      <c r="CN38" s="96">
        <f t="shared" si="9"/>
        <v>11097627.729028791</v>
      </c>
      <c r="CO38" s="96">
        <f t="shared" si="9"/>
        <v>11097627.729028791</v>
      </c>
      <c r="CP38" s="96">
        <f t="shared" si="9"/>
        <v>11097627.729028791</v>
      </c>
      <c r="CQ38" s="96">
        <f t="shared" si="9"/>
        <v>11097627.729028791</v>
      </c>
      <c r="CR38" s="96">
        <f t="shared" si="9"/>
        <v>11097627.729028791</v>
      </c>
      <c r="CS38" s="96">
        <f t="shared" si="9"/>
        <v>11097627.729028791</v>
      </c>
      <c r="CT38" s="96">
        <f t="shared" si="9"/>
        <v>11652509.115480235</v>
      </c>
      <c r="CU38" s="96">
        <f t="shared" si="9"/>
        <v>11652509.115480235</v>
      </c>
      <c r="CV38" s="96">
        <f t="shared" si="9"/>
        <v>11652509.115480235</v>
      </c>
      <c r="CW38" s="96">
        <f t="shared" si="9"/>
        <v>11652509.115480235</v>
      </c>
      <c r="CX38" s="96">
        <f t="shared" si="9"/>
        <v>11652509.115480235</v>
      </c>
      <c r="CY38" s="96">
        <f t="shared" si="9"/>
        <v>11652509.115480235</v>
      </c>
      <c r="CZ38" s="96">
        <f t="shared" si="9"/>
        <v>11652509.115480235</v>
      </c>
      <c r="DA38" s="96">
        <f t="shared" si="9"/>
        <v>11652509.115480235</v>
      </c>
      <c r="DB38" s="96">
        <f t="shared" si="9"/>
        <v>11652509.115480235</v>
      </c>
      <c r="DC38" s="96">
        <f t="shared" si="9"/>
        <v>11652509.115480235</v>
      </c>
      <c r="DD38" s="96">
        <f t="shared" si="9"/>
        <v>11652509.115480235</v>
      </c>
      <c r="DE38" s="96">
        <f t="shared" si="9"/>
        <v>11652509.115480235</v>
      </c>
    </row>
    <row r="39" spans="1:109" ht="12.75" thickTop="1"/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CY88"/>
  <sheetViews>
    <sheetView workbookViewId="0">
      <pane xSplit="2" ySplit="2" topLeftCell="C3" activePane="bottomRight" state="frozen"/>
      <selection pane="topRight"/>
      <selection pane="bottomLeft"/>
      <selection pane="bottomRight"/>
    </sheetView>
  </sheetViews>
  <sheetFormatPr defaultColWidth="9" defaultRowHeight="12"/>
  <cols>
    <col min="1" max="1" width="66.1640625" bestFit="1" customWidth="1"/>
    <col min="2" max="2" width="16.83203125" bestFit="1" customWidth="1"/>
    <col min="3" max="3" width="42" customWidth="1"/>
    <col min="4" max="7" width="15" hidden="1" customWidth="1"/>
    <col min="8" max="8" width="14.83203125" hidden="1" customWidth="1"/>
    <col min="9" max="9" width="15.6640625" hidden="1" customWidth="1"/>
    <col min="10" max="10" width="14.83203125" hidden="1" customWidth="1"/>
    <col min="11" max="11" width="15.6640625" hidden="1" customWidth="1"/>
    <col min="12" max="12" width="14.83203125" hidden="1" customWidth="1"/>
    <col min="13" max="13" width="15.6640625" hidden="1" customWidth="1"/>
    <col min="14" max="14" width="14.83203125" hidden="1" customWidth="1"/>
    <col min="15" max="15" width="15.6640625" hidden="1" customWidth="1"/>
    <col min="16" max="16" width="14.83203125" hidden="1" customWidth="1"/>
    <col min="17" max="17" width="15.6640625" hidden="1" customWidth="1"/>
    <col min="18" max="18" width="14.83203125" hidden="1" customWidth="1"/>
    <col min="19" max="19" width="15.6640625" hidden="1" customWidth="1"/>
    <col min="20" max="20" width="14.83203125" hidden="1" customWidth="1"/>
    <col min="21" max="21" width="15.6640625" hidden="1" customWidth="1"/>
    <col min="22" max="22" width="14.83203125" hidden="1" customWidth="1"/>
    <col min="23" max="23" width="15.6640625" hidden="1" customWidth="1"/>
    <col min="24" max="24" width="14.83203125" hidden="1" customWidth="1"/>
    <col min="25" max="25" width="15.6640625" hidden="1" customWidth="1"/>
    <col min="26" max="26" width="14.83203125" bestFit="1" customWidth="1"/>
    <col min="27" max="27" width="15.6640625" bestFit="1" customWidth="1"/>
    <col min="28" max="28" width="14.83203125" bestFit="1" customWidth="1"/>
    <col min="29" max="29" width="15.6640625" bestFit="1" customWidth="1"/>
    <col min="30" max="30" width="14.83203125" bestFit="1" customWidth="1"/>
    <col min="31" max="31" width="15.6640625" bestFit="1" customWidth="1"/>
    <col min="32" max="32" width="14.83203125" bestFit="1" customWidth="1"/>
    <col min="33" max="33" width="15.6640625" bestFit="1" customWidth="1"/>
    <col min="34" max="34" width="14.83203125" bestFit="1" customWidth="1"/>
    <col min="35" max="35" width="15.6640625" bestFit="1" customWidth="1"/>
    <col min="36" max="36" width="14.83203125" bestFit="1" customWidth="1"/>
    <col min="37" max="37" width="15.6640625" bestFit="1" customWidth="1"/>
    <col min="38" max="38" width="14.83203125" bestFit="1" customWidth="1"/>
    <col min="39" max="39" width="15.6640625" bestFit="1" customWidth="1"/>
    <col min="40" max="40" width="14.83203125" bestFit="1" customWidth="1"/>
    <col min="41" max="41" width="15.6640625" bestFit="1" customWidth="1"/>
    <col min="42" max="42" width="14.83203125" bestFit="1" customWidth="1"/>
    <col min="43" max="43" width="15.6640625" bestFit="1" customWidth="1"/>
    <col min="44" max="44" width="14.83203125" bestFit="1" customWidth="1"/>
    <col min="45" max="45" width="15.6640625" bestFit="1" customWidth="1"/>
    <col min="46" max="46" width="14.83203125" bestFit="1" customWidth="1"/>
    <col min="47" max="47" width="15.6640625" bestFit="1" customWidth="1"/>
    <col min="48" max="48" width="14.83203125" bestFit="1" customWidth="1"/>
    <col min="49" max="49" width="15.6640625" bestFit="1" customWidth="1"/>
    <col min="50" max="50" width="14.83203125" bestFit="1" customWidth="1"/>
    <col min="51" max="51" width="15.6640625" bestFit="1" customWidth="1"/>
    <col min="52" max="52" width="14.83203125" bestFit="1" customWidth="1"/>
    <col min="53" max="53" width="15.6640625" bestFit="1" customWidth="1"/>
    <col min="54" max="54" width="14.83203125" bestFit="1" customWidth="1"/>
    <col min="55" max="55" width="15.6640625" bestFit="1" customWidth="1"/>
    <col min="56" max="56" width="14.83203125" bestFit="1" customWidth="1"/>
    <col min="57" max="57" width="15.6640625" bestFit="1" customWidth="1"/>
    <col min="58" max="58" width="14.83203125" bestFit="1" customWidth="1"/>
    <col min="59" max="59" width="15.6640625" bestFit="1" customWidth="1"/>
    <col min="60" max="60" width="14.83203125" bestFit="1" customWidth="1"/>
    <col min="61" max="61" width="15.6640625" bestFit="1" customWidth="1"/>
    <col min="62" max="62" width="14.83203125" bestFit="1" customWidth="1"/>
    <col min="63" max="63" width="15.6640625" bestFit="1" customWidth="1"/>
    <col min="64" max="64" width="14.83203125" bestFit="1" customWidth="1"/>
    <col min="65" max="65" width="15.6640625" bestFit="1" customWidth="1"/>
    <col min="66" max="66" width="14.83203125" bestFit="1" customWidth="1"/>
    <col min="67" max="67" width="15.6640625" bestFit="1" customWidth="1"/>
    <col min="68" max="68" width="14.83203125" bestFit="1" customWidth="1"/>
    <col min="69" max="69" width="15.6640625" bestFit="1" customWidth="1"/>
    <col min="70" max="70" width="14.83203125" bestFit="1" customWidth="1"/>
    <col min="71" max="71" width="15.6640625" bestFit="1" customWidth="1"/>
    <col min="72" max="72" width="14.83203125" bestFit="1" customWidth="1"/>
    <col min="73" max="73" width="15.6640625" bestFit="1" customWidth="1"/>
    <col min="74" max="74" width="15" bestFit="1" customWidth="1"/>
    <col min="75" max="75" width="15.6640625" bestFit="1" customWidth="1"/>
    <col min="76" max="76" width="15" bestFit="1" customWidth="1"/>
    <col min="77" max="77" width="15.6640625" bestFit="1" customWidth="1"/>
    <col min="78" max="78" width="15" bestFit="1" customWidth="1"/>
    <col min="79" max="79" width="15.6640625" bestFit="1" customWidth="1"/>
    <col min="80" max="80" width="15" bestFit="1" customWidth="1"/>
    <col min="81" max="81" width="15.6640625" bestFit="1" customWidth="1"/>
    <col min="82" max="82" width="15" bestFit="1" customWidth="1"/>
    <col min="83" max="83" width="15.6640625" bestFit="1" customWidth="1"/>
    <col min="84" max="84" width="15" bestFit="1" customWidth="1"/>
    <col min="85" max="95" width="15.6640625" bestFit="1" customWidth="1"/>
    <col min="96" max="96" width="15" bestFit="1" customWidth="1"/>
    <col min="97" max="103" width="15.6640625" bestFit="1" customWidth="1"/>
  </cols>
  <sheetData>
    <row r="1" spans="1:103">
      <c r="D1" s="29" t="s">
        <v>45</v>
      </c>
      <c r="E1" s="29" t="s">
        <v>45</v>
      </c>
      <c r="F1" s="29" t="s">
        <v>45</v>
      </c>
      <c r="G1" s="29" t="s">
        <v>45</v>
      </c>
      <c r="H1" s="29" t="s">
        <v>45</v>
      </c>
      <c r="I1" s="29" t="s">
        <v>45</v>
      </c>
      <c r="J1" s="29" t="s">
        <v>45</v>
      </c>
      <c r="K1" s="29" t="s">
        <v>45</v>
      </c>
      <c r="L1" s="29" t="s">
        <v>45</v>
      </c>
      <c r="M1" s="29" t="s">
        <v>45</v>
      </c>
      <c r="N1" s="29" t="s">
        <v>46</v>
      </c>
      <c r="O1" s="29" t="s">
        <v>46</v>
      </c>
      <c r="P1" s="29" t="s">
        <v>46</v>
      </c>
      <c r="Q1" s="29" t="s">
        <v>46</v>
      </c>
      <c r="R1" s="29" t="s">
        <v>46</v>
      </c>
      <c r="S1" s="29" t="s">
        <v>46</v>
      </c>
      <c r="T1" s="29" t="s">
        <v>46</v>
      </c>
      <c r="U1" s="29" t="s">
        <v>46</v>
      </c>
      <c r="V1" s="29" t="s">
        <v>46</v>
      </c>
      <c r="W1" s="29" t="s">
        <v>46</v>
      </c>
      <c r="X1" s="29" t="s">
        <v>46</v>
      </c>
      <c r="Y1" s="29" t="s">
        <v>46</v>
      </c>
      <c r="Z1" s="29" t="s">
        <v>47</v>
      </c>
      <c r="AA1" s="29" t="s">
        <v>47</v>
      </c>
      <c r="AB1" s="29" t="s">
        <v>47</v>
      </c>
      <c r="AC1" s="29" t="s">
        <v>47</v>
      </c>
      <c r="AD1" s="29" t="s">
        <v>47</v>
      </c>
      <c r="AE1" s="29" t="s">
        <v>47</v>
      </c>
      <c r="AF1" s="29" t="s">
        <v>47</v>
      </c>
      <c r="AG1" s="29" t="s">
        <v>47</v>
      </c>
      <c r="AH1" s="29" t="s">
        <v>47</v>
      </c>
      <c r="AI1" s="29" t="s">
        <v>47</v>
      </c>
      <c r="AJ1" s="29" t="s">
        <v>47</v>
      </c>
      <c r="AK1" s="29" t="s">
        <v>47</v>
      </c>
      <c r="AL1" s="29" t="s">
        <v>48</v>
      </c>
      <c r="AM1" s="29" t="s">
        <v>48</v>
      </c>
      <c r="AN1" s="29" t="s">
        <v>48</v>
      </c>
      <c r="AO1" s="29" t="s">
        <v>48</v>
      </c>
      <c r="AP1" s="29" t="s">
        <v>48</v>
      </c>
      <c r="AQ1" s="29" t="s">
        <v>48</v>
      </c>
      <c r="AR1" s="29" t="s">
        <v>48</v>
      </c>
      <c r="AS1" s="29" t="s">
        <v>48</v>
      </c>
      <c r="AT1" s="29" t="s">
        <v>48</v>
      </c>
      <c r="AU1" s="29" t="s">
        <v>48</v>
      </c>
      <c r="AV1" s="29" t="s">
        <v>48</v>
      </c>
      <c r="AW1" s="29" t="s">
        <v>48</v>
      </c>
      <c r="AX1" s="29" t="s">
        <v>49</v>
      </c>
      <c r="AY1" s="29" t="s">
        <v>49</v>
      </c>
      <c r="AZ1" s="29" t="s">
        <v>49</v>
      </c>
      <c r="BA1" s="29" t="s">
        <v>49</v>
      </c>
      <c r="BB1" s="29" t="s">
        <v>49</v>
      </c>
      <c r="BC1" s="29" t="s">
        <v>49</v>
      </c>
      <c r="BD1" s="29" t="s">
        <v>49</v>
      </c>
      <c r="BE1" s="29" t="s">
        <v>49</v>
      </c>
      <c r="BF1" s="29" t="s">
        <v>49</v>
      </c>
      <c r="BG1" s="29" t="s">
        <v>49</v>
      </c>
      <c r="BH1" s="29" t="s">
        <v>49</v>
      </c>
      <c r="BI1" s="29" t="s">
        <v>49</v>
      </c>
      <c r="BJ1" s="29" t="s">
        <v>50</v>
      </c>
      <c r="BK1" s="29" t="s">
        <v>50</v>
      </c>
      <c r="BL1" s="29" t="s">
        <v>50</v>
      </c>
      <c r="BM1" s="29" t="s">
        <v>50</v>
      </c>
      <c r="BN1" s="29" t="s">
        <v>50</v>
      </c>
      <c r="BO1" s="29" t="s">
        <v>50</v>
      </c>
      <c r="BP1" s="29" t="s">
        <v>50</v>
      </c>
      <c r="BQ1" s="29" t="s">
        <v>50</v>
      </c>
      <c r="BR1" s="29" t="s">
        <v>50</v>
      </c>
      <c r="BS1" s="29" t="s">
        <v>50</v>
      </c>
      <c r="BT1" s="29" t="s">
        <v>50</v>
      </c>
      <c r="BU1" s="29" t="s">
        <v>50</v>
      </c>
      <c r="BV1" s="29" t="s">
        <v>51</v>
      </c>
      <c r="BW1" s="29" t="s">
        <v>51</v>
      </c>
      <c r="BX1" s="29" t="s">
        <v>51</v>
      </c>
      <c r="BY1" s="29" t="s">
        <v>51</v>
      </c>
      <c r="BZ1" s="29" t="s">
        <v>51</v>
      </c>
      <c r="CA1" s="29" t="s">
        <v>51</v>
      </c>
      <c r="CB1" s="29" t="s">
        <v>51</v>
      </c>
      <c r="CC1" s="29" t="s">
        <v>51</v>
      </c>
      <c r="CD1" s="29" t="s">
        <v>51</v>
      </c>
      <c r="CE1" s="29" t="s">
        <v>51</v>
      </c>
      <c r="CF1" s="29" t="s">
        <v>51</v>
      </c>
      <c r="CG1" s="29" t="s">
        <v>51</v>
      </c>
      <c r="CH1" s="29" t="s">
        <v>52</v>
      </c>
      <c r="CI1" s="29" t="s">
        <v>52</v>
      </c>
      <c r="CJ1" s="29" t="s">
        <v>52</v>
      </c>
      <c r="CK1" s="29" t="s">
        <v>52</v>
      </c>
      <c r="CL1" s="29" t="s">
        <v>52</v>
      </c>
      <c r="CM1" s="29" t="s">
        <v>52</v>
      </c>
      <c r="CN1" s="29" t="s">
        <v>52</v>
      </c>
      <c r="CO1" s="29" t="s">
        <v>52</v>
      </c>
      <c r="CP1" s="29" t="s">
        <v>52</v>
      </c>
      <c r="CQ1" s="29" t="s">
        <v>52</v>
      </c>
      <c r="CR1" s="29" t="s">
        <v>52</v>
      </c>
      <c r="CS1" s="29" t="s">
        <v>52</v>
      </c>
      <c r="CT1" s="29" t="s">
        <v>53</v>
      </c>
      <c r="CU1" s="29" t="s">
        <v>53</v>
      </c>
      <c r="CV1" s="29" t="s">
        <v>53</v>
      </c>
      <c r="CW1" s="29" t="s">
        <v>53</v>
      </c>
      <c r="CX1" s="29" t="s">
        <v>53</v>
      </c>
      <c r="CY1" s="29" t="s">
        <v>53</v>
      </c>
    </row>
    <row r="2" spans="1:103">
      <c r="A2" s="98" t="s">
        <v>37</v>
      </c>
      <c r="B2" s="29" t="s">
        <v>274</v>
      </c>
      <c r="C2" s="29" t="s">
        <v>275</v>
      </c>
      <c r="D2" s="98">
        <v>44012</v>
      </c>
      <c r="E2" s="98">
        <v>44043</v>
      </c>
      <c r="F2" s="98">
        <v>44074</v>
      </c>
      <c r="G2" s="98">
        <v>44104</v>
      </c>
      <c r="H2" s="98">
        <v>44135</v>
      </c>
      <c r="I2" s="98">
        <v>44165</v>
      </c>
      <c r="J2" s="98">
        <v>44196</v>
      </c>
      <c r="K2" s="98">
        <v>44227</v>
      </c>
      <c r="L2" s="98">
        <v>44255</v>
      </c>
      <c r="M2" s="98">
        <v>44286</v>
      </c>
      <c r="N2" s="98">
        <v>44316</v>
      </c>
      <c r="O2" s="98">
        <v>44347</v>
      </c>
      <c r="P2" s="98">
        <v>44377</v>
      </c>
      <c r="Q2" s="98">
        <v>44408</v>
      </c>
      <c r="R2" s="98">
        <v>44439</v>
      </c>
      <c r="S2" s="98">
        <v>44469</v>
      </c>
      <c r="T2" s="98">
        <v>44500</v>
      </c>
      <c r="U2" s="98">
        <v>44530</v>
      </c>
      <c r="V2" s="98">
        <v>44561</v>
      </c>
      <c r="W2" s="98">
        <v>44592</v>
      </c>
      <c r="X2" s="98">
        <v>44620</v>
      </c>
      <c r="Y2" s="98">
        <v>44651</v>
      </c>
      <c r="Z2" s="98">
        <v>44681</v>
      </c>
      <c r="AA2" s="98">
        <v>44712</v>
      </c>
      <c r="AB2" s="98">
        <v>44742</v>
      </c>
      <c r="AC2" s="98">
        <v>44773</v>
      </c>
      <c r="AD2" s="98">
        <v>44804</v>
      </c>
      <c r="AE2" s="98">
        <v>44834</v>
      </c>
      <c r="AF2" s="98">
        <v>44865</v>
      </c>
      <c r="AG2" s="98">
        <v>44895</v>
      </c>
      <c r="AH2" s="98">
        <v>44926</v>
      </c>
      <c r="AI2" s="98">
        <v>44957</v>
      </c>
      <c r="AJ2" s="98">
        <v>44985</v>
      </c>
      <c r="AK2" s="98">
        <v>45016</v>
      </c>
      <c r="AL2" s="98">
        <v>45046</v>
      </c>
      <c r="AM2" s="98">
        <v>45077</v>
      </c>
      <c r="AN2" s="98">
        <v>45107</v>
      </c>
      <c r="AO2" s="98">
        <v>45138</v>
      </c>
      <c r="AP2" s="98">
        <v>45169</v>
      </c>
      <c r="AQ2" s="98">
        <v>45199</v>
      </c>
      <c r="AR2" s="98">
        <v>45230</v>
      </c>
      <c r="AS2" s="98">
        <v>45260</v>
      </c>
      <c r="AT2" s="98">
        <v>45291</v>
      </c>
      <c r="AU2" s="98">
        <v>45322</v>
      </c>
      <c r="AV2" s="98">
        <v>45351</v>
      </c>
      <c r="AW2" s="98">
        <v>45382</v>
      </c>
      <c r="AX2" s="98">
        <v>45412</v>
      </c>
      <c r="AY2" s="98">
        <v>45443</v>
      </c>
      <c r="AZ2" s="98">
        <v>45473</v>
      </c>
      <c r="BA2" s="98">
        <v>45504</v>
      </c>
      <c r="BB2" s="98">
        <v>45535</v>
      </c>
      <c r="BC2" s="98">
        <v>45565</v>
      </c>
      <c r="BD2" s="98">
        <v>45596</v>
      </c>
      <c r="BE2" s="98">
        <v>45626</v>
      </c>
      <c r="BF2" s="98">
        <v>45657</v>
      </c>
      <c r="BG2" s="98">
        <v>45688</v>
      </c>
      <c r="BH2" s="98">
        <v>45716</v>
      </c>
      <c r="BI2" s="98">
        <v>45747</v>
      </c>
      <c r="BJ2" s="98">
        <v>45777</v>
      </c>
      <c r="BK2" s="98">
        <v>45808</v>
      </c>
      <c r="BL2" s="98">
        <v>45838</v>
      </c>
      <c r="BM2" s="98">
        <v>45869</v>
      </c>
      <c r="BN2" s="98">
        <v>45900</v>
      </c>
      <c r="BO2" s="98">
        <v>45930</v>
      </c>
      <c r="BP2" s="98">
        <v>45961</v>
      </c>
      <c r="BQ2" s="98">
        <v>45991</v>
      </c>
      <c r="BR2" s="98">
        <v>46022</v>
      </c>
      <c r="BS2" s="98">
        <v>46053</v>
      </c>
      <c r="BT2" s="98">
        <v>46081</v>
      </c>
      <c r="BU2" s="98">
        <v>46112</v>
      </c>
      <c r="BV2" s="98">
        <v>46142</v>
      </c>
      <c r="BW2" s="98">
        <v>46173</v>
      </c>
      <c r="BX2" s="98">
        <v>46203</v>
      </c>
      <c r="BY2" s="98">
        <v>46234</v>
      </c>
      <c r="BZ2" s="98">
        <v>46265</v>
      </c>
      <c r="CA2" s="98">
        <v>46295</v>
      </c>
      <c r="CB2" s="98">
        <v>46326</v>
      </c>
      <c r="CC2" s="98">
        <v>46356</v>
      </c>
      <c r="CD2" s="98">
        <v>46387</v>
      </c>
      <c r="CE2" s="98">
        <v>46418</v>
      </c>
      <c r="CF2" s="98">
        <v>46446</v>
      </c>
      <c r="CG2" s="98">
        <v>46477</v>
      </c>
      <c r="CH2" s="98">
        <v>46507</v>
      </c>
      <c r="CI2" s="98">
        <v>46538</v>
      </c>
      <c r="CJ2" s="98">
        <v>46568</v>
      </c>
      <c r="CK2" s="98">
        <v>46599</v>
      </c>
      <c r="CL2" s="98">
        <v>46630</v>
      </c>
      <c r="CM2" s="98">
        <v>46660</v>
      </c>
      <c r="CN2" s="98">
        <v>46691</v>
      </c>
      <c r="CO2" s="98">
        <v>46721</v>
      </c>
      <c r="CP2" s="98">
        <v>46752</v>
      </c>
      <c r="CQ2" s="98">
        <v>46783</v>
      </c>
      <c r="CR2" s="98">
        <v>46812</v>
      </c>
      <c r="CS2" s="98">
        <v>46843</v>
      </c>
      <c r="CT2" s="98">
        <v>46873</v>
      </c>
      <c r="CU2" s="98">
        <v>46904</v>
      </c>
      <c r="CV2" s="98">
        <v>46934</v>
      </c>
      <c r="CW2" s="98">
        <v>46965</v>
      </c>
      <c r="CX2" s="98">
        <v>46996</v>
      </c>
      <c r="CY2" s="98">
        <v>47026</v>
      </c>
    </row>
    <row r="3" spans="1:103">
      <c r="A3" t="s">
        <v>276</v>
      </c>
      <c r="B3" s="40" t="s">
        <v>277</v>
      </c>
      <c r="C3" s="40" t="s">
        <v>278</v>
      </c>
      <c r="D3" s="9">
        <v>73840</v>
      </c>
      <c r="E3" s="9">
        <v>73840</v>
      </c>
      <c r="F3" s="9">
        <v>73840</v>
      </c>
      <c r="G3" s="9">
        <v>73840</v>
      </c>
      <c r="H3" s="9">
        <v>73840</v>
      </c>
      <c r="I3" s="9">
        <v>73840</v>
      </c>
      <c r="J3" s="9">
        <v>73840</v>
      </c>
      <c r="K3" s="9">
        <v>73840</v>
      </c>
      <c r="L3" s="9">
        <v>73840</v>
      </c>
      <c r="M3" s="9">
        <v>73840</v>
      </c>
      <c r="N3" s="9">
        <v>76793.600000000006</v>
      </c>
      <c r="O3" s="9">
        <v>76793.600000000006</v>
      </c>
      <c r="P3" s="9">
        <v>76793.600000000006</v>
      </c>
      <c r="Q3" s="9">
        <v>76793.600000000006</v>
      </c>
      <c r="R3" s="9">
        <v>76793.600000000006</v>
      </c>
      <c r="S3" s="9">
        <v>76793.600000000006</v>
      </c>
      <c r="T3" s="9">
        <v>76793.600000000006</v>
      </c>
      <c r="U3" s="9">
        <v>76793.600000000006</v>
      </c>
      <c r="V3" s="9">
        <v>76793.600000000006</v>
      </c>
      <c r="W3" s="9">
        <v>76793.600000000006</v>
      </c>
      <c r="X3" s="9">
        <v>76793.600000000006</v>
      </c>
      <c r="Y3" s="9">
        <v>76793.600000000006</v>
      </c>
      <c r="Z3" s="9">
        <v>79865.344000000012</v>
      </c>
      <c r="AA3" s="9">
        <v>79865.344000000012</v>
      </c>
      <c r="AB3" s="9">
        <v>79865.344000000012</v>
      </c>
      <c r="AC3" s="9">
        <v>79865.344000000012</v>
      </c>
      <c r="AD3" s="9">
        <v>79865.344000000012</v>
      </c>
      <c r="AE3" s="9">
        <v>79865.344000000012</v>
      </c>
      <c r="AF3" s="9">
        <v>79865.344000000012</v>
      </c>
      <c r="AG3" s="9">
        <v>79865.344000000012</v>
      </c>
      <c r="AH3" s="9">
        <v>79865.344000000012</v>
      </c>
      <c r="AI3" s="9">
        <v>79865.344000000012</v>
      </c>
      <c r="AJ3" s="9">
        <v>79865.344000000012</v>
      </c>
      <c r="AK3" s="9">
        <v>79865.344000000012</v>
      </c>
      <c r="AL3" s="9">
        <v>83059.957760000019</v>
      </c>
      <c r="AM3" s="9">
        <v>83059.957760000019</v>
      </c>
      <c r="AN3" s="9">
        <v>83059.957760000019</v>
      </c>
      <c r="AO3" s="9">
        <v>83059.957760000019</v>
      </c>
      <c r="AP3" s="9">
        <v>83059.957760000019</v>
      </c>
      <c r="AQ3" s="9">
        <v>83059.957760000019</v>
      </c>
      <c r="AR3" s="9">
        <v>83059.957760000019</v>
      </c>
      <c r="AS3" s="9">
        <v>83059.957760000019</v>
      </c>
      <c r="AT3" s="9">
        <v>83059.957760000019</v>
      </c>
      <c r="AU3" s="9">
        <v>83059.957760000019</v>
      </c>
      <c r="AV3" s="9">
        <v>83059.957760000019</v>
      </c>
      <c r="AW3" s="9">
        <v>83059.957760000019</v>
      </c>
      <c r="AX3" s="9">
        <v>86382.356070400012</v>
      </c>
      <c r="AY3" s="9">
        <v>86382.356070400012</v>
      </c>
      <c r="AZ3" s="9">
        <v>86382.356070400012</v>
      </c>
      <c r="BA3" s="9">
        <v>86382.356070400012</v>
      </c>
      <c r="BB3" s="9">
        <v>86382.356070400012</v>
      </c>
      <c r="BC3" s="9">
        <v>86382.356070400012</v>
      </c>
      <c r="BD3" s="9">
        <v>86382.356070400012</v>
      </c>
      <c r="BE3" s="9">
        <v>86382.356070400012</v>
      </c>
      <c r="BF3" s="9">
        <v>86382.356070400012</v>
      </c>
      <c r="BG3" s="9">
        <v>86382.356070400012</v>
      </c>
      <c r="BH3" s="9">
        <v>86382.356070400012</v>
      </c>
      <c r="BI3" s="9">
        <v>86382.356070400012</v>
      </c>
      <c r="BJ3" s="9">
        <v>89837.650313216029</v>
      </c>
      <c r="BK3" s="9">
        <v>89837.650313216029</v>
      </c>
      <c r="BL3" s="9">
        <v>89837.650313216029</v>
      </c>
      <c r="BM3" s="9">
        <v>89837.650313216029</v>
      </c>
      <c r="BN3" s="9">
        <v>89837.650313216029</v>
      </c>
      <c r="BO3" s="9">
        <v>89837.650313216029</v>
      </c>
      <c r="BP3" s="9">
        <v>89837.650313216029</v>
      </c>
      <c r="BQ3" s="9">
        <v>89837.650313216029</v>
      </c>
      <c r="BR3" s="9">
        <v>89837.650313216029</v>
      </c>
      <c r="BS3" s="9">
        <v>89837.650313216029</v>
      </c>
      <c r="BT3" s="9">
        <v>89837.650313216029</v>
      </c>
      <c r="BU3" s="9">
        <v>89837.650313216029</v>
      </c>
      <c r="BV3" s="9">
        <v>93431.156325744669</v>
      </c>
      <c r="BW3" s="9">
        <v>93431.156325744669</v>
      </c>
      <c r="BX3" s="9">
        <v>93431.156325744669</v>
      </c>
      <c r="BY3" s="9">
        <v>93431.156325744669</v>
      </c>
      <c r="BZ3" s="9">
        <v>93431.156325744669</v>
      </c>
      <c r="CA3" s="9">
        <v>93431.156325744669</v>
      </c>
      <c r="CB3" s="9">
        <v>93431.156325744669</v>
      </c>
      <c r="CC3" s="9">
        <v>93431.156325744669</v>
      </c>
      <c r="CD3" s="9">
        <v>93431.156325744669</v>
      </c>
      <c r="CE3" s="9">
        <v>93431.156325744669</v>
      </c>
      <c r="CF3" s="9">
        <v>93431.156325744669</v>
      </c>
      <c r="CG3" s="9">
        <v>93431.156325744669</v>
      </c>
      <c r="CH3" s="9">
        <v>97168.402578774461</v>
      </c>
      <c r="CI3" s="9">
        <v>97168.402578774461</v>
      </c>
      <c r="CJ3" s="9">
        <v>97168.402578774461</v>
      </c>
      <c r="CK3" s="9">
        <v>97168.402578774461</v>
      </c>
      <c r="CL3" s="9">
        <v>97168.402578774461</v>
      </c>
      <c r="CM3" s="9">
        <v>97168.402578774461</v>
      </c>
      <c r="CN3" s="9">
        <v>97168.402578774461</v>
      </c>
      <c r="CO3" s="9">
        <v>97168.402578774461</v>
      </c>
      <c r="CP3" s="9">
        <v>97168.402578774461</v>
      </c>
      <c r="CQ3" s="9">
        <v>97168.402578774461</v>
      </c>
      <c r="CR3" s="9">
        <v>97168.402578774461</v>
      </c>
      <c r="CS3" s="9">
        <v>97168.402578774461</v>
      </c>
      <c r="CT3" s="9">
        <v>101055.13868192544</v>
      </c>
      <c r="CU3" s="9">
        <v>101055.13868192544</v>
      </c>
      <c r="CV3" s="9">
        <v>101055.13868192544</v>
      </c>
      <c r="CW3" s="9">
        <v>101055.13868192544</v>
      </c>
      <c r="CX3" s="9">
        <v>101055.13868192544</v>
      </c>
      <c r="CY3" s="9">
        <v>101055.13868192544</v>
      </c>
    </row>
    <row r="4" spans="1:103">
      <c r="A4" t="s">
        <v>279</v>
      </c>
      <c r="B4" s="40" t="s">
        <v>277</v>
      </c>
      <c r="C4" s="40" t="s">
        <v>278</v>
      </c>
      <c r="D4" s="9">
        <v>1170000</v>
      </c>
      <c r="E4" s="9">
        <v>1170000</v>
      </c>
      <c r="F4" s="9">
        <v>1170000</v>
      </c>
      <c r="G4" s="9">
        <v>1170000</v>
      </c>
      <c r="H4" s="9">
        <v>1170000</v>
      </c>
      <c r="I4" s="9">
        <v>1170000</v>
      </c>
      <c r="J4" s="9">
        <v>1170000</v>
      </c>
      <c r="K4" s="9">
        <v>1170000</v>
      </c>
      <c r="L4" s="9">
        <v>1170000</v>
      </c>
      <c r="M4" s="9">
        <v>1170000</v>
      </c>
      <c r="N4" s="9">
        <v>535392</v>
      </c>
      <c r="O4" s="9">
        <v>535392</v>
      </c>
      <c r="P4" s="9">
        <v>535392</v>
      </c>
      <c r="Q4" s="9">
        <v>535392</v>
      </c>
      <c r="R4" s="9">
        <v>535392</v>
      </c>
      <c r="S4" s="9">
        <v>535392</v>
      </c>
      <c r="T4" s="9">
        <v>486720</v>
      </c>
      <c r="U4" s="9">
        <v>486720</v>
      </c>
      <c r="V4" s="9">
        <v>486720</v>
      </c>
      <c r="W4" s="9">
        <v>486720</v>
      </c>
      <c r="X4" s="9">
        <v>486720</v>
      </c>
      <c r="Y4" s="9">
        <v>486720</v>
      </c>
      <c r="Z4" s="9">
        <v>506188.80000000005</v>
      </c>
      <c r="AA4" s="9">
        <v>506188.80000000005</v>
      </c>
      <c r="AB4" s="9">
        <v>506188.80000000005</v>
      </c>
      <c r="AC4" s="9">
        <v>506188.80000000005</v>
      </c>
      <c r="AD4" s="9">
        <v>506188.80000000005</v>
      </c>
      <c r="AE4" s="9">
        <v>506188.80000000005</v>
      </c>
      <c r="AF4" s="9">
        <v>506188.80000000005</v>
      </c>
      <c r="AG4" s="9">
        <v>506188.80000000005</v>
      </c>
      <c r="AH4" s="9">
        <v>506188.80000000005</v>
      </c>
      <c r="AI4" s="9">
        <v>506188.80000000005</v>
      </c>
      <c r="AJ4" s="9">
        <v>506188.80000000005</v>
      </c>
      <c r="AK4" s="9">
        <v>506188.80000000005</v>
      </c>
      <c r="AL4" s="9">
        <v>526436.35200000007</v>
      </c>
      <c r="AM4" s="9">
        <v>526436.35200000007</v>
      </c>
      <c r="AN4" s="9">
        <v>526436.35200000007</v>
      </c>
      <c r="AO4" s="9">
        <v>526436.35200000007</v>
      </c>
      <c r="AP4" s="9">
        <v>526436.35200000007</v>
      </c>
      <c r="AQ4" s="9">
        <v>526436.35200000007</v>
      </c>
      <c r="AR4" s="9">
        <v>526436.35200000007</v>
      </c>
      <c r="AS4" s="9">
        <v>526436.35200000007</v>
      </c>
      <c r="AT4" s="9">
        <v>526436.35200000007</v>
      </c>
      <c r="AU4" s="9">
        <v>526436.35200000007</v>
      </c>
      <c r="AV4" s="9">
        <v>526436.35200000007</v>
      </c>
      <c r="AW4" s="9">
        <v>526436.35200000007</v>
      </c>
      <c r="AX4" s="9">
        <v>547493.80608000001</v>
      </c>
      <c r="AY4" s="9">
        <v>547493.80608000001</v>
      </c>
      <c r="AZ4" s="9">
        <v>547493.80608000001</v>
      </c>
      <c r="BA4" s="9">
        <v>547493.80608000001</v>
      </c>
      <c r="BB4" s="9">
        <v>547493.80608000001</v>
      </c>
      <c r="BC4" s="9">
        <v>547493.80608000001</v>
      </c>
      <c r="BD4" s="9">
        <v>547493.80608000001</v>
      </c>
      <c r="BE4" s="9">
        <v>547493.80608000001</v>
      </c>
      <c r="BF4" s="9">
        <v>547493.80608000001</v>
      </c>
      <c r="BG4" s="9">
        <v>547493.80608000001</v>
      </c>
      <c r="BH4" s="9">
        <v>547493.80608000001</v>
      </c>
      <c r="BI4" s="9">
        <v>547493.80608000001</v>
      </c>
      <c r="BJ4" s="9">
        <v>569393.55832320009</v>
      </c>
      <c r="BK4" s="9">
        <v>569393.55832320009</v>
      </c>
      <c r="BL4" s="9">
        <v>569393.55832320009</v>
      </c>
      <c r="BM4" s="9">
        <v>569393.55832320009</v>
      </c>
      <c r="BN4" s="9">
        <v>569393.55832320009</v>
      </c>
      <c r="BO4" s="9">
        <v>569393.55832320009</v>
      </c>
      <c r="BP4" s="9">
        <v>569393.55832320009</v>
      </c>
      <c r="BQ4" s="9">
        <v>569393.55832320009</v>
      </c>
      <c r="BR4" s="9">
        <v>569393.55832320009</v>
      </c>
      <c r="BS4" s="9">
        <v>569393.55832320009</v>
      </c>
      <c r="BT4" s="9">
        <v>569393.55832320009</v>
      </c>
      <c r="BU4" s="9">
        <v>569393.55832320009</v>
      </c>
      <c r="BV4" s="9">
        <v>592169.30065612821</v>
      </c>
      <c r="BW4" s="9">
        <v>592169.30065612821</v>
      </c>
      <c r="BX4" s="9">
        <v>592169.30065612821</v>
      </c>
      <c r="BY4" s="9">
        <v>592169.30065612821</v>
      </c>
      <c r="BZ4" s="9">
        <v>592169.30065612821</v>
      </c>
      <c r="CA4" s="9">
        <v>592169.30065612821</v>
      </c>
      <c r="CB4" s="9">
        <v>592169.30065612821</v>
      </c>
      <c r="CC4" s="9">
        <v>592169.30065612821</v>
      </c>
      <c r="CD4" s="9">
        <v>592169.30065612821</v>
      </c>
      <c r="CE4" s="9">
        <v>592169.30065612821</v>
      </c>
      <c r="CF4" s="9">
        <v>592169.30065612821</v>
      </c>
      <c r="CG4" s="9">
        <v>592169.30065612821</v>
      </c>
      <c r="CH4" s="9">
        <v>615856.07268237334</v>
      </c>
      <c r="CI4" s="9">
        <v>615856.07268237334</v>
      </c>
      <c r="CJ4" s="9">
        <v>615856.07268237334</v>
      </c>
      <c r="CK4" s="9">
        <v>615856.07268237334</v>
      </c>
      <c r="CL4" s="9">
        <v>615856.07268237334</v>
      </c>
      <c r="CM4" s="9">
        <v>615856.07268237334</v>
      </c>
      <c r="CN4" s="9">
        <v>615856.07268237334</v>
      </c>
      <c r="CO4" s="9">
        <v>615856.07268237334</v>
      </c>
      <c r="CP4" s="9">
        <v>615856.07268237334</v>
      </c>
      <c r="CQ4" s="9">
        <v>615856.07268237334</v>
      </c>
      <c r="CR4" s="9">
        <v>615856.07268237334</v>
      </c>
      <c r="CS4" s="9">
        <v>615856.07268237334</v>
      </c>
      <c r="CT4" s="9">
        <v>640490.31558966835</v>
      </c>
      <c r="CU4" s="9">
        <v>640490.31558966835</v>
      </c>
      <c r="CV4" s="9">
        <v>640490.31558966835</v>
      </c>
      <c r="CW4" s="9">
        <v>640490.31558966835</v>
      </c>
      <c r="CX4" s="9">
        <v>640490.31558966835</v>
      </c>
      <c r="CY4" s="9">
        <v>640490.31558966835</v>
      </c>
    </row>
    <row r="5" spans="1:103">
      <c r="A5" t="s">
        <v>280</v>
      </c>
      <c r="B5" s="40" t="s">
        <v>277</v>
      </c>
      <c r="C5" s="40" t="s">
        <v>281</v>
      </c>
      <c r="D5" s="9">
        <v>104000</v>
      </c>
      <c r="E5" s="9">
        <v>104000</v>
      </c>
      <c r="F5" s="9">
        <v>104000</v>
      </c>
      <c r="G5" s="9">
        <v>104000</v>
      </c>
      <c r="H5" s="9">
        <v>104000</v>
      </c>
      <c r="I5" s="9">
        <v>104000</v>
      </c>
      <c r="J5" s="9">
        <v>104000</v>
      </c>
      <c r="K5" s="9">
        <v>104000</v>
      </c>
      <c r="L5" s="9">
        <v>104000</v>
      </c>
      <c r="M5" s="9">
        <v>104000</v>
      </c>
      <c r="N5" s="9">
        <v>108160</v>
      </c>
      <c r="O5" s="9">
        <v>108160</v>
      </c>
      <c r="P5" s="9">
        <v>108160</v>
      </c>
      <c r="Q5" s="9">
        <v>108160</v>
      </c>
      <c r="R5" s="9">
        <v>108160</v>
      </c>
      <c r="S5" s="9">
        <v>108160</v>
      </c>
      <c r="T5" s="9">
        <v>108160</v>
      </c>
      <c r="U5" s="9">
        <v>108160</v>
      </c>
      <c r="V5" s="9">
        <v>108160</v>
      </c>
      <c r="W5" s="9">
        <v>108160</v>
      </c>
      <c r="X5" s="9">
        <v>108160</v>
      </c>
      <c r="Y5" s="9">
        <v>108160</v>
      </c>
      <c r="Z5" s="9">
        <v>112486.40000000001</v>
      </c>
      <c r="AA5" s="9">
        <v>112486.40000000001</v>
      </c>
      <c r="AB5" s="9">
        <v>112486.40000000001</v>
      </c>
      <c r="AC5" s="9">
        <v>112486.40000000001</v>
      </c>
      <c r="AD5" s="9">
        <v>112486.40000000001</v>
      </c>
      <c r="AE5" s="9">
        <v>112486.40000000001</v>
      </c>
      <c r="AF5" s="9">
        <v>112486.40000000001</v>
      </c>
      <c r="AG5" s="9">
        <v>112486.40000000001</v>
      </c>
      <c r="AH5" s="9">
        <v>112486.40000000001</v>
      </c>
      <c r="AI5" s="9">
        <v>112486.40000000001</v>
      </c>
      <c r="AJ5" s="9">
        <v>112486.40000000001</v>
      </c>
      <c r="AK5" s="9">
        <v>112486.40000000001</v>
      </c>
      <c r="AL5" s="9">
        <v>116985.85600000001</v>
      </c>
      <c r="AM5" s="9">
        <v>116985.85600000001</v>
      </c>
      <c r="AN5" s="9">
        <v>116985.85600000001</v>
      </c>
      <c r="AO5" s="9">
        <v>116985.85600000001</v>
      </c>
      <c r="AP5" s="9">
        <v>116985.85600000001</v>
      </c>
      <c r="AQ5" s="9">
        <v>116985.85600000001</v>
      </c>
      <c r="AR5" s="9">
        <v>116985.85600000001</v>
      </c>
      <c r="AS5" s="9">
        <v>116985.85600000001</v>
      </c>
      <c r="AT5" s="9">
        <v>116985.85600000001</v>
      </c>
      <c r="AU5" s="9">
        <v>116985.85600000001</v>
      </c>
      <c r="AV5" s="9">
        <v>116985.85600000001</v>
      </c>
      <c r="AW5" s="9">
        <v>116985.85600000001</v>
      </c>
      <c r="AX5" s="9">
        <v>121665.29024000002</v>
      </c>
      <c r="AY5" s="9">
        <v>121665.29024000002</v>
      </c>
      <c r="AZ5" s="9">
        <v>121665.29024000002</v>
      </c>
      <c r="BA5" s="9">
        <v>121665.29024000002</v>
      </c>
      <c r="BB5" s="9">
        <v>121665.29024000002</v>
      </c>
      <c r="BC5" s="9">
        <v>121665.29024000002</v>
      </c>
      <c r="BD5" s="9">
        <v>121665.29024000002</v>
      </c>
      <c r="BE5" s="9">
        <v>121665.29024000002</v>
      </c>
      <c r="BF5" s="9">
        <v>121665.29024000002</v>
      </c>
      <c r="BG5" s="9">
        <v>121665.29024000002</v>
      </c>
      <c r="BH5" s="9">
        <v>121665.29024000002</v>
      </c>
      <c r="BI5" s="9">
        <v>121665.29024000002</v>
      </c>
      <c r="BJ5" s="9">
        <v>126531.90184960002</v>
      </c>
      <c r="BK5" s="9">
        <v>126531.90184960002</v>
      </c>
      <c r="BL5" s="9">
        <v>126531.90184960002</v>
      </c>
      <c r="BM5" s="9">
        <v>126531.90184960002</v>
      </c>
      <c r="BN5" s="9">
        <v>126531.90184960002</v>
      </c>
      <c r="BO5" s="9">
        <v>126531.90184960002</v>
      </c>
      <c r="BP5" s="9">
        <v>126531.90184960002</v>
      </c>
      <c r="BQ5" s="9">
        <v>126531.90184960002</v>
      </c>
      <c r="BR5" s="9">
        <v>126531.90184960002</v>
      </c>
      <c r="BS5" s="9">
        <v>126531.90184960002</v>
      </c>
      <c r="BT5" s="9">
        <v>126531.90184960002</v>
      </c>
      <c r="BU5" s="9">
        <v>126531.90184960002</v>
      </c>
      <c r="BV5" s="9">
        <v>131593.17792358404</v>
      </c>
      <c r="BW5" s="9">
        <v>131593.17792358404</v>
      </c>
      <c r="BX5" s="9">
        <v>131593.17792358404</v>
      </c>
      <c r="BY5" s="9">
        <v>131593.17792358404</v>
      </c>
      <c r="BZ5" s="9">
        <v>131593.17792358404</v>
      </c>
      <c r="CA5" s="9">
        <v>131593.17792358404</v>
      </c>
      <c r="CB5" s="9">
        <v>131593.17792358404</v>
      </c>
      <c r="CC5" s="9">
        <v>131593.17792358404</v>
      </c>
      <c r="CD5" s="9">
        <v>131593.17792358404</v>
      </c>
      <c r="CE5" s="9">
        <v>131593.17792358404</v>
      </c>
      <c r="CF5" s="9">
        <v>131593.17792358404</v>
      </c>
      <c r="CG5" s="9">
        <v>131593.17792358404</v>
      </c>
      <c r="CH5" s="9">
        <v>136856.9050405274</v>
      </c>
      <c r="CI5" s="9">
        <v>136856.9050405274</v>
      </c>
      <c r="CJ5" s="9">
        <v>136856.9050405274</v>
      </c>
      <c r="CK5" s="9">
        <v>136856.9050405274</v>
      </c>
      <c r="CL5" s="9">
        <v>136856.9050405274</v>
      </c>
      <c r="CM5" s="9">
        <v>136856.9050405274</v>
      </c>
      <c r="CN5" s="9">
        <v>136856.9050405274</v>
      </c>
      <c r="CO5" s="9">
        <v>136856.9050405274</v>
      </c>
      <c r="CP5" s="9">
        <v>136856.9050405274</v>
      </c>
      <c r="CQ5" s="9">
        <v>136856.9050405274</v>
      </c>
      <c r="CR5" s="9">
        <v>136856.9050405274</v>
      </c>
      <c r="CS5" s="9">
        <v>136856.9050405274</v>
      </c>
      <c r="CT5" s="9">
        <v>142331.18124214851</v>
      </c>
      <c r="CU5" s="9">
        <v>142331.18124214851</v>
      </c>
      <c r="CV5" s="9">
        <v>142331.18124214851</v>
      </c>
      <c r="CW5" s="9">
        <v>142331.18124214851</v>
      </c>
      <c r="CX5" s="9">
        <v>142331.18124214851</v>
      </c>
      <c r="CY5" s="9">
        <v>142331.18124214851</v>
      </c>
    </row>
    <row r="6" spans="1:103">
      <c r="A6" t="s">
        <v>282</v>
      </c>
      <c r="B6" s="40" t="s">
        <v>277</v>
      </c>
      <c r="C6" s="40" t="s">
        <v>281</v>
      </c>
      <c r="D6" s="9">
        <v>312000</v>
      </c>
      <c r="E6" s="9">
        <v>312000</v>
      </c>
      <c r="F6" s="9">
        <v>312000</v>
      </c>
      <c r="G6" s="9">
        <v>312000</v>
      </c>
      <c r="H6" s="9">
        <v>312000</v>
      </c>
      <c r="I6" s="9">
        <v>312000</v>
      </c>
      <c r="J6" s="9">
        <v>312000</v>
      </c>
      <c r="K6" s="9">
        <v>312000</v>
      </c>
      <c r="L6" s="9">
        <v>312000</v>
      </c>
      <c r="M6" s="9">
        <v>312000</v>
      </c>
      <c r="N6" s="9">
        <v>324480</v>
      </c>
      <c r="O6" s="9">
        <v>324480</v>
      </c>
      <c r="P6" s="9">
        <v>324480</v>
      </c>
      <c r="Q6" s="9">
        <v>324480</v>
      </c>
      <c r="R6" s="9">
        <v>324480</v>
      </c>
      <c r="S6" s="9">
        <v>324480</v>
      </c>
      <c r="T6" s="9">
        <v>324480</v>
      </c>
      <c r="U6" s="9">
        <v>324480</v>
      </c>
      <c r="V6" s="9">
        <v>324480</v>
      </c>
      <c r="W6" s="9">
        <v>324480</v>
      </c>
      <c r="X6" s="9">
        <v>324480</v>
      </c>
      <c r="Y6" s="9">
        <v>324480</v>
      </c>
      <c r="Z6" s="9">
        <v>337459.20000000001</v>
      </c>
      <c r="AA6" s="9">
        <v>337459.20000000001</v>
      </c>
      <c r="AB6" s="9">
        <v>337459.20000000001</v>
      </c>
      <c r="AC6" s="9">
        <v>337459.20000000001</v>
      </c>
      <c r="AD6" s="9">
        <v>337459.20000000001</v>
      </c>
      <c r="AE6" s="9">
        <v>337459.20000000001</v>
      </c>
      <c r="AF6" s="9">
        <v>337459.20000000001</v>
      </c>
      <c r="AG6" s="9">
        <v>337459.20000000001</v>
      </c>
      <c r="AH6" s="9">
        <v>337459.20000000001</v>
      </c>
      <c r="AI6" s="9">
        <v>337459.20000000001</v>
      </c>
      <c r="AJ6" s="9">
        <v>337459.20000000001</v>
      </c>
      <c r="AK6" s="9">
        <v>337459.20000000001</v>
      </c>
      <c r="AL6" s="9">
        <v>350957.56800000003</v>
      </c>
      <c r="AM6" s="9">
        <v>350957.56800000003</v>
      </c>
      <c r="AN6" s="9">
        <v>350957.56800000003</v>
      </c>
      <c r="AO6" s="9">
        <v>350957.56800000003</v>
      </c>
      <c r="AP6" s="9">
        <v>350957.56800000003</v>
      </c>
      <c r="AQ6" s="9">
        <v>350957.56800000003</v>
      </c>
      <c r="AR6" s="9">
        <v>350957.56800000003</v>
      </c>
      <c r="AS6" s="9">
        <v>350957.56800000003</v>
      </c>
      <c r="AT6" s="9">
        <v>350957.56800000003</v>
      </c>
      <c r="AU6" s="9">
        <v>350957.56800000003</v>
      </c>
      <c r="AV6" s="9">
        <v>350957.56800000003</v>
      </c>
      <c r="AW6" s="9">
        <v>350957.56800000003</v>
      </c>
      <c r="AX6" s="9">
        <v>364995.87072000006</v>
      </c>
      <c r="AY6" s="9">
        <v>364995.87072000006</v>
      </c>
      <c r="AZ6" s="9">
        <v>364995.87072000006</v>
      </c>
      <c r="BA6" s="9">
        <v>364995.87072000006</v>
      </c>
      <c r="BB6" s="9">
        <v>364995.87072000006</v>
      </c>
      <c r="BC6" s="9">
        <v>364995.87072000006</v>
      </c>
      <c r="BD6" s="9">
        <v>364995.87072000006</v>
      </c>
      <c r="BE6" s="9">
        <v>364995.87072000006</v>
      </c>
      <c r="BF6" s="9">
        <v>364995.87072000006</v>
      </c>
      <c r="BG6" s="9">
        <v>364995.87072000006</v>
      </c>
      <c r="BH6" s="9">
        <v>364995.87072000006</v>
      </c>
      <c r="BI6" s="9">
        <v>364995.87072000006</v>
      </c>
      <c r="BJ6" s="9">
        <v>379595.70554880006</v>
      </c>
      <c r="BK6" s="9">
        <v>379595.70554880006</v>
      </c>
      <c r="BL6" s="9">
        <v>379595.70554880006</v>
      </c>
      <c r="BM6" s="9">
        <v>379595.70554880006</v>
      </c>
      <c r="BN6" s="9">
        <v>379595.70554880006</v>
      </c>
      <c r="BO6" s="9">
        <v>379595.70554880006</v>
      </c>
      <c r="BP6" s="9">
        <v>379595.70554880006</v>
      </c>
      <c r="BQ6" s="9">
        <v>379595.70554880006</v>
      </c>
      <c r="BR6" s="9">
        <v>379595.70554880006</v>
      </c>
      <c r="BS6" s="9">
        <v>379595.70554880006</v>
      </c>
      <c r="BT6" s="9">
        <v>379595.70554880006</v>
      </c>
      <c r="BU6" s="9">
        <v>379595.70554880006</v>
      </c>
      <c r="BV6" s="9">
        <v>394779.53377075208</v>
      </c>
      <c r="BW6" s="9">
        <v>394779.53377075208</v>
      </c>
      <c r="BX6" s="9">
        <v>394779.53377075208</v>
      </c>
      <c r="BY6" s="9">
        <v>394779.53377075208</v>
      </c>
      <c r="BZ6" s="9">
        <v>394779.53377075208</v>
      </c>
      <c r="CA6" s="9">
        <v>394779.53377075208</v>
      </c>
      <c r="CB6" s="9">
        <v>394779.53377075208</v>
      </c>
      <c r="CC6" s="9">
        <v>394779.53377075208</v>
      </c>
      <c r="CD6" s="9">
        <v>394779.53377075208</v>
      </c>
      <c r="CE6" s="9">
        <v>394779.53377075208</v>
      </c>
      <c r="CF6" s="9">
        <v>394779.53377075208</v>
      </c>
      <c r="CG6" s="9">
        <v>394779.53377075208</v>
      </c>
      <c r="CH6" s="9">
        <v>410570.71512158215</v>
      </c>
      <c r="CI6" s="9">
        <v>410570.71512158215</v>
      </c>
      <c r="CJ6" s="9">
        <v>410570.71512158215</v>
      </c>
      <c r="CK6" s="9">
        <v>410570.71512158215</v>
      </c>
      <c r="CL6" s="9">
        <v>410570.71512158215</v>
      </c>
      <c r="CM6" s="9">
        <v>410570.71512158215</v>
      </c>
      <c r="CN6" s="9">
        <v>410570.71512158215</v>
      </c>
      <c r="CO6" s="9">
        <v>410570.71512158215</v>
      </c>
      <c r="CP6" s="9">
        <v>410570.71512158215</v>
      </c>
      <c r="CQ6" s="9">
        <v>410570.71512158215</v>
      </c>
      <c r="CR6" s="9">
        <v>410570.71512158215</v>
      </c>
      <c r="CS6" s="9">
        <v>410570.71512158215</v>
      </c>
      <c r="CT6" s="9">
        <v>426993.54372644547</v>
      </c>
      <c r="CU6" s="9">
        <v>426993.54372644547</v>
      </c>
      <c r="CV6" s="9">
        <v>426993.54372644547</v>
      </c>
      <c r="CW6" s="9">
        <v>426993.54372644547</v>
      </c>
      <c r="CX6" s="9">
        <v>426993.54372644547</v>
      </c>
      <c r="CY6" s="9">
        <v>426993.54372644547</v>
      </c>
    </row>
    <row r="7" spans="1:103">
      <c r="A7" t="s">
        <v>283</v>
      </c>
      <c r="B7" s="40" t="s">
        <v>277</v>
      </c>
      <c r="C7" s="40" t="s">
        <v>281</v>
      </c>
      <c r="D7" s="9">
        <v>15600</v>
      </c>
      <c r="E7" s="9">
        <v>15600</v>
      </c>
      <c r="F7" s="9">
        <v>15600</v>
      </c>
      <c r="G7" s="9">
        <v>15600</v>
      </c>
      <c r="H7" s="9">
        <v>15600</v>
      </c>
      <c r="I7" s="9">
        <v>15600</v>
      </c>
      <c r="J7" s="9">
        <v>15600</v>
      </c>
      <c r="K7" s="9">
        <v>15600</v>
      </c>
      <c r="L7" s="9">
        <v>15600</v>
      </c>
      <c r="M7" s="9">
        <v>15600</v>
      </c>
      <c r="N7" s="9">
        <v>16224</v>
      </c>
      <c r="O7" s="9">
        <v>16224</v>
      </c>
      <c r="P7" s="9">
        <v>16224</v>
      </c>
      <c r="Q7" s="9">
        <v>16224</v>
      </c>
      <c r="R7" s="9">
        <v>16224</v>
      </c>
      <c r="S7" s="9">
        <v>16224</v>
      </c>
      <c r="T7" s="9">
        <v>16224</v>
      </c>
      <c r="U7" s="9">
        <v>16224</v>
      </c>
      <c r="V7" s="9">
        <v>16224</v>
      </c>
      <c r="W7" s="9">
        <v>16224</v>
      </c>
      <c r="X7" s="9">
        <v>16224</v>
      </c>
      <c r="Y7" s="9">
        <v>16224</v>
      </c>
      <c r="Z7" s="9">
        <v>16872.96</v>
      </c>
      <c r="AA7" s="9">
        <v>16872.96</v>
      </c>
      <c r="AB7" s="9">
        <v>16872.96</v>
      </c>
      <c r="AC7" s="9">
        <v>16872.96</v>
      </c>
      <c r="AD7" s="9">
        <v>16872.96</v>
      </c>
      <c r="AE7" s="9">
        <v>16872.96</v>
      </c>
      <c r="AF7" s="9">
        <v>16872.96</v>
      </c>
      <c r="AG7" s="9">
        <v>16872.96</v>
      </c>
      <c r="AH7" s="9">
        <v>16872.96</v>
      </c>
      <c r="AI7" s="9">
        <v>16872.96</v>
      </c>
      <c r="AJ7" s="9">
        <v>16872.96</v>
      </c>
      <c r="AK7" s="9">
        <v>16872.96</v>
      </c>
      <c r="AL7" s="9">
        <v>17547.878400000001</v>
      </c>
      <c r="AM7" s="9">
        <v>17547.878400000001</v>
      </c>
      <c r="AN7" s="9">
        <v>17547.878400000001</v>
      </c>
      <c r="AO7" s="9">
        <v>17547.878400000001</v>
      </c>
      <c r="AP7" s="9">
        <v>17547.878400000001</v>
      </c>
      <c r="AQ7" s="9">
        <v>17547.878400000001</v>
      </c>
      <c r="AR7" s="9">
        <v>17547.878400000001</v>
      </c>
      <c r="AS7" s="9">
        <v>17547.878400000001</v>
      </c>
      <c r="AT7" s="9">
        <v>17547.878400000001</v>
      </c>
      <c r="AU7" s="9">
        <v>17547.878400000001</v>
      </c>
      <c r="AV7" s="9">
        <v>17547.878400000001</v>
      </c>
      <c r="AW7" s="9">
        <v>17547.878400000001</v>
      </c>
      <c r="AX7" s="9">
        <v>18249.793536000001</v>
      </c>
      <c r="AY7" s="9">
        <v>18249.793536000001</v>
      </c>
      <c r="AZ7" s="9">
        <v>18249.793536000001</v>
      </c>
      <c r="BA7" s="9">
        <v>18249.793536000001</v>
      </c>
      <c r="BB7" s="9">
        <v>18249.793536000001</v>
      </c>
      <c r="BC7" s="9">
        <v>18249.793536000001</v>
      </c>
      <c r="BD7" s="9">
        <v>18249.793536000001</v>
      </c>
      <c r="BE7" s="9">
        <v>18249.793536000001</v>
      </c>
      <c r="BF7" s="9">
        <v>18249.793536000001</v>
      </c>
      <c r="BG7" s="9">
        <v>18249.793536000001</v>
      </c>
      <c r="BH7" s="9">
        <v>18249.793536000001</v>
      </c>
      <c r="BI7" s="9">
        <v>18249.793536000001</v>
      </c>
      <c r="BJ7" s="9">
        <v>18979.785277440002</v>
      </c>
      <c r="BK7" s="9">
        <v>18979.785277440002</v>
      </c>
      <c r="BL7" s="9">
        <v>18979.785277440002</v>
      </c>
      <c r="BM7" s="9">
        <v>18979.785277440002</v>
      </c>
      <c r="BN7" s="9">
        <v>18979.785277440002</v>
      </c>
      <c r="BO7" s="9">
        <v>18979.785277440002</v>
      </c>
      <c r="BP7" s="9">
        <v>18979.785277440002</v>
      </c>
      <c r="BQ7" s="9">
        <v>18979.785277440002</v>
      </c>
      <c r="BR7" s="9">
        <v>18979.785277440002</v>
      </c>
      <c r="BS7" s="9">
        <v>18979.785277440002</v>
      </c>
      <c r="BT7" s="9">
        <v>18979.785277440002</v>
      </c>
      <c r="BU7" s="9">
        <v>18979.785277440002</v>
      </c>
      <c r="BV7" s="9">
        <v>19738.976688537601</v>
      </c>
      <c r="BW7" s="9">
        <v>19738.976688537601</v>
      </c>
      <c r="BX7" s="9">
        <v>19738.976688537601</v>
      </c>
      <c r="BY7" s="9">
        <v>19738.976688537601</v>
      </c>
      <c r="BZ7" s="9">
        <v>19738.976688537601</v>
      </c>
      <c r="CA7" s="9">
        <v>19738.976688537601</v>
      </c>
      <c r="CB7" s="9">
        <v>19738.976688537601</v>
      </c>
      <c r="CC7" s="9">
        <v>19738.976688537601</v>
      </c>
      <c r="CD7" s="9">
        <v>19738.976688537601</v>
      </c>
      <c r="CE7" s="9">
        <v>19738.976688537601</v>
      </c>
      <c r="CF7" s="9">
        <v>19738.976688537601</v>
      </c>
      <c r="CG7" s="9">
        <v>19738.976688537601</v>
      </c>
      <c r="CH7" s="9">
        <v>20528.535756079105</v>
      </c>
      <c r="CI7" s="9">
        <v>20528.535756079105</v>
      </c>
      <c r="CJ7" s="9">
        <v>20528.535756079105</v>
      </c>
      <c r="CK7" s="9">
        <v>20528.535756079105</v>
      </c>
      <c r="CL7" s="9">
        <v>20528.535756079105</v>
      </c>
      <c r="CM7" s="9">
        <v>20528.535756079105</v>
      </c>
      <c r="CN7" s="9">
        <v>20528.535756079105</v>
      </c>
      <c r="CO7" s="9">
        <v>20528.535756079105</v>
      </c>
      <c r="CP7" s="9">
        <v>20528.535756079105</v>
      </c>
      <c r="CQ7" s="9">
        <v>20528.535756079105</v>
      </c>
      <c r="CR7" s="9">
        <v>20528.535756079105</v>
      </c>
      <c r="CS7" s="9">
        <v>20528.535756079105</v>
      </c>
      <c r="CT7" s="9">
        <v>21349.677186322271</v>
      </c>
      <c r="CU7" s="9">
        <v>21349.677186322271</v>
      </c>
      <c r="CV7" s="9">
        <v>21349.677186322271</v>
      </c>
      <c r="CW7" s="9">
        <v>21349.677186322271</v>
      </c>
      <c r="CX7" s="9">
        <v>21349.677186322271</v>
      </c>
      <c r="CY7" s="9">
        <v>21349.677186322271</v>
      </c>
    </row>
    <row r="8" spans="1:103">
      <c r="A8" t="s">
        <v>284</v>
      </c>
      <c r="B8" s="40" t="s">
        <v>277</v>
      </c>
      <c r="C8" s="40" t="s">
        <v>281</v>
      </c>
      <c r="D8" s="9">
        <v>10400</v>
      </c>
      <c r="E8" s="9">
        <v>10400</v>
      </c>
      <c r="F8" s="9">
        <v>10400</v>
      </c>
      <c r="G8" s="9">
        <v>10400</v>
      </c>
      <c r="H8" s="9">
        <v>10400</v>
      </c>
      <c r="I8" s="9">
        <v>10400</v>
      </c>
      <c r="J8" s="9">
        <v>10400</v>
      </c>
      <c r="K8" s="9">
        <v>10400</v>
      </c>
      <c r="L8" s="9">
        <v>10400</v>
      </c>
      <c r="M8" s="9">
        <v>10400</v>
      </c>
      <c r="N8" s="9">
        <v>10816</v>
      </c>
      <c r="O8" s="9">
        <v>10816</v>
      </c>
      <c r="P8" s="9">
        <v>10816</v>
      </c>
      <c r="Q8" s="9">
        <v>10816</v>
      </c>
      <c r="R8" s="9">
        <v>10816</v>
      </c>
      <c r="S8" s="9">
        <v>10816</v>
      </c>
      <c r="T8" s="9">
        <v>10816</v>
      </c>
      <c r="U8" s="9">
        <v>10816</v>
      </c>
      <c r="V8" s="9">
        <v>10816</v>
      </c>
      <c r="W8" s="9">
        <v>10816</v>
      </c>
      <c r="X8" s="9">
        <v>10816</v>
      </c>
      <c r="Y8" s="9">
        <v>10816</v>
      </c>
      <c r="Z8" s="9">
        <v>11248.640000000001</v>
      </c>
      <c r="AA8" s="9">
        <v>11248.640000000001</v>
      </c>
      <c r="AB8" s="9">
        <v>11248.640000000001</v>
      </c>
      <c r="AC8" s="9">
        <v>11248.640000000001</v>
      </c>
      <c r="AD8" s="9">
        <v>11248.640000000001</v>
      </c>
      <c r="AE8" s="9">
        <v>11248.640000000001</v>
      </c>
      <c r="AF8" s="9">
        <v>11248.640000000001</v>
      </c>
      <c r="AG8" s="9">
        <v>11248.640000000001</v>
      </c>
      <c r="AH8" s="9">
        <v>11248.640000000001</v>
      </c>
      <c r="AI8" s="9">
        <v>11248.640000000001</v>
      </c>
      <c r="AJ8" s="9">
        <v>11248.640000000001</v>
      </c>
      <c r="AK8" s="9">
        <v>11248.640000000001</v>
      </c>
      <c r="AL8" s="9">
        <v>11698.585600000002</v>
      </c>
      <c r="AM8" s="9">
        <v>11698.585600000002</v>
      </c>
      <c r="AN8" s="9">
        <v>11698.585600000002</v>
      </c>
      <c r="AO8" s="9">
        <v>11698.585600000002</v>
      </c>
      <c r="AP8" s="9">
        <v>11698.585600000002</v>
      </c>
      <c r="AQ8" s="9">
        <v>11698.585600000002</v>
      </c>
      <c r="AR8" s="9">
        <v>11698.585600000002</v>
      </c>
      <c r="AS8" s="9">
        <v>11698.585600000002</v>
      </c>
      <c r="AT8" s="9">
        <v>11698.585600000002</v>
      </c>
      <c r="AU8" s="9">
        <v>11698.585600000002</v>
      </c>
      <c r="AV8" s="9">
        <v>11698.585600000002</v>
      </c>
      <c r="AW8" s="9">
        <v>11698.585600000002</v>
      </c>
      <c r="AX8" s="9">
        <v>12166.529024000003</v>
      </c>
      <c r="AY8" s="9">
        <v>12166.529024000003</v>
      </c>
      <c r="AZ8" s="9">
        <v>12166.529024000003</v>
      </c>
      <c r="BA8" s="9">
        <v>12166.529024000003</v>
      </c>
      <c r="BB8" s="9">
        <v>12166.529024000003</v>
      </c>
      <c r="BC8" s="9">
        <v>12166.529024000003</v>
      </c>
      <c r="BD8" s="9">
        <v>12166.529024000003</v>
      </c>
      <c r="BE8" s="9">
        <v>12166.529024000003</v>
      </c>
      <c r="BF8" s="9">
        <v>12166.529024000003</v>
      </c>
      <c r="BG8" s="9">
        <v>12166.529024000003</v>
      </c>
      <c r="BH8" s="9">
        <v>12166.529024000003</v>
      </c>
      <c r="BI8" s="9">
        <v>12166.529024000003</v>
      </c>
      <c r="BJ8" s="9">
        <v>12653.190184960004</v>
      </c>
      <c r="BK8" s="9">
        <v>12653.190184960004</v>
      </c>
      <c r="BL8" s="9">
        <v>12653.190184960004</v>
      </c>
      <c r="BM8" s="9">
        <v>12653.190184960004</v>
      </c>
      <c r="BN8" s="9">
        <v>12653.190184960004</v>
      </c>
      <c r="BO8" s="9">
        <v>12653.190184960004</v>
      </c>
      <c r="BP8" s="9">
        <v>12653.190184960004</v>
      </c>
      <c r="BQ8" s="9">
        <v>12653.190184960004</v>
      </c>
      <c r="BR8" s="9">
        <v>12653.190184960004</v>
      </c>
      <c r="BS8" s="9">
        <v>12653.190184960004</v>
      </c>
      <c r="BT8" s="9">
        <v>12653.190184960004</v>
      </c>
      <c r="BU8" s="9">
        <v>12653.190184960004</v>
      </c>
      <c r="BV8" s="9">
        <v>13159.317792358404</v>
      </c>
      <c r="BW8" s="9">
        <v>13159.317792358404</v>
      </c>
      <c r="BX8" s="9">
        <v>13159.317792358404</v>
      </c>
      <c r="BY8" s="9">
        <v>13159.317792358404</v>
      </c>
      <c r="BZ8" s="9">
        <v>13159.317792358404</v>
      </c>
      <c r="CA8" s="9">
        <v>13159.317792358404</v>
      </c>
      <c r="CB8" s="9">
        <v>13159.317792358404</v>
      </c>
      <c r="CC8" s="9">
        <v>13159.317792358404</v>
      </c>
      <c r="CD8" s="9">
        <v>13159.317792358404</v>
      </c>
      <c r="CE8" s="9">
        <v>13159.317792358404</v>
      </c>
      <c r="CF8" s="9">
        <v>13159.317792358404</v>
      </c>
      <c r="CG8" s="9">
        <v>13159.317792358404</v>
      </c>
      <c r="CH8" s="9">
        <v>13685.690504052742</v>
      </c>
      <c r="CI8" s="9">
        <v>13685.690504052742</v>
      </c>
      <c r="CJ8" s="9">
        <v>13685.690504052742</v>
      </c>
      <c r="CK8" s="9">
        <v>13685.690504052742</v>
      </c>
      <c r="CL8" s="9">
        <v>13685.690504052742</v>
      </c>
      <c r="CM8" s="9">
        <v>13685.690504052742</v>
      </c>
      <c r="CN8" s="9">
        <v>13685.690504052742</v>
      </c>
      <c r="CO8" s="9">
        <v>13685.690504052742</v>
      </c>
      <c r="CP8" s="9">
        <v>13685.690504052742</v>
      </c>
      <c r="CQ8" s="9">
        <v>13685.690504052742</v>
      </c>
      <c r="CR8" s="9">
        <v>13685.690504052742</v>
      </c>
      <c r="CS8" s="9">
        <v>13685.690504052742</v>
      </c>
      <c r="CT8" s="9">
        <v>14233.118124214852</v>
      </c>
      <c r="CU8" s="9">
        <v>14233.118124214852</v>
      </c>
      <c r="CV8" s="9">
        <v>14233.118124214852</v>
      </c>
      <c r="CW8" s="9">
        <v>14233.118124214852</v>
      </c>
      <c r="CX8" s="9">
        <v>14233.118124214852</v>
      </c>
      <c r="CY8" s="9">
        <v>14233.118124214852</v>
      </c>
    </row>
    <row r="9" spans="1:103">
      <c r="A9" t="s">
        <v>285</v>
      </c>
      <c r="B9" s="40" t="s">
        <v>277</v>
      </c>
      <c r="C9" s="40" t="s">
        <v>281</v>
      </c>
      <c r="D9" s="9">
        <v>72800</v>
      </c>
      <c r="E9" s="9">
        <v>72800</v>
      </c>
      <c r="F9" s="9">
        <v>72800</v>
      </c>
      <c r="G9" s="9">
        <v>72800</v>
      </c>
      <c r="H9" s="9">
        <v>72800</v>
      </c>
      <c r="I9" s="9">
        <v>72800</v>
      </c>
      <c r="J9" s="9">
        <v>72800</v>
      </c>
      <c r="K9" s="9">
        <v>72800</v>
      </c>
      <c r="L9" s="9">
        <v>72800</v>
      </c>
      <c r="M9" s="9">
        <v>72800</v>
      </c>
      <c r="N9" s="9">
        <v>75712</v>
      </c>
      <c r="O9" s="9">
        <v>75712</v>
      </c>
      <c r="P9" s="9">
        <v>75712</v>
      </c>
      <c r="Q9" s="9">
        <v>75712</v>
      </c>
      <c r="R9" s="9">
        <v>75712</v>
      </c>
      <c r="S9" s="9">
        <v>75712</v>
      </c>
      <c r="T9" s="9">
        <v>75712</v>
      </c>
      <c r="U9" s="9">
        <v>75712</v>
      </c>
      <c r="V9" s="9">
        <v>75712</v>
      </c>
      <c r="W9" s="9">
        <v>75712</v>
      </c>
      <c r="X9" s="9">
        <v>75712</v>
      </c>
      <c r="Y9" s="9">
        <v>75712</v>
      </c>
      <c r="Z9" s="9">
        <v>78740.479999999996</v>
      </c>
      <c r="AA9" s="9">
        <v>78740.479999999996</v>
      </c>
      <c r="AB9" s="9">
        <v>78740.479999999996</v>
      </c>
      <c r="AC9" s="9">
        <v>78740.479999999996</v>
      </c>
      <c r="AD9" s="9">
        <v>78740.479999999996</v>
      </c>
      <c r="AE9" s="9">
        <v>78740.479999999996</v>
      </c>
      <c r="AF9" s="9">
        <v>78740.479999999996</v>
      </c>
      <c r="AG9" s="9">
        <v>78740.479999999996</v>
      </c>
      <c r="AH9" s="9">
        <v>78740.479999999996</v>
      </c>
      <c r="AI9" s="9">
        <v>78740.479999999996</v>
      </c>
      <c r="AJ9" s="9">
        <v>78740.479999999996</v>
      </c>
      <c r="AK9" s="9">
        <v>78740.479999999996</v>
      </c>
      <c r="AL9" s="9">
        <v>81890.099199999997</v>
      </c>
      <c r="AM9" s="9">
        <v>81890.099199999997</v>
      </c>
      <c r="AN9" s="9">
        <v>81890.099199999997</v>
      </c>
      <c r="AO9" s="9">
        <v>81890.099199999997</v>
      </c>
      <c r="AP9" s="9">
        <v>81890.099199999997</v>
      </c>
      <c r="AQ9" s="9">
        <v>81890.099199999997</v>
      </c>
      <c r="AR9" s="9">
        <v>81890.099199999997</v>
      </c>
      <c r="AS9" s="9">
        <v>81890.099199999997</v>
      </c>
      <c r="AT9" s="9">
        <v>81890.099199999997</v>
      </c>
      <c r="AU9" s="9">
        <v>81890.099199999997</v>
      </c>
      <c r="AV9" s="9">
        <v>81890.099199999997</v>
      </c>
      <c r="AW9" s="9">
        <v>81890.099199999997</v>
      </c>
      <c r="AX9" s="9">
        <v>85165.703167999993</v>
      </c>
      <c r="AY9" s="9">
        <v>85165.703167999993</v>
      </c>
      <c r="AZ9" s="9">
        <v>85165.703167999993</v>
      </c>
      <c r="BA9" s="9">
        <v>85165.703167999993</v>
      </c>
      <c r="BB9" s="9">
        <v>85165.703167999993</v>
      </c>
      <c r="BC9" s="9">
        <v>85165.703167999993</v>
      </c>
      <c r="BD9" s="9">
        <v>85165.703167999993</v>
      </c>
      <c r="BE9" s="9">
        <v>85165.703167999993</v>
      </c>
      <c r="BF9" s="9">
        <v>85165.703167999993</v>
      </c>
      <c r="BG9" s="9">
        <v>85165.703167999993</v>
      </c>
      <c r="BH9" s="9">
        <v>85165.703167999993</v>
      </c>
      <c r="BI9" s="9">
        <v>85165.703167999993</v>
      </c>
      <c r="BJ9" s="9">
        <v>88572.331294719988</v>
      </c>
      <c r="BK9" s="9">
        <v>88572.331294719988</v>
      </c>
      <c r="BL9" s="9">
        <v>88572.331294719988</v>
      </c>
      <c r="BM9" s="9">
        <v>88572.331294719988</v>
      </c>
      <c r="BN9" s="9">
        <v>88572.331294719988</v>
      </c>
      <c r="BO9" s="9">
        <v>88572.331294719988</v>
      </c>
      <c r="BP9" s="9">
        <v>88572.331294719988</v>
      </c>
      <c r="BQ9" s="9">
        <v>88572.331294719988</v>
      </c>
      <c r="BR9" s="9">
        <v>88572.331294719988</v>
      </c>
      <c r="BS9" s="9">
        <v>88572.331294719988</v>
      </c>
      <c r="BT9" s="9">
        <v>88572.331294719988</v>
      </c>
      <c r="BU9" s="9">
        <v>88572.331294719988</v>
      </c>
      <c r="BV9" s="9">
        <v>92115.224546508791</v>
      </c>
      <c r="BW9" s="9">
        <v>92115.224546508791</v>
      </c>
      <c r="BX9" s="9">
        <v>92115.224546508791</v>
      </c>
      <c r="BY9" s="9">
        <v>92115.224546508791</v>
      </c>
      <c r="BZ9" s="9">
        <v>92115.224546508791</v>
      </c>
      <c r="CA9" s="9">
        <v>92115.224546508791</v>
      </c>
      <c r="CB9" s="9">
        <v>92115.224546508791</v>
      </c>
      <c r="CC9" s="9">
        <v>92115.224546508791</v>
      </c>
      <c r="CD9" s="9">
        <v>92115.224546508791</v>
      </c>
      <c r="CE9" s="9">
        <v>92115.224546508791</v>
      </c>
      <c r="CF9" s="9">
        <v>92115.224546508791</v>
      </c>
      <c r="CG9" s="9">
        <v>92115.224546508791</v>
      </c>
      <c r="CH9" s="9">
        <v>95799.833528369141</v>
      </c>
      <c r="CI9" s="9">
        <v>95799.833528369141</v>
      </c>
      <c r="CJ9" s="9">
        <v>95799.833528369141</v>
      </c>
      <c r="CK9" s="9">
        <v>95799.833528369141</v>
      </c>
      <c r="CL9" s="9">
        <v>95799.833528369141</v>
      </c>
      <c r="CM9" s="9">
        <v>95799.833528369141</v>
      </c>
      <c r="CN9" s="9">
        <v>95799.833528369141</v>
      </c>
      <c r="CO9" s="9">
        <v>95799.833528369141</v>
      </c>
      <c r="CP9" s="9">
        <v>95799.833528369141</v>
      </c>
      <c r="CQ9" s="9">
        <v>95799.833528369141</v>
      </c>
      <c r="CR9" s="9">
        <v>95799.833528369141</v>
      </c>
      <c r="CS9" s="9">
        <v>95799.833528369141</v>
      </c>
      <c r="CT9" s="9">
        <v>99631.826869503915</v>
      </c>
      <c r="CU9" s="9">
        <v>99631.826869503915</v>
      </c>
      <c r="CV9" s="9">
        <v>99631.826869503915</v>
      </c>
      <c r="CW9" s="9">
        <v>99631.826869503915</v>
      </c>
      <c r="CX9" s="9">
        <v>99631.826869503915</v>
      </c>
      <c r="CY9" s="9">
        <v>99631.826869503915</v>
      </c>
    </row>
    <row r="10" spans="1:103">
      <c r="A10" t="s">
        <v>286</v>
      </c>
      <c r="B10" s="40" t="s">
        <v>277</v>
      </c>
      <c r="C10" s="40" t="s">
        <v>287</v>
      </c>
      <c r="D10" s="9">
        <v>62400</v>
      </c>
      <c r="E10" s="9">
        <v>62400</v>
      </c>
      <c r="F10" s="9">
        <v>62400</v>
      </c>
      <c r="G10" s="9">
        <v>62400</v>
      </c>
      <c r="H10" s="9">
        <v>62400</v>
      </c>
      <c r="I10" s="9">
        <v>62400</v>
      </c>
      <c r="J10" s="9">
        <v>62400</v>
      </c>
      <c r="K10" s="9">
        <v>62400</v>
      </c>
      <c r="L10" s="9">
        <v>62400</v>
      </c>
      <c r="M10" s="9">
        <v>62400</v>
      </c>
      <c r="N10" s="9">
        <v>64896</v>
      </c>
      <c r="O10" s="9">
        <v>64896</v>
      </c>
      <c r="P10" s="9">
        <v>64896</v>
      </c>
      <c r="Q10" s="9">
        <v>64896</v>
      </c>
      <c r="R10" s="9">
        <v>64896</v>
      </c>
      <c r="S10" s="9">
        <v>64896</v>
      </c>
      <c r="T10" s="9">
        <v>64896</v>
      </c>
      <c r="U10" s="9">
        <v>64896</v>
      </c>
      <c r="V10" s="9">
        <v>64896</v>
      </c>
      <c r="W10" s="9">
        <v>64896</v>
      </c>
      <c r="X10" s="9">
        <v>64896</v>
      </c>
      <c r="Y10" s="9">
        <v>64896</v>
      </c>
      <c r="Z10" s="9">
        <v>67491.839999999997</v>
      </c>
      <c r="AA10" s="9">
        <v>67491.839999999997</v>
      </c>
      <c r="AB10" s="9">
        <v>67491.839999999997</v>
      </c>
      <c r="AC10" s="9">
        <v>67491.839999999997</v>
      </c>
      <c r="AD10" s="9">
        <v>67491.839999999997</v>
      </c>
      <c r="AE10" s="9">
        <v>67491.839999999997</v>
      </c>
      <c r="AF10" s="9">
        <v>67491.839999999997</v>
      </c>
      <c r="AG10" s="9">
        <v>67491.839999999997</v>
      </c>
      <c r="AH10" s="9">
        <v>67491.839999999997</v>
      </c>
      <c r="AI10" s="9">
        <v>67491.839999999997</v>
      </c>
      <c r="AJ10" s="9">
        <v>67491.839999999997</v>
      </c>
      <c r="AK10" s="9">
        <v>67491.839999999997</v>
      </c>
      <c r="AL10" s="9">
        <v>70191.513600000006</v>
      </c>
      <c r="AM10" s="9">
        <v>70191.513600000006</v>
      </c>
      <c r="AN10" s="9">
        <v>70191.513600000006</v>
      </c>
      <c r="AO10" s="9">
        <v>70191.513600000006</v>
      </c>
      <c r="AP10" s="9">
        <v>70191.513600000006</v>
      </c>
      <c r="AQ10" s="9">
        <v>70191.513600000006</v>
      </c>
      <c r="AR10" s="9">
        <v>70191.513600000006</v>
      </c>
      <c r="AS10" s="9">
        <v>70191.513600000006</v>
      </c>
      <c r="AT10" s="9">
        <v>70191.513600000006</v>
      </c>
      <c r="AU10" s="9">
        <v>70191.513600000006</v>
      </c>
      <c r="AV10" s="9">
        <v>70191.513600000006</v>
      </c>
      <c r="AW10" s="9">
        <v>70191.513600000006</v>
      </c>
      <c r="AX10" s="9">
        <v>72999.174144000004</v>
      </c>
      <c r="AY10" s="9">
        <v>72999.174144000004</v>
      </c>
      <c r="AZ10" s="9">
        <v>72999.174144000004</v>
      </c>
      <c r="BA10" s="9">
        <v>72999.174144000004</v>
      </c>
      <c r="BB10" s="9">
        <v>72999.174144000004</v>
      </c>
      <c r="BC10" s="9">
        <v>72999.174144000004</v>
      </c>
      <c r="BD10" s="9">
        <v>72999.174144000004</v>
      </c>
      <c r="BE10" s="9">
        <v>72999.174144000004</v>
      </c>
      <c r="BF10" s="9">
        <v>72999.174144000004</v>
      </c>
      <c r="BG10" s="9">
        <v>72999.174144000004</v>
      </c>
      <c r="BH10" s="9">
        <v>72999.174144000004</v>
      </c>
      <c r="BI10" s="9">
        <v>72999.174144000004</v>
      </c>
      <c r="BJ10" s="9">
        <v>75919.141109760007</v>
      </c>
      <c r="BK10" s="9">
        <v>75919.141109760007</v>
      </c>
      <c r="BL10" s="9">
        <v>75919.141109760007</v>
      </c>
      <c r="BM10" s="9">
        <v>75919.141109760007</v>
      </c>
      <c r="BN10" s="9">
        <v>75919.141109760007</v>
      </c>
      <c r="BO10" s="9">
        <v>75919.141109760007</v>
      </c>
      <c r="BP10" s="9">
        <v>75919.141109760007</v>
      </c>
      <c r="BQ10" s="9">
        <v>75919.141109760007</v>
      </c>
      <c r="BR10" s="9">
        <v>75919.141109760007</v>
      </c>
      <c r="BS10" s="9">
        <v>75919.141109760007</v>
      </c>
      <c r="BT10" s="9">
        <v>75919.141109760007</v>
      </c>
      <c r="BU10" s="9">
        <v>75919.141109760007</v>
      </c>
      <c r="BV10" s="9">
        <v>78955.906754150405</v>
      </c>
      <c r="BW10" s="9">
        <v>78955.906754150405</v>
      </c>
      <c r="BX10" s="9">
        <v>78955.906754150405</v>
      </c>
      <c r="BY10" s="9">
        <v>78955.906754150405</v>
      </c>
      <c r="BZ10" s="9">
        <v>78955.906754150405</v>
      </c>
      <c r="CA10" s="9">
        <v>78955.906754150405</v>
      </c>
      <c r="CB10" s="9">
        <v>78955.906754150405</v>
      </c>
      <c r="CC10" s="9">
        <v>78955.906754150405</v>
      </c>
      <c r="CD10" s="9">
        <v>78955.906754150405</v>
      </c>
      <c r="CE10" s="9">
        <v>78955.906754150405</v>
      </c>
      <c r="CF10" s="9">
        <v>78955.906754150405</v>
      </c>
      <c r="CG10" s="9">
        <v>78955.906754150405</v>
      </c>
      <c r="CH10" s="9">
        <v>82114.143024316421</v>
      </c>
      <c r="CI10" s="9">
        <v>82114.143024316421</v>
      </c>
      <c r="CJ10" s="9">
        <v>82114.143024316421</v>
      </c>
      <c r="CK10" s="9">
        <v>82114.143024316421</v>
      </c>
      <c r="CL10" s="9">
        <v>82114.143024316421</v>
      </c>
      <c r="CM10" s="9">
        <v>82114.143024316421</v>
      </c>
      <c r="CN10" s="9">
        <v>82114.143024316421</v>
      </c>
      <c r="CO10" s="9">
        <v>82114.143024316421</v>
      </c>
      <c r="CP10" s="9">
        <v>82114.143024316421</v>
      </c>
      <c r="CQ10" s="9">
        <v>82114.143024316421</v>
      </c>
      <c r="CR10" s="9">
        <v>82114.143024316421</v>
      </c>
      <c r="CS10" s="9">
        <v>82114.143024316421</v>
      </c>
      <c r="CT10" s="9">
        <v>85398.708745289085</v>
      </c>
      <c r="CU10" s="9">
        <v>85398.708745289085</v>
      </c>
      <c r="CV10" s="9">
        <v>85398.708745289085</v>
      </c>
      <c r="CW10" s="9">
        <v>85398.708745289085</v>
      </c>
      <c r="CX10" s="9">
        <v>85398.708745289085</v>
      </c>
      <c r="CY10" s="9">
        <v>85398.708745289085</v>
      </c>
    </row>
    <row r="11" spans="1:103">
      <c r="A11" t="s">
        <v>288</v>
      </c>
      <c r="B11" s="40" t="s">
        <v>277</v>
      </c>
      <c r="C11" s="40" t="s">
        <v>287</v>
      </c>
      <c r="D11" s="9">
        <v>327600</v>
      </c>
      <c r="E11" s="9">
        <v>327600</v>
      </c>
      <c r="F11" s="9">
        <v>327600</v>
      </c>
      <c r="G11" s="9">
        <v>327600</v>
      </c>
      <c r="H11" s="9">
        <v>327600</v>
      </c>
      <c r="I11" s="9">
        <v>327600</v>
      </c>
      <c r="J11" s="9">
        <v>327600</v>
      </c>
      <c r="K11" s="9">
        <v>262080</v>
      </c>
      <c r="L11" s="9">
        <v>262080</v>
      </c>
      <c r="M11" s="9">
        <v>262080</v>
      </c>
      <c r="N11" s="9">
        <v>272563.20000000001</v>
      </c>
      <c r="O11" s="9">
        <v>272563.20000000001</v>
      </c>
      <c r="P11" s="9">
        <v>272563.20000000001</v>
      </c>
      <c r="Q11" s="9">
        <v>272563.20000000001</v>
      </c>
      <c r="R11" s="9">
        <v>272563.20000000001</v>
      </c>
      <c r="S11" s="9">
        <v>272563.20000000001</v>
      </c>
      <c r="T11" s="9">
        <v>272563.20000000001</v>
      </c>
      <c r="U11" s="9">
        <v>272563.20000000001</v>
      </c>
      <c r="V11" s="9">
        <v>272563.20000000001</v>
      </c>
      <c r="W11" s="9">
        <v>272563.20000000001</v>
      </c>
      <c r="X11" s="9">
        <v>272563.20000000001</v>
      </c>
      <c r="Y11" s="9">
        <v>272563.20000000001</v>
      </c>
      <c r="Z11" s="9">
        <v>283465.728</v>
      </c>
      <c r="AA11" s="9">
        <v>283465.728</v>
      </c>
      <c r="AB11" s="9">
        <v>283465.728</v>
      </c>
      <c r="AC11" s="9">
        <v>283465.728</v>
      </c>
      <c r="AD11" s="9">
        <v>283465.728</v>
      </c>
      <c r="AE11" s="9">
        <v>283465.728</v>
      </c>
      <c r="AF11" s="9">
        <v>283465.728</v>
      </c>
      <c r="AG11" s="9">
        <v>283465.728</v>
      </c>
      <c r="AH11" s="9">
        <v>283465.728</v>
      </c>
      <c r="AI11" s="9">
        <v>283465.728</v>
      </c>
      <c r="AJ11" s="9">
        <v>283465.728</v>
      </c>
      <c r="AK11" s="9">
        <v>283465.728</v>
      </c>
      <c r="AL11" s="9">
        <v>294804.35712</v>
      </c>
      <c r="AM11" s="9">
        <v>294804.35712</v>
      </c>
      <c r="AN11" s="9">
        <v>294804.35712</v>
      </c>
      <c r="AO11" s="9">
        <v>294804.35712</v>
      </c>
      <c r="AP11" s="9">
        <v>294804.35712</v>
      </c>
      <c r="AQ11" s="9">
        <v>294804.35712</v>
      </c>
      <c r="AR11" s="9">
        <v>294804.35712</v>
      </c>
      <c r="AS11" s="9">
        <v>294804.35712</v>
      </c>
      <c r="AT11" s="9">
        <v>294804.35712</v>
      </c>
      <c r="AU11" s="9">
        <v>294804.35712</v>
      </c>
      <c r="AV11" s="9">
        <v>294804.35712</v>
      </c>
      <c r="AW11" s="9">
        <v>294804.35712</v>
      </c>
      <c r="AX11" s="9">
        <v>306596.53140480001</v>
      </c>
      <c r="AY11" s="9">
        <v>306596.53140480001</v>
      </c>
      <c r="AZ11" s="9">
        <v>306596.53140480001</v>
      </c>
      <c r="BA11" s="9">
        <v>306596.53140480001</v>
      </c>
      <c r="BB11" s="9">
        <v>306596.53140480001</v>
      </c>
      <c r="BC11" s="9">
        <v>306596.53140480001</v>
      </c>
      <c r="BD11" s="9">
        <v>306596.53140480001</v>
      </c>
      <c r="BE11" s="9">
        <v>306596.53140480001</v>
      </c>
      <c r="BF11" s="9">
        <v>306596.53140480001</v>
      </c>
      <c r="BG11" s="9">
        <v>306596.53140480001</v>
      </c>
      <c r="BH11" s="9">
        <v>306596.53140480001</v>
      </c>
      <c r="BI11" s="9">
        <v>306596.53140480001</v>
      </c>
      <c r="BJ11" s="9">
        <v>318860.39266099205</v>
      </c>
      <c r="BK11" s="9">
        <v>318860.39266099205</v>
      </c>
      <c r="BL11" s="9">
        <v>318860.39266099205</v>
      </c>
      <c r="BM11" s="9">
        <v>318860.39266099205</v>
      </c>
      <c r="BN11" s="9">
        <v>318860.39266099205</v>
      </c>
      <c r="BO11" s="9">
        <v>318860.39266099205</v>
      </c>
      <c r="BP11" s="9">
        <v>318860.39266099205</v>
      </c>
      <c r="BQ11" s="9">
        <v>318860.39266099205</v>
      </c>
      <c r="BR11" s="9">
        <v>318860.39266099205</v>
      </c>
      <c r="BS11" s="9">
        <v>318860.39266099205</v>
      </c>
      <c r="BT11" s="9">
        <v>318860.39266099205</v>
      </c>
      <c r="BU11" s="9">
        <v>318860.39266099205</v>
      </c>
      <c r="BV11" s="9">
        <v>331614.80836743175</v>
      </c>
      <c r="BW11" s="9">
        <v>331614.80836743175</v>
      </c>
      <c r="BX11" s="9">
        <v>331614.80836743175</v>
      </c>
      <c r="BY11" s="9">
        <v>331614.80836743175</v>
      </c>
      <c r="BZ11" s="9">
        <v>331614.80836743175</v>
      </c>
      <c r="CA11" s="9">
        <v>331614.80836743175</v>
      </c>
      <c r="CB11" s="9">
        <v>331614.80836743175</v>
      </c>
      <c r="CC11" s="9">
        <v>331614.80836743175</v>
      </c>
      <c r="CD11" s="9">
        <v>331614.80836743175</v>
      </c>
      <c r="CE11" s="9">
        <v>331614.80836743175</v>
      </c>
      <c r="CF11" s="9">
        <v>331614.80836743175</v>
      </c>
      <c r="CG11" s="9">
        <v>331614.80836743175</v>
      </c>
      <c r="CH11" s="9">
        <v>344879.400702129</v>
      </c>
      <c r="CI11" s="9">
        <v>344879.400702129</v>
      </c>
      <c r="CJ11" s="9">
        <v>344879.400702129</v>
      </c>
      <c r="CK11" s="9">
        <v>344879.400702129</v>
      </c>
      <c r="CL11" s="9">
        <v>344879.400702129</v>
      </c>
      <c r="CM11" s="9">
        <v>344879.400702129</v>
      </c>
      <c r="CN11" s="9">
        <v>344879.400702129</v>
      </c>
      <c r="CO11" s="9">
        <v>344879.400702129</v>
      </c>
      <c r="CP11" s="9">
        <v>344879.400702129</v>
      </c>
      <c r="CQ11" s="9">
        <v>344879.400702129</v>
      </c>
      <c r="CR11" s="9">
        <v>344879.400702129</v>
      </c>
      <c r="CS11" s="9">
        <v>344879.400702129</v>
      </c>
      <c r="CT11" s="9">
        <v>358674.57673021418</v>
      </c>
      <c r="CU11" s="9">
        <v>358674.57673021418</v>
      </c>
      <c r="CV11" s="9">
        <v>358674.57673021418</v>
      </c>
      <c r="CW11" s="9">
        <v>358674.57673021418</v>
      </c>
      <c r="CX11" s="9">
        <v>358674.57673021418</v>
      </c>
      <c r="CY11" s="9">
        <v>358674.57673021418</v>
      </c>
    </row>
    <row r="12" spans="1:103">
      <c r="A12" t="s">
        <v>289</v>
      </c>
      <c r="B12" s="40" t="s">
        <v>277</v>
      </c>
      <c r="C12" s="40" t="s">
        <v>287</v>
      </c>
      <c r="D12" s="9">
        <v>104000</v>
      </c>
      <c r="E12" s="9">
        <v>104000</v>
      </c>
      <c r="F12" s="9">
        <v>104000</v>
      </c>
      <c r="G12" s="9">
        <v>104000</v>
      </c>
      <c r="H12" s="9">
        <v>104000</v>
      </c>
      <c r="I12" s="9">
        <v>104000</v>
      </c>
      <c r="J12" s="9">
        <v>104000</v>
      </c>
      <c r="K12" s="9">
        <v>62400</v>
      </c>
      <c r="L12" s="9">
        <v>62400</v>
      </c>
      <c r="M12" s="9">
        <v>62400</v>
      </c>
      <c r="N12" s="9">
        <v>64896</v>
      </c>
      <c r="O12" s="9">
        <v>64896</v>
      </c>
      <c r="P12" s="9">
        <v>64896</v>
      </c>
      <c r="Q12" s="9">
        <v>64896</v>
      </c>
      <c r="R12" s="9">
        <v>64896</v>
      </c>
      <c r="S12" s="9">
        <v>64896</v>
      </c>
      <c r="T12" s="9">
        <v>64896</v>
      </c>
      <c r="U12" s="9">
        <v>64896</v>
      </c>
      <c r="V12" s="9">
        <v>64896</v>
      </c>
      <c r="W12" s="9">
        <v>64896</v>
      </c>
      <c r="X12" s="9">
        <v>64896</v>
      </c>
      <c r="Y12" s="9">
        <v>64896</v>
      </c>
      <c r="Z12" s="9">
        <v>67491.839999999997</v>
      </c>
      <c r="AA12" s="9">
        <v>67491.839999999997</v>
      </c>
      <c r="AB12" s="9">
        <v>67491.839999999997</v>
      </c>
      <c r="AC12" s="9">
        <v>67491.839999999997</v>
      </c>
      <c r="AD12" s="9">
        <v>67491.839999999997</v>
      </c>
      <c r="AE12" s="9">
        <v>67491.839999999997</v>
      </c>
      <c r="AF12" s="9">
        <v>67491.839999999997</v>
      </c>
      <c r="AG12" s="9">
        <v>67491.839999999997</v>
      </c>
      <c r="AH12" s="9">
        <v>67491.839999999997</v>
      </c>
      <c r="AI12" s="9">
        <v>67491.839999999997</v>
      </c>
      <c r="AJ12" s="9">
        <v>67491.839999999997</v>
      </c>
      <c r="AK12" s="9">
        <v>67491.839999999997</v>
      </c>
      <c r="AL12" s="9">
        <v>70191.513600000006</v>
      </c>
      <c r="AM12" s="9">
        <v>70191.513600000006</v>
      </c>
      <c r="AN12" s="9">
        <v>70191.513600000006</v>
      </c>
      <c r="AO12" s="9">
        <v>70191.513600000006</v>
      </c>
      <c r="AP12" s="9">
        <v>70191.513600000006</v>
      </c>
      <c r="AQ12" s="9">
        <v>70191.513600000006</v>
      </c>
      <c r="AR12" s="9">
        <v>70191.513600000006</v>
      </c>
      <c r="AS12" s="9">
        <v>70191.513600000006</v>
      </c>
      <c r="AT12" s="9">
        <v>70191.513600000006</v>
      </c>
      <c r="AU12" s="9">
        <v>70191.513600000006</v>
      </c>
      <c r="AV12" s="9">
        <v>70191.513600000006</v>
      </c>
      <c r="AW12" s="9">
        <v>70191.513600000006</v>
      </c>
      <c r="AX12" s="9">
        <v>72999.174144000004</v>
      </c>
      <c r="AY12" s="9">
        <v>72999.174144000004</v>
      </c>
      <c r="AZ12" s="9">
        <v>72999.174144000004</v>
      </c>
      <c r="BA12" s="9">
        <v>72999.174144000004</v>
      </c>
      <c r="BB12" s="9">
        <v>72999.174144000004</v>
      </c>
      <c r="BC12" s="9">
        <v>72999.174144000004</v>
      </c>
      <c r="BD12" s="9">
        <v>72999.174144000004</v>
      </c>
      <c r="BE12" s="9">
        <v>72999.174144000004</v>
      </c>
      <c r="BF12" s="9">
        <v>72999.174144000004</v>
      </c>
      <c r="BG12" s="9">
        <v>72999.174144000004</v>
      </c>
      <c r="BH12" s="9">
        <v>72999.174144000004</v>
      </c>
      <c r="BI12" s="9">
        <v>72999.174144000004</v>
      </c>
      <c r="BJ12" s="9">
        <v>75919.141109760007</v>
      </c>
      <c r="BK12" s="9">
        <v>75919.141109760007</v>
      </c>
      <c r="BL12" s="9">
        <v>75919.141109760007</v>
      </c>
      <c r="BM12" s="9">
        <v>75919.141109760007</v>
      </c>
      <c r="BN12" s="9">
        <v>75919.141109760007</v>
      </c>
      <c r="BO12" s="9">
        <v>75919.141109760007</v>
      </c>
      <c r="BP12" s="9">
        <v>75919.141109760007</v>
      </c>
      <c r="BQ12" s="9">
        <v>75919.141109760007</v>
      </c>
      <c r="BR12" s="9">
        <v>75919.141109760007</v>
      </c>
      <c r="BS12" s="9">
        <v>75919.141109760007</v>
      </c>
      <c r="BT12" s="9">
        <v>75919.141109760007</v>
      </c>
      <c r="BU12" s="9">
        <v>75919.141109760007</v>
      </c>
      <c r="BV12" s="9">
        <v>78955.906754150405</v>
      </c>
      <c r="BW12" s="9">
        <v>78955.906754150405</v>
      </c>
      <c r="BX12" s="9">
        <v>78955.906754150405</v>
      </c>
      <c r="BY12" s="9">
        <v>78955.906754150405</v>
      </c>
      <c r="BZ12" s="9">
        <v>78955.906754150405</v>
      </c>
      <c r="CA12" s="9">
        <v>78955.906754150405</v>
      </c>
      <c r="CB12" s="9">
        <v>78955.906754150405</v>
      </c>
      <c r="CC12" s="9">
        <v>78955.906754150405</v>
      </c>
      <c r="CD12" s="9">
        <v>78955.906754150405</v>
      </c>
      <c r="CE12" s="9">
        <v>78955.906754150405</v>
      </c>
      <c r="CF12" s="9">
        <v>78955.906754150405</v>
      </c>
      <c r="CG12" s="9">
        <v>78955.906754150405</v>
      </c>
      <c r="CH12" s="9">
        <v>82114.143024316421</v>
      </c>
      <c r="CI12" s="9">
        <v>82114.143024316421</v>
      </c>
      <c r="CJ12" s="9">
        <v>82114.143024316421</v>
      </c>
      <c r="CK12" s="9">
        <v>82114.143024316421</v>
      </c>
      <c r="CL12" s="9">
        <v>82114.143024316421</v>
      </c>
      <c r="CM12" s="9">
        <v>82114.143024316421</v>
      </c>
      <c r="CN12" s="9">
        <v>82114.143024316421</v>
      </c>
      <c r="CO12" s="9">
        <v>82114.143024316421</v>
      </c>
      <c r="CP12" s="9">
        <v>82114.143024316421</v>
      </c>
      <c r="CQ12" s="9">
        <v>82114.143024316421</v>
      </c>
      <c r="CR12" s="9">
        <v>82114.143024316421</v>
      </c>
      <c r="CS12" s="9">
        <v>82114.143024316421</v>
      </c>
      <c r="CT12" s="9">
        <v>85398.708745289085</v>
      </c>
      <c r="CU12" s="9">
        <v>85398.708745289085</v>
      </c>
      <c r="CV12" s="9">
        <v>85398.708745289085</v>
      </c>
      <c r="CW12" s="9">
        <v>85398.708745289085</v>
      </c>
      <c r="CX12" s="9">
        <v>85398.708745289085</v>
      </c>
      <c r="CY12" s="9">
        <v>85398.708745289085</v>
      </c>
    </row>
    <row r="13" spans="1:103">
      <c r="A13" t="s">
        <v>290</v>
      </c>
      <c r="B13" s="40" t="s">
        <v>277</v>
      </c>
      <c r="C13" s="40" t="s">
        <v>287</v>
      </c>
      <c r="D13" s="9">
        <v>62400</v>
      </c>
      <c r="E13" s="9">
        <v>62400</v>
      </c>
      <c r="F13" s="9">
        <v>62400</v>
      </c>
      <c r="G13" s="9">
        <v>62400</v>
      </c>
      <c r="H13" s="9">
        <v>62400</v>
      </c>
      <c r="I13" s="9">
        <v>62400</v>
      </c>
      <c r="J13" s="9">
        <v>62400</v>
      </c>
      <c r="K13" s="9">
        <v>62400</v>
      </c>
      <c r="L13" s="9">
        <v>62400</v>
      </c>
      <c r="M13" s="9">
        <v>62400</v>
      </c>
      <c r="N13" s="9">
        <v>64896</v>
      </c>
      <c r="O13" s="9">
        <v>64896</v>
      </c>
      <c r="P13" s="9">
        <v>64896</v>
      </c>
      <c r="Q13" s="9">
        <v>64896</v>
      </c>
      <c r="R13" s="9">
        <v>64896</v>
      </c>
      <c r="S13" s="9">
        <v>64896</v>
      </c>
      <c r="T13" s="9">
        <v>64896</v>
      </c>
      <c r="U13" s="9">
        <v>64896</v>
      </c>
      <c r="V13" s="9">
        <v>64896</v>
      </c>
      <c r="W13" s="9">
        <v>64896</v>
      </c>
      <c r="X13" s="9">
        <v>64896</v>
      </c>
      <c r="Y13" s="9">
        <v>64896</v>
      </c>
      <c r="Z13" s="9">
        <v>67491.839999999997</v>
      </c>
      <c r="AA13" s="9">
        <v>67491.839999999997</v>
      </c>
      <c r="AB13" s="9">
        <v>67491.839999999997</v>
      </c>
      <c r="AC13" s="9">
        <v>67491.839999999997</v>
      </c>
      <c r="AD13" s="9">
        <v>67491.839999999997</v>
      </c>
      <c r="AE13" s="9">
        <v>67491.839999999997</v>
      </c>
      <c r="AF13" s="9">
        <v>67491.839999999997</v>
      </c>
      <c r="AG13" s="9">
        <v>67491.839999999997</v>
      </c>
      <c r="AH13" s="9">
        <v>67491.839999999997</v>
      </c>
      <c r="AI13" s="9">
        <v>67491.839999999997</v>
      </c>
      <c r="AJ13" s="9">
        <v>67491.839999999997</v>
      </c>
      <c r="AK13" s="9">
        <v>67491.839999999997</v>
      </c>
      <c r="AL13" s="9">
        <v>70191.513600000006</v>
      </c>
      <c r="AM13" s="9">
        <v>70191.513600000006</v>
      </c>
      <c r="AN13" s="9">
        <v>70191.513600000006</v>
      </c>
      <c r="AO13" s="9">
        <v>70191.513600000006</v>
      </c>
      <c r="AP13" s="9">
        <v>70191.513600000006</v>
      </c>
      <c r="AQ13" s="9">
        <v>70191.513600000006</v>
      </c>
      <c r="AR13" s="9">
        <v>70191.513600000006</v>
      </c>
      <c r="AS13" s="9">
        <v>70191.513600000006</v>
      </c>
      <c r="AT13" s="9">
        <v>70191.513600000006</v>
      </c>
      <c r="AU13" s="9">
        <v>70191.513600000006</v>
      </c>
      <c r="AV13" s="9">
        <v>70191.513600000006</v>
      </c>
      <c r="AW13" s="9">
        <v>70191.513600000006</v>
      </c>
      <c r="AX13" s="9">
        <v>72999.174144000004</v>
      </c>
      <c r="AY13" s="9">
        <v>72999.174144000004</v>
      </c>
      <c r="AZ13" s="9">
        <v>72999.174144000004</v>
      </c>
      <c r="BA13" s="9">
        <v>72999.174144000004</v>
      </c>
      <c r="BB13" s="9">
        <v>72999.174144000004</v>
      </c>
      <c r="BC13" s="9">
        <v>72999.174144000004</v>
      </c>
      <c r="BD13" s="9">
        <v>72999.174144000004</v>
      </c>
      <c r="BE13" s="9">
        <v>72999.174144000004</v>
      </c>
      <c r="BF13" s="9">
        <v>72999.174144000004</v>
      </c>
      <c r="BG13" s="9">
        <v>72999.174144000004</v>
      </c>
      <c r="BH13" s="9">
        <v>72999.174144000004</v>
      </c>
      <c r="BI13" s="9">
        <v>72999.174144000004</v>
      </c>
      <c r="BJ13" s="9">
        <v>75919.141109760007</v>
      </c>
      <c r="BK13" s="9">
        <v>75919.141109760007</v>
      </c>
      <c r="BL13" s="9">
        <v>75919.141109760007</v>
      </c>
      <c r="BM13" s="9">
        <v>75919.141109760007</v>
      </c>
      <c r="BN13" s="9">
        <v>75919.141109760007</v>
      </c>
      <c r="BO13" s="9">
        <v>75919.141109760007</v>
      </c>
      <c r="BP13" s="9">
        <v>75919.141109760007</v>
      </c>
      <c r="BQ13" s="9">
        <v>75919.141109760007</v>
      </c>
      <c r="BR13" s="9">
        <v>75919.141109760007</v>
      </c>
      <c r="BS13" s="9">
        <v>75919.141109760007</v>
      </c>
      <c r="BT13" s="9">
        <v>75919.141109760007</v>
      </c>
      <c r="BU13" s="9">
        <v>75919.141109760007</v>
      </c>
      <c r="BV13" s="9">
        <v>78955.906754150405</v>
      </c>
      <c r="BW13" s="9">
        <v>78955.906754150405</v>
      </c>
      <c r="BX13" s="9">
        <v>78955.906754150405</v>
      </c>
      <c r="BY13" s="9">
        <v>78955.906754150405</v>
      </c>
      <c r="BZ13" s="9">
        <v>78955.906754150405</v>
      </c>
      <c r="CA13" s="9">
        <v>78955.906754150405</v>
      </c>
      <c r="CB13" s="9">
        <v>78955.906754150405</v>
      </c>
      <c r="CC13" s="9">
        <v>78955.906754150405</v>
      </c>
      <c r="CD13" s="9">
        <v>78955.906754150405</v>
      </c>
      <c r="CE13" s="9">
        <v>78955.906754150405</v>
      </c>
      <c r="CF13" s="9">
        <v>78955.906754150405</v>
      </c>
      <c r="CG13" s="9">
        <v>78955.906754150405</v>
      </c>
      <c r="CH13" s="9">
        <v>82114.143024316421</v>
      </c>
      <c r="CI13" s="9">
        <v>82114.143024316421</v>
      </c>
      <c r="CJ13" s="9">
        <v>82114.143024316421</v>
      </c>
      <c r="CK13" s="9">
        <v>82114.143024316421</v>
      </c>
      <c r="CL13" s="9">
        <v>82114.143024316421</v>
      </c>
      <c r="CM13" s="9">
        <v>82114.143024316421</v>
      </c>
      <c r="CN13" s="9">
        <v>82114.143024316421</v>
      </c>
      <c r="CO13" s="9">
        <v>82114.143024316421</v>
      </c>
      <c r="CP13" s="9">
        <v>82114.143024316421</v>
      </c>
      <c r="CQ13" s="9">
        <v>82114.143024316421</v>
      </c>
      <c r="CR13" s="9">
        <v>82114.143024316421</v>
      </c>
      <c r="CS13" s="9">
        <v>82114.143024316421</v>
      </c>
      <c r="CT13" s="9">
        <v>85398.708745289085</v>
      </c>
      <c r="CU13" s="9">
        <v>85398.708745289085</v>
      </c>
      <c r="CV13" s="9">
        <v>85398.708745289085</v>
      </c>
      <c r="CW13" s="9">
        <v>85398.708745289085</v>
      </c>
      <c r="CX13" s="9">
        <v>85398.708745289085</v>
      </c>
      <c r="CY13" s="9">
        <v>85398.708745289085</v>
      </c>
    </row>
    <row r="14" spans="1:103">
      <c r="A14" t="s">
        <v>291</v>
      </c>
      <c r="B14" s="40" t="s">
        <v>277</v>
      </c>
      <c r="C14" s="40" t="s">
        <v>287</v>
      </c>
      <c r="D14" s="9">
        <v>72800</v>
      </c>
      <c r="E14" s="9">
        <v>72800</v>
      </c>
      <c r="F14" s="9">
        <v>72800</v>
      </c>
      <c r="G14" s="9">
        <v>72800</v>
      </c>
      <c r="H14" s="9">
        <v>72800</v>
      </c>
      <c r="I14" s="9">
        <v>72800</v>
      </c>
      <c r="J14" s="9">
        <v>72800</v>
      </c>
      <c r="K14" s="9">
        <v>72800</v>
      </c>
      <c r="L14" s="9">
        <v>72800</v>
      </c>
      <c r="M14" s="9">
        <v>72800</v>
      </c>
      <c r="N14" s="9">
        <v>75712</v>
      </c>
      <c r="O14" s="9">
        <v>75712</v>
      </c>
      <c r="P14" s="9">
        <v>75712</v>
      </c>
      <c r="Q14" s="9">
        <v>75712</v>
      </c>
      <c r="R14" s="9">
        <v>75712</v>
      </c>
      <c r="S14" s="9">
        <v>75712</v>
      </c>
      <c r="T14" s="9">
        <v>75712</v>
      </c>
      <c r="U14" s="9">
        <v>75712</v>
      </c>
      <c r="V14" s="9">
        <v>75712</v>
      </c>
      <c r="W14" s="9">
        <v>75712</v>
      </c>
      <c r="X14" s="9">
        <v>75712</v>
      </c>
      <c r="Y14" s="9">
        <v>75712</v>
      </c>
      <c r="Z14" s="9">
        <v>78740.479999999996</v>
      </c>
      <c r="AA14" s="9">
        <v>78740.479999999996</v>
      </c>
      <c r="AB14" s="9">
        <v>78740.479999999996</v>
      </c>
      <c r="AC14" s="9">
        <v>78740.479999999996</v>
      </c>
      <c r="AD14" s="9">
        <v>78740.479999999996</v>
      </c>
      <c r="AE14" s="9">
        <v>78740.479999999996</v>
      </c>
      <c r="AF14" s="9">
        <v>78740.479999999996</v>
      </c>
      <c r="AG14" s="9">
        <v>78740.479999999996</v>
      </c>
      <c r="AH14" s="9">
        <v>78740.479999999996</v>
      </c>
      <c r="AI14" s="9">
        <v>78740.479999999996</v>
      </c>
      <c r="AJ14" s="9">
        <v>78740.479999999996</v>
      </c>
      <c r="AK14" s="9">
        <v>78740.479999999996</v>
      </c>
      <c r="AL14" s="9">
        <v>81890.099199999997</v>
      </c>
      <c r="AM14" s="9">
        <v>81890.099199999997</v>
      </c>
      <c r="AN14" s="9">
        <v>81890.099199999997</v>
      </c>
      <c r="AO14" s="9">
        <v>81890.099199999997</v>
      </c>
      <c r="AP14" s="9">
        <v>81890.099199999997</v>
      </c>
      <c r="AQ14" s="9">
        <v>81890.099199999997</v>
      </c>
      <c r="AR14" s="9">
        <v>81890.099199999997</v>
      </c>
      <c r="AS14" s="9">
        <v>81890.099199999997</v>
      </c>
      <c r="AT14" s="9">
        <v>81890.099199999997</v>
      </c>
      <c r="AU14" s="9">
        <v>81890.099199999997</v>
      </c>
      <c r="AV14" s="9">
        <v>81890.099199999997</v>
      </c>
      <c r="AW14" s="9">
        <v>81890.099199999997</v>
      </c>
      <c r="AX14" s="9">
        <v>85165.703167999993</v>
      </c>
      <c r="AY14" s="9">
        <v>85165.703167999993</v>
      </c>
      <c r="AZ14" s="9">
        <v>85165.703167999993</v>
      </c>
      <c r="BA14" s="9">
        <v>85165.703167999993</v>
      </c>
      <c r="BB14" s="9">
        <v>85165.703167999993</v>
      </c>
      <c r="BC14" s="9">
        <v>85165.703167999993</v>
      </c>
      <c r="BD14" s="9">
        <v>85165.703167999993</v>
      </c>
      <c r="BE14" s="9">
        <v>85165.703167999993</v>
      </c>
      <c r="BF14" s="9">
        <v>85165.703167999993</v>
      </c>
      <c r="BG14" s="9">
        <v>85165.703167999993</v>
      </c>
      <c r="BH14" s="9">
        <v>85165.703167999993</v>
      </c>
      <c r="BI14" s="9">
        <v>85165.703167999993</v>
      </c>
      <c r="BJ14" s="9">
        <v>88572.331294719988</v>
      </c>
      <c r="BK14" s="9">
        <v>88572.331294719988</v>
      </c>
      <c r="BL14" s="9">
        <v>88572.331294719988</v>
      </c>
      <c r="BM14" s="9">
        <v>88572.331294719988</v>
      </c>
      <c r="BN14" s="9">
        <v>88572.331294719988</v>
      </c>
      <c r="BO14" s="9">
        <v>88572.331294719988</v>
      </c>
      <c r="BP14" s="9">
        <v>88572.331294719988</v>
      </c>
      <c r="BQ14" s="9">
        <v>88572.331294719988</v>
      </c>
      <c r="BR14" s="9">
        <v>88572.331294719988</v>
      </c>
      <c r="BS14" s="9">
        <v>88572.331294719988</v>
      </c>
      <c r="BT14" s="9">
        <v>88572.331294719988</v>
      </c>
      <c r="BU14" s="9">
        <v>88572.331294719988</v>
      </c>
      <c r="BV14" s="9">
        <v>92115.224546508791</v>
      </c>
      <c r="BW14" s="9">
        <v>92115.224546508791</v>
      </c>
      <c r="BX14" s="9">
        <v>92115.224546508791</v>
      </c>
      <c r="BY14" s="9">
        <v>92115.224546508791</v>
      </c>
      <c r="BZ14" s="9">
        <v>92115.224546508791</v>
      </c>
      <c r="CA14" s="9">
        <v>92115.224546508791</v>
      </c>
      <c r="CB14" s="9">
        <v>92115.224546508791</v>
      </c>
      <c r="CC14" s="9">
        <v>92115.224546508791</v>
      </c>
      <c r="CD14" s="9">
        <v>92115.224546508791</v>
      </c>
      <c r="CE14" s="9">
        <v>92115.224546508791</v>
      </c>
      <c r="CF14" s="9">
        <v>92115.224546508791</v>
      </c>
      <c r="CG14" s="9">
        <v>92115.224546508791</v>
      </c>
      <c r="CH14" s="9">
        <v>95799.833528369141</v>
      </c>
      <c r="CI14" s="9">
        <v>95799.833528369141</v>
      </c>
      <c r="CJ14" s="9">
        <v>95799.833528369141</v>
      </c>
      <c r="CK14" s="9">
        <v>95799.833528369141</v>
      </c>
      <c r="CL14" s="9">
        <v>95799.833528369141</v>
      </c>
      <c r="CM14" s="9">
        <v>95799.833528369141</v>
      </c>
      <c r="CN14" s="9">
        <v>95799.833528369141</v>
      </c>
      <c r="CO14" s="9">
        <v>95799.833528369141</v>
      </c>
      <c r="CP14" s="9">
        <v>95799.833528369141</v>
      </c>
      <c r="CQ14" s="9">
        <v>95799.833528369141</v>
      </c>
      <c r="CR14" s="9">
        <v>95799.833528369141</v>
      </c>
      <c r="CS14" s="9">
        <v>95799.833528369141</v>
      </c>
      <c r="CT14" s="9">
        <v>99631.826869503915</v>
      </c>
      <c r="CU14" s="9">
        <v>99631.826869503915</v>
      </c>
      <c r="CV14" s="9">
        <v>99631.826869503915</v>
      </c>
      <c r="CW14" s="9">
        <v>99631.826869503915</v>
      </c>
      <c r="CX14" s="9">
        <v>99631.826869503915</v>
      </c>
      <c r="CY14" s="9">
        <v>99631.826869503915</v>
      </c>
    </row>
    <row r="15" spans="1:103">
      <c r="A15" t="s">
        <v>292</v>
      </c>
      <c r="B15" s="40" t="s">
        <v>277</v>
      </c>
      <c r="C15" s="40" t="s">
        <v>287</v>
      </c>
      <c r="D15" s="9">
        <v>62400</v>
      </c>
      <c r="E15" s="9">
        <v>62400</v>
      </c>
      <c r="F15" s="9">
        <v>62400</v>
      </c>
      <c r="G15" s="9">
        <v>62400</v>
      </c>
      <c r="H15" s="9">
        <v>62400</v>
      </c>
      <c r="I15" s="9">
        <v>62400</v>
      </c>
      <c r="J15" s="9">
        <v>62400</v>
      </c>
      <c r="K15" s="9">
        <v>62400</v>
      </c>
      <c r="L15" s="9">
        <v>62400</v>
      </c>
      <c r="M15" s="9">
        <v>62400</v>
      </c>
      <c r="N15" s="9">
        <v>64896</v>
      </c>
      <c r="O15" s="9">
        <v>64896</v>
      </c>
      <c r="P15" s="9">
        <v>64896</v>
      </c>
      <c r="Q15" s="9">
        <v>64896</v>
      </c>
      <c r="R15" s="9">
        <v>64896</v>
      </c>
      <c r="S15" s="9">
        <v>64896</v>
      </c>
      <c r="T15" s="9">
        <v>64896</v>
      </c>
      <c r="U15" s="9">
        <v>64896</v>
      </c>
      <c r="V15" s="9">
        <v>64896</v>
      </c>
      <c r="W15" s="9">
        <v>64896</v>
      </c>
      <c r="X15" s="9">
        <v>64896</v>
      </c>
      <c r="Y15" s="9">
        <v>64896</v>
      </c>
      <c r="Z15" s="9">
        <v>67491.839999999997</v>
      </c>
      <c r="AA15" s="9">
        <v>67491.839999999997</v>
      </c>
      <c r="AB15" s="9">
        <v>67491.839999999997</v>
      </c>
      <c r="AC15" s="9">
        <v>67491.839999999997</v>
      </c>
      <c r="AD15" s="9">
        <v>67491.839999999997</v>
      </c>
      <c r="AE15" s="9">
        <v>67491.839999999997</v>
      </c>
      <c r="AF15" s="9">
        <v>67491.839999999997</v>
      </c>
      <c r="AG15" s="9">
        <v>67491.839999999997</v>
      </c>
      <c r="AH15" s="9">
        <v>67491.839999999997</v>
      </c>
      <c r="AI15" s="9">
        <v>67491.839999999997</v>
      </c>
      <c r="AJ15" s="9">
        <v>67491.839999999997</v>
      </c>
      <c r="AK15" s="9">
        <v>67491.839999999997</v>
      </c>
      <c r="AL15" s="9">
        <v>70191.513600000006</v>
      </c>
      <c r="AM15" s="9">
        <v>70191.513600000006</v>
      </c>
      <c r="AN15" s="9">
        <v>70191.513600000006</v>
      </c>
      <c r="AO15" s="9">
        <v>70191.513600000006</v>
      </c>
      <c r="AP15" s="9">
        <v>70191.513600000006</v>
      </c>
      <c r="AQ15" s="9">
        <v>70191.513600000006</v>
      </c>
      <c r="AR15" s="9">
        <v>70191.513600000006</v>
      </c>
      <c r="AS15" s="9">
        <v>70191.513600000006</v>
      </c>
      <c r="AT15" s="9">
        <v>70191.513600000006</v>
      </c>
      <c r="AU15" s="9">
        <v>70191.513600000006</v>
      </c>
      <c r="AV15" s="9">
        <v>70191.513600000006</v>
      </c>
      <c r="AW15" s="9">
        <v>70191.513600000006</v>
      </c>
      <c r="AX15" s="9">
        <v>72999.174144000004</v>
      </c>
      <c r="AY15" s="9">
        <v>72999.174144000004</v>
      </c>
      <c r="AZ15" s="9">
        <v>72999.174144000004</v>
      </c>
      <c r="BA15" s="9">
        <v>72999.174144000004</v>
      </c>
      <c r="BB15" s="9">
        <v>72999.174144000004</v>
      </c>
      <c r="BC15" s="9">
        <v>72999.174144000004</v>
      </c>
      <c r="BD15" s="9">
        <v>72999.174144000004</v>
      </c>
      <c r="BE15" s="9">
        <v>72999.174144000004</v>
      </c>
      <c r="BF15" s="9">
        <v>72999.174144000004</v>
      </c>
      <c r="BG15" s="9">
        <v>72999.174144000004</v>
      </c>
      <c r="BH15" s="9">
        <v>72999.174144000004</v>
      </c>
      <c r="BI15" s="9">
        <v>72999.174144000004</v>
      </c>
      <c r="BJ15" s="9">
        <v>75919.141109760007</v>
      </c>
      <c r="BK15" s="9">
        <v>75919.141109760007</v>
      </c>
      <c r="BL15" s="9">
        <v>75919.141109760007</v>
      </c>
      <c r="BM15" s="9">
        <v>75919.141109760007</v>
      </c>
      <c r="BN15" s="9">
        <v>75919.141109760007</v>
      </c>
      <c r="BO15" s="9">
        <v>75919.141109760007</v>
      </c>
      <c r="BP15" s="9">
        <v>75919.141109760007</v>
      </c>
      <c r="BQ15" s="9">
        <v>75919.141109760007</v>
      </c>
      <c r="BR15" s="9">
        <v>75919.141109760007</v>
      </c>
      <c r="BS15" s="9">
        <v>75919.141109760007</v>
      </c>
      <c r="BT15" s="9">
        <v>75919.141109760007</v>
      </c>
      <c r="BU15" s="9">
        <v>75919.141109760007</v>
      </c>
      <c r="BV15" s="9">
        <v>78955.906754150405</v>
      </c>
      <c r="BW15" s="9">
        <v>78955.906754150405</v>
      </c>
      <c r="BX15" s="9">
        <v>78955.906754150405</v>
      </c>
      <c r="BY15" s="9">
        <v>78955.906754150405</v>
      </c>
      <c r="BZ15" s="9">
        <v>78955.906754150405</v>
      </c>
      <c r="CA15" s="9">
        <v>78955.906754150405</v>
      </c>
      <c r="CB15" s="9">
        <v>78955.906754150405</v>
      </c>
      <c r="CC15" s="9">
        <v>78955.906754150405</v>
      </c>
      <c r="CD15" s="9">
        <v>78955.906754150405</v>
      </c>
      <c r="CE15" s="9">
        <v>78955.906754150405</v>
      </c>
      <c r="CF15" s="9">
        <v>78955.906754150405</v>
      </c>
      <c r="CG15" s="9">
        <v>78955.906754150405</v>
      </c>
      <c r="CH15" s="9">
        <v>82114.143024316421</v>
      </c>
      <c r="CI15" s="9">
        <v>82114.143024316421</v>
      </c>
      <c r="CJ15" s="9">
        <v>82114.143024316421</v>
      </c>
      <c r="CK15" s="9">
        <v>82114.143024316421</v>
      </c>
      <c r="CL15" s="9">
        <v>82114.143024316421</v>
      </c>
      <c r="CM15" s="9">
        <v>82114.143024316421</v>
      </c>
      <c r="CN15" s="9">
        <v>82114.143024316421</v>
      </c>
      <c r="CO15" s="9">
        <v>82114.143024316421</v>
      </c>
      <c r="CP15" s="9">
        <v>82114.143024316421</v>
      </c>
      <c r="CQ15" s="9">
        <v>82114.143024316421</v>
      </c>
      <c r="CR15" s="9">
        <v>82114.143024316421</v>
      </c>
      <c r="CS15" s="9">
        <v>82114.143024316421</v>
      </c>
      <c r="CT15" s="9">
        <v>85398.708745289085</v>
      </c>
      <c r="CU15" s="9">
        <v>85398.708745289085</v>
      </c>
      <c r="CV15" s="9">
        <v>85398.708745289085</v>
      </c>
      <c r="CW15" s="9">
        <v>85398.708745289085</v>
      </c>
      <c r="CX15" s="9">
        <v>85398.708745289085</v>
      </c>
      <c r="CY15" s="9">
        <v>85398.708745289085</v>
      </c>
    </row>
    <row r="16" spans="1:103">
      <c r="A16" t="s">
        <v>293</v>
      </c>
      <c r="B16" s="40" t="s">
        <v>277</v>
      </c>
      <c r="C16" s="40" t="s">
        <v>287</v>
      </c>
      <c r="D16" s="9">
        <v>72800</v>
      </c>
      <c r="E16" s="9">
        <v>72800</v>
      </c>
      <c r="F16" s="9">
        <v>72800</v>
      </c>
      <c r="G16" s="9">
        <v>72800</v>
      </c>
      <c r="H16" s="9">
        <v>72800</v>
      </c>
      <c r="I16" s="9">
        <v>72800</v>
      </c>
      <c r="J16" s="9">
        <v>72800</v>
      </c>
      <c r="K16" s="9">
        <v>72800</v>
      </c>
      <c r="L16" s="9">
        <v>72800</v>
      </c>
      <c r="M16" s="9">
        <v>72800</v>
      </c>
      <c r="N16" s="9">
        <v>75712</v>
      </c>
      <c r="O16" s="9">
        <v>75712</v>
      </c>
      <c r="P16" s="9">
        <v>75712</v>
      </c>
      <c r="Q16" s="9">
        <v>75712</v>
      </c>
      <c r="R16" s="9">
        <v>75712</v>
      </c>
      <c r="S16" s="9">
        <v>75712</v>
      </c>
      <c r="T16" s="9">
        <v>75712</v>
      </c>
      <c r="U16" s="9">
        <v>75712</v>
      </c>
      <c r="V16" s="9">
        <v>75712</v>
      </c>
      <c r="W16" s="9">
        <v>75712</v>
      </c>
      <c r="X16" s="9">
        <v>75712</v>
      </c>
      <c r="Y16" s="9">
        <v>75712</v>
      </c>
      <c r="Z16" s="9">
        <v>78740.479999999996</v>
      </c>
      <c r="AA16" s="9">
        <v>78740.479999999996</v>
      </c>
      <c r="AB16" s="9">
        <v>78740.479999999996</v>
      </c>
      <c r="AC16" s="9">
        <v>78740.479999999996</v>
      </c>
      <c r="AD16" s="9">
        <v>78740.479999999996</v>
      </c>
      <c r="AE16" s="9">
        <v>78740.479999999996</v>
      </c>
      <c r="AF16" s="9">
        <v>78740.479999999996</v>
      </c>
      <c r="AG16" s="9">
        <v>78740.479999999996</v>
      </c>
      <c r="AH16" s="9">
        <v>78740.479999999996</v>
      </c>
      <c r="AI16" s="9">
        <v>78740.479999999996</v>
      </c>
      <c r="AJ16" s="9">
        <v>78740.479999999996</v>
      </c>
      <c r="AK16" s="9">
        <v>78740.479999999996</v>
      </c>
      <c r="AL16" s="9">
        <v>81890.099199999997</v>
      </c>
      <c r="AM16" s="9">
        <v>81890.099199999997</v>
      </c>
      <c r="AN16" s="9">
        <v>81890.099199999997</v>
      </c>
      <c r="AO16" s="9">
        <v>81890.099199999997</v>
      </c>
      <c r="AP16" s="9">
        <v>81890.099199999997</v>
      </c>
      <c r="AQ16" s="9">
        <v>81890.099199999997</v>
      </c>
      <c r="AR16" s="9">
        <v>81890.099199999997</v>
      </c>
      <c r="AS16" s="9">
        <v>81890.099199999997</v>
      </c>
      <c r="AT16" s="9">
        <v>81890.099199999997</v>
      </c>
      <c r="AU16" s="9">
        <v>81890.099199999997</v>
      </c>
      <c r="AV16" s="9">
        <v>81890.099199999997</v>
      </c>
      <c r="AW16" s="9">
        <v>81890.099199999997</v>
      </c>
      <c r="AX16" s="9">
        <v>85165.703167999993</v>
      </c>
      <c r="AY16" s="9">
        <v>85165.703167999993</v>
      </c>
      <c r="AZ16" s="9">
        <v>85165.703167999993</v>
      </c>
      <c r="BA16" s="9">
        <v>85165.703167999993</v>
      </c>
      <c r="BB16" s="9">
        <v>85165.703167999993</v>
      </c>
      <c r="BC16" s="9">
        <v>85165.703167999993</v>
      </c>
      <c r="BD16" s="9">
        <v>85165.703167999993</v>
      </c>
      <c r="BE16" s="9">
        <v>85165.703167999993</v>
      </c>
      <c r="BF16" s="9">
        <v>85165.703167999993</v>
      </c>
      <c r="BG16" s="9">
        <v>85165.703167999993</v>
      </c>
      <c r="BH16" s="9">
        <v>85165.703167999993</v>
      </c>
      <c r="BI16" s="9">
        <v>85165.703167999993</v>
      </c>
      <c r="BJ16" s="9">
        <v>88572.331294719988</v>
      </c>
      <c r="BK16" s="9">
        <v>88572.331294719988</v>
      </c>
      <c r="BL16" s="9">
        <v>88572.331294719988</v>
      </c>
      <c r="BM16" s="9">
        <v>88572.331294719988</v>
      </c>
      <c r="BN16" s="9">
        <v>88572.331294719988</v>
      </c>
      <c r="BO16" s="9">
        <v>88572.331294719988</v>
      </c>
      <c r="BP16" s="9">
        <v>88572.331294719988</v>
      </c>
      <c r="BQ16" s="9">
        <v>88572.331294719988</v>
      </c>
      <c r="BR16" s="9">
        <v>88572.331294719988</v>
      </c>
      <c r="BS16" s="9">
        <v>88572.331294719988</v>
      </c>
      <c r="BT16" s="9">
        <v>88572.331294719988</v>
      </c>
      <c r="BU16" s="9">
        <v>88572.331294719988</v>
      </c>
      <c r="BV16" s="9">
        <v>92115.224546508791</v>
      </c>
      <c r="BW16" s="9">
        <v>92115.224546508791</v>
      </c>
      <c r="BX16" s="9">
        <v>92115.224546508791</v>
      </c>
      <c r="BY16" s="9">
        <v>92115.224546508791</v>
      </c>
      <c r="BZ16" s="9">
        <v>92115.224546508791</v>
      </c>
      <c r="CA16" s="9">
        <v>92115.224546508791</v>
      </c>
      <c r="CB16" s="9">
        <v>92115.224546508791</v>
      </c>
      <c r="CC16" s="9">
        <v>92115.224546508791</v>
      </c>
      <c r="CD16" s="9">
        <v>92115.224546508791</v>
      </c>
      <c r="CE16" s="9">
        <v>92115.224546508791</v>
      </c>
      <c r="CF16" s="9">
        <v>92115.224546508791</v>
      </c>
      <c r="CG16" s="9">
        <v>92115.224546508791</v>
      </c>
      <c r="CH16" s="9">
        <v>95799.833528369141</v>
      </c>
      <c r="CI16" s="9">
        <v>95799.833528369141</v>
      </c>
      <c r="CJ16" s="9">
        <v>95799.833528369141</v>
      </c>
      <c r="CK16" s="9">
        <v>95799.833528369141</v>
      </c>
      <c r="CL16" s="9">
        <v>95799.833528369141</v>
      </c>
      <c r="CM16" s="9">
        <v>95799.833528369141</v>
      </c>
      <c r="CN16" s="9">
        <v>95799.833528369141</v>
      </c>
      <c r="CO16" s="9">
        <v>95799.833528369141</v>
      </c>
      <c r="CP16" s="9">
        <v>95799.833528369141</v>
      </c>
      <c r="CQ16" s="9">
        <v>95799.833528369141</v>
      </c>
      <c r="CR16" s="9">
        <v>95799.833528369141</v>
      </c>
      <c r="CS16" s="9">
        <v>95799.833528369141</v>
      </c>
      <c r="CT16" s="9">
        <v>99631.826869503915</v>
      </c>
      <c r="CU16" s="9">
        <v>99631.826869503915</v>
      </c>
      <c r="CV16" s="9">
        <v>99631.826869503915</v>
      </c>
      <c r="CW16" s="9">
        <v>99631.826869503915</v>
      </c>
      <c r="CX16" s="9">
        <v>99631.826869503915</v>
      </c>
      <c r="CY16" s="9">
        <v>99631.826869503915</v>
      </c>
    </row>
    <row r="17" spans="1:103">
      <c r="A17" t="s">
        <v>294</v>
      </c>
      <c r="B17" s="40" t="s">
        <v>277</v>
      </c>
      <c r="C17" s="40" t="s">
        <v>287</v>
      </c>
      <c r="D17" s="9">
        <v>210000</v>
      </c>
      <c r="E17" s="9">
        <v>210000</v>
      </c>
      <c r="F17" s="9">
        <v>210000</v>
      </c>
      <c r="G17" s="9">
        <v>210000</v>
      </c>
      <c r="H17" s="9">
        <v>210000</v>
      </c>
      <c r="I17" s="9">
        <v>210000</v>
      </c>
      <c r="J17" s="9">
        <v>210000</v>
      </c>
      <c r="K17" s="9">
        <v>210000</v>
      </c>
      <c r="L17" s="9">
        <v>210000</v>
      </c>
      <c r="M17" s="9">
        <v>210000</v>
      </c>
      <c r="N17" s="9">
        <v>218400</v>
      </c>
      <c r="O17" s="9">
        <v>218400</v>
      </c>
      <c r="P17" s="9">
        <v>218400</v>
      </c>
      <c r="Q17" s="9">
        <v>218400</v>
      </c>
      <c r="R17" s="9">
        <v>218400</v>
      </c>
      <c r="S17" s="9">
        <v>218400</v>
      </c>
      <c r="T17" s="9">
        <v>218400</v>
      </c>
      <c r="U17" s="9">
        <v>218400</v>
      </c>
      <c r="V17" s="9">
        <v>218400</v>
      </c>
      <c r="W17" s="9">
        <v>218400</v>
      </c>
      <c r="X17" s="9">
        <v>218400</v>
      </c>
      <c r="Y17" s="9">
        <v>218400</v>
      </c>
      <c r="Z17" s="9">
        <v>227136</v>
      </c>
      <c r="AA17" s="9">
        <v>227136</v>
      </c>
      <c r="AB17" s="9">
        <v>227136</v>
      </c>
      <c r="AC17" s="9">
        <v>227136</v>
      </c>
      <c r="AD17" s="9">
        <v>227136</v>
      </c>
      <c r="AE17" s="9">
        <v>227136</v>
      </c>
      <c r="AF17" s="9">
        <v>227136</v>
      </c>
      <c r="AG17" s="9">
        <v>227136</v>
      </c>
      <c r="AH17" s="9">
        <v>227136</v>
      </c>
      <c r="AI17" s="9">
        <v>227136</v>
      </c>
      <c r="AJ17" s="9">
        <v>227136</v>
      </c>
      <c r="AK17" s="9">
        <v>227136</v>
      </c>
      <c r="AL17" s="9">
        <v>236221.44</v>
      </c>
      <c r="AM17" s="9">
        <v>236221.44</v>
      </c>
      <c r="AN17" s="9">
        <v>236221.44</v>
      </c>
      <c r="AO17" s="9">
        <v>236221.44</v>
      </c>
      <c r="AP17" s="9">
        <v>236221.44</v>
      </c>
      <c r="AQ17" s="9">
        <v>236221.44</v>
      </c>
      <c r="AR17" s="9">
        <v>236221.44</v>
      </c>
      <c r="AS17" s="9">
        <v>236221.44</v>
      </c>
      <c r="AT17" s="9">
        <v>236221.44</v>
      </c>
      <c r="AU17" s="9">
        <v>236221.44</v>
      </c>
      <c r="AV17" s="9">
        <v>236221.44</v>
      </c>
      <c r="AW17" s="9">
        <v>236221.44</v>
      </c>
      <c r="AX17" s="9">
        <v>245670.29760000002</v>
      </c>
      <c r="AY17" s="9">
        <v>245670.29760000002</v>
      </c>
      <c r="AZ17" s="9">
        <v>245670.29760000002</v>
      </c>
      <c r="BA17" s="9">
        <v>245670.29760000002</v>
      </c>
      <c r="BB17" s="9">
        <v>245670.29760000002</v>
      </c>
      <c r="BC17" s="9">
        <v>245670.29760000002</v>
      </c>
      <c r="BD17" s="9">
        <v>245670.29760000002</v>
      </c>
      <c r="BE17" s="9">
        <v>245670.29760000002</v>
      </c>
      <c r="BF17" s="9">
        <v>245670.29760000002</v>
      </c>
      <c r="BG17" s="9">
        <v>245670.29760000002</v>
      </c>
      <c r="BH17" s="9">
        <v>245670.29760000002</v>
      </c>
      <c r="BI17" s="9">
        <v>245670.29760000002</v>
      </c>
      <c r="BJ17" s="9">
        <v>255497.10950400002</v>
      </c>
      <c r="BK17" s="9">
        <v>255497.10950400002</v>
      </c>
      <c r="BL17" s="9">
        <v>255497.10950400002</v>
      </c>
      <c r="BM17" s="9">
        <v>255497.10950400002</v>
      </c>
      <c r="BN17" s="9">
        <v>255497.10950400002</v>
      </c>
      <c r="BO17" s="9">
        <v>255497.10950400002</v>
      </c>
      <c r="BP17" s="9">
        <v>255497.10950400002</v>
      </c>
      <c r="BQ17" s="9">
        <v>255497.10950400002</v>
      </c>
      <c r="BR17" s="9">
        <v>255497.10950400002</v>
      </c>
      <c r="BS17" s="9">
        <v>255497.10950400002</v>
      </c>
      <c r="BT17" s="9">
        <v>255497.10950400002</v>
      </c>
      <c r="BU17" s="9">
        <v>255497.10950400002</v>
      </c>
      <c r="BV17" s="9">
        <v>265716.99388416001</v>
      </c>
      <c r="BW17" s="9">
        <v>265716.99388416001</v>
      </c>
      <c r="BX17" s="9">
        <v>265716.99388416001</v>
      </c>
      <c r="BY17" s="9">
        <v>265716.99388416001</v>
      </c>
      <c r="BZ17" s="9">
        <v>265716.99388416001</v>
      </c>
      <c r="CA17" s="9">
        <v>265716.99388416001</v>
      </c>
      <c r="CB17" s="9">
        <v>265716.99388416001</v>
      </c>
      <c r="CC17" s="9">
        <v>265716.99388416001</v>
      </c>
      <c r="CD17" s="9">
        <v>265716.99388416001</v>
      </c>
      <c r="CE17" s="9">
        <v>265716.99388416001</v>
      </c>
      <c r="CF17" s="9">
        <v>265716.99388416001</v>
      </c>
      <c r="CG17" s="9">
        <v>265716.99388416001</v>
      </c>
      <c r="CH17" s="9">
        <v>276345.67363952642</v>
      </c>
      <c r="CI17" s="9">
        <v>276345.67363952642</v>
      </c>
      <c r="CJ17" s="9">
        <v>276345.67363952642</v>
      </c>
      <c r="CK17" s="9">
        <v>276345.67363952642</v>
      </c>
      <c r="CL17" s="9">
        <v>276345.67363952642</v>
      </c>
      <c r="CM17" s="9">
        <v>276345.67363952642</v>
      </c>
      <c r="CN17" s="9">
        <v>276345.67363952642</v>
      </c>
      <c r="CO17" s="9">
        <v>276345.67363952642</v>
      </c>
      <c r="CP17" s="9">
        <v>276345.67363952642</v>
      </c>
      <c r="CQ17" s="9">
        <v>276345.67363952642</v>
      </c>
      <c r="CR17" s="9">
        <v>276345.67363952642</v>
      </c>
      <c r="CS17" s="9">
        <v>276345.67363952642</v>
      </c>
      <c r="CT17" s="9">
        <v>287399.50058510748</v>
      </c>
      <c r="CU17" s="9">
        <v>287399.50058510748</v>
      </c>
      <c r="CV17" s="9">
        <v>287399.50058510748</v>
      </c>
      <c r="CW17" s="9">
        <v>287399.50058510748</v>
      </c>
      <c r="CX17" s="9">
        <v>287399.50058510748</v>
      </c>
      <c r="CY17" s="9">
        <v>287399.50058510748</v>
      </c>
    </row>
    <row r="18" spans="1:103">
      <c r="A18" t="s">
        <v>295</v>
      </c>
      <c r="B18" s="40" t="s">
        <v>277</v>
      </c>
      <c r="C18" s="40" t="s">
        <v>287</v>
      </c>
      <c r="D18" s="9">
        <v>150000</v>
      </c>
      <c r="E18" s="9">
        <v>150000</v>
      </c>
      <c r="F18" s="9">
        <v>150000</v>
      </c>
      <c r="G18" s="9">
        <v>150000</v>
      </c>
      <c r="H18" s="9">
        <v>150000</v>
      </c>
      <c r="I18" s="9">
        <v>150000</v>
      </c>
      <c r="J18" s="9">
        <v>150000</v>
      </c>
      <c r="K18" s="9">
        <v>150000</v>
      </c>
      <c r="L18" s="9">
        <v>150000</v>
      </c>
      <c r="M18" s="9">
        <v>150000</v>
      </c>
      <c r="N18" s="9">
        <v>156000</v>
      </c>
      <c r="O18" s="9">
        <v>156000</v>
      </c>
      <c r="P18" s="9">
        <v>156000</v>
      </c>
      <c r="Q18" s="9">
        <v>156000</v>
      </c>
      <c r="R18" s="9">
        <v>156000</v>
      </c>
      <c r="S18" s="9">
        <v>156000</v>
      </c>
      <c r="T18" s="9">
        <v>156000</v>
      </c>
      <c r="U18" s="9">
        <v>156000</v>
      </c>
      <c r="V18" s="9">
        <v>156000</v>
      </c>
      <c r="W18" s="9">
        <v>156000</v>
      </c>
      <c r="X18" s="9">
        <v>156000</v>
      </c>
      <c r="Y18" s="9">
        <v>156000</v>
      </c>
      <c r="Z18" s="9">
        <v>162240</v>
      </c>
      <c r="AA18" s="9">
        <v>162240</v>
      </c>
      <c r="AB18" s="9">
        <v>162240</v>
      </c>
      <c r="AC18" s="9">
        <v>162240</v>
      </c>
      <c r="AD18" s="9">
        <v>162240</v>
      </c>
      <c r="AE18" s="9">
        <v>162240</v>
      </c>
      <c r="AF18" s="9">
        <v>162240</v>
      </c>
      <c r="AG18" s="9">
        <v>162240</v>
      </c>
      <c r="AH18" s="9">
        <v>162240</v>
      </c>
      <c r="AI18" s="9">
        <v>162240</v>
      </c>
      <c r="AJ18" s="9">
        <v>162240</v>
      </c>
      <c r="AK18" s="9">
        <v>162240</v>
      </c>
      <c r="AL18" s="9">
        <v>168729.60000000001</v>
      </c>
      <c r="AM18" s="9">
        <v>168729.60000000001</v>
      </c>
      <c r="AN18" s="9">
        <v>168729.60000000001</v>
      </c>
      <c r="AO18" s="9">
        <v>168729.60000000001</v>
      </c>
      <c r="AP18" s="9">
        <v>168729.60000000001</v>
      </c>
      <c r="AQ18" s="9">
        <v>168729.60000000001</v>
      </c>
      <c r="AR18" s="9">
        <v>168729.60000000001</v>
      </c>
      <c r="AS18" s="9">
        <v>168729.60000000001</v>
      </c>
      <c r="AT18" s="9">
        <v>168729.60000000001</v>
      </c>
      <c r="AU18" s="9">
        <v>168729.60000000001</v>
      </c>
      <c r="AV18" s="9">
        <v>168729.60000000001</v>
      </c>
      <c r="AW18" s="9">
        <v>168729.60000000001</v>
      </c>
      <c r="AX18" s="9">
        <v>175478.78400000001</v>
      </c>
      <c r="AY18" s="9">
        <v>175478.78400000001</v>
      </c>
      <c r="AZ18" s="9">
        <v>175478.78400000001</v>
      </c>
      <c r="BA18" s="9">
        <v>175478.78400000001</v>
      </c>
      <c r="BB18" s="9">
        <v>175478.78400000001</v>
      </c>
      <c r="BC18" s="9">
        <v>175478.78400000001</v>
      </c>
      <c r="BD18" s="9">
        <v>175478.78400000001</v>
      </c>
      <c r="BE18" s="9">
        <v>175478.78400000001</v>
      </c>
      <c r="BF18" s="9">
        <v>175478.78400000001</v>
      </c>
      <c r="BG18" s="9">
        <v>175478.78400000001</v>
      </c>
      <c r="BH18" s="9">
        <v>175478.78400000001</v>
      </c>
      <c r="BI18" s="9">
        <v>175478.78400000001</v>
      </c>
      <c r="BJ18" s="9">
        <v>182497.93536000003</v>
      </c>
      <c r="BK18" s="9">
        <v>182497.93536000003</v>
      </c>
      <c r="BL18" s="9">
        <v>182497.93536000003</v>
      </c>
      <c r="BM18" s="9">
        <v>182497.93536000003</v>
      </c>
      <c r="BN18" s="9">
        <v>182497.93536000003</v>
      </c>
      <c r="BO18" s="9">
        <v>182497.93536000003</v>
      </c>
      <c r="BP18" s="9">
        <v>182497.93536000003</v>
      </c>
      <c r="BQ18" s="9">
        <v>182497.93536000003</v>
      </c>
      <c r="BR18" s="9">
        <v>182497.93536000003</v>
      </c>
      <c r="BS18" s="9">
        <v>182497.93536000003</v>
      </c>
      <c r="BT18" s="9">
        <v>182497.93536000003</v>
      </c>
      <c r="BU18" s="9">
        <v>182497.93536000003</v>
      </c>
      <c r="BV18" s="9">
        <v>189797.85277440003</v>
      </c>
      <c r="BW18" s="9">
        <v>189797.85277440003</v>
      </c>
      <c r="BX18" s="9">
        <v>189797.85277440003</v>
      </c>
      <c r="BY18" s="9">
        <v>189797.85277440003</v>
      </c>
      <c r="BZ18" s="9">
        <v>189797.85277440003</v>
      </c>
      <c r="CA18" s="9">
        <v>189797.85277440003</v>
      </c>
      <c r="CB18" s="9">
        <v>189797.85277440003</v>
      </c>
      <c r="CC18" s="9">
        <v>189797.85277440003</v>
      </c>
      <c r="CD18" s="9">
        <v>189797.85277440003</v>
      </c>
      <c r="CE18" s="9">
        <v>189797.85277440003</v>
      </c>
      <c r="CF18" s="9">
        <v>189797.85277440003</v>
      </c>
      <c r="CG18" s="9">
        <v>189797.85277440003</v>
      </c>
      <c r="CH18" s="9">
        <v>197389.76688537604</v>
      </c>
      <c r="CI18" s="9">
        <v>197389.76688537604</v>
      </c>
      <c r="CJ18" s="9">
        <v>197389.76688537604</v>
      </c>
      <c r="CK18" s="9">
        <v>197389.76688537604</v>
      </c>
      <c r="CL18" s="9">
        <v>197389.76688537604</v>
      </c>
      <c r="CM18" s="9">
        <v>197389.76688537604</v>
      </c>
      <c r="CN18" s="9">
        <v>197389.76688537604</v>
      </c>
      <c r="CO18" s="9">
        <v>197389.76688537604</v>
      </c>
      <c r="CP18" s="9">
        <v>197389.76688537604</v>
      </c>
      <c r="CQ18" s="9">
        <v>197389.76688537604</v>
      </c>
      <c r="CR18" s="9">
        <v>197389.76688537604</v>
      </c>
      <c r="CS18" s="9">
        <v>197389.76688537604</v>
      </c>
      <c r="CT18" s="9">
        <v>205285.35756079108</v>
      </c>
      <c r="CU18" s="9">
        <v>205285.35756079108</v>
      </c>
      <c r="CV18" s="9">
        <v>205285.35756079108</v>
      </c>
      <c r="CW18" s="9">
        <v>205285.35756079108</v>
      </c>
      <c r="CX18" s="9">
        <v>205285.35756079108</v>
      </c>
      <c r="CY18" s="9">
        <v>205285.35756079108</v>
      </c>
    </row>
    <row r="19" spans="1:103">
      <c r="A19" t="s">
        <v>296</v>
      </c>
      <c r="B19" s="40" t="s">
        <v>277</v>
      </c>
      <c r="C19" s="40" t="s">
        <v>297</v>
      </c>
      <c r="D19" s="9">
        <v>231000.00000000003</v>
      </c>
      <c r="E19" s="9">
        <v>231000.00000000003</v>
      </c>
      <c r="F19" s="9">
        <v>231000.00000000003</v>
      </c>
      <c r="G19" s="9">
        <v>254100.00000000006</v>
      </c>
      <c r="H19" s="9">
        <v>254100.00000000006</v>
      </c>
      <c r="I19" s="9">
        <v>254100.00000000006</v>
      </c>
      <c r="J19" s="9">
        <v>254100.00000000006</v>
      </c>
      <c r="K19" s="9">
        <v>254100.00000000006</v>
      </c>
      <c r="L19" s="9">
        <v>254100.00000000006</v>
      </c>
      <c r="M19" s="9">
        <v>254100.00000000006</v>
      </c>
      <c r="N19" s="9">
        <v>254100.00000000006</v>
      </c>
      <c r="O19" s="9">
        <v>254100.00000000006</v>
      </c>
      <c r="P19" s="9">
        <v>254100.00000000006</v>
      </c>
      <c r="Q19" s="9">
        <v>254100.00000000006</v>
      </c>
      <c r="R19" s="9">
        <v>254100.00000000006</v>
      </c>
      <c r="S19" s="9">
        <v>279510.00000000006</v>
      </c>
      <c r="T19" s="9">
        <v>279510.00000000006</v>
      </c>
      <c r="U19" s="9">
        <v>279510.00000000006</v>
      </c>
      <c r="V19" s="9">
        <v>279510.00000000006</v>
      </c>
      <c r="W19" s="9">
        <v>279510.00000000006</v>
      </c>
      <c r="X19" s="9">
        <v>279510.00000000006</v>
      </c>
      <c r="Y19" s="9">
        <v>279510.00000000006</v>
      </c>
      <c r="Z19" s="9">
        <v>279510.00000000006</v>
      </c>
      <c r="AA19" s="9">
        <v>279510.00000000006</v>
      </c>
      <c r="AB19" s="9">
        <v>279510.00000000006</v>
      </c>
      <c r="AC19" s="9">
        <v>279510.00000000006</v>
      </c>
      <c r="AD19" s="9">
        <v>279510.00000000006</v>
      </c>
      <c r="AE19" s="9">
        <v>307461.00000000012</v>
      </c>
      <c r="AF19" s="9">
        <v>307461.00000000012</v>
      </c>
      <c r="AG19" s="9">
        <v>307461.00000000012</v>
      </c>
      <c r="AH19" s="9">
        <v>307461.00000000012</v>
      </c>
      <c r="AI19" s="9">
        <v>307461.00000000012</v>
      </c>
      <c r="AJ19" s="9">
        <v>307461.00000000012</v>
      </c>
      <c r="AK19" s="9">
        <v>307461.00000000012</v>
      </c>
      <c r="AL19" s="9">
        <v>307461.00000000012</v>
      </c>
      <c r="AM19" s="9">
        <v>307461.00000000012</v>
      </c>
      <c r="AN19" s="9">
        <v>307461.00000000012</v>
      </c>
      <c r="AO19" s="9">
        <v>307461.00000000012</v>
      </c>
      <c r="AP19" s="9">
        <v>307461.00000000012</v>
      </c>
      <c r="AQ19" s="9">
        <v>338207.10000000015</v>
      </c>
      <c r="AR19" s="9">
        <v>338207.10000000015</v>
      </c>
      <c r="AS19" s="9">
        <v>338207.10000000015</v>
      </c>
      <c r="AT19" s="9">
        <v>338207.10000000015</v>
      </c>
      <c r="AU19" s="9">
        <v>338207.10000000015</v>
      </c>
      <c r="AV19" s="9">
        <v>338207.10000000015</v>
      </c>
      <c r="AW19" s="9">
        <v>338207.10000000015</v>
      </c>
      <c r="AX19" s="9">
        <v>338207.10000000015</v>
      </c>
      <c r="AY19" s="9">
        <v>338207.10000000015</v>
      </c>
      <c r="AZ19" s="9">
        <v>338207.10000000015</v>
      </c>
      <c r="BA19" s="9">
        <v>338207.10000000015</v>
      </c>
      <c r="BB19" s="9">
        <v>338207.10000000015</v>
      </c>
      <c r="BC19" s="9">
        <v>372027.81000000017</v>
      </c>
      <c r="BD19" s="9">
        <v>372027.81000000017</v>
      </c>
      <c r="BE19" s="9">
        <v>372027.81000000017</v>
      </c>
      <c r="BF19" s="9">
        <v>372027.81000000017</v>
      </c>
      <c r="BG19" s="9">
        <v>372027.81000000017</v>
      </c>
      <c r="BH19" s="9">
        <v>372027.81000000017</v>
      </c>
      <c r="BI19" s="9">
        <v>372027.81000000017</v>
      </c>
      <c r="BJ19" s="9">
        <v>372027.81000000017</v>
      </c>
      <c r="BK19" s="9">
        <v>372027.81000000017</v>
      </c>
      <c r="BL19" s="9">
        <v>372027.81000000017</v>
      </c>
      <c r="BM19" s="9">
        <v>372027.81000000017</v>
      </c>
      <c r="BN19" s="9">
        <v>372027.81000000017</v>
      </c>
      <c r="BO19" s="9">
        <v>409230.59100000025</v>
      </c>
      <c r="BP19" s="9">
        <v>409230.59100000025</v>
      </c>
      <c r="BQ19" s="9">
        <v>409230.59100000025</v>
      </c>
      <c r="BR19" s="9">
        <v>409230.59100000025</v>
      </c>
      <c r="BS19" s="9">
        <v>409230.59100000025</v>
      </c>
      <c r="BT19" s="9">
        <v>409230.59100000025</v>
      </c>
      <c r="BU19" s="9">
        <v>409230.59100000025</v>
      </c>
      <c r="BV19" s="9">
        <v>409230.59100000025</v>
      </c>
      <c r="BW19" s="9">
        <v>409230.59100000025</v>
      </c>
      <c r="BX19" s="9">
        <v>409230.59100000025</v>
      </c>
      <c r="BY19" s="9">
        <v>409230.59100000025</v>
      </c>
      <c r="BZ19" s="9">
        <v>409230.59100000025</v>
      </c>
      <c r="CA19" s="9">
        <v>450153.65010000032</v>
      </c>
      <c r="CB19" s="9">
        <v>450153.65010000032</v>
      </c>
      <c r="CC19" s="9">
        <v>450153.65010000032</v>
      </c>
      <c r="CD19" s="9">
        <v>450153.65010000032</v>
      </c>
      <c r="CE19" s="9">
        <v>450153.65010000032</v>
      </c>
      <c r="CF19" s="9">
        <v>450153.65010000032</v>
      </c>
      <c r="CG19" s="9">
        <v>450153.65010000032</v>
      </c>
      <c r="CH19" s="9">
        <v>450153.65010000032</v>
      </c>
      <c r="CI19" s="9">
        <v>450153.65010000032</v>
      </c>
      <c r="CJ19" s="9">
        <v>450153.65010000032</v>
      </c>
      <c r="CK19" s="9">
        <v>450153.65010000032</v>
      </c>
      <c r="CL19" s="9">
        <v>450153.65010000032</v>
      </c>
      <c r="CM19" s="9">
        <v>495169.01511000039</v>
      </c>
      <c r="CN19" s="9">
        <v>495169.01511000039</v>
      </c>
      <c r="CO19" s="9">
        <v>495169.01511000039</v>
      </c>
      <c r="CP19" s="9">
        <v>495169.01511000039</v>
      </c>
      <c r="CQ19" s="9">
        <v>495169.01511000039</v>
      </c>
      <c r="CR19" s="9">
        <v>495169.01511000039</v>
      </c>
      <c r="CS19" s="9">
        <v>495169.01511000039</v>
      </c>
      <c r="CT19" s="9">
        <v>495169.01511000039</v>
      </c>
      <c r="CU19" s="9">
        <v>495169.01511000039</v>
      </c>
      <c r="CV19" s="9">
        <v>495169.01511000039</v>
      </c>
      <c r="CW19" s="9">
        <v>495169.01511000039</v>
      </c>
      <c r="CX19" s="9">
        <v>495169.01511000039</v>
      </c>
      <c r="CY19" s="9">
        <v>544685.91662100051</v>
      </c>
    </row>
    <row r="20" spans="1:103">
      <c r="A20" t="s">
        <v>298</v>
      </c>
      <c r="B20" s="40" t="s">
        <v>277</v>
      </c>
      <c r="C20" s="40" t="s">
        <v>297</v>
      </c>
      <c r="D20" s="9">
        <v>238831.99999999997</v>
      </c>
      <c r="E20" s="9">
        <v>238831.99999999997</v>
      </c>
      <c r="F20" s="9">
        <v>238831.99999999997</v>
      </c>
      <c r="G20" s="9">
        <v>238831.99999999997</v>
      </c>
      <c r="H20" s="9">
        <v>238831.99999999997</v>
      </c>
      <c r="I20" s="9">
        <v>238831.99999999997</v>
      </c>
      <c r="J20" s="9">
        <v>238831.99999999997</v>
      </c>
      <c r="K20" s="9">
        <v>238831.99999999997</v>
      </c>
      <c r="L20" s="9">
        <v>238831.99999999997</v>
      </c>
      <c r="M20" s="9">
        <v>238831.99999999997</v>
      </c>
      <c r="N20" s="9">
        <v>262715.2</v>
      </c>
      <c r="O20" s="9">
        <v>262715.2</v>
      </c>
      <c r="P20" s="9">
        <v>262715.2</v>
      </c>
      <c r="Q20" s="9">
        <v>262715.2</v>
      </c>
      <c r="R20" s="9">
        <v>262715.2</v>
      </c>
      <c r="S20" s="9">
        <v>262715.2</v>
      </c>
      <c r="T20" s="9">
        <v>262715.2</v>
      </c>
      <c r="U20" s="9">
        <v>262715.2</v>
      </c>
      <c r="V20" s="9">
        <v>262715.2</v>
      </c>
      <c r="W20" s="9">
        <v>262715.2</v>
      </c>
      <c r="X20" s="9">
        <v>262715.2</v>
      </c>
      <c r="Y20" s="9">
        <v>262715.2</v>
      </c>
      <c r="Z20" s="9">
        <v>288986.72000000003</v>
      </c>
      <c r="AA20" s="9">
        <v>288986.72000000003</v>
      </c>
      <c r="AB20" s="9">
        <v>288986.72000000003</v>
      </c>
      <c r="AC20" s="9">
        <v>288986.72000000003</v>
      </c>
      <c r="AD20" s="9">
        <v>288986.72000000003</v>
      </c>
      <c r="AE20" s="9">
        <v>288986.72000000003</v>
      </c>
      <c r="AF20" s="9">
        <v>288986.72000000003</v>
      </c>
      <c r="AG20" s="9">
        <v>288986.72000000003</v>
      </c>
      <c r="AH20" s="9">
        <v>288986.72000000003</v>
      </c>
      <c r="AI20" s="9">
        <v>288986.72000000003</v>
      </c>
      <c r="AJ20" s="9">
        <v>288986.72000000003</v>
      </c>
      <c r="AK20" s="9">
        <v>288986.72000000003</v>
      </c>
      <c r="AL20" s="9">
        <v>317885.39200000005</v>
      </c>
      <c r="AM20" s="9">
        <v>317885.39200000005</v>
      </c>
      <c r="AN20" s="9">
        <v>317885.39200000005</v>
      </c>
      <c r="AO20" s="9">
        <v>317885.39200000005</v>
      </c>
      <c r="AP20" s="9">
        <v>317885.39200000005</v>
      </c>
      <c r="AQ20" s="9">
        <v>317885.39200000005</v>
      </c>
      <c r="AR20" s="9">
        <v>317885.39200000005</v>
      </c>
      <c r="AS20" s="9">
        <v>317885.39200000005</v>
      </c>
      <c r="AT20" s="9">
        <v>317885.39200000005</v>
      </c>
      <c r="AU20" s="9">
        <v>317885.39200000005</v>
      </c>
      <c r="AV20" s="9">
        <v>317885.39200000005</v>
      </c>
      <c r="AW20" s="9">
        <v>317885.39200000005</v>
      </c>
      <c r="AX20" s="9">
        <v>349673.93120000011</v>
      </c>
      <c r="AY20" s="9">
        <v>349673.93120000011</v>
      </c>
      <c r="AZ20" s="9">
        <v>349673.93120000011</v>
      </c>
      <c r="BA20" s="9">
        <v>349673.93120000011</v>
      </c>
      <c r="BB20" s="9">
        <v>349673.93120000011</v>
      </c>
      <c r="BC20" s="9">
        <v>349673.93120000011</v>
      </c>
      <c r="BD20" s="9">
        <v>349673.93120000011</v>
      </c>
      <c r="BE20" s="9">
        <v>349673.93120000011</v>
      </c>
      <c r="BF20" s="9">
        <v>349673.93120000011</v>
      </c>
      <c r="BG20" s="9">
        <v>349673.93120000011</v>
      </c>
      <c r="BH20" s="9">
        <v>349673.93120000011</v>
      </c>
      <c r="BI20" s="9">
        <v>349673.93120000011</v>
      </c>
      <c r="BJ20" s="9">
        <v>384641.32432000013</v>
      </c>
      <c r="BK20" s="9">
        <v>384641.32432000013</v>
      </c>
      <c r="BL20" s="9">
        <v>384641.32432000013</v>
      </c>
      <c r="BM20" s="9">
        <v>384641.32432000013</v>
      </c>
      <c r="BN20" s="9">
        <v>384641.32432000013</v>
      </c>
      <c r="BO20" s="9">
        <v>384641.32432000013</v>
      </c>
      <c r="BP20" s="9">
        <v>384641.32432000013</v>
      </c>
      <c r="BQ20" s="9">
        <v>384641.32432000013</v>
      </c>
      <c r="BR20" s="9">
        <v>384641.32432000013</v>
      </c>
      <c r="BS20" s="9">
        <v>384641.32432000013</v>
      </c>
      <c r="BT20" s="9">
        <v>384641.32432000013</v>
      </c>
      <c r="BU20" s="9">
        <v>384641.32432000013</v>
      </c>
      <c r="BV20" s="9">
        <v>423105.4567520002</v>
      </c>
      <c r="BW20" s="9">
        <v>423105.4567520002</v>
      </c>
      <c r="BX20" s="9">
        <v>423105.4567520002</v>
      </c>
      <c r="BY20" s="9">
        <v>423105.4567520002</v>
      </c>
      <c r="BZ20" s="9">
        <v>423105.4567520002</v>
      </c>
      <c r="CA20" s="9">
        <v>423105.4567520002</v>
      </c>
      <c r="CB20" s="9">
        <v>423105.4567520002</v>
      </c>
      <c r="CC20" s="9">
        <v>423105.4567520002</v>
      </c>
      <c r="CD20" s="9">
        <v>423105.4567520002</v>
      </c>
      <c r="CE20" s="9">
        <v>423105.4567520002</v>
      </c>
      <c r="CF20" s="9">
        <v>423105.4567520002</v>
      </c>
      <c r="CG20" s="9">
        <v>423105.4567520002</v>
      </c>
      <c r="CH20" s="9">
        <v>465416.00242720026</v>
      </c>
      <c r="CI20" s="9">
        <v>465416.00242720026</v>
      </c>
      <c r="CJ20" s="9">
        <v>465416.00242720026</v>
      </c>
      <c r="CK20" s="9">
        <v>465416.00242720026</v>
      </c>
      <c r="CL20" s="9">
        <v>465416.00242720026</v>
      </c>
      <c r="CM20" s="9">
        <v>465416.00242720026</v>
      </c>
      <c r="CN20" s="9">
        <v>465416.00242720026</v>
      </c>
      <c r="CO20" s="9">
        <v>465416.00242720026</v>
      </c>
      <c r="CP20" s="9">
        <v>465416.00242720026</v>
      </c>
      <c r="CQ20" s="9">
        <v>465416.00242720026</v>
      </c>
      <c r="CR20" s="9">
        <v>465416.00242720026</v>
      </c>
      <c r="CS20" s="9">
        <v>465416.00242720026</v>
      </c>
      <c r="CT20" s="9">
        <v>511957.60266992031</v>
      </c>
      <c r="CU20" s="9">
        <v>511957.60266992031</v>
      </c>
      <c r="CV20" s="9">
        <v>511957.60266992031</v>
      </c>
      <c r="CW20" s="9">
        <v>511957.60266992031</v>
      </c>
      <c r="CX20" s="9">
        <v>511957.60266992031</v>
      </c>
      <c r="CY20" s="9">
        <v>511957.60266992031</v>
      </c>
    </row>
    <row r="21" spans="1:103">
      <c r="A21" t="s">
        <v>299</v>
      </c>
      <c r="B21" s="40" t="s">
        <v>277</v>
      </c>
      <c r="C21" s="40" t="s">
        <v>297</v>
      </c>
      <c r="D21" s="9">
        <v>118800.00000000001</v>
      </c>
      <c r="E21" s="9">
        <v>118800.00000000001</v>
      </c>
      <c r="F21" s="9">
        <v>118800.00000000001</v>
      </c>
      <c r="G21" s="9">
        <v>118800.00000000001</v>
      </c>
      <c r="H21" s="9">
        <v>118800.00000000001</v>
      </c>
      <c r="I21" s="9">
        <v>118800.00000000001</v>
      </c>
      <c r="J21" s="9">
        <v>118800.00000000001</v>
      </c>
      <c r="K21" s="9">
        <v>118800.00000000001</v>
      </c>
      <c r="L21" s="9">
        <v>118800.00000000001</v>
      </c>
      <c r="M21" s="9">
        <v>118800.00000000001</v>
      </c>
      <c r="N21" s="9">
        <v>130680.00000000003</v>
      </c>
      <c r="O21" s="9">
        <v>130680.00000000003</v>
      </c>
      <c r="P21" s="9">
        <v>130680.00000000003</v>
      </c>
      <c r="Q21" s="9">
        <v>130680.00000000003</v>
      </c>
      <c r="R21" s="9">
        <v>130680.00000000003</v>
      </c>
      <c r="S21" s="9">
        <v>130680.00000000003</v>
      </c>
      <c r="T21" s="9">
        <v>130680.00000000003</v>
      </c>
      <c r="U21" s="9">
        <v>130680.00000000003</v>
      </c>
      <c r="V21" s="9">
        <v>130680.00000000003</v>
      </c>
      <c r="W21" s="9">
        <v>130680.00000000003</v>
      </c>
      <c r="X21" s="9">
        <v>130680.00000000003</v>
      </c>
      <c r="Y21" s="9">
        <v>130680.00000000003</v>
      </c>
      <c r="Z21" s="9">
        <v>143748.00000000003</v>
      </c>
      <c r="AA21" s="9">
        <v>143748.00000000003</v>
      </c>
      <c r="AB21" s="9">
        <v>143748.00000000003</v>
      </c>
      <c r="AC21" s="9">
        <v>143748.00000000003</v>
      </c>
      <c r="AD21" s="9">
        <v>143748.00000000003</v>
      </c>
      <c r="AE21" s="9">
        <v>143748.00000000003</v>
      </c>
      <c r="AF21" s="9">
        <v>143748.00000000003</v>
      </c>
      <c r="AG21" s="9">
        <v>143748.00000000003</v>
      </c>
      <c r="AH21" s="9">
        <v>143748.00000000003</v>
      </c>
      <c r="AI21" s="9">
        <v>143748.00000000003</v>
      </c>
      <c r="AJ21" s="9">
        <v>143748.00000000003</v>
      </c>
      <c r="AK21" s="9">
        <v>143748.00000000003</v>
      </c>
      <c r="AL21" s="9">
        <v>158122.80000000005</v>
      </c>
      <c r="AM21" s="9">
        <v>158122.80000000005</v>
      </c>
      <c r="AN21" s="9">
        <v>158122.80000000005</v>
      </c>
      <c r="AO21" s="9">
        <v>158122.80000000005</v>
      </c>
      <c r="AP21" s="9">
        <v>158122.80000000005</v>
      </c>
      <c r="AQ21" s="9">
        <v>158122.80000000005</v>
      </c>
      <c r="AR21" s="9">
        <v>158122.80000000005</v>
      </c>
      <c r="AS21" s="9">
        <v>158122.80000000005</v>
      </c>
      <c r="AT21" s="9">
        <v>158122.80000000005</v>
      </c>
      <c r="AU21" s="9">
        <v>158122.80000000005</v>
      </c>
      <c r="AV21" s="9">
        <v>158122.80000000005</v>
      </c>
      <c r="AW21" s="9">
        <v>158122.80000000005</v>
      </c>
      <c r="AX21" s="9">
        <v>173935.08000000007</v>
      </c>
      <c r="AY21" s="9">
        <v>173935.08000000007</v>
      </c>
      <c r="AZ21" s="9">
        <v>173935.08000000007</v>
      </c>
      <c r="BA21" s="9">
        <v>173935.08000000007</v>
      </c>
      <c r="BB21" s="9">
        <v>173935.08000000007</v>
      </c>
      <c r="BC21" s="9">
        <v>173935.08000000007</v>
      </c>
      <c r="BD21" s="9">
        <v>173935.08000000007</v>
      </c>
      <c r="BE21" s="9">
        <v>173935.08000000007</v>
      </c>
      <c r="BF21" s="9">
        <v>173935.08000000007</v>
      </c>
      <c r="BG21" s="9">
        <v>173935.08000000007</v>
      </c>
      <c r="BH21" s="9">
        <v>173935.08000000007</v>
      </c>
      <c r="BI21" s="9">
        <v>173935.08000000007</v>
      </c>
      <c r="BJ21" s="9">
        <v>191328.58800000011</v>
      </c>
      <c r="BK21" s="9">
        <v>191328.58800000011</v>
      </c>
      <c r="BL21" s="9">
        <v>191328.58800000011</v>
      </c>
      <c r="BM21" s="9">
        <v>191328.58800000011</v>
      </c>
      <c r="BN21" s="9">
        <v>191328.58800000011</v>
      </c>
      <c r="BO21" s="9">
        <v>191328.58800000011</v>
      </c>
      <c r="BP21" s="9">
        <v>191328.58800000011</v>
      </c>
      <c r="BQ21" s="9">
        <v>191328.58800000011</v>
      </c>
      <c r="BR21" s="9">
        <v>191328.58800000011</v>
      </c>
      <c r="BS21" s="9">
        <v>191328.58800000011</v>
      </c>
      <c r="BT21" s="9">
        <v>191328.58800000011</v>
      </c>
      <c r="BU21" s="9">
        <v>191328.58800000011</v>
      </c>
      <c r="BV21" s="9">
        <v>210461.44680000012</v>
      </c>
      <c r="BW21" s="9">
        <v>210461.44680000012</v>
      </c>
      <c r="BX21" s="9">
        <v>210461.44680000012</v>
      </c>
      <c r="BY21" s="9">
        <v>210461.44680000012</v>
      </c>
      <c r="BZ21" s="9">
        <v>210461.44680000012</v>
      </c>
      <c r="CA21" s="9">
        <v>210461.44680000012</v>
      </c>
      <c r="CB21" s="9">
        <v>210461.44680000012</v>
      </c>
      <c r="CC21" s="9">
        <v>210461.44680000012</v>
      </c>
      <c r="CD21" s="9">
        <v>210461.44680000012</v>
      </c>
      <c r="CE21" s="9">
        <v>210461.44680000012</v>
      </c>
      <c r="CF21" s="9">
        <v>210461.44680000012</v>
      </c>
      <c r="CG21" s="9">
        <v>210461.44680000012</v>
      </c>
      <c r="CH21" s="9">
        <v>231507.59148000015</v>
      </c>
      <c r="CI21" s="9">
        <v>231507.59148000015</v>
      </c>
      <c r="CJ21" s="9">
        <v>231507.59148000015</v>
      </c>
      <c r="CK21" s="9">
        <v>231507.59148000015</v>
      </c>
      <c r="CL21" s="9">
        <v>231507.59148000015</v>
      </c>
      <c r="CM21" s="9">
        <v>231507.59148000015</v>
      </c>
      <c r="CN21" s="9">
        <v>231507.59148000015</v>
      </c>
      <c r="CO21" s="9">
        <v>231507.59148000015</v>
      </c>
      <c r="CP21" s="9">
        <v>231507.59148000015</v>
      </c>
      <c r="CQ21" s="9">
        <v>231507.59148000015</v>
      </c>
      <c r="CR21" s="9">
        <v>231507.59148000015</v>
      </c>
      <c r="CS21" s="9">
        <v>231507.59148000015</v>
      </c>
      <c r="CT21" s="9">
        <v>254658.35062800019</v>
      </c>
      <c r="CU21" s="9">
        <v>254658.35062800019</v>
      </c>
      <c r="CV21" s="9">
        <v>254658.35062800019</v>
      </c>
      <c r="CW21" s="9">
        <v>254658.35062800019</v>
      </c>
      <c r="CX21" s="9">
        <v>254658.35062800019</v>
      </c>
      <c r="CY21" s="9">
        <v>254658.35062800019</v>
      </c>
    </row>
    <row r="22" spans="1:103">
      <c r="A22" t="s">
        <v>300</v>
      </c>
      <c r="B22" s="40" t="s">
        <v>277</v>
      </c>
      <c r="C22" s="40" t="s">
        <v>281</v>
      </c>
      <c r="D22" s="9">
        <v>182000</v>
      </c>
      <c r="E22" s="9">
        <v>182000</v>
      </c>
      <c r="F22" s="9">
        <v>182000</v>
      </c>
      <c r="G22" s="9">
        <v>182000</v>
      </c>
      <c r="H22" s="9">
        <v>182000</v>
      </c>
      <c r="I22" s="9">
        <v>182000</v>
      </c>
      <c r="J22" s="9">
        <v>182000</v>
      </c>
      <c r="K22" s="9">
        <v>182000</v>
      </c>
      <c r="L22" s="9">
        <v>182000</v>
      </c>
      <c r="M22" s="9">
        <v>182000</v>
      </c>
      <c r="N22" s="9">
        <v>189280</v>
      </c>
      <c r="O22" s="9">
        <v>189280</v>
      </c>
      <c r="P22" s="9">
        <v>189280</v>
      </c>
      <c r="Q22" s="9">
        <v>189280</v>
      </c>
      <c r="R22" s="9">
        <v>189280</v>
      </c>
      <c r="S22" s="9">
        <v>189280</v>
      </c>
      <c r="T22" s="9">
        <v>189280</v>
      </c>
      <c r="U22" s="9">
        <v>189280</v>
      </c>
      <c r="V22" s="9">
        <v>189280</v>
      </c>
      <c r="W22" s="9">
        <v>189280</v>
      </c>
      <c r="X22" s="9">
        <v>189280</v>
      </c>
      <c r="Y22" s="9">
        <v>189280</v>
      </c>
      <c r="Z22" s="9">
        <v>196851.20000000001</v>
      </c>
      <c r="AA22" s="9">
        <v>196851.20000000001</v>
      </c>
      <c r="AB22" s="9">
        <v>196851.20000000001</v>
      </c>
      <c r="AC22" s="9">
        <v>196851.20000000001</v>
      </c>
      <c r="AD22" s="9">
        <v>196851.20000000001</v>
      </c>
      <c r="AE22" s="9">
        <v>196851.20000000001</v>
      </c>
      <c r="AF22" s="9">
        <v>196851.20000000001</v>
      </c>
      <c r="AG22" s="9">
        <v>196851.20000000001</v>
      </c>
      <c r="AH22" s="9">
        <v>196851.20000000001</v>
      </c>
      <c r="AI22" s="9">
        <v>196851.20000000001</v>
      </c>
      <c r="AJ22" s="9">
        <v>196851.20000000001</v>
      </c>
      <c r="AK22" s="9">
        <v>196851.20000000001</v>
      </c>
      <c r="AL22" s="9">
        <v>204725.24800000002</v>
      </c>
      <c r="AM22" s="9">
        <v>204725.24800000002</v>
      </c>
      <c r="AN22" s="9">
        <v>204725.24800000002</v>
      </c>
      <c r="AO22" s="9">
        <v>204725.24800000002</v>
      </c>
      <c r="AP22" s="9">
        <v>204725.24800000002</v>
      </c>
      <c r="AQ22" s="9">
        <v>204725.24800000002</v>
      </c>
      <c r="AR22" s="9">
        <v>204725.24800000002</v>
      </c>
      <c r="AS22" s="9">
        <v>204725.24800000002</v>
      </c>
      <c r="AT22" s="9">
        <v>204725.24800000002</v>
      </c>
      <c r="AU22" s="9">
        <v>204725.24800000002</v>
      </c>
      <c r="AV22" s="9">
        <v>204725.24800000002</v>
      </c>
      <c r="AW22" s="9">
        <v>204725.24800000002</v>
      </c>
      <c r="AX22" s="9">
        <v>212914.25792000003</v>
      </c>
      <c r="AY22" s="9">
        <v>212914.25792000003</v>
      </c>
      <c r="AZ22" s="9">
        <v>212914.25792000003</v>
      </c>
      <c r="BA22" s="9">
        <v>212914.25792000003</v>
      </c>
      <c r="BB22" s="9">
        <v>212914.25792000003</v>
      </c>
      <c r="BC22" s="9">
        <v>212914.25792000003</v>
      </c>
      <c r="BD22" s="9">
        <v>212914.25792000003</v>
      </c>
      <c r="BE22" s="9">
        <v>212914.25792000003</v>
      </c>
      <c r="BF22" s="9">
        <v>212914.25792000003</v>
      </c>
      <c r="BG22" s="9">
        <v>212914.25792000003</v>
      </c>
      <c r="BH22" s="9">
        <v>212914.25792000003</v>
      </c>
      <c r="BI22" s="9">
        <v>212914.25792000003</v>
      </c>
      <c r="BJ22" s="9">
        <v>221430.82823680004</v>
      </c>
      <c r="BK22" s="9">
        <v>221430.82823680004</v>
      </c>
      <c r="BL22" s="9">
        <v>221430.82823680004</v>
      </c>
      <c r="BM22" s="9">
        <v>221430.82823680004</v>
      </c>
      <c r="BN22" s="9">
        <v>221430.82823680004</v>
      </c>
      <c r="BO22" s="9">
        <v>221430.82823680004</v>
      </c>
      <c r="BP22" s="9">
        <v>221430.82823680004</v>
      </c>
      <c r="BQ22" s="9">
        <v>221430.82823680004</v>
      </c>
      <c r="BR22" s="9">
        <v>221430.82823680004</v>
      </c>
      <c r="BS22" s="9">
        <v>221430.82823680004</v>
      </c>
      <c r="BT22" s="9">
        <v>221430.82823680004</v>
      </c>
      <c r="BU22" s="9">
        <v>221430.82823680004</v>
      </c>
      <c r="BV22" s="9">
        <v>230288.06136627204</v>
      </c>
      <c r="BW22" s="9">
        <v>230288.06136627204</v>
      </c>
      <c r="BX22" s="9">
        <v>230288.06136627204</v>
      </c>
      <c r="BY22" s="9">
        <v>230288.06136627204</v>
      </c>
      <c r="BZ22" s="9">
        <v>230288.06136627204</v>
      </c>
      <c r="CA22" s="9">
        <v>230288.06136627204</v>
      </c>
      <c r="CB22" s="9">
        <v>230288.06136627204</v>
      </c>
      <c r="CC22" s="9">
        <v>230288.06136627204</v>
      </c>
      <c r="CD22" s="9">
        <v>230288.06136627204</v>
      </c>
      <c r="CE22" s="9">
        <v>230288.06136627204</v>
      </c>
      <c r="CF22" s="9">
        <v>230288.06136627204</v>
      </c>
      <c r="CG22" s="9">
        <v>230288.06136627204</v>
      </c>
      <c r="CH22" s="9">
        <v>239499.58382092294</v>
      </c>
      <c r="CI22" s="9">
        <v>239499.58382092294</v>
      </c>
      <c r="CJ22" s="9">
        <v>239499.58382092294</v>
      </c>
      <c r="CK22" s="9">
        <v>239499.58382092294</v>
      </c>
      <c r="CL22" s="9">
        <v>239499.58382092294</v>
      </c>
      <c r="CM22" s="9">
        <v>239499.58382092294</v>
      </c>
      <c r="CN22" s="9">
        <v>239499.58382092294</v>
      </c>
      <c r="CO22" s="9">
        <v>239499.58382092294</v>
      </c>
      <c r="CP22" s="9">
        <v>239499.58382092294</v>
      </c>
      <c r="CQ22" s="9">
        <v>239499.58382092294</v>
      </c>
      <c r="CR22" s="9">
        <v>239499.58382092294</v>
      </c>
      <c r="CS22" s="9">
        <v>239499.58382092294</v>
      </c>
      <c r="CT22" s="9">
        <v>249079.56717375986</v>
      </c>
      <c r="CU22" s="9">
        <v>249079.56717375986</v>
      </c>
      <c r="CV22" s="9">
        <v>249079.56717375986</v>
      </c>
      <c r="CW22" s="9">
        <v>249079.56717375986</v>
      </c>
      <c r="CX22" s="9">
        <v>249079.56717375986</v>
      </c>
      <c r="CY22" s="9">
        <v>249079.56717375986</v>
      </c>
    </row>
    <row r="23" spans="1:103">
      <c r="A23" t="s">
        <v>301</v>
      </c>
      <c r="B23" s="40" t="s">
        <v>277</v>
      </c>
      <c r="C23" s="40" t="s">
        <v>281</v>
      </c>
      <c r="D23" s="9">
        <v>15600</v>
      </c>
      <c r="E23" s="9">
        <v>15600</v>
      </c>
      <c r="F23" s="9">
        <v>15600</v>
      </c>
      <c r="G23" s="9">
        <v>15600</v>
      </c>
      <c r="H23" s="9">
        <v>15600</v>
      </c>
      <c r="I23" s="9">
        <v>15600</v>
      </c>
      <c r="J23" s="9">
        <v>15600</v>
      </c>
      <c r="K23" s="9">
        <v>15600</v>
      </c>
      <c r="L23" s="9">
        <v>15600</v>
      </c>
      <c r="M23" s="9">
        <v>15600</v>
      </c>
      <c r="N23" s="9">
        <v>16224</v>
      </c>
      <c r="O23" s="9">
        <v>16224</v>
      </c>
      <c r="P23" s="9">
        <v>16224</v>
      </c>
      <c r="Q23" s="9">
        <v>16224</v>
      </c>
      <c r="R23" s="9">
        <v>16224</v>
      </c>
      <c r="S23" s="9">
        <v>16224</v>
      </c>
      <c r="T23" s="9">
        <v>16224</v>
      </c>
      <c r="U23" s="9">
        <v>16224</v>
      </c>
      <c r="V23" s="9">
        <v>16224</v>
      </c>
      <c r="W23" s="9">
        <v>16224</v>
      </c>
      <c r="X23" s="9">
        <v>16224</v>
      </c>
      <c r="Y23" s="9">
        <v>16224</v>
      </c>
      <c r="Z23" s="9">
        <v>16872.96</v>
      </c>
      <c r="AA23" s="9">
        <v>16872.96</v>
      </c>
      <c r="AB23" s="9">
        <v>16872.96</v>
      </c>
      <c r="AC23" s="9">
        <v>16872.96</v>
      </c>
      <c r="AD23" s="9">
        <v>16872.96</v>
      </c>
      <c r="AE23" s="9">
        <v>16872.96</v>
      </c>
      <c r="AF23" s="9">
        <v>16872.96</v>
      </c>
      <c r="AG23" s="9">
        <v>16872.96</v>
      </c>
      <c r="AH23" s="9">
        <v>16872.96</v>
      </c>
      <c r="AI23" s="9">
        <v>16872.96</v>
      </c>
      <c r="AJ23" s="9">
        <v>16872.96</v>
      </c>
      <c r="AK23" s="9">
        <v>16872.96</v>
      </c>
      <c r="AL23" s="9">
        <v>17547.878400000001</v>
      </c>
      <c r="AM23" s="9">
        <v>17547.878400000001</v>
      </c>
      <c r="AN23" s="9">
        <v>17547.878400000001</v>
      </c>
      <c r="AO23" s="9">
        <v>17547.878400000001</v>
      </c>
      <c r="AP23" s="9">
        <v>17547.878400000001</v>
      </c>
      <c r="AQ23" s="9">
        <v>17547.878400000001</v>
      </c>
      <c r="AR23" s="9">
        <v>17547.878400000001</v>
      </c>
      <c r="AS23" s="9">
        <v>17547.878400000001</v>
      </c>
      <c r="AT23" s="9">
        <v>17547.878400000001</v>
      </c>
      <c r="AU23" s="9">
        <v>17547.878400000001</v>
      </c>
      <c r="AV23" s="9">
        <v>17547.878400000001</v>
      </c>
      <c r="AW23" s="9">
        <v>17547.878400000001</v>
      </c>
      <c r="AX23" s="9">
        <v>18249.793536000001</v>
      </c>
      <c r="AY23" s="9">
        <v>18249.793536000001</v>
      </c>
      <c r="AZ23" s="9">
        <v>18249.793536000001</v>
      </c>
      <c r="BA23" s="9">
        <v>18249.793536000001</v>
      </c>
      <c r="BB23" s="9">
        <v>18249.793536000001</v>
      </c>
      <c r="BC23" s="9">
        <v>18249.793536000001</v>
      </c>
      <c r="BD23" s="9">
        <v>18249.793536000001</v>
      </c>
      <c r="BE23" s="9">
        <v>18249.793536000001</v>
      </c>
      <c r="BF23" s="9">
        <v>18249.793536000001</v>
      </c>
      <c r="BG23" s="9">
        <v>18249.793536000001</v>
      </c>
      <c r="BH23" s="9">
        <v>18249.793536000001</v>
      </c>
      <c r="BI23" s="9">
        <v>18249.793536000001</v>
      </c>
      <c r="BJ23" s="9">
        <v>18979.785277440002</v>
      </c>
      <c r="BK23" s="9">
        <v>18979.785277440002</v>
      </c>
      <c r="BL23" s="9">
        <v>18979.785277440002</v>
      </c>
      <c r="BM23" s="9">
        <v>18979.785277440002</v>
      </c>
      <c r="BN23" s="9">
        <v>18979.785277440002</v>
      </c>
      <c r="BO23" s="9">
        <v>18979.785277440002</v>
      </c>
      <c r="BP23" s="9">
        <v>18979.785277440002</v>
      </c>
      <c r="BQ23" s="9">
        <v>18979.785277440002</v>
      </c>
      <c r="BR23" s="9">
        <v>18979.785277440002</v>
      </c>
      <c r="BS23" s="9">
        <v>18979.785277440002</v>
      </c>
      <c r="BT23" s="9">
        <v>18979.785277440002</v>
      </c>
      <c r="BU23" s="9">
        <v>18979.785277440002</v>
      </c>
      <c r="BV23" s="9">
        <v>19738.976688537601</v>
      </c>
      <c r="BW23" s="9">
        <v>19738.976688537601</v>
      </c>
      <c r="BX23" s="9">
        <v>19738.976688537601</v>
      </c>
      <c r="BY23" s="9">
        <v>19738.976688537601</v>
      </c>
      <c r="BZ23" s="9">
        <v>19738.976688537601</v>
      </c>
      <c r="CA23" s="9">
        <v>19738.976688537601</v>
      </c>
      <c r="CB23" s="9">
        <v>19738.976688537601</v>
      </c>
      <c r="CC23" s="9">
        <v>19738.976688537601</v>
      </c>
      <c r="CD23" s="9">
        <v>19738.976688537601</v>
      </c>
      <c r="CE23" s="9">
        <v>19738.976688537601</v>
      </c>
      <c r="CF23" s="9">
        <v>19738.976688537601</v>
      </c>
      <c r="CG23" s="9">
        <v>19738.976688537601</v>
      </c>
      <c r="CH23" s="9">
        <v>20528.535756079105</v>
      </c>
      <c r="CI23" s="9">
        <v>20528.535756079105</v>
      </c>
      <c r="CJ23" s="9">
        <v>20528.535756079105</v>
      </c>
      <c r="CK23" s="9">
        <v>20528.535756079105</v>
      </c>
      <c r="CL23" s="9">
        <v>20528.535756079105</v>
      </c>
      <c r="CM23" s="9">
        <v>20528.535756079105</v>
      </c>
      <c r="CN23" s="9">
        <v>20528.535756079105</v>
      </c>
      <c r="CO23" s="9">
        <v>20528.535756079105</v>
      </c>
      <c r="CP23" s="9">
        <v>20528.535756079105</v>
      </c>
      <c r="CQ23" s="9">
        <v>20528.535756079105</v>
      </c>
      <c r="CR23" s="9">
        <v>20528.535756079105</v>
      </c>
      <c r="CS23" s="9">
        <v>20528.535756079105</v>
      </c>
      <c r="CT23" s="9">
        <v>21349.677186322271</v>
      </c>
      <c r="CU23" s="9">
        <v>21349.677186322271</v>
      </c>
      <c r="CV23" s="9">
        <v>21349.677186322271</v>
      </c>
      <c r="CW23" s="9">
        <v>21349.677186322271</v>
      </c>
      <c r="CX23" s="9">
        <v>21349.677186322271</v>
      </c>
      <c r="CY23" s="9">
        <v>21349.677186322271</v>
      </c>
    </row>
    <row r="24" spans="1:103">
      <c r="A24" t="s">
        <v>302</v>
      </c>
      <c r="B24" s="40" t="s">
        <v>277</v>
      </c>
      <c r="C24" s="40" t="s">
        <v>281</v>
      </c>
      <c r="D24" s="9">
        <v>15600</v>
      </c>
      <c r="E24" s="9">
        <v>15600</v>
      </c>
      <c r="F24" s="9">
        <v>15600</v>
      </c>
      <c r="G24" s="9">
        <v>15600</v>
      </c>
      <c r="H24" s="9">
        <v>15600</v>
      </c>
      <c r="I24" s="9">
        <v>15600</v>
      </c>
      <c r="J24" s="9">
        <v>15600</v>
      </c>
      <c r="K24" s="9">
        <v>15600</v>
      </c>
      <c r="L24" s="9">
        <v>15600</v>
      </c>
      <c r="M24" s="9">
        <v>15600</v>
      </c>
      <c r="N24" s="9">
        <v>16224</v>
      </c>
      <c r="O24" s="9">
        <v>16224</v>
      </c>
      <c r="P24" s="9">
        <v>16224</v>
      </c>
      <c r="Q24" s="9">
        <v>16224</v>
      </c>
      <c r="R24" s="9">
        <v>16224</v>
      </c>
      <c r="S24" s="9">
        <v>16224</v>
      </c>
      <c r="T24" s="9">
        <v>16224</v>
      </c>
      <c r="U24" s="9">
        <v>16224</v>
      </c>
      <c r="V24" s="9">
        <v>16224</v>
      </c>
      <c r="W24" s="9">
        <v>16224</v>
      </c>
      <c r="X24" s="9">
        <v>16224</v>
      </c>
      <c r="Y24" s="9">
        <v>16224</v>
      </c>
      <c r="Z24" s="9">
        <v>16872.96</v>
      </c>
      <c r="AA24" s="9">
        <v>16872.96</v>
      </c>
      <c r="AB24" s="9">
        <v>16872.96</v>
      </c>
      <c r="AC24" s="9">
        <v>16872.96</v>
      </c>
      <c r="AD24" s="9">
        <v>16872.96</v>
      </c>
      <c r="AE24" s="9">
        <v>16872.96</v>
      </c>
      <c r="AF24" s="9">
        <v>16872.96</v>
      </c>
      <c r="AG24" s="9">
        <v>16872.96</v>
      </c>
      <c r="AH24" s="9">
        <v>16872.96</v>
      </c>
      <c r="AI24" s="9">
        <v>16872.96</v>
      </c>
      <c r="AJ24" s="9">
        <v>16872.96</v>
      </c>
      <c r="AK24" s="9">
        <v>16872.96</v>
      </c>
      <c r="AL24" s="9">
        <v>17547.878400000001</v>
      </c>
      <c r="AM24" s="9">
        <v>17547.878400000001</v>
      </c>
      <c r="AN24" s="9">
        <v>17547.878400000001</v>
      </c>
      <c r="AO24" s="9">
        <v>17547.878400000001</v>
      </c>
      <c r="AP24" s="9">
        <v>17547.878400000001</v>
      </c>
      <c r="AQ24" s="9">
        <v>17547.878400000001</v>
      </c>
      <c r="AR24" s="9">
        <v>17547.878400000001</v>
      </c>
      <c r="AS24" s="9">
        <v>17547.878400000001</v>
      </c>
      <c r="AT24" s="9">
        <v>17547.878400000001</v>
      </c>
      <c r="AU24" s="9">
        <v>17547.878400000001</v>
      </c>
      <c r="AV24" s="9">
        <v>17547.878400000001</v>
      </c>
      <c r="AW24" s="9">
        <v>17547.878400000001</v>
      </c>
      <c r="AX24" s="9">
        <v>18249.793536000001</v>
      </c>
      <c r="AY24" s="9">
        <v>18249.793536000001</v>
      </c>
      <c r="AZ24" s="9">
        <v>18249.793536000001</v>
      </c>
      <c r="BA24" s="9">
        <v>18249.793536000001</v>
      </c>
      <c r="BB24" s="9">
        <v>18249.793536000001</v>
      </c>
      <c r="BC24" s="9">
        <v>18249.793536000001</v>
      </c>
      <c r="BD24" s="9">
        <v>18249.793536000001</v>
      </c>
      <c r="BE24" s="9">
        <v>18249.793536000001</v>
      </c>
      <c r="BF24" s="9">
        <v>18249.793536000001</v>
      </c>
      <c r="BG24" s="9">
        <v>18249.793536000001</v>
      </c>
      <c r="BH24" s="9">
        <v>18249.793536000001</v>
      </c>
      <c r="BI24" s="9">
        <v>18249.793536000001</v>
      </c>
      <c r="BJ24" s="9">
        <v>18979.785277440002</v>
      </c>
      <c r="BK24" s="9">
        <v>18979.785277440002</v>
      </c>
      <c r="BL24" s="9">
        <v>18979.785277440002</v>
      </c>
      <c r="BM24" s="9">
        <v>18979.785277440002</v>
      </c>
      <c r="BN24" s="9">
        <v>18979.785277440002</v>
      </c>
      <c r="BO24" s="9">
        <v>18979.785277440002</v>
      </c>
      <c r="BP24" s="9">
        <v>18979.785277440002</v>
      </c>
      <c r="BQ24" s="9">
        <v>18979.785277440002</v>
      </c>
      <c r="BR24" s="9">
        <v>18979.785277440002</v>
      </c>
      <c r="BS24" s="9">
        <v>18979.785277440002</v>
      </c>
      <c r="BT24" s="9">
        <v>18979.785277440002</v>
      </c>
      <c r="BU24" s="9">
        <v>18979.785277440002</v>
      </c>
      <c r="BV24" s="9">
        <v>19738.976688537601</v>
      </c>
      <c r="BW24" s="9">
        <v>19738.976688537601</v>
      </c>
      <c r="BX24" s="9">
        <v>19738.976688537601</v>
      </c>
      <c r="BY24" s="9">
        <v>19738.976688537601</v>
      </c>
      <c r="BZ24" s="9">
        <v>19738.976688537601</v>
      </c>
      <c r="CA24" s="9">
        <v>19738.976688537601</v>
      </c>
      <c r="CB24" s="9">
        <v>19738.976688537601</v>
      </c>
      <c r="CC24" s="9">
        <v>19738.976688537601</v>
      </c>
      <c r="CD24" s="9">
        <v>19738.976688537601</v>
      </c>
      <c r="CE24" s="9">
        <v>19738.976688537601</v>
      </c>
      <c r="CF24" s="9">
        <v>19738.976688537601</v>
      </c>
      <c r="CG24" s="9">
        <v>19738.976688537601</v>
      </c>
      <c r="CH24" s="9">
        <v>20528.535756079105</v>
      </c>
      <c r="CI24" s="9">
        <v>20528.535756079105</v>
      </c>
      <c r="CJ24" s="9">
        <v>20528.535756079105</v>
      </c>
      <c r="CK24" s="9">
        <v>20528.535756079105</v>
      </c>
      <c r="CL24" s="9">
        <v>20528.535756079105</v>
      </c>
      <c r="CM24" s="9">
        <v>20528.535756079105</v>
      </c>
      <c r="CN24" s="9">
        <v>20528.535756079105</v>
      </c>
      <c r="CO24" s="9">
        <v>20528.535756079105</v>
      </c>
      <c r="CP24" s="9">
        <v>20528.535756079105</v>
      </c>
      <c r="CQ24" s="9">
        <v>20528.535756079105</v>
      </c>
      <c r="CR24" s="9">
        <v>20528.535756079105</v>
      </c>
      <c r="CS24" s="9">
        <v>20528.535756079105</v>
      </c>
      <c r="CT24" s="9">
        <v>21349.677186322271</v>
      </c>
      <c r="CU24" s="9">
        <v>21349.677186322271</v>
      </c>
      <c r="CV24" s="9">
        <v>21349.677186322271</v>
      </c>
      <c r="CW24" s="9">
        <v>21349.677186322271</v>
      </c>
      <c r="CX24" s="9">
        <v>21349.677186322271</v>
      </c>
      <c r="CY24" s="9">
        <v>21349.677186322271</v>
      </c>
    </row>
    <row r="25" spans="1:103">
      <c r="A25" t="s">
        <v>303</v>
      </c>
      <c r="B25" s="40" t="s">
        <v>277</v>
      </c>
      <c r="C25" s="40" t="s">
        <v>281</v>
      </c>
      <c r="D25" s="9">
        <v>10400</v>
      </c>
      <c r="E25" s="9">
        <v>10400</v>
      </c>
      <c r="F25" s="9">
        <v>10400</v>
      </c>
      <c r="G25" s="9">
        <v>10400</v>
      </c>
      <c r="H25" s="9">
        <v>10400</v>
      </c>
      <c r="I25" s="9">
        <v>10400</v>
      </c>
      <c r="J25" s="9">
        <v>10400</v>
      </c>
      <c r="K25" s="9">
        <v>10400</v>
      </c>
      <c r="L25" s="9">
        <v>10400</v>
      </c>
      <c r="M25" s="9">
        <v>10400</v>
      </c>
      <c r="N25" s="9">
        <v>10816</v>
      </c>
      <c r="O25" s="9">
        <v>10816</v>
      </c>
      <c r="P25" s="9">
        <v>10816</v>
      </c>
      <c r="Q25" s="9">
        <v>10816</v>
      </c>
      <c r="R25" s="9">
        <v>10816</v>
      </c>
      <c r="S25" s="9">
        <v>10816</v>
      </c>
      <c r="T25" s="9">
        <v>10816</v>
      </c>
      <c r="U25" s="9">
        <v>10816</v>
      </c>
      <c r="V25" s="9">
        <v>10816</v>
      </c>
      <c r="W25" s="9">
        <v>10816</v>
      </c>
      <c r="X25" s="9">
        <v>10816</v>
      </c>
      <c r="Y25" s="9">
        <v>10816</v>
      </c>
      <c r="Z25" s="9">
        <v>11248.640000000001</v>
      </c>
      <c r="AA25" s="9">
        <v>11248.640000000001</v>
      </c>
      <c r="AB25" s="9">
        <v>11248.640000000001</v>
      </c>
      <c r="AC25" s="9">
        <v>11248.640000000001</v>
      </c>
      <c r="AD25" s="9">
        <v>11248.640000000001</v>
      </c>
      <c r="AE25" s="9">
        <v>11248.640000000001</v>
      </c>
      <c r="AF25" s="9">
        <v>11248.640000000001</v>
      </c>
      <c r="AG25" s="9">
        <v>11248.640000000001</v>
      </c>
      <c r="AH25" s="9">
        <v>11248.640000000001</v>
      </c>
      <c r="AI25" s="9">
        <v>11248.640000000001</v>
      </c>
      <c r="AJ25" s="9">
        <v>11248.640000000001</v>
      </c>
      <c r="AK25" s="9">
        <v>11248.640000000001</v>
      </c>
      <c r="AL25" s="9">
        <v>11698.585600000002</v>
      </c>
      <c r="AM25" s="9">
        <v>11698.585600000002</v>
      </c>
      <c r="AN25" s="9">
        <v>11698.585600000002</v>
      </c>
      <c r="AO25" s="9">
        <v>11698.585600000002</v>
      </c>
      <c r="AP25" s="9">
        <v>11698.585600000002</v>
      </c>
      <c r="AQ25" s="9">
        <v>11698.585600000002</v>
      </c>
      <c r="AR25" s="9">
        <v>11698.585600000002</v>
      </c>
      <c r="AS25" s="9">
        <v>11698.585600000002</v>
      </c>
      <c r="AT25" s="9">
        <v>11698.585600000002</v>
      </c>
      <c r="AU25" s="9">
        <v>11698.585600000002</v>
      </c>
      <c r="AV25" s="9">
        <v>11698.585600000002</v>
      </c>
      <c r="AW25" s="9">
        <v>11698.585600000002</v>
      </c>
      <c r="AX25" s="9">
        <v>12166.529024000003</v>
      </c>
      <c r="AY25" s="9">
        <v>12166.529024000003</v>
      </c>
      <c r="AZ25" s="9">
        <v>12166.529024000003</v>
      </c>
      <c r="BA25" s="9">
        <v>12166.529024000003</v>
      </c>
      <c r="BB25" s="9">
        <v>12166.529024000003</v>
      </c>
      <c r="BC25" s="9">
        <v>12166.529024000003</v>
      </c>
      <c r="BD25" s="9">
        <v>12166.529024000003</v>
      </c>
      <c r="BE25" s="9">
        <v>12166.529024000003</v>
      </c>
      <c r="BF25" s="9">
        <v>12166.529024000003</v>
      </c>
      <c r="BG25" s="9">
        <v>12166.529024000003</v>
      </c>
      <c r="BH25" s="9">
        <v>12166.529024000003</v>
      </c>
      <c r="BI25" s="9">
        <v>12166.529024000003</v>
      </c>
      <c r="BJ25" s="9">
        <v>12653.190184960004</v>
      </c>
      <c r="BK25" s="9">
        <v>12653.190184960004</v>
      </c>
      <c r="BL25" s="9">
        <v>12653.190184960004</v>
      </c>
      <c r="BM25" s="9">
        <v>12653.190184960004</v>
      </c>
      <c r="BN25" s="9">
        <v>12653.190184960004</v>
      </c>
      <c r="BO25" s="9">
        <v>12653.190184960004</v>
      </c>
      <c r="BP25" s="9">
        <v>12653.190184960004</v>
      </c>
      <c r="BQ25" s="9">
        <v>12653.190184960004</v>
      </c>
      <c r="BR25" s="9">
        <v>12653.190184960004</v>
      </c>
      <c r="BS25" s="9">
        <v>12653.190184960004</v>
      </c>
      <c r="BT25" s="9">
        <v>12653.190184960004</v>
      </c>
      <c r="BU25" s="9">
        <v>12653.190184960004</v>
      </c>
      <c r="BV25" s="9">
        <v>13159.317792358404</v>
      </c>
      <c r="BW25" s="9">
        <v>13159.317792358404</v>
      </c>
      <c r="BX25" s="9">
        <v>13159.317792358404</v>
      </c>
      <c r="BY25" s="9">
        <v>13159.317792358404</v>
      </c>
      <c r="BZ25" s="9">
        <v>13159.317792358404</v>
      </c>
      <c r="CA25" s="9">
        <v>13159.317792358404</v>
      </c>
      <c r="CB25" s="9">
        <v>13159.317792358404</v>
      </c>
      <c r="CC25" s="9">
        <v>13159.317792358404</v>
      </c>
      <c r="CD25" s="9">
        <v>13159.317792358404</v>
      </c>
      <c r="CE25" s="9">
        <v>13159.317792358404</v>
      </c>
      <c r="CF25" s="9">
        <v>13159.317792358404</v>
      </c>
      <c r="CG25" s="9">
        <v>13159.317792358404</v>
      </c>
      <c r="CH25" s="9">
        <v>13685.690504052742</v>
      </c>
      <c r="CI25" s="9">
        <v>13685.690504052742</v>
      </c>
      <c r="CJ25" s="9">
        <v>13685.690504052742</v>
      </c>
      <c r="CK25" s="9">
        <v>13685.690504052742</v>
      </c>
      <c r="CL25" s="9">
        <v>13685.690504052742</v>
      </c>
      <c r="CM25" s="9">
        <v>13685.690504052742</v>
      </c>
      <c r="CN25" s="9">
        <v>13685.690504052742</v>
      </c>
      <c r="CO25" s="9">
        <v>13685.690504052742</v>
      </c>
      <c r="CP25" s="9">
        <v>13685.690504052742</v>
      </c>
      <c r="CQ25" s="9">
        <v>13685.690504052742</v>
      </c>
      <c r="CR25" s="9">
        <v>13685.690504052742</v>
      </c>
      <c r="CS25" s="9">
        <v>13685.690504052742</v>
      </c>
      <c r="CT25" s="9">
        <v>14233.118124214852</v>
      </c>
      <c r="CU25" s="9">
        <v>14233.118124214852</v>
      </c>
      <c r="CV25" s="9">
        <v>14233.118124214852</v>
      </c>
      <c r="CW25" s="9">
        <v>14233.118124214852</v>
      </c>
      <c r="CX25" s="9">
        <v>14233.118124214852</v>
      </c>
      <c r="CY25" s="9">
        <v>14233.118124214852</v>
      </c>
    </row>
    <row r="26" spans="1:103">
      <c r="A26" t="s">
        <v>304</v>
      </c>
      <c r="B26" s="40" t="s">
        <v>277</v>
      </c>
      <c r="C26" s="40" t="s">
        <v>281</v>
      </c>
      <c r="D26" s="9">
        <v>15600</v>
      </c>
      <c r="E26" s="9">
        <v>15600</v>
      </c>
      <c r="F26" s="9">
        <v>15600</v>
      </c>
      <c r="G26" s="9">
        <v>15600</v>
      </c>
      <c r="H26" s="9">
        <v>15600</v>
      </c>
      <c r="I26" s="9">
        <v>15600</v>
      </c>
      <c r="J26" s="9">
        <v>15600</v>
      </c>
      <c r="K26" s="9">
        <v>15600</v>
      </c>
      <c r="L26" s="9">
        <v>15600</v>
      </c>
      <c r="M26" s="9">
        <v>15600</v>
      </c>
      <c r="N26" s="9">
        <v>16224</v>
      </c>
      <c r="O26" s="9">
        <v>16224</v>
      </c>
      <c r="P26" s="9">
        <v>16224</v>
      </c>
      <c r="Q26" s="9">
        <v>16224</v>
      </c>
      <c r="R26" s="9">
        <v>16224</v>
      </c>
      <c r="S26" s="9">
        <v>16224</v>
      </c>
      <c r="T26" s="9">
        <v>16224</v>
      </c>
      <c r="U26" s="9">
        <v>16224</v>
      </c>
      <c r="V26" s="9">
        <v>16224</v>
      </c>
      <c r="W26" s="9">
        <v>16224</v>
      </c>
      <c r="X26" s="9">
        <v>16224</v>
      </c>
      <c r="Y26" s="9">
        <v>16224</v>
      </c>
      <c r="Z26" s="9">
        <v>16872.96</v>
      </c>
      <c r="AA26" s="9">
        <v>16872.96</v>
      </c>
      <c r="AB26" s="9">
        <v>16872.96</v>
      </c>
      <c r="AC26" s="9">
        <v>16872.96</v>
      </c>
      <c r="AD26" s="9">
        <v>16872.96</v>
      </c>
      <c r="AE26" s="9">
        <v>16872.96</v>
      </c>
      <c r="AF26" s="9">
        <v>16872.96</v>
      </c>
      <c r="AG26" s="9">
        <v>16872.96</v>
      </c>
      <c r="AH26" s="9">
        <v>16872.96</v>
      </c>
      <c r="AI26" s="9">
        <v>16872.96</v>
      </c>
      <c r="AJ26" s="9">
        <v>16872.96</v>
      </c>
      <c r="AK26" s="9">
        <v>16872.96</v>
      </c>
      <c r="AL26" s="9">
        <v>17547.878400000001</v>
      </c>
      <c r="AM26" s="9">
        <v>17547.878400000001</v>
      </c>
      <c r="AN26" s="9">
        <v>17547.878400000001</v>
      </c>
      <c r="AO26" s="9">
        <v>17547.878400000001</v>
      </c>
      <c r="AP26" s="9">
        <v>17547.878400000001</v>
      </c>
      <c r="AQ26" s="9">
        <v>17547.878400000001</v>
      </c>
      <c r="AR26" s="9">
        <v>17547.878400000001</v>
      </c>
      <c r="AS26" s="9">
        <v>17547.878400000001</v>
      </c>
      <c r="AT26" s="9">
        <v>17547.878400000001</v>
      </c>
      <c r="AU26" s="9">
        <v>17547.878400000001</v>
      </c>
      <c r="AV26" s="9">
        <v>17547.878400000001</v>
      </c>
      <c r="AW26" s="9">
        <v>17547.878400000001</v>
      </c>
      <c r="AX26" s="9">
        <v>18249.793536000001</v>
      </c>
      <c r="AY26" s="9">
        <v>18249.793536000001</v>
      </c>
      <c r="AZ26" s="9">
        <v>18249.793536000001</v>
      </c>
      <c r="BA26" s="9">
        <v>18249.793536000001</v>
      </c>
      <c r="BB26" s="9">
        <v>18249.793536000001</v>
      </c>
      <c r="BC26" s="9">
        <v>18249.793536000001</v>
      </c>
      <c r="BD26" s="9">
        <v>18249.793536000001</v>
      </c>
      <c r="BE26" s="9">
        <v>18249.793536000001</v>
      </c>
      <c r="BF26" s="9">
        <v>18249.793536000001</v>
      </c>
      <c r="BG26" s="9">
        <v>18249.793536000001</v>
      </c>
      <c r="BH26" s="9">
        <v>18249.793536000001</v>
      </c>
      <c r="BI26" s="9">
        <v>18249.793536000001</v>
      </c>
      <c r="BJ26" s="9">
        <v>18979.785277440002</v>
      </c>
      <c r="BK26" s="9">
        <v>18979.785277440002</v>
      </c>
      <c r="BL26" s="9">
        <v>18979.785277440002</v>
      </c>
      <c r="BM26" s="9">
        <v>18979.785277440002</v>
      </c>
      <c r="BN26" s="9">
        <v>18979.785277440002</v>
      </c>
      <c r="BO26" s="9">
        <v>18979.785277440002</v>
      </c>
      <c r="BP26" s="9">
        <v>18979.785277440002</v>
      </c>
      <c r="BQ26" s="9">
        <v>18979.785277440002</v>
      </c>
      <c r="BR26" s="9">
        <v>18979.785277440002</v>
      </c>
      <c r="BS26" s="9">
        <v>18979.785277440002</v>
      </c>
      <c r="BT26" s="9">
        <v>18979.785277440002</v>
      </c>
      <c r="BU26" s="9">
        <v>18979.785277440002</v>
      </c>
      <c r="BV26" s="9">
        <v>19738.976688537601</v>
      </c>
      <c r="BW26" s="9">
        <v>19738.976688537601</v>
      </c>
      <c r="BX26" s="9">
        <v>19738.976688537601</v>
      </c>
      <c r="BY26" s="9">
        <v>19738.976688537601</v>
      </c>
      <c r="BZ26" s="9">
        <v>19738.976688537601</v>
      </c>
      <c r="CA26" s="9">
        <v>19738.976688537601</v>
      </c>
      <c r="CB26" s="9">
        <v>19738.976688537601</v>
      </c>
      <c r="CC26" s="9">
        <v>19738.976688537601</v>
      </c>
      <c r="CD26" s="9">
        <v>19738.976688537601</v>
      </c>
      <c r="CE26" s="9">
        <v>19738.976688537601</v>
      </c>
      <c r="CF26" s="9">
        <v>19738.976688537601</v>
      </c>
      <c r="CG26" s="9">
        <v>19738.976688537601</v>
      </c>
      <c r="CH26" s="9">
        <v>20528.535756079105</v>
      </c>
      <c r="CI26" s="9">
        <v>20528.535756079105</v>
      </c>
      <c r="CJ26" s="9">
        <v>20528.535756079105</v>
      </c>
      <c r="CK26" s="9">
        <v>20528.535756079105</v>
      </c>
      <c r="CL26" s="9">
        <v>20528.535756079105</v>
      </c>
      <c r="CM26" s="9">
        <v>20528.535756079105</v>
      </c>
      <c r="CN26" s="9">
        <v>20528.535756079105</v>
      </c>
      <c r="CO26" s="9">
        <v>20528.535756079105</v>
      </c>
      <c r="CP26" s="9">
        <v>20528.535756079105</v>
      </c>
      <c r="CQ26" s="9">
        <v>20528.535756079105</v>
      </c>
      <c r="CR26" s="9">
        <v>20528.535756079105</v>
      </c>
      <c r="CS26" s="9">
        <v>20528.535756079105</v>
      </c>
      <c r="CT26" s="9">
        <v>21349.677186322271</v>
      </c>
      <c r="CU26" s="9">
        <v>21349.677186322271</v>
      </c>
      <c r="CV26" s="9">
        <v>21349.677186322271</v>
      </c>
      <c r="CW26" s="9">
        <v>21349.677186322271</v>
      </c>
      <c r="CX26" s="9">
        <v>21349.677186322271</v>
      </c>
      <c r="CY26" s="9">
        <v>21349.677186322271</v>
      </c>
    </row>
    <row r="27" spans="1:103">
      <c r="A27" t="s">
        <v>305</v>
      </c>
      <c r="B27" s="40" t="s">
        <v>277</v>
      </c>
      <c r="C27" s="40" t="s">
        <v>281</v>
      </c>
      <c r="D27" s="9">
        <v>15600</v>
      </c>
      <c r="E27" s="9">
        <v>15600</v>
      </c>
      <c r="F27" s="9">
        <v>15600</v>
      </c>
      <c r="G27" s="9">
        <v>15600</v>
      </c>
      <c r="H27" s="9">
        <v>15600</v>
      </c>
      <c r="I27" s="9">
        <v>15600</v>
      </c>
      <c r="J27" s="9">
        <v>15600</v>
      </c>
      <c r="K27" s="9">
        <v>15600</v>
      </c>
      <c r="L27" s="9">
        <v>15600</v>
      </c>
      <c r="M27" s="9">
        <v>15600</v>
      </c>
      <c r="N27" s="9">
        <v>16224</v>
      </c>
      <c r="O27" s="9">
        <v>16224</v>
      </c>
      <c r="P27" s="9">
        <v>16224</v>
      </c>
      <c r="Q27" s="9">
        <v>16224</v>
      </c>
      <c r="R27" s="9">
        <v>16224</v>
      </c>
      <c r="S27" s="9">
        <v>16224</v>
      </c>
      <c r="T27" s="9">
        <v>16224</v>
      </c>
      <c r="U27" s="9">
        <v>16224</v>
      </c>
      <c r="V27" s="9">
        <v>16224</v>
      </c>
      <c r="W27" s="9">
        <v>16224</v>
      </c>
      <c r="X27" s="9">
        <v>16224</v>
      </c>
      <c r="Y27" s="9">
        <v>16224</v>
      </c>
      <c r="Z27" s="9">
        <v>16872.96</v>
      </c>
      <c r="AA27" s="9">
        <v>16872.96</v>
      </c>
      <c r="AB27" s="9">
        <v>16872.96</v>
      </c>
      <c r="AC27" s="9">
        <v>16872.96</v>
      </c>
      <c r="AD27" s="9">
        <v>16872.96</v>
      </c>
      <c r="AE27" s="9">
        <v>16872.96</v>
      </c>
      <c r="AF27" s="9">
        <v>16872.96</v>
      </c>
      <c r="AG27" s="9">
        <v>16872.96</v>
      </c>
      <c r="AH27" s="9">
        <v>16872.96</v>
      </c>
      <c r="AI27" s="9">
        <v>16872.96</v>
      </c>
      <c r="AJ27" s="9">
        <v>16872.96</v>
      </c>
      <c r="AK27" s="9">
        <v>16872.96</v>
      </c>
      <c r="AL27" s="9">
        <v>17547.878400000001</v>
      </c>
      <c r="AM27" s="9">
        <v>17547.878400000001</v>
      </c>
      <c r="AN27" s="9">
        <v>17547.878400000001</v>
      </c>
      <c r="AO27" s="9">
        <v>17547.878400000001</v>
      </c>
      <c r="AP27" s="9">
        <v>17547.878400000001</v>
      </c>
      <c r="AQ27" s="9">
        <v>17547.878400000001</v>
      </c>
      <c r="AR27" s="9">
        <v>17547.878400000001</v>
      </c>
      <c r="AS27" s="9">
        <v>17547.878400000001</v>
      </c>
      <c r="AT27" s="9">
        <v>17547.878400000001</v>
      </c>
      <c r="AU27" s="9">
        <v>17547.878400000001</v>
      </c>
      <c r="AV27" s="9">
        <v>17547.878400000001</v>
      </c>
      <c r="AW27" s="9">
        <v>17547.878400000001</v>
      </c>
      <c r="AX27" s="9">
        <v>18249.793536000001</v>
      </c>
      <c r="AY27" s="9">
        <v>18249.793536000001</v>
      </c>
      <c r="AZ27" s="9">
        <v>18249.793536000001</v>
      </c>
      <c r="BA27" s="9">
        <v>18249.793536000001</v>
      </c>
      <c r="BB27" s="9">
        <v>18249.793536000001</v>
      </c>
      <c r="BC27" s="9">
        <v>18249.793536000001</v>
      </c>
      <c r="BD27" s="9">
        <v>18249.793536000001</v>
      </c>
      <c r="BE27" s="9">
        <v>18249.793536000001</v>
      </c>
      <c r="BF27" s="9">
        <v>18249.793536000001</v>
      </c>
      <c r="BG27" s="9">
        <v>18249.793536000001</v>
      </c>
      <c r="BH27" s="9">
        <v>18249.793536000001</v>
      </c>
      <c r="BI27" s="9">
        <v>18249.793536000001</v>
      </c>
      <c r="BJ27" s="9">
        <v>18979.785277440002</v>
      </c>
      <c r="BK27" s="9">
        <v>18979.785277440002</v>
      </c>
      <c r="BL27" s="9">
        <v>18979.785277440002</v>
      </c>
      <c r="BM27" s="9">
        <v>18979.785277440002</v>
      </c>
      <c r="BN27" s="9">
        <v>18979.785277440002</v>
      </c>
      <c r="BO27" s="9">
        <v>18979.785277440002</v>
      </c>
      <c r="BP27" s="9">
        <v>18979.785277440002</v>
      </c>
      <c r="BQ27" s="9">
        <v>18979.785277440002</v>
      </c>
      <c r="BR27" s="9">
        <v>18979.785277440002</v>
      </c>
      <c r="BS27" s="9">
        <v>18979.785277440002</v>
      </c>
      <c r="BT27" s="9">
        <v>18979.785277440002</v>
      </c>
      <c r="BU27" s="9">
        <v>18979.785277440002</v>
      </c>
      <c r="BV27" s="9">
        <v>19738.976688537601</v>
      </c>
      <c r="BW27" s="9">
        <v>19738.976688537601</v>
      </c>
      <c r="BX27" s="9">
        <v>19738.976688537601</v>
      </c>
      <c r="BY27" s="9">
        <v>19738.976688537601</v>
      </c>
      <c r="BZ27" s="9">
        <v>19738.976688537601</v>
      </c>
      <c r="CA27" s="9">
        <v>19738.976688537601</v>
      </c>
      <c r="CB27" s="9">
        <v>19738.976688537601</v>
      </c>
      <c r="CC27" s="9">
        <v>19738.976688537601</v>
      </c>
      <c r="CD27" s="9">
        <v>19738.976688537601</v>
      </c>
      <c r="CE27" s="9">
        <v>19738.976688537601</v>
      </c>
      <c r="CF27" s="9">
        <v>19738.976688537601</v>
      </c>
      <c r="CG27" s="9">
        <v>19738.976688537601</v>
      </c>
      <c r="CH27" s="9">
        <v>20528.535756079105</v>
      </c>
      <c r="CI27" s="9">
        <v>20528.535756079105</v>
      </c>
      <c r="CJ27" s="9">
        <v>20528.535756079105</v>
      </c>
      <c r="CK27" s="9">
        <v>20528.535756079105</v>
      </c>
      <c r="CL27" s="9">
        <v>20528.535756079105</v>
      </c>
      <c r="CM27" s="9">
        <v>20528.535756079105</v>
      </c>
      <c r="CN27" s="9">
        <v>20528.535756079105</v>
      </c>
      <c r="CO27" s="9">
        <v>20528.535756079105</v>
      </c>
      <c r="CP27" s="9">
        <v>20528.535756079105</v>
      </c>
      <c r="CQ27" s="9">
        <v>20528.535756079105</v>
      </c>
      <c r="CR27" s="9">
        <v>20528.535756079105</v>
      </c>
      <c r="CS27" s="9">
        <v>20528.535756079105</v>
      </c>
      <c r="CT27" s="9">
        <v>21349.677186322271</v>
      </c>
      <c r="CU27" s="9">
        <v>21349.677186322271</v>
      </c>
      <c r="CV27" s="9">
        <v>21349.677186322271</v>
      </c>
      <c r="CW27" s="9">
        <v>21349.677186322271</v>
      </c>
      <c r="CX27" s="9">
        <v>21349.677186322271</v>
      </c>
      <c r="CY27" s="9">
        <v>21349.677186322271</v>
      </c>
    </row>
    <row r="28" spans="1:103">
      <c r="A28" t="s">
        <v>306</v>
      </c>
      <c r="B28" s="40" t="s">
        <v>277</v>
      </c>
      <c r="C28" s="40" t="s">
        <v>281</v>
      </c>
      <c r="D28" s="9">
        <v>15600</v>
      </c>
      <c r="E28" s="9">
        <v>15600</v>
      </c>
      <c r="F28" s="9">
        <v>15600</v>
      </c>
      <c r="G28" s="9">
        <v>15600</v>
      </c>
      <c r="H28" s="9">
        <v>15600</v>
      </c>
      <c r="I28" s="9">
        <v>15600</v>
      </c>
      <c r="J28" s="9">
        <v>15600</v>
      </c>
      <c r="K28" s="9">
        <v>15600</v>
      </c>
      <c r="L28" s="9">
        <v>15600</v>
      </c>
      <c r="M28" s="9">
        <v>15600</v>
      </c>
      <c r="N28" s="9">
        <v>16224</v>
      </c>
      <c r="O28" s="9">
        <v>16224</v>
      </c>
      <c r="P28" s="9">
        <v>16224</v>
      </c>
      <c r="Q28" s="9">
        <v>16224</v>
      </c>
      <c r="R28" s="9">
        <v>16224</v>
      </c>
      <c r="S28" s="9">
        <v>16224</v>
      </c>
      <c r="T28" s="9">
        <v>16224</v>
      </c>
      <c r="U28" s="9">
        <v>16224</v>
      </c>
      <c r="V28" s="9">
        <v>16224</v>
      </c>
      <c r="W28" s="9">
        <v>16224</v>
      </c>
      <c r="X28" s="9">
        <v>16224</v>
      </c>
      <c r="Y28" s="9">
        <v>16224</v>
      </c>
      <c r="Z28" s="9">
        <v>16872.96</v>
      </c>
      <c r="AA28" s="9">
        <v>16872.96</v>
      </c>
      <c r="AB28" s="9">
        <v>16872.96</v>
      </c>
      <c r="AC28" s="9">
        <v>16872.96</v>
      </c>
      <c r="AD28" s="9">
        <v>16872.96</v>
      </c>
      <c r="AE28" s="9">
        <v>16872.96</v>
      </c>
      <c r="AF28" s="9">
        <v>16872.96</v>
      </c>
      <c r="AG28" s="9">
        <v>16872.96</v>
      </c>
      <c r="AH28" s="9">
        <v>16872.96</v>
      </c>
      <c r="AI28" s="9">
        <v>16872.96</v>
      </c>
      <c r="AJ28" s="9">
        <v>16872.96</v>
      </c>
      <c r="AK28" s="9">
        <v>16872.96</v>
      </c>
      <c r="AL28" s="9">
        <v>17547.878400000001</v>
      </c>
      <c r="AM28" s="9">
        <v>17547.878400000001</v>
      </c>
      <c r="AN28" s="9">
        <v>17547.878400000001</v>
      </c>
      <c r="AO28" s="9">
        <v>17547.878400000001</v>
      </c>
      <c r="AP28" s="9">
        <v>17547.878400000001</v>
      </c>
      <c r="AQ28" s="9">
        <v>17547.878400000001</v>
      </c>
      <c r="AR28" s="9">
        <v>17547.878400000001</v>
      </c>
      <c r="AS28" s="9">
        <v>17547.878400000001</v>
      </c>
      <c r="AT28" s="9">
        <v>17547.878400000001</v>
      </c>
      <c r="AU28" s="9">
        <v>17547.878400000001</v>
      </c>
      <c r="AV28" s="9">
        <v>17547.878400000001</v>
      </c>
      <c r="AW28" s="9">
        <v>17547.878400000001</v>
      </c>
      <c r="AX28" s="9">
        <v>18249.793536000001</v>
      </c>
      <c r="AY28" s="9">
        <v>18249.793536000001</v>
      </c>
      <c r="AZ28" s="9">
        <v>18249.793536000001</v>
      </c>
      <c r="BA28" s="9">
        <v>18249.793536000001</v>
      </c>
      <c r="BB28" s="9">
        <v>18249.793536000001</v>
      </c>
      <c r="BC28" s="9">
        <v>18249.793536000001</v>
      </c>
      <c r="BD28" s="9">
        <v>18249.793536000001</v>
      </c>
      <c r="BE28" s="9">
        <v>18249.793536000001</v>
      </c>
      <c r="BF28" s="9">
        <v>18249.793536000001</v>
      </c>
      <c r="BG28" s="9">
        <v>18249.793536000001</v>
      </c>
      <c r="BH28" s="9">
        <v>18249.793536000001</v>
      </c>
      <c r="BI28" s="9">
        <v>18249.793536000001</v>
      </c>
      <c r="BJ28" s="9">
        <v>18979.785277440002</v>
      </c>
      <c r="BK28" s="9">
        <v>18979.785277440002</v>
      </c>
      <c r="BL28" s="9">
        <v>18979.785277440002</v>
      </c>
      <c r="BM28" s="9">
        <v>18979.785277440002</v>
      </c>
      <c r="BN28" s="9">
        <v>18979.785277440002</v>
      </c>
      <c r="BO28" s="9">
        <v>18979.785277440002</v>
      </c>
      <c r="BP28" s="9">
        <v>18979.785277440002</v>
      </c>
      <c r="BQ28" s="9">
        <v>18979.785277440002</v>
      </c>
      <c r="BR28" s="9">
        <v>18979.785277440002</v>
      </c>
      <c r="BS28" s="9">
        <v>18979.785277440002</v>
      </c>
      <c r="BT28" s="9">
        <v>18979.785277440002</v>
      </c>
      <c r="BU28" s="9">
        <v>18979.785277440002</v>
      </c>
      <c r="BV28" s="9">
        <v>19738.976688537601</v>
      </c>
      <c r="BW28" s="9">
        <v>19738.976688537601</v>
      </c>
      <c r="BX28" s="9">
        <v>19738.976688537601</v>
      </c>
      <c r="BY28" s="9">
        <v>19738.976688537601</v>
      </c>
      <c r="BZ28" s="9">
        <v>19738.976688537601</v>
      </c>
      <c r="CA28" s="9">
        <v>19738.976688537601</v>
      </c>
      <c r="CB28" s="9">
        <v>19738.976688537601</v>
      </c>
      <c r="CC28" s="9">
        <v>19738.976688537601</v>
      </c>
      <c r="CD28" s="9">
        <v>19738.976688537601</v>
      </c>
      <c r="CE28" s="9">
        <v>19738.976688537601</v>
      </c>
      <c r="CF28" s="9">
        <v>19738.976688537601</v>
      </c>
      <c r="CG28" s="9">
        <v>19738.976688537601</v>
      </c>
      <c r="CH28" s="9">
        <v>20528.535756079105</v>
      </c>
      <c r="CI28" s="9">
        <v>20528.535756079105</v>
      </c>
      <c r="CJ28" s="9">
        <v>20528.535756079105</v>
      </c>
      <c r="CK28" s="9">
        <v>20528.535756079105</v>
      </c>
      <c r="CL28" s="9">
        <v>20528.535756079105</v>
      </c>
      <c r="CM28" s="9">
        <v>20528.535756079105</v>
      </c>
      <c r="CN28" s="9">
        <v>20528.535756079105</v>
      </c>
      <c r="CO28" s="9">
        <v>20528.535756079105</v>
      </c>
      <c r="CP28" s="9">
        <v>20528.535756079105</v>
      </c>
      <c r="CQ28" s="9">
        <v>20528.535756079105</v>
      </c>
      <c r="CR28" s="9">
        <v>20528.535756079105</v>
      </c>
      <c r="CS28" s="9">
        <v>20528.535756079105</v>
      </c>
      <c r="CT28" s="9">
        <v>21349.677186322271</v>
      </c>
      <c r="CU28" s="9">
        <v>21349.677186322271</v>
      </c>
      <c r="CV28" s="9">
        <v>21349.677186322271</v>
      </c>
      <c r="CW28" s="9">
        <v>21349.677186322271</v>
      </c>
      <c r="CX28" s="9">
        <v>21349.677186322271</v>
      </c>
      <c r="CY28" s="9">
        <v>21349.677186322271</v>
      </c>
    </row>
    <row r="29" spans="1:103">
      <c r="A29" t="s">
        <v>307</v>
      </c>
      <c r="B29" s="40" t="s">
        <v>277</v>
      </c>
      <c r="C29" s="40" t="s">
        <v>281</v>
      </c>
      <c r="D29" s="9">
        <v>15600</v>
      </c>
      <c r="E29" s="9">
        <v>15600</v>
      </c>
      <c r="F29" s="9">
        <v>15600</v>
      </c>
      <c r="G29" s="9">
        <v>15600</v>
      </c>
      <c r="H29" s="9">
        <v>15600</v>
      </c>
      <c r="I29" s="9">
        <v>15600</v>
      </c>
      <c r="J29" s="9">
        <v>15600</v>
      </c>
      <c r="K29" s="9">
        <v>15600</v>
      </c>
      <c r="L29" s="9">
        <v>15600</v>
      </c>
      <c r="M29" s="9">
        <v>15600</v>
      </c>
      <c r="N29" s="9">
        <v>16224</v>
      </c>
      <c r="O29" s="9">
        <v>16224</v>
      </c>
      <c r="P29" s="9">
        <v>16224</v>
      </c>
      <c r="Q29" s="9">
        <v>16224</v>
      </c>
      <c r="R29" s="9">
        <v>16224</v>
      </c>
      <c r="S29" s="9">
        <v>16224</v>
      </c>
      <c r="T29" s="9">
        <v>16224</v>
      </c>
      <c r="U29" s="9">
        <v>16224</v>
      </c>
      <c r="V29" s="9">
        <v>16224</v>
      </c>
      <c r="W29" s="9">
        <v>16224</v>
      </c>
      <c r="X29" s="9">
        <v>16224</v>
      </c>
      <c r="Y29" s="9">
        <v>16224</v>
      </c>
      <c r="Z29" s="9">
        <v>16872.96</v>
      </c>
      <c r="AA29" s="9">
        <v>16872.96</v>
      </c>
      <c r="AB29" s="9">
        <v>16872.96</v>
      </c>
      <c r="AC29" s="9">
        <v>16872.96</v>
      </c>
      <c r="AD29" s="9">
        <v>16872.96</v>
      </c>
      <c r="AE29" s="9">
        <v>16872.96</v>
      </c>
      <c r="AF29" s="9">
        <v>16872.96</v>
      </c>
      <c r="AG29" s="9">
        <v>16872.96</v>
      </c>
      <c r="AH29" s="9">
        <v>16872.96</v>
      </c>
      <c r="AI29" s="9">
        <v>16872.96</v>
      </c>
      <c r="AJ29" s="9">
        <v>16872.96</v>
      </c>
      <c r="AK29" s="9">
        <v>16872.96</v>
      </c>
      <c r="AL29" s="9">
        <v>17547.878400000001</v>
      </c>
      <c r="AM29" s="9">
        <v>17547.878400000001</v>
      </c>
      <c r="AN29" s="9">
        <v>17547.878400000001</v>
      </c>
      <c r="AO29" s="9">
        <v>17547.878400000001</v>
      </c>
      <c r="AP29" s="9">
        <v>17547.878400000001</v>
      </c>
      <c r="AQ29" s="9">
        <v>17547.878400000001</v>
      </c>
      <c r="AR29" s="9">
        <v>17547.878400000001</v>
      </c>
      <c r="AS29" s="9">
        <v>17547.878400000001</v>
      </c>
      <c r="AT29" s="9">
        <v>17547.878400000001</v>
      </c>
      <c r="AU29" s="9">
        <v>17547.878400000001</v>
      </c>
      <c r="AV29" s="9">
        <v>17547.878400000001</v>
      </c>
      <c r="AW29" s="9">
        <v>17547.878400000001</v>
      </c>
      <c r="AX29" s="9">
        <v>18249.793536000001</v>
      </c>
      <c r="AY29" s="9">
        <v>18249.793536000001</v>
      </c>
      <c r="AZ29" s="9">
        <v>18249.793536000001</v>
      </c>
      <c r="BA29" s="9">
        <v>18249.793536000001</v>
      </c>
      <c r="BB29" s="9">
        <v>18249.793536000001</v>
      </c>
      <c r="BC29" s="9">
        <v>18249.793536000001</v>
      </c>
      <c r="BD29" s="9">
        <v>18249.793536000001</v>
      </c>
      <c r="BE29" s="9">
        <v>18249.793536000001</v>
      </c>
      <c r="BF29" s="9">
        <v>18249.793536000001</v>
      </c>
      <c r="BG29" s="9">
        <v>18249.793536000001</v>
      </c>
      <c r="BH29" s="9">
        <v>18249.793536000001</v>
      </c>
      <c r="BI29" s="9">
        <v>18249.793536000001</v>
      </c>
      <c r="BJ29" s="9">
        <v>18979.785277440002</v>
      </c>
      <c r="BK29" s="9">
        <v>18979.785277440002</v>
      </c>
      <c r="BL29" s="9">
        <v>18979.785277440002</v>
      </c>
      <c r="BM29" s="9">
        <v>18979.785277440002</v>
      </c>
      <c r="BN29" s="9">
        <v>18979.785277440002</v>
      </c>
      <c r="BO29" s="9">
        <v>18979.785277440002</v>
      </c>
      <c r="BP29" s="9">
        <v>18979.785277440002</v>
      </c>
      <c r="BQ29" s="9">
        <v>18979.785277440002</v>
      </c>
      <c r="BR29" s="9">
        <v>18979.785277440002</v>
      </c>
      <c r="BS29" s="9">
        <v>18979.785277440002</v>
      </c>
      <c r="BT29" s="9">
        <v>18979.785277440002</v>
      </c>
      <c r="BU29" s="9">
        <v>18979.785277440002</v>
      </c>
      <c r="BV29" s="9">
        <v>19738.976688537601</v>
      </c>
      <c r="BW29" s="9">
        <v>19738.976688537601</v>
      </c>
      <c r="BX29" s="9">
        <v>19738.976688537601</v>
      </c>
      <c r="BY29" s="9">
        <v>19738.976688537601</v>
      </c>
      <c r="BZ29" s="9">
        <v>19738.976688537601</v>
      </c>
      <c r="CA29" s="9">
        <v>19738.976688537601</v>
      </c>
      <c r="CB29" s="9">
        <v>19738.976688537601</v>
      </c>
      <c r="CC29" s="9">
        <v>19738.976688537601</v>
      </c>
      <c r="CD29" s="9">
        <v>19738.976688537601</v>
      </c>
      <c r="CE29" s="9">
        <v>19738.976688537601</v>
      </c>
      <c r="CF29" s="9">
        <v>19738.976688537601</v>
      </c>
      <c r="CG29" s="9">
        <v>19738.976688537601</v>
      </c>
      <c r="CH29" s="9">
        <v>20528.535756079105</v>
      </c>
      <c r="CI29" s="9">
        <v>20528.535756079105</v>
      </c>
      <c r="CJ29" s="9">
        <v>20528.535756079105</v>
      </c>
      <c r="CK29" s="9">
        <v>20528.535756079105</v>
      </c>
      <c r="CL29" s="9">
        <v>20528.535756079105</v>
      </c>
      <c r="CM29" s="9">
        <v>20528.535756079105</v>
      </c>
      <c r="CN29" s="9">
        <v>20528.535756079105</v>
      </c>
      <c r="CO29" s="9">
        <v>20528.535756079105</v>
      </c>
      <c r="CP29" s="9">
        <v>20528.535756079105</v>
      </c>
      <c r="CQ29" s="9">
        <v>20528.535756079105</v>
      </c>
      <c r="CR29" s="9">
        <v>20528.535756079105</v>
      </c>
      <c r="CS29" s="9">
        <v>20528.535756079105</v>
      </c>
      <c r="CT29" s="9">
        <v>21349.677186322271</v>
      </c>
      <c r="CU29" s="9">
        <v>21349.677186322271</v>
      </c>
      <c r="CV29" s="9">
        <v>21349.677186322271</v>
      </c>
      <c r="CW29" s="9">
        <v>21349.677186322271</v>
      </c>
      <c r="CX29" s="9">
        <v>21349.677186322271</v>
      </c>
      <c r="CY29" s="9">
        <v>21349.677186322271</v>
      </c>
    </row>
    <row r="30" spans="1:103">
      <c r="A30" t="s">
        <v>308</v>
      </c>
      <c r="B30" s="40" t="s">
        <v>277</v>
      </c>
      <c r="C30" s="40" t="s">
        <v>281</v>
      </c>
      <c r="D30" s="9">
        <v>156000</v>
      </c>
      <c r="E30" s="9">
        <v>156000</v>
      </c>
      <c r="F30" s="9">
        <v>156000</v>
      </c>
      <c r="G30" s="9">
        <v>156000</v>
      </c>
      <c r="H30" s="9">
        <v>156000</v>
      </c>
      <c r="I30" s="9">
        <v>156000</v>
      </c>
      <c r="J30" s="9">
        <v>156000</v>
      </c>
      <c r="K30" s="9">
        <v>156000</v>
      </c>
      <c r="L30" s="9">
        <v>156000</v>
      </c>
      <c r="M30" s="9">
        <v>156000</v>
      </c>
      <c r="N30" s="9">
        <v>162240</v>
      </c>
      <c r="O30" s="9">
        <v>162240</v>
      </c>
      <c r="P30" s="9">
        <v>162240</v>
      </c>
      <c r="Q30" s="9">
        <v>162240</v>
      </c>
      <c r="R30" s="9">
        <v>162240</v>
      </c>
      <c r="S30" s="9">
        <v>162240</v>
      </c>
      <c r="T30" s="9">
        <v>162240</v>
      </c>
      <c r="U30" s="9">
        <v>162240</v>
      </c>
      <c r="V30" s="9">
        <v>162240</v>
      </c>
      <c r="W30" s="9">
        <v>162240</v>
      </c>
      <c r="X30" s="9">
        <v>162240</v>
      </c>
      <c r="Y30" s="9">
        <v>162240</v>
      </c>
      <c r="Z30" s="9">
        <v>168729.60000000001</v>
      </c>
      <c r="AA30" s="9">
        <v>168729.60000000001</v>
      </c>
      <c r="AB30" s="9">
        <v>168729.60000000001</v>
      </c>
      <c r="AC30" s="9">
        <v>168729.60000000001</v>
      </c>
      <c r="AD30" s="9">
        <v>168729.60000000001</v>
      </c>
      <c r="AE30" s="9">
        <v>168729.60000000001</v>
      </c>
      <c r="AF30" s="9">
        <v>168729.60000000001</v>
      </c>
      <c r="AG30" s="9">
        <v>168729.60000000001</v>
      </c>
      <c r="AH30" s="9">
        <v>168729.60000000001</v>
      </c>
      <c r="AI30" s="9">
        <v>168729.60000000001</v>
      </c>
      <c r="AJ30" s="9">
        <v>168729.60000000001</v>
      </c>
      <c r="AK30" s="9">
        <v>168729.60000000001</v>
      </c>
      <c r="AL30" s="9">
        <v>175478.78400000001</v>
      </c>
      <c r="AM30" s="9">
        <v>175478.78400000001</v>
      </c>
      <c r="AN30" s="9">
        <v>175478.78400000001</v>
      </c>
      <c r="AO30" s="9">
        <v>175478.78400000001</v>
      </c>
      <c r="AP30" s="9">
        <v>175478.78400000001</v>
      </c>
      <c r="AQ30" s="9">
        <v>175478.78400000001</v>
      </c>
      <c r="AR30" s="9">
        <v>175478.78400000001</v>
      </c>
      <c r="AS30" s="9">
        <v>175478.78400000001</v>
      </c>
      <c r="AT30" s="9">
        <v>175478.78400000001</v>
      </c>
      <c r="AU30" s="9">
        <v>175478.78400000001</v>
      </c>
      <c r="AV30" s="9">
        <v>175478.78400000001</v>
      </c>
      <c r="AW30" s="9">
        <v>175478.78400000001</v>
      </c>
      <c r="AX30" s="9">
        <v>182497.93536000003</v>
      </c>
      <c r="AY30" s="9">
        <v>182497.93536000003</v>
      </c>
      <c r="AZ30" s="9">
        <v>182497.93536000003</v>
      </c>
      <c r="BA30" s="9">
        <v>182497.93536000003</v>
      </c>
      <c r="BB30" s="9">
        <v>182497.93536000003</v>
      </c>
      <c r="BC30" s="9">
        <v>182497.93536000003</v>
      </c>
      <c r="BD30" s="9">
        <v>182497.93536000003</v>
      </c>
      <c r="BE30" s="9">
        <v>182497.93536000003</v>
      </c>
      <c r="BF30" s="9">
        <v>182497.93536000003</v>
      </c>
      <c r="BG30" s="9">
        <v>182497.93536000003</v>
      </c>
      <c r="BH30" s="9">
        <v>182497.93536000003</v>
      </c>
      <c r="BI30" s="9">
        <v>182497.93536000003</v>
      </c>
      <c r="BJ30" s="9">
        <v>189797.85277440003</v>
      </c>
      <c r="BK30" s="9">
        <v>189797.85277440003</v>
      </c>
      <c r="BL30" s="9">
        <v>189797.85277440003</v>
      </c>
      <c r="BM30" s="9">
        <v>189797.85277440003</v>
      </c>
      <c r="BN30" s="9">
        <v>189797.85277440003</v>
      </c>
      <c r="BO30" s="9">
        <v>189797.85277440003</v>
      </c>
      <c r="BP30" s="9">
        <v>189797.85277440003</v>
      </c>
      <c r="BQ30" s="9">
        <v>189797.85277440003</v>
      </c>
      <c r="BR30" s="9">
        <v>189797.85277440003</v>
      </c>
      <c r="BS30" s="9">
        <v>189797.85277440003</v>
      </c>
      <c r="BT30" s="9">
        <v>189797.85277440003</v>
      </c>
      <c r="BU30" s="9">
        <v>189797.85277440003</v>
      </c>
      <c r="BV30" s="9">
        <v>197389.76688537604</v>
      </c>
      <c r="BW30" s="9">
        <v>197389.76688537604</v>
      </c>
      <c r="BX30" s="9">
        <v>197389.76688537604</v>
      </c>
      <c r="BY30" s="9">
        <v>197389.76688537604</v>
      </c>
      <c r="BZ30" s="9">
        <v>197389.76688537604</v>
      </c>
      <c r="CA30" s="9">
        <v>197389.76688537604</v>
      </c>
      <c r="CB30" s="9">
        <v>197389.76688537604</v>
      </c>
      <c r="CC30" s="9">
        <v>197389.76688537604</v>
      </c>
      <c r="CD30" s="9">
        <v>197389.76688537604</v>
      </c>
      <c r="CE30" s="9">
        <v>197389.76688537604</v>
      </c>
      <c r="CF30" s="9">
        <v>197389.76688537604</v>
      </c>
      <c r="CG30" s="9">
        <v>197389.76688537604</v>
      </c>
      <c r="CH30" s="9">
        <v>205285.35756079108</v>
      </c>
      <c r="CI30" s="9">
        <v>205285.35756079108</v>
      </c>
      <c r="CJ30" s="9">
        <v>205285.35756079108</v>
      </c>
      <c r="CK30" s="9">
        <v>205285.35756079108</v>
      </c>
      <c r="CL30" s="9">
        <v>205285.35756079108</v>
      </c>
      <c r="CM30" s="9">
        <v>205285.35756079108</v>
      </c>
      <c r="CN30" s="9">
        <v>205285.35756079108</v>
      </c>
      <c r="CO30" s="9">
        <v>205285.35756079108</v>
      </c>
      <c r="CP30" s="9">
        <v>205285.35756079108</v>
      </c>
      <c r="CQ30" s="9">
        <v>205285.35756079108</v>
      </c>
      <c r="CR30" s="9">
        <v>205285.35756079108</v>
      </c>
      <c r="CS30" s="9">
        <v>205285.35756079108</v>
      </c>
      <c r="CT30" s="9">
        <v>213496.77186322273</v>
      </c>
      <c r="CU30" s="9">
        <v>213496.77186322273</v>
      </c>
      <c r="CV30" s="9">
        <v>213496.77186322273</v>
      </c>
      <c r="CW30" s="9">
        <v>213496.77186322273</v>
      </c>
      <c r="CX30" s="9">
        <v>213496.77186322273</v>
      </c>
      <c r="CY30" s="9">
        <v>213496.77186322273</v>
      </c>
    </row>
    <row r="31" spans="1:103">
      <c r="A31" t="s">
        <v>309</v>
      </c>
      <c r="B31" s="40" t="s">
        <v>277</v>
      </c>
      <c r="C31" s="40" t="s">
        <v>281</v>
      </c>
      <c r="D31" s="9">
        <v>3120</v>
      </c>
      <c r="E31" s="9">
        <v>3120</v>
      </c>
      <c r="F31" s="9">
        <v>3120</v>
      </c>
      <c r="G31" s="9">
        <v>3120</v>
      </c>
      <c r="H31" s="9">
        <v>3120</v>
      </c>
      <c r="I31" s="9">
        <v>3120</v>
      </c>
      <c r="J31" s="9">
        <v>3120</v>
      </c>
      <c r="K31" s="9">
        <v>3120</v>
      </c>
      <c r="L31" s="9">
        <v>3120</v>
      </c>
      <c r="M31" s="9">
        <v>3120</v>
      </c>
      <c r="N31" s="9">
        <v>3244.8</v>
      </c>
      <c r="O31" s="9">
        <v>3244.8</v>
      </c>
      <c r="P31" s="9">
        <v>3244.8</v>
      </c>
      <c r="Q31" s="9">
        <v>3244.8</v>
      </c>
      <c r="R31" s="9">
        <v>3244.8</v>
      </c>
      <c r="S31" s="9">
        <v>3244.8</v>
      </c>
      <c r="T31" s="9">
        <v>3244.8</v>
      </c>
      <c r="U31" s="9">
        <v>3244.8</v>
      </c>
      <c r="V31" s="9">
        <v>3244.8</v>
      </c>
      <c r="W31" s="9">
        <v>3244.8</v>
      </c>
      <c r="X31" s="9">
        <v>3244.8</v>
      </c>
      <c r="Y31" s="9">
        <v>3244.8</v>
      </c>
      <c r="Z31" s="9">
        <v>3374.5920000000001</v>
      </c>
      <c r="AA31" s="9">
        <v>3374.5920000000001</v>
      </c>
      <c r="AB31" s="9">
        <v>3374.5920000000001</v>
      </c>
      <c r="AC31" s="9">
        <v>3374.5920000000001</v>
      </c>
      <c r="AD31" s="9">
        <v>3374.5920000000001</v>
      </c>
      <c r="AE31" s="9">
        <v>3374.5920000000001</v>
      </c>
      <c r="AF31" s="9">
        <v>3374.5920000000001</v>
      </c>
      <c r="AG31" s="9">
        <v>3374.5920000000001</v>
      </c>
      <c r="AH31" s="9">
        <v>3374.5920000000001</v>
      </c>
      <c r="AI31" s="9">
        <v>3374.5920000000001</v>
      </c>
      <c r="AJ31" s="9">
        <v>3374.5920000000001</v>
      </c>
      <c r="AK31" s="9">
        <v>3374.5920000000001</v>
      </c>
      <c r="AL31" s="9">
        <v>3509.5756800000004</v>
      </c>
      <c r="AM31" s="9">
        <v>3509.5756800000004</v>
      </c>
      <c r="AN31" s="9">
        <v>3509.5756800000004</v>
      </c>
      <c r="AO31" s="9">
        <v>3509.5756800000004</v>
      </c>
      <c r="AP31" s="9">
        <v>3509.5756800000004</v>
      </c>
      <c r="AQ31" s="9">
        <v>3509.5756800000004</v>
      </c>
      <c r="AR31" s="9">
        <v>3509.5756800000004</v>
      </c>
      <c r="AS31" s="9">
        <v>3509.5756800000004</v>
      </c>
      <c r="AT31" s="9">
        <v>3509.5756800000004</v>
      </c>
      <c r="AU31" s="9">
        <v>3509.5756800000004</v>
      </c>
      <c r="AV31" s="9">
        <v>3509.5756800000004</v>
      </c>
      <c r="AW31" s="9">
        <v>3509.5756800000004</v>
      </c>
      <c r="AX31" s="9">
        <v>3649.9587072000004</v>
      </c>
      <c r="AY31" s="9">
        <v>3649.9587072000004</v>
      </c>
      <c r="AZ31" s="9">
        <v>3649.9587072000004</v>
      </c>
      <c r="BA31" s="9">
        <v>3649.9587072000004</v>
      </c>
      <c r="BB31" s="9">
        <v>3649.9587072000004</v>
      </c>
      <c r="BC31" s="9">
        <v>3649.9587072000004</v>
      </c>
      <c r="BD31" s="9">
        <v>3649.9587072000004</v>
      </c>
      <c r="BE31" s="9">
        <v>3649.9587072000004</v>
      </c>
      <c r="BF31" s="9">
        <v>3649.9587072000004</v>
      </c>
      <c r="BG31" s="9">
        <v>3649.9587072000004</v>
      </c>
      <c r="BH31" s="9">
        <v>3649.9587072000004</v>
      </c>
      <c r="BI31" s="9">
        <v>3649.9587072000004</v>
      </c>
      <c r="BJ31" s="9">
        <v>3795.9570554880006</v>
      </c>
      <c r="BK31" s="9">
        <v>3795.9570554880006</v>
      </c>
      <c r="BL31" s="9">
        <v>3795.9570554880006</v>
      </c>
      <c r="BM31" s="9">
        <v>3795.9570554880006</v>
      </c>
      <c r="BN31" s="9">
        <v>3795.9570554880006</v>
      </c>
      <c r="BO31" s="9">
        <v>3795.9570554880006</v>
      </c>
      <c r="BP31" s="9">
        <v>3795.9570554880006</v>
      </c>
      <c r="BQ31" s="9">
        <v>3795.9570554880006</v>
      </c>
      <c r="BR31" s="9">
        <v>3795.9570554880006</v>
      </c>
      <c r="BS31" s="9">
        <v>3795.9570554880006</v>
      </c>
      <c r="BT31" s="9">
        <v>3795.9570554880006</v>
      </c>
      <c r="BU31" s="9">
        <v>3795.9570554880006</v>
      </c>
      <c r="BV31" s="9">
        <v>3947.795337707521</v>
      </c>
      <c r="BW31" s="9">
        <v>3947.795337707521</v>
      </c>
      <c r="BX31" s="9">
        <v>3947.795337707521</v>
      </c>
      <c r="BY31" s="9">
        <v>3947.795337707521</v>
      </c>
      <c r="BZ31" s="9">
        <v>3947.795337707521</v>
      </c>
      <c r="CA31" s="9">
        <v>3947.795337707521</v>
      </c>
      <c r="CB31" s="9">
        <v>3947.795337707521</v>
      </c>
      <c r="CC31" s="9">
        <v>3947.795337707521</v>
      </c>
      <c r="CD31" s="9">
        <v>3947.795337707521</v>
      </c>
      <c r="CE31" s="9">
        <v>3947.795337707521</v>
      </c>
      <c r="CF31" s="9">
        <v>3947.795337707521</v>
      </c>
      <c r="CG31" s="9">
        <v>3947.795337707521</v>
      </c>
      <c r="CH31" s="9">
        <v>4105.7071512158218</v>
      </c>
      <c r="CI31" s="9">
        <v>4105.7071512158218</v>
      </c>
      <c r="CJ31" s="9">
        <v>4105.7071512158218</v>
      </c>
      <c r="CK31" s="9">
        <v>4105.7071512158218</v>
      </c>
      <c r="CL31" s="9">
        <v>4105.7071512158218</v>
      </c>
      <c r="CM31" s="9">
        <v>4105.7071512158218</v>
      </c>
      <c r="CN31" s="9">
        <v>4105.7071512158218</v>
      </c>
      <c r="CO31" s="9">
        <v>4105.7071512158218</v>
      </c>
      <c r="CP31" s="9">
        <v>4105.7071512158218</v>
      </c>
      <c r="CQ31" s="9">
        <v>4105.7071512158218</v>
      </c>
      <c r="CR31" s="9">
        <v>4105.7071512158218</v>
      </c>
      <c r="CS31" s="9">
        <v>4105.7071512158218</v>
      </c>
      <c r="CT31" s="9">
        <v>4269.9354372644548</v>
      </c>
      <c r="CU31" s="9">
        <v>4269.9354372644548</v>
      </c>
      <c r="CV31" s="9">
        <v>4269.9354372644548</v>
      </c>
      <c r="CW31" s="9">
        <v>4269.9354372644548</v>
      </c>
      <c r="CX31" s="9">
        <v>4269.9354372644548</v>
      </c>
      <c r="CY31" s="9">
        <v>4269.9354372644548</v>
      </c>
    </row>
    <row r="32" spans="1:103">
      <c r="A32" t="s">
        <v>310</v>
      </c>
      <c r="B32" s="40" t="s">
        <v>277</v>
      </c>
      <c r="C32" s="40" t="s">
        <v>281</v>
      </c>
      <c r="D32" s="9">
        <v>15600</v>
      </c>
      <c r="E32" s="9">
        <v>15600</v>
      </c>
      <c r="F32" s="9">
        <v>15600</v>
      </c>
      <c r="G32" s="9">
        <v>15600</v>
      </c>
      <c r="H32" s="9">
        <v>15600</v>
      </c>
      <c r="I32" s="9">
        <v>15600</v>
      </c>
      <c r="J32" s="9">
        <v>15600</v>
      </c>
      <c r="K32" s="9">
        <v>15600</v>
      </c>
      <c r="L32" s="9">
        <v>15600</v>
      </c>
      <c r="M32" s="9">
        <v>15600</v>
      </c>
      <c r="N32" s="9">
        <v>16224</v>
      </c>
      <c r="O32" s="9">
        <v>16224</v>
      </c>
      <c r="P32" s="9">
        <v>16224</v>
      </c>
      <c r="Q32" s="9">
        <v>16224</v>
      </c>
      <c r="R32" s="9">
        <v>16224</v>
      </c>
      <c r="S32" s="9">
        <v>16224</v>
      </c>
      <c r="T32" s="9">
        <v>16224</v>
      </c>
      <c r="U32" s="9">
        <v>16224</v>
      </c>
      <c r="V32" s="9">
        <v>16224</v>
      </c>
      <c r="W32" s="9">
        <v>16224</v>
      </c>
      <c r="X32" s="9">
        <v>16224</v>
      </c>
      <c r="Y32" s="9">
        <v>16224</v>
      </c>
      <c r="Z32" s="9">
        <v>16872.96</v>
      </c>
      <c r="AA32" s="9">
        <v>16872.96</v>
      </c>
      <c r="AB32" s="9">
        <v>16872.96</v>
      </c>
      <c r="AC32" s="9">
        <v>16872.96</v>
      </c>
      <c r="AD32" s="9">
        <v>16872.96</v>
      </c>
      <c r="AE32" s="9">
        <v>16872.96</v>
      </c>
      <c r="AF32" s="9">
        <v>16872.96</v>
      </c>
      <c r="AG32" s="9">
        <v>16872.96</v>
      </c>
      <c r="AH32" s="9">
        <v>16872.96</v>
      </c>
      <c r="AI32" s="9">
        <v>16872.96</v>
      </c>
      <c r="AJ32" s="9">
        <v>16872.96</v>
      </c>
      <c r="AK32" s="9">
        <v>16872.96</v>
      </c>
      <c r="AL32" s="9">
        <v>17547.878400000001</v>
      </c>
      <c r="AM32" s="9">
        <v>17547.878400000001</v>
      </c>
      <c r="AN32" s="9">
        <v>17547.878400000001</v>
      </c>
      <c r="AO32" s="9">
        <v>17547.878400000001</v>
      </c>
      <c r="AP32" s="9">
        <v>17547.878400000001</v>
      </c>
      <c r="AQ32" s="9">
        <v>17547.878400000001</v>
      </c>
      <c r="AR32" s="9">
        <v>17547.878400000001</v>
      </c>
      <c r="AS32" s="9">
        <v>17547.878400000001</v>
      </c>
      <c r="AT32" s="9">
        <v>17547.878400000001</v>
      </c>
      <c r="AU32" s="9">
        <v>17547.878400000001</v>
      </c>
      <c r="AV32" s="9">
        <v>17547.878400000001</v>
      </c>
      <c r="AW32" s="9">
        <v>17547.878400000001</v>
      </c>
      <c r="AX32" s="9">
        <v>18249.793536000001</v>
      </c>
      <c r="AY32" s="9">
        <v>18249.793536000001</v>
      </c>
      <c r="AZ32" s="9">
        <v>18249.793536000001</v>
      </c>
      <c r="BA32" s="9">
        <v>18249.793536000001</v>
      </c>
      <c r="BB32" s="9">
        <v>18249.793536000001</v>
      </c>
      <c r="BC32" s="9">
        <v>18249.793536000001</v>
      </c>
      <c r="BD32" s="9">
        <v>18249.793536000001</v>
      </c>
      <c r="BE32" s="9">
        <v>18249.793536000001</v>
      </c>
      <c r="BF32" s="9">
        <v>18249.793536000001</v>
      </c>
      <c r="BG32" s="9">
        <v>18249.793536000001</v>
      </c>
      <c r="BH32" s="9">
        <v>18249.793536000001</v>
      </c>
      <c r="BI32" s="9">
        <v>18249.793536000001</v>
      </c>
      <c r="BJ32" s="9">
        <v>18979.785277440002</v>
      </c>
      <c r="BK32" s="9">
        <v>18979.785277440002</v>
      </c>
      <c r="BL32" s="9">
        <v>18979.785277440002</v>
      </c>
      <c r="BM32" s="9">
        <v>18979.785277440002</v>
      </c>
      <c r="BN32" s="9">
        <v>18979.785277440002</v>
      </c>
      <c r="BO32" s="9">
        <v>18979.785277440002</v>
      </c>
      <c r="BP32" s="9">
        <v>18979.785277440002</v>
      </c>
      <c r="BQ32" s="9">
        <v>18979.785277440002</v>
      </c>
      <c r="BR32" s="9">
        <v>18979.785277440002</v>
      </c>
      <c r="BS32" s="9">
        <v>18979.785277440002</v>
      </c>
      <c r="BT32" s="9">
        <v>18979.785277440002</v>
      </c>
      <c r="BU32" s="9">
        <v>18979.785277440002</v>
      </c>
      <c r="BV32" s="9">
        <v>19738.976688537601</v>
      </c>
      <c r="BW32" s="9">
        <v>19738.976688537601</v>
      </c>
      <c r="BX32" s="9">
        <v>19738.976688537601</v>
      </c>
      <c r="BY32" s="9">
        <v>19738.976688537601</v>
      </c>
      <c r="BZ32" s="9">
        <v>19738.976688537601</v>
      </c>
      <c r="CA32" s="9">
        <v>19738.976688537601</v>
      </c>
      <c r="CB32" s="9">
        <v>19738.976688537601</v>
      </c>
      <c r="CC32" s="9">
        <v>19738.976688537601</v>
      </c>
      <c r="CD32" s="9">
        <v>19738.976688537601</v>
      </c>
      <c r="CE32" s="9">
        <v>19738.976688537601</v>
      </c>
      <c r="CF32" s="9">
        <v>19738.976688537601</v>
      </c>
      <c r="CG32" s="9">
        <v>19738.976688537601</v>
      </c>
      <c r="CH32" s="9">
        <v>20528.535756079105</v>
      </c>
      <c r="CI32" s="9">
        <v>20528.535756079105</v>
      </c>
      <c r="CJ32" s="9">
        <v>20528.535756079105</v>
      </c>
      <c r="CK32" s="9">
        <v>20528.535756079105</v>
      </c>
      <c r="CL32" s="9">
        <v>20528.535756079105</v>
      </c>
      <c r="CM32" s="9">
        <v>20528.535756079105</v>
      </c>
      <c r="CN32" s="9">
        <v>20528.535756079105</v>
      </c>
      <c r="CO32" s="9">
        <v>20528.535756079105</v>
      </c>
      <c r="CP32" s="9">
        <v>20528.535756079105</v>
      </c>
      <c r="CQ32" s="9">
        <v>20528.535756079105</v>
      </c>
      <c r="CR32" s="9">
        <v>20528.535756079105</v>
      </c>
      <c r="CS32" s="9">
        <v>20528.535756079105</v>
      </c>
      <c r="CT32" s="9">
        <v>21349.677186322271</v>
      </c>
      <c r="CU32" s="9">
        <v>21349.677186322271</v>
      </c>
      <c r="CV32" s="9">
        <v>21349.677186322271</v>
      </c>
      <c r="CW32" s="9">
        <v>21349.677186322271</v>
      </c>
      <c r="CX32" s="9">
        <v>21349.677186322271</v>
      </c>
      <c r="CY32" s="9">
        <v>21349.677186322271</v>
      </c>
    </row>
    <row r="33" spans="1:103">
      <c r="A33" t="s">
        <v>311</v>
      </c>
      <c r="B33" s="40" t="s">
        <v>277</v>
      </c>
      <c r="C33" s="40" t="s">
        <v>281</v>
      </c>
      <c r="D33" s="9">
        <v>0</v>
      </c>
      <c r="E33" s="9">
        <v>0</v>
      </c>
      <c r="F33" s="9">
        <v>0</v>
      </c>
      <c r="G33" s="9">
        <v>150000</v>
      </c>
      <c r="H33" s="9">
        <v>0</v>
      </c>
      <c r="I33" s="9">
        <v>0</v>
      </c>
      <c r="J33" s="9">
        <v>0</v>
      </c>
      <c r="K33" s="9">
        <v>0</v>
      </c>
      <c r="L33" s="9">
        <v>0</v>
      </c>
      <c r="M33" s="9">
        <v>0</v>
      </c>
      <c r="N33" s="9">
        <v>0</v>
      </c>
      <c r="O33" s="9">
        <v>0</v>
      </c>
      <c r="P33" s="9">
        <v>0</v>
      </c>
      <c r="Q33" s="9">
        <v>0</v>
      </c>
      <c r="R33" s="9">
        <v>0</v>
      </c>
      <c r="S33" s="9">
        <v>150000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150000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</v>
      </c>
      <c r="AN33" s="9">
        <v>0</v>
      </c>
      <c r="AO33" s="9">
        <v>0</v>
      </c>
      <c r="AP33" s="9">
        <v>0</v>
      </c>
      <c r="AQ33" s="9">
        <v>150000</v>
      </c>
      <c r="AR33" s="9">
        <v>0</v>
      </c>
      <c r="AS33" s="9">
        <v>0</v>
      </c>
      <c r="AT33" s="9">
        <v>0</v>
      </c>
      <c r="AU33" s="9">
        <v>0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150000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150000</v>
      </c>
      <c r="BP33" s="9">
        <v>0</v>
      </c>
      <c r="BQ33" s="9">
        <v>0</v>
      </c>
      <c r="BR33" s="9">
        <v>0</v>
      </c>
      <c r="BS33" s="9">
        <v>0</v>
      </c>
      <c r="BT33" s="9">
        <v>0</v>
      </c>
      <c r="BU33" s="9">
        <v>0</v>
      </c>
      <c r="BV33" s="9">
        <v>0</v>
      </c>
      <c r="BW33" s="9">
        <v>0</v>
      </c>
      <c r="BX33" s="9">
        <v>0</v>
      </c>
      <c r="BY33" s="9">
        <v>0</v>
      </c>
      <c r="BZ33" s="9">
        <v>0</v>
      </c>
      <c r="CA33" s="9">
        <v>150000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150000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</v>
      </c>
      <c r="CV33" s="9">
        <v>0</v>
      </c>
      <c r="CW33" s="9">
        <v>0</v>
      </c>
      <c r="CX33" s="9">
        <v>0</v>
      </c>
      <c r="CY33" s="9">
        <v>150000</v>
      </c>
    </row>
    <row r="34" spans="1:103">
      <c r="A34" t="s">
        <v>312</v>
      </c>
      <c r="B34" s="40" t="s">
        <v>277</v>
      </c>
      <c r="C34" s="40" t="s">
        <v>281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270000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270000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270000</v>
      </c>
      <c r="AI34" s="9">
        <v>0</v>
      </c>
      <c r="AJ34" s="9">
        <v>0</v>
      </c>
      <c r="AK34" s="9">
        <v>0</v>
      </c>
      <c r="AL34" s="9">
        <v>0</v>
      </c>
      <c r="AM34" s="9">
        <v>0</v>
      </c>
      <c r="AN34" s="9">
        <v>0</v>
      </c>
      <c r="AO34" s="9">
        <v>0</v>
      </c>
      <c r="AP34" s="9">
        <v>0</v>
      </c>
      <c r="AQ34" s="9">
        <v>0</v>
      </c>
      <c r="AR34" s="9">
        <v>0</v>
      </c>
      <c r="AS34" s="9">
        <v>0</v>
      </c>
      <c r="AT34" s="9">
        <v>270000</v>
      </c>
      <c r="AU34" s="9">
        <v>0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270000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0</v>
      </c>
      <c r="BQ34" s="9">
        <v>0</v>
      </c>
      <c r="BR34" s="9">
        <v>270000</v>
      </c>
      <c r="BS34" s="9">
        <v>0</v>
      </c>
      <c r="BT34" s="9">
        <v>0</v>
      </c>
      <c r="BU34" s="9">
        <v>0</v>
      </c>
      <c r="BV34" s="9">
        <v>0</v>
      </c>
      <c r="BW34" s="9">
        <v>0</v>
      </c>
      <c r="BX34" s="9">
        <v>0</v>
      </c>
      <c r="BY34" s="9">
        <v>0</v>
      </c>
      <c r="BZ34" s="9">
        <v>0</v>
      </c>
      <c r="CA34" s="9">
        <v>0</v>
      </c>
      <c r="CB34" s="9">
        <v>0</v>
      </c>
      <c r="CC34" s="9">
        <v>0</v>
      </c>
      <c r="CD34" s="9">
        <v>270000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270000</v>
      </c>
      <c r="CQ34" s="9">
        <v>0</v>
      </c>
      <c r="CR34" s="9">
        <v>0</v>
      </c>
      <c r="CS34" s="9">
        <v>0</v>
      </c>
      <c r="CT34" s="9">
        <v>0</v>
      </c>
      <c r="CU34" s="9">
        <v>0</v>
      </c>
      <c r="CV34" s="9">
        <v>0</v>
      </c>
      <c r="CW34" s="9">
        <v>0</v>
      </c>
      <c r="CX34" s="9">
        <v>0</v>
      </c>
      <c r="CY34" s="9">
        <v>0</v>
      </c>
    </row>
    <row r="35" spans="1:103">
      <c r="A35" t="s">
        <v>313</v>
      </c>
      <c r="B35" s="40" t="s">
        <v>277</v>
      </c>
      <c r="C35" s="40" t="s">
        <v>281</v>
      </c>
      <c r="D35" s="9">
        <v>25000</v>
      </c>
      <c r="E35" s="9">
        <v>0</v>
      </c>
      <c r="F35" s="9">
        <v>0</v>
      </c>
      <c r="G35" s="9">
        <v>25000</v>
      </c>
      <c r="H35" s="9">
        <v>1100000</v>
      </c>
      <c r="I35" s="9">
        <v>0</v>
      </c>
      <c r="J35" s="9">
        <v>0</v>
      </c>
      <c r="K35" s="9">
        <v>0</v>
      </c>
      <c r="L35" s="9">
        <v>0</v>
      </c>
      <c r="M35" s="9">
        <v>100000</v>
      </c>
      <c r="N35" s="9">
        <v>0</v>
      </c>
      <c r="O35" s="9">
        <v>0</v>
      </c>
      <c r="P35" s="9">
        <v>25000</v>
      </c>
      <c r="Q35" s="9">
        <v>0</v>
      </c>
      <c r="R35" s="9">
        <v>0</v>
      </c>
      <c r="S35" s="9">
        <v>25000</v>
      </c>
      <c r="T35" s="9">
        <v>1144000</v>
      </c>
      <c r="U35" s="9">
        <v>0</v>
      </c>
      <c r="V35" s="9">
        <v>0</v>
      </c>
      <c r="W35" s="9">
        <v>0</v>
      </c>
      <c r="X35" s="9">
        <v>0</v>
      </c>
      <c r="Y35" s="9">
        <v>100000</v>
      </c>
      <c r="Z35" s="9">
        <v>0</v>
      </c>
      <c r="AA35" s="9">
        <v>0</v>
      </c>
      <c r="AB35" s="9">
        <v>25000</v>
      </c>
      <c r="AC35" s="9">
        <v>0</v>
      </c>
      <c r="AD35" s="9">
        <v>0</v>
      </c>
      <c r="AE35" s="9">
        <v>25000</v>
      </c>
      <c r="AF35" s="9">
        <v>1189760</v>
      </c>
      <c r="AG35" s="9">
        <v>0</v>
      </c>
      <c r="AH35" s="9">
        <v>0</v>
      </c>
      <c r="AI35" s="9">
        <v>0</v>
      </c>
      <c r="AJ35" s="9">
        <v>0</v>
      </c>
      <c r="AK35" s="9">
        <v>100000</v>
      </c>
      <c r="AL35" s="9">
        <v>0</v>
      </c>
      <c r="AM35" s="9">
        <v>0</v>
      </c>
      <c r="AN35" s="9">
        <v>25000</v>
      </c>
      <c r="AO35" s="9">
        <v>0</v>
      </c>
      <c r="AP35" s="9">
        <v>0</v>
      </c>
      <c r="AQ35" s="9">
        <v>25000</v>
      </c>
      <c r="AR35" s="9">
        <v>1237350.4000000001</v>
      </c>
      <c r="AS35" s="9">
        <v>0</v>
      </c>
      <c r="AT35" s="9">
        <v>0</v>
      </c>
      <c r="AU35" s="9">
        <v>0</v>
      </c>
      <c r="AV35" s="9">
        <v>0</v>
      </c>
      <c r="AW35" s="9">
        <v>100000</v>
      </c>
      <c r="AX35" s="9">
        <v>0</v>
      </c>
      <c r="AY35" s="9">
        <v>0</v>
      </c>
      <c r="AZ35" s="9">
        <v>25000</v>
      </c>
      <c r="BA35" s="9">
        <v>0</v>
      </c>
      <c r="BB35" s="9">
        <v>0</v>
      </c>
      <c r="BC35" s="9">
        <v>25000</v>
      </c>
      <c r="BD35" s="9">
        <v>1286844.4160000002</v>
      </c>
      <c r="BE35" s="9">
        <v>0</v>
      </c>
      <c r="BF35" s="9">
        <v>0</v>
      </c>
      <c r="BG35" s="9">
        <v>0</v>
      </c>
      <c r="BH35" s="9">
        <v>0</v>
      </c>
      <c r="BI35" s="9">
        <v>100000</v>
      </c>
      <c r="BJ35" s="9">
        <v>0</v>
      </c>
      <c r="BK35" s="9">
        <v>0</v>
      </c>
      <c r="BL35" s="9">
        <v>25000</v>
      </c>
      <c r="BM35" s="9">
        <v>0</v>
      </c>
      <c r="BN35" s="9">
        <v>0</v>
      </c>
      <c r="BO35" s="9">
        <v>25000</v>
      </c>
      <c r="BP35" s="9">
        <v>1338318.1926400003</v>
      </c>
      <c r="BQ35" s="9">
        <v>0</v>
      </c>
      <c r="BR35" s="9">
        <v>0</v>
      </c>
      <c r="BS35" s="9">
        <v>0</v>
      </c>
      <c r="BT35" s="9">
        <v>0</v>
      </c>
      <c r="BU35" s="9">
        <v>100000</v>
      </c>
      <c r="BV35" s="9">
        <v>0</v>
      </c>
      <c r="BW35" s="9">
        <v>0</v>
      </c>
      <c r="BX35" s="9">
        <v>25000</v>
      </c>
      <c r="BY35" s="9">
        <v>0</v>
      </c>
      <c r="BZ35" s="9">
        <v>0</v>
      </c>
      <c r="CA35" s="9">
        <v>25000</v>
      </c>
      <c r="CB35" s="9">
        <v>1391850.9203456002</v>
      </c>
      <c r="CC35" s="9">
        <v>0</v>
      </c>
      <c r="CD35" s="9">
        <v>0</v>
      </c>
      <c r="CE35" s="9">
        <v>0</v>
      </c>
      <c r="CF35" s="9">
        <v>0</v>
      </c>
      <c r="CG35" s="9">
        <v>100000</v>
      </c>
      <c r="CH35" s="9">
        <v>0</v>
      </c>
      <c r="CI35" s="9">
        <v>0</v>
      </c>
      <c r="CJ35" s="9">
        <v>25000</v>
      </c>
      <c r="CK35" s="9">
        <v>0</v>
      </c>
      <c r="CL35" s="9">
        <v>0</v>
      </c>
      <c r="CM35" s="9">
        <v>25000</v>
      </c>
      <c r="CN35" s="9">
        <v>1447524.9571594242</v>
      </c>
      <c r="CO35" s="9">
        <v>0</v>
      </c>
      <c r="CP35" s="9">
        <v>0</v>
      </c>
      <c r="CQ35" s="9">
        <v>0</v>
      </c>
      <c r="CR35" s="9">
        <v>0</v>
      </c>
      <c r="CS35" s="9">
        <v>100000</v>
      </c>
      <c r="CT35" s="9">
        <v>0</v>
      </c>
      <c r="CU35" s="9">
        <v>0</v>
      </c>
      <c r="CV35" s="9">
        <v>25000</v>
      </c>
      <c r="CW35" s="9">
        <v>0</v>
      </c>
      <c r="CX35" s="9">
        <v>0</v>
      </c>
      <c r="CY35" s="9">
        <v>25000</v>
      </c>
    </row>
    <row r="36" spans="1:103">
      <c r="A36" t="s">
        <v>314</v>
      </c>
      <c r="B36" s="40" t="s">
        <v>277</v>
      </c>
      <c r="C36" s="40" t="s">
        <v>281</v>
      </c>
      <c r="D36" s="9">
        <v>1040</v>
      </c>
      <c r="E36" s="9">
        <v>1040</v>
      </c>
      <c r="F36" s="9">
        <v>1040</v>
      </c>
      <c r="G36" s="9">
        <v>1040</v>
      </c>
      <c r="H36" s="9">
        <v>1040</v>
      </c>
      <c r="I36" s="9">
        <v>1040</v>
      </c>
      <c r="J36" s="9">
        <v>1040</v>
      </c>
      <c r="K36" s="9">
        <v>1040</v>
      </c>
      <c r="L36" s="9">
        <v>1040</v>
      </c>
      <c r="M36" s="9">
        <v>1040</v>
      </c>
      <c r="N36" s="9">
        <v>1081.6000000000001</v>
      </c>
      <c r="O36" s="9">
        <v>1081.6000000000001</v>
      </c>
      <c r="P36" s="9">
        <v>1081.6000000000001</v>
      </c>
      <c r="Q36" s="9">
        <v>1081.6000000000001</v>
      </c>
      <c r="R36" s="9">
        <v>1081.6000000000001</v>
      </c>
      <c r="S36" s="9">
        <v>1081.6000000000001</v>
      </c>
      <c r="T36" s="9">
        <v>1081.6000000000001</v>
      </c>
      <c r="U36" s="9">
        <v>1081.6000000000001</v>
      </c>
      <c r="V36" s="9">
        <v>1081.6000000000001</v>
      </c>
      <c r="W36" s="9">
        <v>1081.6000000000001</v>
      </c>
      <c r="X36" s="9">
        <v>1081.6000000000001</v>
      </c>
      <c r="Y36" s="9">
        <v>1081.6000000000001</v>
      </c>
      <c r="Z36" s="9">
        <v>1124.8640000000003</v>
      </c>
      <c r="AA36" s="9">
        <v>1124.8640000000003</v>
      </c>
      <c r="AB36" s="9">
        <v>1124.8640000000003</v>
      </c>
      <c r="AC36" s="9">
        <v>1124.8640000000003</v>
      </c>
      <c r="AD36" s="9">
        <v>1124.8640000000003</v>
      </c>
      <c r="AE36" s="9">
        <v>1124.8640000000003</v>
      </c>
      <c r="AF36" s="9">
        <v>1124.8640000000003</v>
      </c>
      <c r="AG36" s="9">
        <v>1124.8640000000003</v>
      </c>
      <c r="AH36" s="9">
        <v>1124.8640000000003</v>
      </c>
      <c r="AI36" s="9">
        <v>1124.8640000000003</v>
      </c>
      <c r="AJ36" s="9">
        <v>1124.8640000000003</v>
      </c>
      <c r="AK36" s="9">
        <v>1124.8640000000003</v>
      </c>
      <c r="AL36" s="9">
        <v>1169.8585600000004</v>
      </c>
      <c r="AM36" s="9">
        <v>1169.8585600000004</v>
      </c>
      <c r="AN36" s="9">
        <v>1169.8585600000004</v>
      </c>
      <c r="AO36" s="9">
        <v>1169.8585600000004</v>
      </c>
      <c r="AP36" s="9">
        <v>1169.8585600000004</v>
      </c>
      <c r="AQ36" s="9">
        <v>1169.8585600000004</v>
      </c>
      <c r="AR36" s="9">
        <v>1169.8585600000004</v>
      </c>
      <c r="AS36" s="9">
        <v>1169.8585600000004</v>
      </c>
      <c r="AT36" s="9">
        <v>1169.8585600000004</v>
      </c>
      <c r="AU36" s="9">
        <v>1169.8585600000004</v>
      </c>
      <c r="AV36" s="9">
        <v>1169.8585600000004</v>
      </c>
      <c r="AW36" s="9">
        <v>1169.8585600000004</v>
      </c>
      <c r="AX36" s="9">
        <v>1216.6529024000004</v>
      </c>
      <c r="AY36" s="9">
        <v>1216.6529024000004</v>
      </c>
      <c r="AZ36" s="9">
        <v>1216.6529024000004</v>
      </c>
      <c r="BA36" s="9">
        <v>1216.6529024000004</v>
      </c>
      <c r="BB36" s="9">
        <v>1216.6529024000004</v>
      </c>
      <c r="BC36" s="9">
        <v>1216.6529024000004</v>
      </c>
      <c r="BD36" s="9">
        <v>1216.6529024000004</v>
      </c>
      <c r="BE36" s="9">
        <v>1216.6529024000004</v>
      </c>
      <c r="BF36" s="9">
        <v>1216.6529024000004</v>
      </c>
      <c r="BG36" s="9">
        <v>1216.6529024000004</v>
      </c>
      <c r="BH36" s="9">
        <v>1216.6529024000004</v>
      </c>
      <c r="BI36" s="9">
        <v>1216.6529024000004</v>
      </c>
      <c r="BJ36" s="9">
        <v>1265.3190184960004</v>
      </c>
      <c r="BK36" s="9">
        <v>1265.3190184960004</v>
      </c>
      <c r="BL36" s="9">
        <v>1265.3190184960004</v>
      </c>
      <c r="BM36" s="9">
        <v>1265.3190184960004</v>
      </c>
      <c r="BN36" s="9">
        <v>1265.3190184960004</v>
      </c>
      <c r="BO36" s="9">
        <v>1265.3190184960004</v>
      </c>
      <c r="BP36" s="9">
        <v>1265.3190184960004</v>
      </c>
      <c r="BQ36" s="9">
        <v>1265.3190184960004</v>
      </c>
      <c r="BR36" s="9">
        <v>1265.3190184960004</v>
      </c>
      <c r="BS36" s="9">
        <v>1265.3190184960004</v>
      </c>
      <c r="BT36" s="9">
        <v>1265.3190184960004</v>
      </c>
      <c r="BU36" s="9">
        <v>1265.3190184960004</v>
      </c>
      <c r="BV36" s="9">
        <v>1315.9317792358404</v>
      </c>
      <c r="BW36" s="9">
        <v>1315.9317792358404</v>
      </c>
      <c r="BX36" s="9">
        <v>1315.9317792358404</v>
      </c>
      <c r="BY36" s="9">
        <v>1315.9317792358404</v>
      </c>
      <c r="BZ36" s="9">
        <v>1315.9317792358404</v>
      </c>
      <c r="CA36" s="9">
        <v>1315.9317792358404</v>
      </c>
      <c r="CB36" s="9">
        <v>1315.9317792358404</v>
      </c>
      <c r="CC36" s="9">
        <v>1315.9317792358404</v>
      </c>
      <c r="CD36" s="9">
        <v>1315.9317792358404</v>
      </c>
      <c r="CE36" s="9">
        <v>1315.9317792358404</v>
      </c>
      <c r="CF36" s="9">
        <v>1315.9317792358404</v>
      </c>
      <c r="CG36" s="9">
        <v>1315.9317792358404</v>
      </c>
      <c r="CH36" s="9">
        <v>1368.5690504052741</v>
      </c>
      <c r="CI36" s="9">
        <v>1368.5690504052741</v>
      </c>
      <c r="CJ36" s="9">
        <v>1368.5690504052741</v>
      </c>
      <c r="CK36" s="9">
        <v>1368.5690504052741</v>
      </c>
      <c r="CL36" s="9">
        <v>1368.5690504052741</v>
      </c>
      <c r="CM36" s="9">
        <v>1368.5690504052741</v>
      </c>
      <c r="CN36" s="9">
        <v>1368.5690504052741</v>
      </c>
      <c r="CO36" s="9">
        <v>1368.5690504052741</v>
      </c>
      <c r="CP36" s="9">
        <v>1368.5690504052741</v>
      </c>
      <c r="CQ36" s="9">
        <v>1368.5690504052741</v>
      </c>
      <c r="CR36" s="9">
        <v>1368.5690504052741</v>
      </c>
      <c r="CS36" s="9">
        <v>1368.5690504052741</v>
      </c>
      <c r="CT36" s="9">
        <v>1423.311812421485</v>
      </c>
      <c r="CU36" s="9">
        <v>1423.311812421485</v>
      </c>
      <c r="CV36" s="9">
        <v>1423.311812421485</v>
      </c>
      <c r="CW36" s="9">
        <v>1423.311812421485</v>
      </c>
      <c r="CX36" s="9">
        <v>1423.311812421485</v>
      </c>
      <c r="CY36" s="9">
        <v>1423.311812421485</v>
      </c>
    </row>
    <row r="37" spans="1:103">
      <c r="A37" t="s">
        <v>315</v>
      </c>
      <c r="B37" s="40" t="s">
        <v>277</v>
      </c>
      <c r="C37" s="40" t="s">
        <v>316</v>
      </c>
      <c r="D37" s="9">
        <v>18408</v>
      </c>
      <c r="E37" s="9">
        <v>18408</v>
      </c>
      <c r="F37" s="9">
        <v>18408</v>
      </c>
      <c r="G37" s="9">
        <v>18408</v>
      </c>
      <c r="H37" s="9">
        <v>18408</v>
      </c>
      <c r="I37" s="9">
        <v>18408</v>
      </c>
      <c r="J37" s="9">
        <v>18408</v>
      </c>
      <c r="K37" s="9">
        <v>18408</v>
      </c>
      <c r="L37" s="9">
        <v>18408</v>
      </c>
      <c r="M37" s="9">
        <v>18408</v>
      </c>
      <c r="N37" s="9">
        <v>19144.32</v>
      </c>
      <c r="O37" s="9">
        <v>19144.32</v>
      </c>
      <c r="P37" s="9">
        <v>19144.32</v>
      </c>
      <c r="Q37" s="9">
        <v>19144.32</v>
      </c>
      <c r="R37" s="9">
        <v>19144.32</v>
      </c>
      <c r="S37" s="9">
        <v>19144.32</v>
      </c>
      <c r="T37" s="9">
        <v>19144.32</v>
      </c>
      <c r="U37" s="9">
        <v>19144.32</v>
      </c>
      <c r="V37" s="9">
        <v>19144.32</v>
      </c>
      <c r="W37" s="9">
        <v>19144.32</v>
      </c>
      <c r="X37" s="9">
        <v>19144.32</v>
      </c>
      <c r="Y37" s="9">
        <v>19144.32</v>
      </c>
      <c r="Z37" s="9">
        <v>19910.092800000002</v>
      </c>
      <c r="AA37" s="9">
        <v>19910.092800000002</v>
      </c>
      <c r="AB37" s="9">
        <v>19910.092800000002</v>
      </c>
      <c r="AC37" s="9">
        <v>19910.092800000002</v>
      </c>
      <c r="AD37" s="9">
        <v>19910.092800000002</v>
      </c>
      <c r="AE37" s="9">
        <v>19910.092800000002</v>
      </c>
      <c r="AF37" s="9">
        <v>19910.092800000002</v>
      </c>
      <c r="AG37" s="9">
        <v>19910.092800000002</v>
      </c>
      <c r="AH37" s="9">
        <v>19910.092800000002</v>
      </c>
      <c r="AI37" s="9">
        <v>19910.092800000002</v>
      </c>
      <c r="AJ37" s="9">
        <v>19910.092800000002</v>
      </c>
      <c r="AK37" s="9">
        <v>19910.092800000002</v>
      </c>
      <c r="AL37" s="9">
        <v>20706.496512000002</v>
      </c>
      <c r="AM37" s="9">
        <v>20706.496512000002</v>
      </c>
      <c r="AN37" s="9">
        <v>20706.496512000002</v>
      </c>
      <c r="AO37" s="9">
        <v>20706.496512000002</v>
      </c>
      <c r="AP37" s="9">
        <v>20706.496512000002</v>
      </c>
      <c r="AQ37" s="9">
        <v>20706.496512000002</v>
      </c>
      <c r="AR37" s="9">
        <v>20706.496512000002</v>
      </c>
      <c r="AS37" s="9">
        <v>20706.496512000002</v>
      </c>
      <c r="AT37" s="9">
        <v>20706.496512000002</v>
      </c>
      <c r="AU37" s="9">
        <v>20706.496512000002</v>
      </c>
      <c r="AV37" s="9">
        <v>20706.496512000002</v>
      </c>
      <c r="AW37" s="9">
        <v>20706.496512000002</v>
      </c>
      <c r="AX37" s="9">
        <v>21534.756372480002</v>
      </c>
      <c r="AY37" s="9">
        <v>21534.756372480002</v>
      </c>
      <c r="AZ37" s="9">
        <v>21534.756372480002</v>
      </c>
      <c r="BA37" s="9">
        <v>21534.756372480002</v>
      </c>
      <c r="BB37" s="9">
        <v>21534.756372480002</v>
      </c>
      <c r="BC37" s="9">
        <v>21534.756372480002</v>
      </c>
      <c r="BD37" s="9">
        <v>21534.756372480002</v>
      </c>
      <c r="BE37" s="9">
        <v>21534.756372480002</v>
      </c>
      <c r="BF37" s="9">
        <v>21534.756372480002</v>
      </c>
      <c r="BG37" s="9">
        <v>21534.756372480002</v>
      </c>
      <c r="BH37" s="9">
        <v>21534.756372480002</v>
      </c>
      <c r="BI37" s="9">
        <v>21534.756372480002</v>
      </c>
      <c r="BJ37" s="9">
        <v>22396.146627379203</v>
      </c>
      <c r="BK37" s="9">
        <v>22396.146627379203</v>
      </c>
      <c r="BL37" s="9">
        <v>22396.146627379203</v>
      </c>
      <c r="BM37" s="9">
        <v>22396.146627379203</v>
      </c>
      <c r="BN37" s="9">
        <v>22396.146627379203</v>
      </c>
      <c r="BO37" s="9">
        <v>22396.146627379203</v>
      </c>
      <c r="BP37" s="9">
        <v>22396.146627379203</v>
      </c>
      <c r="BQ37" s="9">
        <v>22396.146627379203</v>
      </c>
      <c r="BR37" s="9">
        <v>22396.146627379203</v>
      </c>
      <c r="BS37" s="9">
        <v>22396.146627379203</v>
      </c>
      <c r="BT37" s="9">
        <v>22396.146627379203</v>
      </c>
      <c r="BU37" s="9">
        <v>22396.146627379203</v>
      </c>
      <c r="BV37" s="9">
        <v>23291.992492474372</v>
      </c>
      <c r="BW37" s="9">
        <v>23291.992492474372</v>
      </c>
      <c r="BX37" s="9">
        <v>23291.992492474372</v>
      </c>
      <c r="BY37" s="9">
        <v>23291.992492474372</v>
      </c>
      <c r="BZ37" s="9">
        <v>23291.992492474372</v>
      </c>
      <c r="CA37" s="9">
        <v>23291.992492474372</v>
      </c>
      <c r="CB37" s="9">
        <v>23291.992492474372</v>
      </c>
      <c r="CC37" s="9">
        <v>23291.992492474372</v>
      </c>
      <c r="CD37" s="9">
        <v>23291.992492474372</v>
      </c>
      <c r="CE37" s="9">
        <v>23291.992492474372</v>
      </c>
      <c r="CF37" s="9">
        <v>23291.992492474372</v>
      </c>
      <c r="CG37" s="9">
        <v>23291.992492474372</v>
      </c>
      <c r="CH37" s="9">
        <v>24223.672192173348</v>
      </c>
      <c r="CI37" s="9">
        <v>24223.672192173348</v>
      </c>
      <c r="CJ37" s="9">
        <v>24223.672192173348</v>
      </c>
      <c r="CK37" s="9">
        <v>24223.672192173348</v>
      </c>
      <c r="CL37" s="9">
        <v>24223.672192173348</v>
      </c>
      <c r="CM37" s="9">
        <v>24223.672192173348</v>
      </c>
      <c r="CN37" s="9">
        <v>24223.672192173348</v>
      </c>
      <c r="CO37" s="9">
        <v>24223.672192173348</v>
      </c>
      <c r="CP37" s="9">
        <v>24223.672192173348</v>
      </c>
      <c r="CQ37" s="9">
        <v>24223.672192173348</v>
      </c>
      <c r="CR37" s="9">
        <v>24223.672192173348</v>
      </c>
      <c r="CS37" s="9">
        <v>24223.672192173348</v>
      </c>
      <c r="CT37" s="9">
        <v>25192.619079860284</v>
      </c>
      <c r="CU37" s="9">
        <v>25192.619079860284</v>
      </c>
      <c r="CV37" s="9">
        <v>25192.619079860284</v>
      </c>
      <c r="CW37" s="9">
        <v>25192.619079860284</v>
      </c>
      <c r="CX37" s="9">
        <v>25192.619079860284</v>
      </c>
      <c r="CY37" s="9">
        <v>25192.619079860284</v>
      </c>
    </row>
    <row r="38" spans="1:103">
      <c r="A38" t="s">
        <v>317</v>
      </c>
      <c r="B38" s="40" t="s">
        <v>277</v>
      </c>
      <c r="C38" s="40" t="s">
        <v>281</v>
      </c>
      <c r="D38" s="9">
        <v>0</v>
      </c>
      <c r="E38" s="9">
        <v>0</v>
      </c>
      <c r="F38" s="9">
        <v>0</v>
      </c>
      <c r="G38" s="9">
        <v>0</v>
      </c>
      <c r="H38" s="9">
        <v>0</v>
      </c>
      <c r="I38" s="9">
        <v>0</v>
      </c>
      <c r="J38" s="9">
        <v>4000000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3000000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3000000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</v>
      </c>
      <c r="AO38" s="9">
        <v>0</v>
      </c>
      <c r="AP38" s="9">
        <v>0</v>
      </c>
      <c r="AQ38" s="9">
        <v>0</v>
      </c>
      <c r="AR38" s="9">
        <v>0</v>
      </c>
      <c r="AS38" s="9">
        <v>0</v>
      </c>
      <c r="AT38" s="9">
        <v>3000000</v>
      </c>
      <c r="AU38" s="9">
        <v>0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3000000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3000000</v>
      </c>
      <c r="BS38" s="9">
        <v>0</v>
      </c>
      <c r="BT38" s="9">
        <v>0</v>
      </c>
      <c r="BU38" s="9">
        <v>0</v>
      </c>
      <c r="BV38" s="9">
        <v>0</v>
      </c>
      <c r="BW38" s="9">
        <v>0</v>
      </c>
      <c r="BX38" s="9">
        <v>0</v>
      </c>
      <c r="BY38" s="9">
        <v>0</v>
      </c>
      <c r="BZ38" s="9">
        <v>0</v>
      </c>
      <c r="CA38" s="9">
        <v>0</v>
      </c>
      <c r="CB38" s="9">
        <v>0</v>
      </c>
      <c r="CC38" s="9">
        <v>0</v>
      </c>
      <c r="CD38" s="9">
        <v>3000000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3000000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</v>
      </c>
      <c r="CW38" s="9">
        <v>0</v>
      </c>
      <c r="CX38" s="9">
        <v>0</v>
      </c>
      <c r="CY38" s="9">
        <v>0</v>
      </c>
    </row>
    <row r="39" spans="1:103">
      <c r="A39" t="s">
        <v>318</v>
      </c>
      <c r="B39" s="40" t="s">
        <v>277</v>
      </c>
      <c r="C39" s="40" t="s">
        <v>281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0</v>
      </c>
      <c r="AM39" s="9">
        <v>0</v>
      </c>
      <c r="AN39" s="9">
        <v>0</v>
      </c>
      <c r="AO39" s="9">
        <v>0</v>
      </c>
      <c r="AP39" s="9">
        <v>0</v>
      </c>
      <c r="AQ39" s="9">
        <v>0</v>
      </c>
      <c r="AR39" s="9">
        <v>0</v>
      </c>
      <c r="AS39" s="9">
        <v>0</v>
      </c>
      <c r="AT39" s="9">
        <v>0</v>
      </c>
      <c r="AU39" s="9">
        <v>0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0</v>
      </c>
      <c r="BQ39" s="9">
        <v>0</v>
      </c>
      <c r="BR39" s="9">
        <v>0</v>
      </c>
      <c r="BS39" s="9">
        <v>0</v>
      </c>
      <c r="BT39" s="9">
        <v>0</v>
      </c>
      <c r="BU39" s="9">
        <v>0</v>
      </c>
      <c r="BV39" s="9">
        <v>0</v>
      </c>
      <c r="BW39" s="9">
        <v>0</v>
      </c>
      <c r="BX39" s="9">
        <v>0</v>
      </c>
      <c r="BY39" s="9">
        <v>0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9">
        <v>0</v>
      </c>
      <c r="CT39" s="9">
        <v>0</v>
      </c>
      <c r="CU39" s="9">
        <v>0</v>
      </c>
      <c r="CV39" s="9">
        <v>0</v>
      </c>
      <c r="CW39" s="9">
        <v>0</v>
      </c>
      <c r="CX39" s="9">
        <v>0</v>
      </c>
      <c r="CY39" s="9">
        <v>0</v>
      </c>
    </row>
    <row r="40" spans="1:103">
      <c r="A40" t="s">
        <v>319</v>
      </c>
      <c r="B40" s="40" t="s">
        <v>277</v>
      </c>
      <c r="C40" s="40" t="s">
        <v>281</v>
      </c>
      <c r="D40" s="9">
        <v>0</v>
      </c>
      <c r="E40" s="9">
        <v>0</v>
      </c>
      <c r="F40" s="9">
        <v>0</v>
      </c>
      <c r="G40" s="9">
        <v>624000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v>0</v>
      </c>
      <c r="Q40" s="9">
        <v>0</v>
      </c>
      <c r="R40" s="9">
        <v>0</v>
      </c>
      <c r="S40" s="9">
        <v>648960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674918.40000000002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0</v>
      </c>
      <c r="AM40" s="9">
        <v>0</v>
      </c>
      <c r="AN40" s="9">
        <v>0</v>
      </c>
      <c r="AO40" s="9">
        <v>0</v>
      </c>
      <c r="AP40" s="9">
        <v>0</v>
      </c>
      <c r="AQ40" s="9">
        <v>701915.13600000006</v>
      </c>
      <c r="AR40" s="9">
        <v>0</v>
      </c>
      <c r="AS40" s="9">
        <v>0</v>
      </c>
      <c r="AT40" s="9">
        <v>0</v>
      </c>
      <c r="AU40" s="9">
        <v>0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729991.74144000013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759191.41109760012</v>
      </c>
      <c r="BP40" s="9">
        <v>0</v>
      </c>
      <c r="BQ40" s="9">
        <v>0</v>
      </c>
      <c r="BR40" s="9">
        <v>0</v>
      </c>
      <c r="BS40" s="9">
        <v>0</v>
      </c>
      <c r="BT40" s="9">
        <v>0</v>
      </c>
      <c r="BU40" s="9">
        <v>0</v>
      </c>
      <c r="BV40" s="9">
        <v>0</v>
      </c>
      <c r="BW40" s="9">
        <v>0</v>
      </c>
      <c r="BX40" s="9">
        <v>0</v>
      </c>
      <c r="BY40" s="9">
        <v>0</v>
      </c>
      <c r="BZ40" s="9">
        <v>0</v>
      </c>
      <c r="CA40" s="9">
        <v>789559.06754150416</v>
      </c>
      <c r="CB40" s="9">
        <v>0</v>
      </c>
      <c r="CC40" s="9">
        <v>0</v>
      </c>
      <c r="CD40" s="9">
        <v>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821141.4302431643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9">
        <v>0</v>
      </c>
      <c r="CT40" s="9">
        <v>0</v>
      </c>
      <c r="CU40" s="9">
        <v>0</v>
      </c>
      <c r="CV40" s="9">
        <v>0</v>
      </c>
      <c r="CW40" s="9">
        <v>0</v>
      </c>
      <c r="CX40" s="9">
        <v>0</v>
      </c>
      <c r="CY40" s="9">
        <v>0</v>
      </c>
    </row>
    <row r="41" spans="1:103">
      <c r="A41" t="s">
        <v>320</v>
      </c>
      <c r="B41" s="40" t="s">
        <v>321</v>
      </c>
      <c r="C41" s="40" t="s">
        <v>281</v>
      </c>
      <c r="D41" s="9">
        <v>897272</v>
      </c>
      <c r="E41" s="9">
        <v>0</v>
      </c>
      <c r="F41" s="9">
        <v>0</v>
      </c>
      <c r="G41" s="9">
        <v>12272</v>
      </c>
      <c r="H41" s="9">
        <v>0</v>
      </c>
      <c r="I41" s="9">
        <v>3894000</v>
      </c>
      <c r="J41" s="9">
        <v>12272</v>
      </c>
      <c r="K41" s="9">
        <v>0</v>
      </c>
      <c r="L41" s="9">
        <v>0</v>
      </c>
      <c r="M41" s="9">
        <v>12272</v>
      </c>
      <c r="N41" s="9">
        <v>0</v>
      </c>
      <c r="O41" s="9">
        <v>4248000</v>
      </c>
      <c r="P41" s="9">
        <v>897762.88</v>
      </c>
      <c r="Q41" s="9">
        <v>0</v>
      </c>
      <c r="R41" s="9">
        <v>0</v>
      </c>
      <c r="S41" s="9">
        <v>12762.880000000001</v>
      </c>
      <c r="T41" s="9">
        <v>0</v>
      </c>
      <c r="U41" s="9">
        <v>0</v>
      </c>
      <c r="V41" s="9">
        <v>12762.880000000001</v>
      </c>
      <c r="W41" s="9">
        <v>0</v>
      </c>
      <c r="X41" s="9">
        <v>0</v>
      </c>
      <c r="Y41" s="9">
        <v>12762.880000000001</v>
      </c>
      <c r="Z41" s="9">
        <v>0</v>
      </c>
      <c r="AA41" s="9">
        <v>4248000</v>
      </c>
      <c r="AB41" s="9">
        <v>898273.39520000003</v>
      </c>
      <c r="AC41" s="9">
        <v>0</v>
      </c>
      <c r="AD41" s="9">
        <v>0</v>
      </c>
      <c r="AE41" s="9">
        <v>13273.395200000001</v>
      </c>
      <c r="AF41" s="9">
        <v>0</v>
      </c>
      <c r="AG41" s="9">
        <v>0</v>
      </c>
      <c r="AH41" s="9">
        <v>13273.395200000001</v>
      </c>
      <c r="AI41" s="9">
        <v>0</v>
      </c>
      <c r="AJ41" s="9">
        <v>0</v>
      </c>
      <c r="AK41" s="9">
        <v>13273.395200000001</v>
      </c>
      <c r="AL41" s="9">
        <v>0</v>
      </c>
      <c r="AM41" s="9">
        <v>4248000</v>
      </c>
      <c r="AN41" s="9">
        <v>898804.33100799995</v>
      </c>
      <c r="AO41" s="9">
        <v>0</v>
      </c>
      <c r="AP41" s="9">
        <v>0</v>
      </c>
      <c r="AQ41" s="9">
        <v>13804.331008000001</v>
      </c>
      <c r="AR41" s="9">
        <v>0</v>
      </c>
      <c r="AS41" s="9">
        <v>0</v>
      </c>
      <c r="AT41" s="9">
        <v>13804.331008000001</v>
      </c>
      <c r="AU41" s="9">
        <v>0</v>
      </c>
      <c r="AV41" s="9">
        <v>0</v>
      </c>
      <c r="AW41" s="9">
        <v>13804.331008000001</v>
      </c>
      <c r="AX41" s="9">
        <v>0</v>
      </c>
      <c r="AY41" s="9">
        <v>4248000</v>
      </c>
      <c r="AZ41" s="9">
        <v>899356.50424832001</v>
      </c>
      <c r="BA41" s="9">
        <v>0</v>
      </c>
      <c r="BB41" s="9">
        <v>0</v>
      </c>
      <c r="BC41" s="9">
        <v>14356.504248320001</v>
      </c>
      <c r="BD41" s="9">
        <v>0</v>
      </c>
      <c r="BE41" s="9">
        <v>0</v>
      </c>
      <c r="BF41" s="9">
        <v>14356.504248320001</v>
      </c>
      <c r="BG41" s="9">
        <v>0</v>
      </c>
      <c r="BH41" s="9">
        <v>0</v>
      </c>
      <c r="BI41" s="9">
        <v>14356.504248320001</v>
      </c>
      <c r="BJ41" s="9">
        <v>0</v>
      </c>
      <c r="BK41" s="9">
        <v>4248000</v>
      </c>
      <c r="BL41" s="9">
        <v>899930.76441825274</v>
      </c>
      <c r="BM41" s="9">
        <v>0</v>
      </c>
      <c r="BN41" s="9">
        <v>0</v>
      </c>
      <c r="BO41" s="9">
        <v>14930.764418252802</v>
      </c>
      <c r="BP41" s="9">
        <v>0</v>
      </c>
      <c r="BQ41" s="9">
        <v>0</v>
      </c>
      <c r="BR41" s="9">
        <v>14930.764418252802</v>
      </c>
      <c r="BS41" s="9">
        <v>0</v>
      </c>
      <c r="BT41" s="9">
        <v>0</v>
      </c>
      <c r="BU41" s="9">
        <v>14930.764418252802</v>
      </c>
      <c r="BV41" s="9">
        <v>0</v>
      </c>
      <c r="BW41" s="9">
        <v>4248000</v>
      </c>
      <c r="BX41" s="9">
        <v>900527.99499498296</v>
      </c>
      <c r="BY41" s="9">
        <v>0</v>
      </c>
      <c r="BZ41" s="9">
        <v>0</v>
      </c>
      <c r="CA41" s="9">
        <v>15527.994994982915</v>
      </c>
      <c r="CB41" s="9">
        <v>0</v>
      </c>
      <c r="CC41" s="9">
        <v>0</v>
      </c>
      <c r="CD41" s="9">
        <v>15527.994994982915</v>
      </c>
      <c r="CE41" s="9">
        <v>0</v>
      </c>
      <c r="CF41" s="9">
        <v>0</v>
      </c>
      <c r="CG41" s="9">
        <v>0</v>
      </c>
      <c r="CH41" s="9">
        <v>0</v>
      </c>
      <c r="CI41" s="9">
        <v>4248000</v>
      </c>
      <c r="CJ41" s="9">
        <v>885000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0</v>
      </c>
      <c r="CU41" s="9">
        <v>2124000</v>
      </c>
      <c r="CV41" s="9">
        <v>0</v>
      </c>
      <c r="CW41" s="9">
        <v>0</v>
      </c>
      <c r="CX41" s="9">
        <v>0</v>
      </c>
      <c r="CY41" s="9">
        <v>0</v>
      </c>
    </row>
    <row r="42" spans="1:103">
      <c r="A42" t="s">
        <v>322</v>
      </c>
      <c r="B42" s="40" t="s">
        <v>321</v>
      </c>
      <c r="C42" s="40" t="s">
        <v>316</v>
      </c>
      <c r="D42" s="9">
        <v>85904</v>
      </c>
      <c r="E42" s="9">
        <v>85904</v>
      </c>
      <c r="F42" s="9">
        <v>85904</v>
      </c>
      <c r="G42" s="9">
        <v>85904</v>
      </c>
      <c r="H42" s="9">
        <v>85904</v>
      </c>
      <c r="I42" s="9">
        <v>85904</v>
      </c>
      <c r="J42" s="9">
        <v>85904</v>
      </c>
      <c r="K42" s="9">
        <v>85904</v>
      </c>
      <c r="L42" s="9">
        <v>85904</v>
      </c>
      <c r="M42" s="9">
        <v>10085904</v>
      </c>
      <c r="N42" s="9">
        <v>589340.16000000003</v>
      </c>
      <c r="O42" s="9">
        <v>89340.160000000003</v>
      </c>
      <c r="P42" s="9">
        <v>89340.160000000003</v>
      </c>
      <c r="Q42" s="9">
        <v>89340.160000000003</v>
      </c>
      <c r="R42" s="9">
        <v>89340.160000000003</v>
      </c>
      <c r="S42" s="9">
        <v>89340.160000000003</v>
      </c>
      <c r="T42" s="9">
        <v>89340.160000000003</v>
      </c>
      <c r="U42" s="9">
        <v>89340.160000000003</v>
      </c>
      <c r="V42" s="9">
        <v>89340.160000000003</v>
      </c>
      <c r="W42" s="9">
        <v>89340.160000000003</v>
      </c>
      <c r="X42" s="9">
        <v>89340.160000000003</v>
      </c>
      <c r="Y42" s="9">
        <v>89340.160000000003</v>
      </c>
      <c r="Z42" s="9">
        <v>592913.76639999996</v>
      </c>
      <c r="AA42" s="9">
        <v>92913.766400000008</v>
      </c>
      <c r="AB42" s="9">
        <v>92913.766400000008</v>
      </c>
      <c r="AC42" s="9">
        <v>92913.766400000008</v>
      </c>
      <c r="AD42" s="9">
        <v>92913.766400000008</v>
      </c>
      <c r="AE42" s="9">
        <v>92913.766400000008</v>
      </c>
      <c r="AF42" s="9">
        <v>92913.766400000008</v>
      </c>
      <c r="AG42" s="9">
        <v>92913.766400000008</v>
      </c>
      <c r="AH42" s="9">
        <v>92913.766400000008</v>
      </c>
      <c r="AI42" s="9">
        <v>92913.766400000008</v>
      </c>
      <c r="AJ42" s="9">
        <v>92913.766400000008</v>
      </c>
      <c r="AK42" s="9">
        <v>92913.766400000008</v>
      </c>
      <c r="AL42" s="9">
        <v>596630.317056</v>
      </c>
      <c r="AM42" s="9">
        <v>96630.317056000014</v>
      </c>
      <c r="AN42" s="9">
        <v>96630.317056000014</v>
      </c>
      <c r="AO42" s="9">
        <v>96630.317056000014</v>
      </c>
      <c r="AP42" s="9">
        <v>96630.317056000014</v>
      </c>
      <c r="AQ42" s="9">
        <v>96630.317056000014</v>
      </c>
      <c r="AR42" s="9">
        <v>96630.317056000014</v>
      </c>
      <c r="AS42" s="9">
        <v>96630.317056000014</v>
      </c>
      <c r="AT42" s="9">
        <v>96630.317056000014</v>
      </c>
      <c r="AU42" s="9">
        <v>96630.317056000014</v>
      </c>
      <c r="AV42" s="9">
        <v>96630.317056000014</v>
      </c>
      <c r="AW42" s="9">
        <v>96630.317056000014</v>
      </c>
      <c r="AX42" s="9">
        <v>600495.52973824006</v>
      </c>
      <c r="AY42" s="9">
        <v>100495.52973824002</v>
      </c>
      <c r="AZ42" s="9">
        <v>100495.52973824002</v>
      </c>
      <c r="BA42" s="9">
        <v>100495.52973824002</v>
      </c>
      <c r="BB42" s="9">
        <v>100495.52973824002</v>
      </c>
      <c r="BC42" s="9">
        <v>100495.52973824002</v>
      </c>
      <c r="BD42" s="9">
        <v>100495.52973824002</v>
      </c>
      <c r="BE42" s="9">
        <v>100495.52973824002</v>
      </c>
      <c r="BF42" s="9">
        <v>100495.52973824002</v>
      </c>
      <c r="BG42" s="9">
        <v>100495.52973824002</v>
      </c>
      <c r="BH42" s="9">
        <v>100495.52973824002</v>
      </c>
      <c r="BI42" s="9">
        <v>100495.52973824002</v>
      </c>
      <c r="BJ42" s="9">
        <v>604515.35092776967</v>
      </c>
      <c r="BK42" s="9">
        <v>104515.35092776961</v>
      </c>
      <c r="BL42" s="9">
        <v>104515.35092776961</v>
      </c>
      <c r="BM42" s="9">
        <v>104515.35092776961</v>
      </c>
      <c r="BN42" s="9">
        <v>104515.35092776961</v>
      </c>
      <c r="BO42" s="9">
        <v>104515.35092776961</v>
      </c>
      <c r="BP42" s="9">
        <v>104515.35092776961</v>
      </c>
      <c r="BQ42" s="9">
        <v>104515.35092776961</v>
      </c>
      <c r="BR42" s="9">
        <v>104515.35092776961</v>
      </c>
      <c r="BS42" s="9">
        <v>104515.35092776961</v>
      </c>
      <c r="BT42" s="9">
        <v>104515.35092776961</v>
      </c>
      <c r="BU42" s="9">
        <v>104515.35092776961</v>
      </c>
      <c r="BV42" s="9">
        <v>608695.96496488038</v>
      </c>
      <c r="BW42" s="9">
        <v>108695.9649648804</v>
      </c>
      <c r="BX42" s="9">
        <v>108695.9649648804</v>
      </c>
      <c r="BY42" s="9">
        <v>108695.9649648804</v>
      </c>
      <c r="BZ42" s="9">
        <v>108695.9649648804</v>
      </c>
      <c r="CA42" s="9">
        <v>108695.9649648804</v>
      </c>
      <c r="CB42" s="9">
        <v>108695.9649648804</v>
      </c>
      <c r="CC42" s="9">
        <v>108695.9649648804</v>
      </c>
      <c r="CD42" s="9">
        <v>108695.9649648804</v>
      </c>
      <c r="CE42" s="9">
        <v>108695.9649648804</v>
      </c>
      <c r="CF42" s="9">
        <v>108695.9649648804</v>
      </c>
      <c r="CG42" s="9">
        <v>108695.9649648804</v>
      </c>
      <c r="CH42" s="9">
        <v>613043.80356347561</v>
      </c>
      <c r="CI42" s="9">
        <v>113043.80356347562</v>
      </c>
      <c r="CJ42" s="9">
        <v>113043.80356347562</v>
      </c>
      <c r="CK42" s="9">
        <v>113043.80356347562</v>
      </c>
      <c r="CL42" s="9">
        <v>113043.80356347562</v>
      </c>
      <c r="CM42" s="9">
        <v>113043.80356347562</v>
      </c>
      <c r="CN42" s="9">
        <v>113043.80356347562</v>
      </c>
      <c r="CO42" s="9">
        <v>113043.80356347562</v>
      </c>
      <c r="CP42" s="9">
        <v>113043.80356347562</v>
      </c>
      <c r="CQ42" s="9">
        <v>113043.80356347562</v>
      </c>
      <c r="CR42" s="9">
        <v>113043.80356347562</v>
      </c>
      <c r="CS42" s="9">
        <v>113043.80356347562</v>
      </c>
      <c r="CT42" s="9">
        <v>617565.55570601462</v>
      </c>
      <c r="CU42" s="9">
        <v>117565.55570601465</v>
      </c>
      <c r="CV42" s="9">
        <v>117565.55570601465</v>
      </c>
      <c r="CW42" s="9">
        <v>117565.55570601465</v>
      </c>
      <c r="CX42" s="9">
        <v>117565.55570601465</v>
      </c>
      <c r="CY42" s="9">
        <v>117565.55570601465</v>
      </c>
    </row>
    <row r="43" spans="1:103">
      <c r="A43" t="s">
        <v>323</v>
      </c>
      <c r="B43" s="40" t="s">
        <v>321</v>
      </c>
      <c r="C43" s="40" t="s">
        <v>316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245440</v>
      </c>
      <c r="M43" s="9">
        <v>0</v>
      </c>
      <c r="N43" s="9">
        <v>0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255257.60000000001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265467.90400000004</v>
      </c>
      <c r="AK43" s="9">
        <v>0</v>
      </c>
      <c r="AL43" s="9">
        <v>0</v>
      </c>
      <c r="AM43" s="9">
        <v>0</v>
      </c>
      <c r="AN43" s="9">
        <v>0</v>
      </c>
      <c r="AO43" s="9">
        <v>0</v>
      </c>
      <c r="AP43" s="9">
        <v>0</v>
      </c>
      <c r="AQ43" s="9">
        <v>0</v>
      </c>
      <c r="AR43" s="9">
        <v>0</v>
      </c>
      <c r="AS43" s="9">
        <v>0</v>
      </c>
      <c r="AT43" s="9">
        <v>0</v>
      </c>
      <c r="AU43" s="9">
        <v>0</v>
      </c>
      <c r="AV43" s="9">
        <v>276086.62016000005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287130.08496640006</v>
      </c>
      <c r="BI43" s="9">
        <v>0</v>
      </c>
      <c r="BJ43" s="9">
        <v>0</v>
      </c>
      <c r="BK43" s="9">
        <v>0</v>
      </c>
      <c r="BL43" s="9">
        <v>0</v>
      </c>
      <c r="BM43" s="9">
        <v>0</v>
      </c>
      <c r="BN43" s="9">
        <v>0</v>
      </c>
      <c r="BO43" s="9">
        <v>0</v>
      </c>
      <c r="BP43" s="9">
        <v>0</v>
      </c>
      <c r="BQ43" s="9">
        <v>0</v>
      </c>
      <c r="BR43" s="9">
        <v>0</v>
      </c>
      <c r="BS43" s="9">
        <v>0</v>
      </c>
      <c r="BT43" s="9">
        <v>298615.28836505604</v>
      </c>
      <c r="BU43" s="9">
        <v>0</v>
      </c>
      <c r="BV43" s="9">
        <v>0</v>
      </c>
      <c r="BW43" s="9">
        <v>0</v>
      </c>
      <c r="BX43" s="9">
        <v>0</v>
      </c>
      <c r="BY43" s="9">
        <v>0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310559.89989965828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322982.29589564464</v>
      </c>
      <c r="CS43" s="9">
        <v>0</v>
      </c>
      <c r="CT43" s="9">
        <v>0</v>
      </c>
      <c r="CU43" s="9">
        <v>0</v>
      </c>
      <c r="CV43" s="9">
        <v>0</v>
      </c>
      <c r="CW43" s="9">
        <v>0</v>
      </c>
      <c r="CX43" s="9">
        <v>0</v>
      </c>
      <c r="CY43" s="9">
        <v>0</v>
      </c>
    </row>
    <row r="44" spans="1:103">
      <c r="A44" t="s">
        <v>324</v>
      </c>
      <c r="B44" s="40" t="s">
        <v>321</v>
      </c>
      <c r="C44" s="40" t="s">
        <v>316</v>
      </c>
      <c r="D44" s="9">
        <v>30680</v>
      </c>
      <c r="E44" s="9">
        <v>244085</v>
      </c>
      <c r="F44" s="9">
        <v>30680</v>
      </c>
      <c r="G44" s="9">
        <v>620680</v>
      </c>
      <c r="H44" s="9">
        <v>244085</v>
      </c>
      <c r="I44" s="9">
        <v>30680</v>
      </c>
      <c r="J44" s="9">
        <v>30680</v>
      </c>
      <c r="K44" s="9">
        <v>244085</v>
      </c>
      <c r="L44" s="9">
        <v>30680</v>
      </c>
      <c r="M44" s="9">
        <v>30680</v>
      </c>
      <c r="N44" s="9">
        <v>221941.2</v>
      </c>
      <c r="O44" s="9">
        <v>228817.88800000004</v>
      </c>
      <c r="P44" s="9">
        <v>31907.200000000001</v>
      </c>
      <c r="Q44" s="9">
        <v>221941.2</v>
      </c>
      <c r="R44" s="9">
        <v>31907.200000000001</v>
      </c>
      <c r="S44" s="9">
        <v>621907.19999999995</v>
      </c>
      <c r="T44" s="9">
        <v>221941.2</v>
      </c>
      <c r="U44" s="9">
        <v>31907.200000000001</v>
      </c>
      <c r="V44" s="9">
        <v>31907.200000000001</v>
      </c>
      <c r="W44" s="9">
        <v>221941.2</v>
      </c>
      <c r="X44" s="9">
        <v>31907.200000000001</v>
      </c>
      <c r="Y44" s="9">
        <v>31907.200000000001</v>
      </c>
      <c r="Z44" s="9">
        <v>230818.84800000003</v>
      </c>
      <c r="AA44" s="9">
        <v>237970.60352000003</v>
      </c>
      <c r="AB44" s="9">
        <v>33183.488000000005</v>
      </c>
      <c r="AC44" s="9">
        <v>230818.84800000003</v>
      </c>
      <c r="AD44" s="9">
        <v>33183.488000000005</v>
      </c>
      <c r="AE44" s="9">
        <v>623183.48800000001</v>
      </c>
      <c r="AF44" s="9">
        <v>230818.84800000003</v>
      </c>
      <c r="AG44" s="9">
        <v>33183.488000000005</v>
      </c>
      <c r="AH44" s="9">
        <v>33183.488000000005</v>
      </c>
      <c r="AI44" s="9">
        <v>230818.84800000003</v>
      </c>
      <c r="AJ44" s="9">
        <v>33183.488000000005</v>
      </c>
      <c r="AK44" s="9">
        <v>33183.488000000005</v>
      </c>
      <c r="AL44" s="9">
        <v>240051.60192000004</v>
      </c>
      <c r="AM44" s="9">
        <v>247489.42766080005</v>
      </c>
      <c r="AN44" s="9">
        <v>34510.827520000006</v>
      </c>
      <c r="AO44" s="9">
        <v>240051.60192000004</v>
      </c>
      <c r="AP44" s="9">
        <v>34510.827520000006</v>
      </c>
      <c r="AQ44" s="9">
        <v>624510.82752000005</v>
      </c>
      <c r="AR44" s="9">
        <v>240051.60192000004</v>
      </c>
      <c r="AS44" s="9">
        <v>34510.827520000006</v>
      </c>
      <c r="AT44" s="9">
        <v>34510.827520000006</v>
      </c>
      <c r="AU44" s="9">
        <v>240051.60192000004</v>
      </c>
      <c r="AV44" s="9">
        <v>34510.827520000006</v>
      </c>
      <c r="AW44" s="9">
        <v>34510.827520000006</v>
      </c>
      <c r="AX44" s="9">
        <v>249653.66599680006</v>
      </c>
      <c r="AY44" s="9">
        <v>257389.00476723205</v>
      </c>
      <c r="AZ44" s="9">
        <v>35891.260620800007</v>
      </c>
      <c r="BA44" s="9">
        <v>249653.66599680006</v>
      </c>
      <c r="BB44" s="9">
        <v>35891.260620800007</v>
      </c>
      <c r="BC44" s="9">
        <v>625891.26062079996</v>
      </c>
      <c r="BD44" s="9">
        <v>249653.66599680006</v>
      </c>
      <c r="BE44" s="9">
        <v>35891.260620800007</v>
      </c>
      <c r="BF44" s="9">
        <v>35891.260620800007</v>
      </c>
      <c r="BG44" s="9">
        <v>249653.66599680006</v>
      </c>
      <c r="BH44" s="9">
        <v>35891.260620800007</v>
      </c>
      <c r="BI44" s="9">
        <v>35891.260620800007</v>
      </c>
      <c r="BJ44" s="9">
        <v>259639.81263667205</v>
      </c>
      <c r="BK44" s="9">
        <v>267684.56495792134</v>
      </c>
      <c r="BL44" s="9">
        <v>37326.911045632005</v>
      </c>
      <c r="BM44" s="9">
        <v>259639.81263667205</v>
      </c>
      <c r="BN44" s="9">
        <v>37326.911045632005</v>
      </c>
      <c r="BO44" s="9">
        <v>627326.91104563198</v>
      </c>
      <c r="BP44" s="9">
        <v>259639.81263667205</v>
      </c>
      <c r="BQ44" s="9">
        <v>37326.911045632005</v>
      </c>
      <c r="BR44" s="9">
        <v>37326.911045632005</v>
      </c>
      <c r="BS44" s="9">
        <v>259639.81263667205</v>
      </c>
      <c r="BT44" s="9">
        <v>37326.911045632005</v>
      </c>
      <c r="BU44" s="9">
        <v>37326.911045632005</v>
      </c>
      <c r="BV44" s="9">
        <v>270025.40514213894</v>
      </c>
      <c r="BW44" s="9">
        <v>278391.94755623816</v>
      </c>
      <c r="BX44" s="9">
        <v>38819.987487457285</v>
      </c>
      <c r="BY44" s="9">
        <v>270025.40514213894</v>
      </c>
      <c r="BZ44" s="9">
        <v>38819.987487457285</v>
      </c>
      <c r="CA44" s="9">
        <v>628819.98748745723</v>
      </c>
      <c r="CB44" s="9">
        <v>270025.40514213894</v>
      </c>
      <c r="CC44" s="9">
        <v>38819.987487457285</v>
      </c>
      <c r="CD44" s="9">
        <v>38819.987487457285</v>
      </c>
      <c r="CE44" s="9">
        <v>270025.40514213894</v>
      </c>
      <c r="CF44" s="9">
        <v>38819.987487457285</v>
      </c>
      <c r="CG44" s="9">
        <v>38819.987487457285</v>
      </c>
      <c r="CH44" s="9">
        <v>280826.42134782451</v>
      </c>
      <c r="CI44" s="9">
        <v>289527.62545848772</v>
      </c>
      <c r="CJ44" s="9">
        <v>40372.78698695558</v>
      </c>
      <c r="CK44" s="9">
        <v>280826.42134782451</v>
      </c>
      <c r="CL44" s="9">
        <v>40372.78698695558</v>
      </c>
      <c r="CM44" s="9">
        <v>630372.78698695556</v>
      </c>
      <c r="CN44" s="9">
        <v>280826.42134782451</v>
      </c>
      <c r="CO44" s="9">
        <v>40372.78698695558</v>
      </c>
      <c r="CP44" s="9">
        <v>40372.78698695558</v>
      </c>
      <c r="CQ44" s="9">
        <v>280826.42134782451</v>
      </c>
      <c r="CR44" s="9">
        <v>40372.78698695558</v>
      </c>
      <c r="CS44" s="9">
        <v>40372.78698695558</v>
      </c>
      <c r="CT44" s="9">
        <v>292059.47820173751</v>
      </c>
      <c r="CU44" s="9">
        <v>301108.73047682724</v>
      </c>
      <c r="CV44" s="9">
        <v>41987.698466433802</v>
      </c>
      <c r="CW44" s="9">
        <v>292059.47820173751</v>
      </c>
      <c r="CX44" s="9">
        <v>41987.698466433802</v>
      </c>
      <c r="CY44" s="9">
        <v>631987.69846643379</v>
      </c>
    </row>
    <row r="45" spans="1:103">
      <c r="A45" t="s">
        <v>325</v>
      </c>
      <c r="B45" s="40" t="s">
        <v>321</v>
      </c>
      <c r="C45" s="40" t="s">
        <v>316</v>
      </c>
      <c r="D45" s="9">
        <v>0</v>
      </c>
      <c r="E45" s="9">
        <v>0</v>
      </c>
      <c r="F45" s="9">
        <v>0</v>
      </c>
      <c r="G45" s="9">
        <v>0</v>
      </c>
      <c r="H45" s="9">
        <v>55224</v>
      </c>
      <c r="I45" s="9">
        <v>0</v>
      </c>
      <c r="J45" s="9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57432.959999999999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59730.278400000003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0</v>
      </c>
      <c r="AM45" s="9">
        <v>0</v>
      </c>
      <c r="AN45" s="9">
        <v>0</v>
      </c>
      <c r="AO45" s="9">
        <v>0</v>
      </c>
      <c r="AP45" s="9">
        <v>0</v>
      </c>
      <c r="AQ45" s="9">
        <v>0</v>
      </c>
      <c r="AR45" s="9">
        <v>62119.489536000008</v>
      </c>
      <c r="AS45" s="9">
        <v>0</v>
      </c>
      <c r="AT45" s="9">
        <v>0</v>
      </c>
      <c r="AU45" s="9">
        <v>0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64604.26911744001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9">
        <v>0</v>
      </c>
      <c r="BN45" s="9">
        <v>0</v>
      </c>
      <c r="BO45" s="9">
        <v>0</v>
      </c>
      <c r="BP45" s="9">
        <v>67188.439882137609</v>
      </c>
      <c r="BQ45" s="9">
        <v>0</v>
      </c>
      <c r="BR45" s="9">
        <v>0</v>
      </c>
      <c r="BS45" s="9">
        <v>0</v>
      </c>
      <c r="BT45" s="9">
        <v>0</v>
      </c>
      <c r="BU45" s="9">
        <v>0</v>
      </c>
      <c r="BV45" s="9">
        <v>0</v>
      </c>
      <c r="BW45" s="9">
        <v>0</v>
      </c>
      <c r="BX45" s="9">
        <v>0</v>
      </c>
      <c r="BY45" s="9">
        <v>0</v>
      </c>
      <c r="BZ45" s="9">
        <v>0</v>
      </c>
      <c r="CA45" s="9">
        <v>0</v>
      </c>
      <c r="CB45" s="9">
        <v>69875.977477423119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>
        <v>72671.016576520051</v>
      </c>
      <c r="CO45" s="9">
        <v>0</v>
      </c>
      <c r="CP45" s="9">
        <v>0</v>
      </c>
      <c r="CQ45" s="9">
        <v>0</v>
      </c>
      <c r="CR45" s="9">
        <v>0</v>
      </c>
      <c r="CS45" s="9">
        <v>0</v>
      </c>
      <c r="CT45" s="9">
        <v>0</v>
      </c>
      <c r="CU45" s="9">
        <v>0</v>
      </c>
      <c r="CV45" s="9">
        <v>0</v>
      </c>
      <c r="CW45" s="9">
        <v>0</v>
      </c>
      <c r="CX45" s="9">
        <v>0</v>
      </c>
      <c r="CY45" s="9">
        <v>0</v>
      </c>
    </row>
    <row r="46" spans="1:103">
      <c r="A46" t="s">
        <v>326</v>
      </c>
      <c r="B46" s="40" t="s">
        <v>321</v>
      </c>
      <c r="C46" s="40" t="s">
        <v>316</v>
      </c>
      <c r="D46" s="9">
        <v>0</v>
      </c>
      <c r="E46" s="9">
        <v>0</v>
      </c>
      <c r="F46" s="9">
        <v>35400</v>
      </c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v>0</v>
      </c>
      <c r="Q46" s="9">
        <v>0</v>
      </c>
      <c r="R46" s="9">
        <v>35400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35400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</v>
      </c>
      <c r="AM46" s="9">
        <v>0</v>
      </c>
      <c r="AN46" s="9">
        <v>0</v>
      </c>
      <c r="AO46" s="9">
        <v>0</v>
      </c>
      <c r="AP46" s="9">
        <v>35400</v>
      </c>
      <c r="AQ46" s="9">
        <v>0</v>
      </c>
      <c r="AR46" s="9">
        <v>0</v>
      </c>
      <c r="AS46" s="9">
        <v>0</v>
      </c>
      <c r="AT46" s="9">
        <v>0</v>
      </c>
      <c r="AU46" s="9">
        <v>0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35400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35400</v>
      </c>
      <c r="BO46" s="9">
        <v>0</v>
      </c>
      <c r="BP46" s="9">
        <v>0</v>
      </c>
      <c r="BQ46" s="9">
        <v>0</v>
      </c>
      <c r="BR46" s="9">
        <v>0</v>
      </c>
      <c r="BS46" s="9">
        <v>0</v>
      </c>
      <c r="BT46" s="9">
        <v>0</v>
      </c>
      <c r="BU46" s="9">
        <v>0</v>
      </c>
      <c r="BV46" s="9">
        <v>0</v>
      </c>
      <c r="BW46" s="9">
        <v>0</v>
      </c>
      <c r="BX46" s="9">
        <v>0</v>
      </c>
      <c r="BY46" s="9">
        <v>0</v>
      </c>
      <c r="BZ46" s="9">
        <v>35400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35400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</v>
      </c>
      <c r="CU46" s="9">
        <v>0</v>
      </c>
      <c r="CV46" s="9">
        <v>0</v>
      </c>
      <c r="CW46" s="9">
        <v>0</v>
      </c>
      <c r="CX46" s="9">
        <v>35400</v>
      </c>
      <c r="CY46" s="9">
        <v>0</v>
      </c>
    </row>
    <row r="47" spans="1:103">
      <c r="A47" t="s">
        <v>327</v>
      </c>
      <c r="B47" s="40" t="s">
        <v>321</v>
      </c>
      <c r="C47" s="40" t="s">
        <v>281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  <c r="I47" s="9">
        <v>11800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12272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12762.880000000001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</v>
      </c>
      <c r="AP47" s="9">
        <v>0</v>
      </c>
      <c r="AQ47" s="9">
        <v>0</v>
      </c>
      <c r="AR47" s="9">
        <v>0</v>
      </c>
      <c r="AS47" s="9">
        <v>13273.395200000001</v>
      </c>
      <c r="AT47" s="9">
        <v>0</v>
      </c>
      <c r="AU47" s="9">
        <v>0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13804.331008000001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9">
        <v>0</v>
      </c>
      <c r="BM47" s="9">
        <v>0</v>
      </c>
      <c r="BN47" s="9">
        <v>0</v>
      </c>
      <c r="BO47" s="9">
        <v>0</v>
      </c>
      <c r="BP47" s="9">
        <v>0</v>
      </c>
      <c r="BQ47" s="9">
        <v>14356.504248320001</v>
      </c>
      <c r="BR47" s="9">
        <v>0</v>
      </c>
      <c r="BS47" s="9">
        <v>0</v>
      </c>
      <c r="BT47" s="9">
        <v>0</v>
      </c>
      <c r="BU47" s="9">
        <v>0</v>
      </c>
      <c r="BV47" s="9">
        <v>0</v>
      </c>
      <c r="BW47" s="9">
        <v>0</v>
      </c>
      <c r="BX47" s="9">
        <v>0</v>
      </c>
      <c r="BY47" s="9">
        <v>0</v>
      </c>
      <c r="BZ47" s="9">
        <v>0</v>
      </c>
      <c r="CA47" s="9">
        <v>0</v>
      </c>
      <c r="CB47" s="9">
        <v>0</v>
      </c>
      <c r="CC47" s="9">
        <v>14930.764418252802</v>
      </c>
      <c r="CD47" s="9">
        <v>0</v>
      </c>
      <c r="CE47" s="9">
        <v>0</v>
      </c>
      <c r="CF47" s="9">
        <v>0</v>
      </c>
      <c r="CG47" s="9">
        <v>0</v>
      </c>
      <c r="CH47" s="9">
        <v>0</v>
      </c>
      <c r="CI47" s="9">
        <v>0</v>
      </c>
      <c r="CJ47" s="9">
        <v>0</v>
      </c>
      <c r="CK47" s="9">
        <v>0</v>
      </c>
      <c r="CL47" s="9">
        <v>0</v>
      </c>
      <c r="CM47" s="9">
        <v>0</v>
      </c>
      <c r="CN47" s="9">
        <v>0</v>
      </c>
      <c r="CO47" s="9">
        <v>15527.994994982915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</v>
      </c>
      <c r="CX47" s="9">
        <v>0</v>
      </c>
      <c r="CY47" s="9">
        <v>0</v>
      </c>
    </row>
    <row r="48" spans="1:103">
      <c r="A48" t="s">
        <v>328</v>
      </c>
      <c r="B48" s="40" t="s">
        <v>321</v>
      </c>
      <c r="C48" s="40" t="s">
        <v>281</v>
      </c>
      <c r="D48" s="9">
        <v>0</v>
      </c>
      <c r="E48" s="9">
        <v>0</v>
      </c>
      <c r="F48" s="9">
        <v>0</v>
      </c>
      <c r="G48" s="9">
        <v>0</v>
      </c>
      <c r="H48" s="9">
        <v>0</v>
      </c>
      <c r="I48" s="9">
        <v>0</v>
      </c>
      <c r="J48" s="9">
        <v>177000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184080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191443.20000000001</v>
      </c>
      <c r="AI48" s="9">
        <v>0</v>
      </c>
      <c r="AJ48" s="9">
        <v>0</v>
      </c>
      <c r="AK48" s="9">
        <v>0</v>
      </c>
      <c r="AL48" s="9">
        <v>0</v>
      </c>
      <c r="AM48" s="9">
        <v>0</v>
      </c>
      <c r="AN48" s="9">
        <v>0</v>
      </c>
      <c r="AO48" s="9">
        <v>0</v>
      </c>
      <c r="AP48" s="9">
        <v>0</v>
      </c>
      <c r="AQ48" s="9">
        <v>0</v>
      </c>
      <c r="AR48" s="9">
        <v>0</v>
      </c>
      <c r="AS48" s="9">
        <v>0</v>
      </c>
      <c r="AT48" s="9">
        <v>199100.92800000001</v>
      </c>
      <c r="AU48" s="9">
        <v>0</v>
      </c>
      <c r="AV48" s="9">
        <v>0</v>
      </c>
      <c r="AW48" s="9">
        <v>0</v>
      </c>
      <c r="AX48" s="9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D48" s="9">
        <v>0</v>
      </c>
      <c r="BE48" s="9">
        <v>0</v>
      </c>
      <c r="BF48" s="9">
        <v>207064.96512000001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9">
        <v>0</v>
      </c>
      <c r="BM48" s="9">
        <v>0</v>
      </c>
      <c r="BN48" s="9">
        <v>0</v>
      </c>
      <c r="BO48" s="9">
        <v>0</v>
      </c>
      <c r="BP48" s="9">
        <v>0</v>
      </c>
      <c r="BQ48" s="9">
        <v>0</v>
      </c>
      <c r="BR48" s="9">
        <v>215347.56372480001</v>
      </c>
      <c r="BS48" s="9">
        <v>0</v>
      </c>
      <c r="BT48" s="9">
        <v>0</v>
      </c>
      <c r="BU48" s="9">
        <v>0</v>
      </c>
      <c r="BV48" s="9">
        <v>0</v>
      </c>
      <c r="BW48" s="9">
        <v>0</v>
      </c>
      <c r="BX48" s="9">
        <v>0</v>
      </c>
      <c r="BY48" s="9">
        <v>0</v>
      </c>
      <c r="BZ48" s="9">
        <v>0</v>
      </c>
      <c r="CA48" s="9">
        <v>0</v>
      </c>
      <c r="CB48" s="9">
        <v>0</v>
      </c>
      <c r="CC48" s="9">
        <v>0</v>
      </c>
      <c r="CD48" s="9">
        <v>223961.46627379203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232919.92492474371</v>
      </c>
      <c r="CQ48" s="9">
        <v>0</v>
      </c>
      <c r="CR48" s="9">
        <v>0</v>
      </c>
      <c r="CS48" s="9">
        <v>0</v>
      </c>
      <c r="CT48" s="9">
        <v>0</v>
      </c>
      <c r="CU48" s="9">
        <v>0</v>
      </c>
      <c r="CV48" s="9">
        <v>0</v>
      </c>
      <c r="CW48" s="9">
        <v>0</v>
      </c>
      <c r="CX48" s="9">
        <v>0</v>
      </c>
      <c r="CY48" s="9">
        <v>0</v>
      </c>
    </row>
    <row r="49" spans="1:103">
      <c r="A49" t="s">
        <v>329</v>
      </c>
      <c r="B49" s="40" t="s">
        <v>321</v>
      </c>
      <c r="C49" s="40" t="s">
        <v>281</v>
      </c>
      <c r="D49" s="9">
        <v>0</v>
      </c>
      <c r="E49" s="9">
        <v>0</v>
      </c>
      <c r="F49" s="9">
        <v>0</v>
      </c>
      <c r="G49" s="9">
        <v>0</v>
      </c>
      <c r="H49" s="9">
        <v>1227200</v>
      </c>
      <c r="I49" s="9">
        <v>0</v>
      </c>
      <c r="J49" s="9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1276288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1327339.52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</v>
      </c>
      <c r="AN49" s="9">
        <v>0</v>
      </c>
      <c r="AO49" s="9">
        <v>0</v>
      </c>
      <c r="AP49" s="9">
        <v>0</v>
      </c>
      <c r="AQ49" s="9">
        <v>0</v>
      </c>
      <c r="AR49" s="9">
        <v>1380433.1008000001</v>
      </c>
      <c r="AS49" s="9">
        <v>0</v>
      </c>
      <c r="AT49" s="9">
        <v>0</v>
      </c>
      <c r="AU49" s="9">
        <v>0</v>
      </c>
      <c r="AV49" s="9">
        <v>0</v>
      </c>
      <c r="AW49" s="9">
        <v>0</v>
      </c>
      <c r="AX49" s="9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D49" s="9">
        <v>1435650.4248320002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0</v>
      </c>
      <c r="BM49" s="9">
        <v>0</v>
      </c>
      <c r="BN49" s="9">
        <v>0</v>
      </c>
      <c r="BO49" s="9">
        <v>0</v>
      </c>
      <c r="BP49" s="9">
        <v>1493076.4418252802</v>
      </c>
      <c r="BQ49" s="9">
        <v>0</v>
      </c>
      <c r="BR49" s="9">
        <v>0</v>
      </c>
      <c r="BS49" s="9">
        <v>0</v>
      </c>
      <c r="BT49" s="9">
        <v>0</v>
      </c>
      <c r="BU49" s="9">
        <v>0</v>
      </c>
      <c r="BV49" s="9">
        <v>0</v>
      </c>
      <c r="BW49" s="9">
        <v>0</v>
      </c>
      <c r="BX49" s="9">
        <v>0</v>
      </c>
      <c r="BY49" s="9">
        <v>0</v>
      </c>
      <c r="BZ49" s="9">
        <v>0</v>
      </c>
      <c r="CA49" s="9">
        <v>0</v>
      </c>
      <c r="CB49" s="9">
        <v>1552799.4994982914</v>
      </c>
      <c r="CC49" s="9">
        <v>0</v>
      </c>
      <c r="CD49" s="9">
        <v>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9">
        <v>0</v>
      </c>
      <c r="CK49" s="9">
        <v>0</v>
      </c>
      <c r="CL49" s="9">
        <v>0</v>
      </c>
      <c r="CM49" s="9">
        <v>0</v>
      </c>
      <c r="CN49" s="9">
        <v>1614911.479478223</v>
      </c>
      <c r="CO49" s="9">
        <v>0</v>
      </c>
      <c r="CP49" s="9">
        <v>0</v>
      </c>
      <c r="CQ49" s="9">
        <v>0</v>
      </c>
      <c r="CR49" s="9">
        <v>0</v>
      </c>
      <c r="CS49" s="9">
        <v>0</v>
      </c>
      <c r="CT49" s="9">
        <v>0</v>
      </c>
      <c r="CU49" s="9">
        <v>0</v>
      </c>
      <c r="CV49" s="9">
        <v>0</v>
      </c>
      <c r="CW49" s="9">
        <v>0</v>
      </c>
      <c r="CX49" s="9">
        <v>0</v>
      </c>
      <c r="CY49" s="9">
        <v>0</v>
      </c>
    </row>
    <row r="50" spans="1:103">
      <c r="A50" t="s">
        <v>330</v>
      </c>
      <c r="B50" s="40" t="s">
        <v>321</v>
      </c>
      <c r="C50" s="40" t="s">
        <v>281</v>
      </c>
      <c r="D50" s="9">
        <v>981760</v>
      </c>
      <c r="E50" s="9">
        <v>0</v>
      </c>
      <c r="F50" s="9">
        <v>0</v>
      </c>
      <c r="G50" s="9">
        <v>0</v>
      </c>
      <c r="H50" s="9">
        <v>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1021030.4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1061871.6160000002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0</v>
      </c>
      <c r="AM50" s="9">
        <v>0</v>
      </c>
      <c r="AN50" s="9">
        <v>1104346.4806400002</v>
      </c>
      <c r="AO50" s="9">
        <v>0</v>
      </c>
      <c r="AP50" s="9">
        <v>0</v>
      </c>
      <c r="AQ50" s="9">
        <v>0</v>
      </c>
      <c r="AR50" s="9">
        <v>0</v>
      </c>
      <c r="AS50" s="9">
        <v>0</v>
      </c>
      <c r="AT50" s="9">
        <v>0</v>
      </c>
      <c r="AU50" s="9">
        <v>0</v>
      </c>
      <c r="AV50" s="9">
        <v>0</v>
      </c>
      <c r="AW50" s="9">
        <v>0</v>
      </c>
      <c r="AX50" s="9">
        <v>0</v>
      </c>
      <c r="AY50" s="9">
        <v>0</v>
      </c>
      <c r="AZ50" s="9">
        <v>1148520.3398656002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1194461.1534602242</v>
      </c>
      <c r="BM50" s="9">
        <v>0</v>
      </c>
      <c r="BN50" s="9">
        <v>0</v>
      </c>
      <c r="BO50" s="9">
        <v>0</v>
      </c>
      <c r="BP50" s="9">
        <v>0</v>
      </c>
      <c r="BQ50" s="9">
        <v>0</v>
      </c>
      <c r="BR50" s="9">
        <v>0</v>
      </c>
      <c r="BS50" s="9">
        <v>0</v>
      </c>
      <c r="BT50" s="9">
        <v>0</v>
      </c>
      <c r="BU50" s="9">
        <v>0</v>
      </c>
      <c r="BV50" s="9">
        <v>0</v>
      </c>
      <c r="BW50" s="9">
        <v>0</v>
      </c>
      <c r="BX50" s="9">
        <v>1242239.5995986331</v>
      </c>
      <c r="BY50" s="9">
        <v>0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1291929.1835825786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0</v>
      </c>
      <c r="CU50" s="9">
        <v>0</v>
      </c>
      <c r="CV50" s="9">
        <v>1343606.3509258816</v>
      </c>
      <c r="CW50" s="9">
        <v>0</v>
      </c>
      <c r="CX50" s="9">
        <v>0</v>
      </c>
      <c r="CY50" s="9">
        <v>0</v>
      </c>
    </row>
    <row r="51" spans="1:103">
      <c r="A51" t="s">
        <v>331</v>
      </c>
      <c r="B51" s="40" t="s">
        <v>321</v>
      </c>
      <c r="C51" s="40" t="s">
        <v>281</v>
      </c>
      <c r="D51" s="9">
        <v>30680</v>
      </c>
      <c r="E51" s="9">
        <v>0</v>
      </c>
      <c r="F51" s="9">
        <v>0</v>
      </c>
      <c r="G51" s="9">
        <v>30680</v>
      </c>
      <c r="H51" s="9">
        <v>0</v>
      </c>
      <c r="I51" s="9">
        <v>0</v>
      </c>
      <c r="J51" s="9">
        <v>30680</v>
      </c>
      <c r="K51" s="9">
        <v>0</v>
      </c>
      <c r="L51" s="9">
        <v>0</v>
      </c>
      <c r="M51" s="9">
        <v>30680</v>
      </c>
      <c r="N51" s="9">
        <v>0</v>
      </c>
      <c r="O51" s="9">
        <v>0</v>
      </c>
      <c r="P51" s="9">
        <v>31907.200000000001</v>
      </c>
      <c r="Q51" s="9">
        <v>0</v>
      </c>
      <c r="R51" s="9">
        <v>0</v>
      </c>
      <c r="S51" s="9">
        <v>31907.200000000001</v>
      </c>
      <c r="T51" s="9">
        <v>0</v>
      </c>
      <c r="U51" s="9">
        <v>0</v>
      </c>
      <c r="V51" s="9">
        <v>31907.200000000001</v>
      </c>
      <c r="W51" s="9">
        <v>0</v>
      </c>
      <c r="X51" s="9">
        <v>0</v>
      </c>
      <c r="Y51" s="9">
        <v>31907.200000000001</v>
      </c>
      <c r="Z51" s="9">
        <v>0</v>
      </c>
      <c r="AA51" s="9">
        <v>0</v>
      </c>
      <c r="AB51" s="9">
        <v>33183.488000000005</v>
      </c>
      <c r="AC51" s="9">
        <v>0</v>
      </c>
      <c r="AD51" s="9">
        <v>0</v>
      </c>
      <c r="AE51" s="9">
        <v>33183.488000000005</v>
      </c>
      <c r="AF51" s="9">
        <v>0</v>
      </c>
      <c r="AG51" s="9">
        <v>0</v>
      </c>
      <c r="AH51" s="9">
        <v>33183.488000000005</v>
      </c>
      <c r="AI51" s="9">
        <v>0</v>
      </c>
      <c r="AJ51" s="9">
        <v>0</v>
      </c>
      <c r="AK51" s="9">
        <v>33183.488000000005</v>
      </c>
      <c r="AL51" s="9">
        <v>0</v>
      </c>
      <c r="AM51" s="9">
        <v>0</v>
      </c>
      <c r="AN51" s="9">
        <v>34510.827520000006</v>
      </c>
      <c r="AO51" s="9">
        <v>0</v>
      </c>
      <c r="AP51" s="9">
        <v>0</v>
      </c>
      <c r="AQ51" s="9">
        <v>34510.827520000006</v>
      </c>
      <c r="AR51" s="9">
        <v>0</v>
      </c>
      <c r="AS51" s="9">
        <v>0</v>
      </c>
      <c r="AT51" s="9">
        <v>34510.827520000006</v>
      </c>
      <c r="AU51" s="9">
        <v>0</v>
      </c>
      <c r="AV51" s="9">
        <v>0</v>
      </c>
      <c r="AW51" s="9">
        <v>34510.827520000006</v>
      </c>
      <c r="AX51" s="9">
        <v>0</v>
      </c>
      <c r="AY51" s="9">
        <v>0</v>
      </c>
      <c r="AZ51" s="9">
        <v>35891.260620800007</v>
      </c>
      <c r="BA51" s="9">
        <v>0</v>
      </c>
      <c r="BB51" s="9">
        <v>0</v>
      </c>
      <c r="BC51" s="9">
        <v>35891.260620800007</v>
      </c>
      <c r="BD51" s="9">
        <v>0</v>
      </c>
      <c r="BE51" s="9">
        <v>0</v>
      </c>
      <c r="BF51" s="9">
        <v>35891.260620800007</v>
      </c>
      <c r="BG51" s="9">
        <v>0</v>
      </c>
      <c r="BH51" s="9">
        <v>0</v>
      </c>
      <c r="BI51" s="9">
        <v>35891.260620800007</v>
      </c>
      <c r="BJ51" s="9">
        <v>0</v>
      </c>
      <c r="BK51" s="9">
        <v>0</v>
      </c>
      <c r="BL51" s="9">
        <v>37326.911045632005</v>
      </c>
      <c r="BM51" s="9">
        <v>0</v>
      </c>
      <c r="BN51" s="9">
        <v>0</v>
      </c>
      <c r="BO51" s="9">
        <v>37326.911045632005</v>
      </c>
      <c r="BP51" s="9">
        <v>0</v>
      </c>
      <c r="BQ51" s="9">
        <v>0</v>
      </c>
      <c r="BR51" s="9">
        <v>37326.911045632005</v>
      </c>
      <c r="BS51" s="9">
        <v>0</v>
      </c>
      <c r="BT51" s="9">
        <v>0</v>
      </c>
      <c r="BU51" s="9">
        <v>37326.911045632005</v>
      </c>
      <c r="BV51" s="9">
        <v>0</v>
      </c>
      <c r="BW51" s="9">
        <v>0</v>
      </c>
      <c r="BX51" s="9">
        <v>38819.987487457285</v>
      </c>
      <c r="BY51" s="9">
        <v>0</v>
      </c>
      <c r="BZ51" s="9">
        <v>0</v>
      </c>
      <c r="CA51" s="9">
        <v>38819.987487457285</v>
      </c>
      <c r="CB51" s="9">
        <v>0</v>
      </c>
      <c r="CC51" s="9">
        <v>0</v>
      </c>
      <c r="CD51" s="9">
        <v>38819.987487457285</v>
      </c>
      <c r="CE51" s="9">
        <v>0</v>
      </c>
      <c r="CF51" s="9">
        <v>0</v>
      </c>
      <c r="CG51" s="9">
        <v>38819.987487457285</v>
      </c>
      <c r="CH51" s="9">
        <v>0</v>
      </c>
      <c r="CI51" s="9">
        <v>0</v>
      </c>
      <c r="CJ51" s="9">
        <v>40372.78698695558</v>
      </c>
      <c r="CK51" s="9">
        <v>0</v>
      </c>
      <c r="CL51" s="9">
        <v>0</v>
      </c>
      <c r="CM51" s="9">
        <v>40372.78698695558</v>
      </c>
      <c r="CN51" s="9">
        <v>0</v>
      </c>
      <c r="CO51" s="9">
        <v>0</v>
      </c>
      <c r="CP51" s="9">
        <v>40372.78698695558</v>
      </c>
      <c r="CQ51" s="9">
        <v>0</v>
      </c>
      <c r="CR51" s="9">
        <v>0</v>
      </c>
      <c r="CS51" s="9">
        <v>40372.78698695558</v>
      </c>
      <c r="CT51" s="9">
        <v>0</v>
      </c>
      <c r="CU51" s="9">
        <v>0</v>
      </c>
      <c r="CV51" s="9">
        <v>41987.698466433802</v>
      </c>
      <c r="CW51" s="9">
        <v>0</v>
      </c>
      <c r="CX51" s="9">
        <v>0</v>
      </c>
      <c r="CY51" s="9">
        <v>41987.698466433802</v>
      </c>
    </row>
    <row r="52" spans="1:103">
      <c r="A52" t="s">
        <v>443</v>
      </c>
      <c r="B52" s="40" t="s">
        <v>0</v>
      </c>
      <c r="C52" s="40" t="s">
        <v>281</v>
      </c>
      <c r="D52" s="9">
        <v>52000</v>
      </c>
      <c r="E52" s="9">
        <v>52000</v>
      </c>
      <c r="F52" s="9">
        <v>52000</v>
      </c>
      <c r="G52" s="9">
        <v>52000</v>
      </c>
      <c r="H52" s="9">
        <v>52000</v>
      </c>
      <c r="I52" s="9">
        <v>52000</v>
      </c>
      <c r="J52" s="9">
        <v>52000</v>
      </c>
      <c r="K52" s="9">
        <v>52000</v>
      </c>
      <c r="L52" s="9">
        <v>52000</v>
      </c>
      <c r="M52" s="9">
        <v>52000</v>
      </c>
      <c r="N52" s="9">
        <v>27040</v>
      </c>
      <c r="O52" s="9">
        <v>27040</v>
      </c>
      <c r="P52" s="9">
        <v>27040</v>
      </c>
      <c r="Q52" s="9">
        <v>27040</v>
      </c>
      <c r="R52" s="9">
        <v>27040</v>
      </c>
      <c r="S52" s="9">
        <v>27040</v>
      </c>
      <c r="T52" s="9">
        <v>27040</v>
      </c>
      <c r="U52" s="9">
        <v>27040</v>
      </c>
      <c r="V52" s="9">
        <v>27040</v>
      </c>
      <c r="W52" s="9">
        <v>27040</v>
      </c>
      <c r="X52" s="9">
        <v>27040</v>
      </c>
      <c r="Y52" s="9">
        <v>27040</v>
      </c>
      <c r="Z52" s="9">
        <v>28121.600000000002</v>
      </c>
      <c r="AA52" s="9">
        <v>28121.600000000002</v>
      </c>
      <c r="AB52" s="9">
        <v>28121.600000000002</v>
      </c>
      <c r="AC52" s="9">
        <v>28121.600000000002</v>
      </c>
      <c r="AD52" s="9">
        <v>28121.600000000002</v>
      </c>
      <c r="AE52" s="9">
        <v>28121.600000000002</v>
      </c>
      <c r="AF52" s="9">
        <v>28121.600000000002</v>
      </c>
      <c r="AG52" s="9">
        <v>28121.600000000002</v>
      </c>
      <c r="AH52" s="9">
        <v>28121.600000000002</v>
      </c>
      <c r="AI52" s="9">
        <v>28121.600000000002</v>
      </c>
      <c r="AJ52" s="9">
        <v>28121.600000000002</v>
      </c>
      <c r="AK52" s="9">
        <v>28121.600000000002</v>
      </c>
      <c r="AL52" s="9">
        <v>29246.464000000004</v>
      </c>
      <c r="AM52" s="9">
        <v>29246.464000000004</v>
      </c>
      <c r="AN52" s="9">
        <v>29246.464000000004</v>
      </c>
      <c r="AO52" s="9">
        <v>29246.464000000004</v>
      </c>
      <c r="AP52" s="9">
        <v>29246.464000000004</v>
      </c>
      <c r="AQ52" s="9">
        <v>29246.464000000004</v>
      </c>
      <c r="AR52" s="9">
        <v>29246.464000000004</v>
      </c>
      <c r="AS52" s="9">
        <v>29246.464000000004</v>
      </c>
      <c r="AT52" s="9">
        <v>29246.464000000004</v>
      </c>
      <c r="AU52" s="9">
        <v>29246.464000000004</v>
      </c>
      <c r="AV52" s="9">
        <v>29246.464000000004</v>
      </c>
      <c r="AW52" s="9">
        <v>29246.464000000004</v>
      </c>
      <c r="AX52" s="9">
        <v>30416.322560000004</v>
      </c>
      <c r="AY52" s="9">
        <v>30416.322560000004</v>
      </c>
      <c r="AZ52" s="9">
        <v>30416.322560000004</v>
      </c>
      <c r="BA52" s="9">
        <v>30416.322560000004</v>
      </c>
      <c r="BB52" s="9">
        <v>30416.322560000004</v>
      </c>
      <c r="BC52" s="9">
        <v>30416.322560000004</v>
      </c>
      <c r="BD52" s="9">
        <v>30416.322560000004</v>
      </c>
      <c r="BE52" s="9">
        <v>30416.322560000004</v>
      </c>
      <c r="BF52" s="9">
        <v>30416.322560000004</v>
      </c>
      <c r="BG52" s="9">
        <v>30416.322560000004</v>
      </c>
      <c r="BH52" s="9">
        <v>30416.322560000004</v>
      </c>
      <c r="BI52" s="9">
        <v>30416.322560000004</v>
      </c>
      <c r="BJ52" s="9">
        <v>31632.975462400005</v>
      </c>
      <c r="BK52" s="9">
        <v>31632.975462400005</v>
      </c>
      <c r="BL52" s="9">
        <v>31632.975462400005</v>
      </c>
      <c r="BM52" s="9">
        <v>31632.975462400005</v>
      </c>
      <c r="BN52" s="9">
        <v>31632.975462400005</v>
      </c>
      <c r="BO52" s="9">
        <v>31632.975462400005</v>
      </c>
      <c r="BP52" s="9">
        <v>31632.975462400005</v>
      </c>
      <c r="BQ52" s="9">
        <v>31632.975462400005</v>
      </c>
      <c r="BR52" s="9">
        <v>31632.975462400005</v>
      </c>
      <c r="BS52" s="9">
        <v>31632.975462400005</v>
      </c>
      <c r="BT52" s="9">
        <v>31632.975462400005</v>
      </c>
      <c r="BU52" s="9">
        <v>31632.975462400005</v>
      </c>
      <c r="BV52" s="9">
        <v>32898.294480896009</v>
      </c>
      <c r="BW52" s="9">
        <v>32898.294480896009</v>
      </c>
      <c r="BX52" s="9">
        <v>32898.294480896009</v>
      </c>
      <c r="BY52" s="9">
        <v>32898.294480896009</v>
      </c>
      <c r="BZ52" s="9">
        <v>32898.294480896009</v>
      </c>
      <c r="CA52" s="9">
        <v>32898.294480896009</v>
      </c>
      <c r="CB52" s="9">
        <v>32898.294480896009</v>
      </c>
      <c r="CC52" s="9">
        <v>32898.294480896009</v>
      </c>
      <c r="CD52" s="9">
        <v>32898.294480896009</v>
      </c>
      <c r="CE52" s="9">
        <v>32898.294480896009</v>
      </c>
      <c r="CF52" s="9">
        <v>32898.294480896009</v>
      </c>
      <c r="CG52" s="9">
        <v>32898.294480896009</v>
      </c>
      <c r="CH52" s="9">
        <v>34214.226260131851</v>
      </c>
      <c r="CI52" s="9">
        <v>34214.226260131851</v>
      </c>
      <c r="CJ52" s="9">
        <v>34214.226260131851</v>
      </c>
      <c r="CK52" s="9">
        <v>34214.226260131851</v>
      </c>
      <c r="CL52" s="9">
        <v>34214.226260131851</v>
      </c>
      <c r="CM52" s="9">
        <v>34214.226260131851</v>
      </c>
      <c r="CN52" s="9">
        <v>34214.226260131851</v>
      </c>
      <c r="CO52" s="9">
        <v>34214.226260131851</v>
      </c>
      <c r="CP52" s="9">
        <v>34214.226260131851</v>
      </c>
      <c r="CQ52" s="9">
        <v>34214.226260131851</v>
      </c>
      <c r="CR52" s="9">
        <v>34214.226260131851</v>
      </c>
      <c r="CS52" s="9">
        <v>34214.226260131851</v>
      </c>
      <c r="CT52" s="9">
        <v>35582.795310537127</v>
      </c>
      <c r="CU52" s="9">
        <v>35582.795310537127</v>
      </c>
      <c r="CV52" s="9">
        <v>35582.795310537127</v>
      </c>
      <c r="CW52" s="9">
        <v>35582.795310537127</v>
      </c>
      <c r="CX52" s="9">
        <v>35582.795310537127</v>
      </c>
      <c r="CY52" s="9">
        <v>35582.795310537127</v>
      </c>
    </row>
    <row r="53" spans="1:103">
      <c r="A53" t="s">
        <v>444</v>
      </c>
      <c r="B53" s="40" t="s">
        <v>0</v>
      </c>
      <c r="C53" s="40" t="s">
        <v>281</v>
      </c>
      <c r="D53" s="9">
        <v>125449.34</v>
      </c>
      <c r="E53" s="9">
        <v>126140.77083333331</v>
      </c>
      <c r="F53" s="9">
        <v>126831.5625</v>
      </c>
      <c r="G53" s="9">
        <v>127522.20666666667</v>
      </c>
      <c r="H53" s="9">
        <v>128211.62166666666</v>
      </c>
      <c r="I53" s="9">
        <v>128899.95499999999</v>
      </c>
      <c r="J53" s="9">
        <v>129588.28833333332</v>
      </c>
      <c r="K53" s="9">
        <v>130276.62166666666</v>
      </c>
      <c r="L53" s="9">
        <v>130964.95499999999</v>
      </c>
      <c r="M53" s="9">
        <v>131653.28833333333</v>
      </c>
      <c r="N53" s="9">
        <v>131948.28833333333</v>
      </c>
      <c r="O53" s="9">
        <v>132243.28833333333</v>
      </c>
      <c r="P53" s="9">
        <v>132538.28833333333</v>
      </c>
      <c r="Q53" s="9">
        <v>132833.28833333333</v>
      </c>
      <c r="R53" s="9">
        <v>133128.28833333333</v>
      </c>
      <c r="S53" s="9">
        <v>133423.28833333333</v>
      </c>
      <c r="T53" s="9">
        <v>133718.28833333333</v>
      </c>
      <c r="U53" s="9">
        <v>134013.28833333333</v>
      </c>
      <c r="V53" s="9">
        <v>134308.28833333333</v>
      </c>
      <c r="W53" s="9">
        <v>134603.28833333333</v>
      </c>
      <c r="X53" s="9">
        <v>134898.28833333333</v>
      </c>
      <c r="Y53" s="9">
        <v>135193.28833333333</v>
      </c>
      <c r="Z53" s="9">
        <v>135340.78833333333</v>
      </c>
      <c r="AA53" s="9">
        <v>135488.28833333333</v>
      </c>
      <c r="AB53" s="9">
        <v>135635.78833333333</v>
      </c>
      <c r="AC53" s="9">
        <v>135783.28833333333</v>
      </c>
      <c r="AD53" s="9">
        <v>135930.78833333333</v>
      </c>
      <c r="AE53" s="9">
        <v>136078.28833333333</v>
      </c>
      <c r="AF53" s="9">
        <v>136225.78833333333</v>
      </c>
      <c r="AG53" s="9">
        <v>136373.28833333333</v>
      </c>
      <c r="AH53" s="9">
        <v>136520.78833333333</v>
      </c>
      <c r="AI53" s="9">
        <v>136668.28833333333</v>
      </c>
      <c r="AJ53" s="9">
        <v>136815.78833333333</v>
      </c>
      <c r="AK53" s="9">
        <v>136963.28833333333</v>
      </c>
      <c r="AL53" s="9">
        <v>137061.62166666667</v>
      </c>
      <c r="AM53" s="9">
        <v>137159.95499999999</v>
      </c>
      <c r="AN53" s="9">
        <v>137258.28833333333</v>
      </c>
      <c r="AO53" s="9">
        <v>137356.62166666667</v>
      </c>
      <c r="AP53" s="9">
        <v>137454.95499999999</v>
      </c>
      <c r="AQ53" s="9">
        <v>137553.28833333333</v>
      </c>
      <c r="AR53" s="9">
        <v>137651.62166666667</v>
      </c>
      <c r="AS53" s="9">
        <v>137749.95499999999</v>
      </c>
      <c r="AT53" s="9">
        <v>137848.28833333333</v>
      </c>
      <c r="AU53" s="9">
        <v>137946.62166666667</v>
      </c>
      <c r="AV53" s="9">
        <v>138044.95499999999</v>
      </c>
      <c r="AW53" s="9">
        <v>138143.28833333333</v>
      </c>
      <c r="AX53" s="9">
        <v>138192.45499999999</v>
      </c>
      <c r="AY53" s="9">
        <v>138241.62166666667</v>
      </c>
      <c r="AZ53" s="9">
        <v>138290.78833333333</v>
      </c>
      <c r="BA53" s="9">
        <v>138339.95499999999</v>
      </c>
      <c r="BB53" s="9">
        <v>138389.12166666667</v>
      </c>
      <c r="BC53" s="9">
        <v>138438.28833333333</v>
      </c>
      <c r="BD53" s="9">
        <v>138487.45499999999</v>
      </c>
      <c r="BE53" s="9">
        <v>138536.62166666667</v>
      </c>
      <c r="BF53" s="9">
        <v>138585.78833333333</v>
      </c>
      <c r="BG53" s="9">
        <v>138634.95499999999</v>
      </c>
      <c r="BH53" s="9">
        <v>138684.12166666667</v>
      </c>
      <c r="BI53" s="9">
        <v>138733.28833333333</v>
      </c>
      <c r="BJ53" s="9">
        <v>138782.45499999999</v>
      </c>
      <c r="BK53" s="9">
        <v>138831.62166666667</v>
      </c>
      <c r="BL53" s="9">
        <v>138880.78833333333</v>
      </c>
      <c r="BM53" s="9">
        <v>138929.95499999999</v>
      </c>
      <c r="BN53" s="9">
        <v>138979.12166666667</v>
      </c>
      <c r="BO53" s="9">
        <v>139028.28833333333</v>
      </c>
      <c r="BP53" s="9">
        <v>139077.45499999999</v>
      </c>
      <c r="BQ53" s="9">
        <v>139126.62166666667</v>
      </c>
      <c r="BR53" s="9">
        <v>139175.78833333333</v>
      </c>
      <c r="BS53" s="9">
        <v>139224.95499999999</v>
      </c>
      <c r="BT53" s="9">
        <v>139274.12166666667</v>
      </c>
      <c r="BU53" s="9">
        <v>139323.28833333333</v>
      </c>
      <c r="BV53" s="9">
        <v>139372.45499999999</v>
      </c>
      <c r="BW53" s="9">
        <v>139421.62166666667</v>
      </c>
      <c r="BX53" s="9">
        <v>139470.78833333333</v>
      </c>
      <c r="BY53" s="9">
        <v>139519.95499999999</v>
      </c>
      <c r="BZ53" s="9">
        <v>139569.12166666667</v>
      </c>
      <c r="CA53" s="9">
        <v>139618.28833333333</v>
      </c>
      <c r="CB53" s="9">
        <v>139667.45499999999</v>
      </c>
      <c r="CC53" s="9">
        <v>139716.62166666667</v>
      </c>
      <c r="CD53" s="9">
        <v>139765.78833333333</v>
      </c>
      <c r="CE53" s="9">
        <v>139814.95499999999</v>
      </c>
      <c r="CF53" s="9">
        <v>139864.12166666667</v>
      </c>
      <c r="CG53" s="9">
        <v>139913.28833333333</v>
      </c>
      <c r="CH53" s="9">
        <v>139962.45499999999</v>
      </c>
      <c r="CI53" s="9">
        <v>140011.62166666667</v>
      </c>
      <c r="CJ53" s="9">
        <v>140060.78833333333</v>
      </c>
      <c r="CK53" s="9">
        <v>140109.95499999999</v>
      </c>
      <c r="CL53" s="9">
        <v>140159.12166666667</v>
      </c>
      <c r="CM53" s="9">
        <v>140208.28833333333</v>
      </c>
      <c r="CN53" s="9">
        <v>140257.45499999999</v>
      </c>
      <c r="CO53" s="9">
        <v>140306.62166666667</v>
      </c>
      <c r="CP53" s="9">
        <v>140355.78833333333</v>
      </c>
      <c r="CQ53" s="9">
        <v>140404.95499999999</v>
      </c>
      <c r="CR53" s="9">
        <v>140454.12166666667</v>
      </c>
      <c r="CS53" s="9">
        <v>140503.28833333333</v>
      </c>
      <c r="CT53" s="9">
        <v>140552.45499999999</v>
      </c>
      <c r="CU53" s="9">
        <v>140601.62166666667</v>
      </c>
      <c r="CV53" s="9">
        <v>140650.78833333333</v>
      </c>
      <c r="CW53" s="9">
        <v>140699.95499999999</v>
      </c>
      <c r="CX53" s="9">
        <v>140749.12166666667</v>
      </c>
      <c r="CY53" s="9">
        <v>140813.33333333331</v>
      </c>
    </row>
    <row r="54" spans="1:103">
      <c r="A54" t="s">
        <v>445</v>
      </c>
      <c r="B54" s="40" t="s">
        <v>0</v>
      </c>
      <c r="C54" s="40" t="s">
        <v>287</v>
      </c>
      <c r="D54" s="9">
        <v>95584.923495370371</v>
      </c>
      <c r="E54" s="9">
        <v>95983.194009934421</v>
      </c>
      <c r="F54" s="9">
        <v>96383.123984975799</v>
      </c>
      <c r="G54" s="9">
        <v>96784.720334913203</v>
      </c>
      <c r="H54" s="9">
        <v>97187.990002975333</v>
      </c>
      <c r="I54" s="9">
        <v>97592.93996132107</v>
      </c>
      <c r="J54" s="9">
        <v>97999.577211159907</v>
      </c>
      <c r="K54" s="9">
        <v>98407.90878287307</v>
      </c>
      <c r="L54" s="9">
        <v>98817.941736135035</v>
      </c>
      <c r="M54" s="9">
        <v>99229.683160035594</v>
      </c>
      <c r="N54" s="9">
        <v>99643.14017320241</v>
      </c>
      <c r="O54" s="9">
        <v>100058.31992392409</v>
      </c>
      <c r="P54" s="9">
        <v>100475.22959027377</v>
      </c>
      <c r="Q54" s="9">
        <v>100893.87638023324</v>
      </c>
      <c r="R54" s="9">
        <v>101314.26753181755</v>
      </c>
      <c r="S54" s="9">
        <v>101736.4103132001</v>
      </c>
      <c r="T54" s="9">
        <v>102160.31202283845</v>
      </c>
      <c r="U54" s="9">
        <v>102585.97998960027</v>
      </c>
      <c r="V54" s="9">
        <v>103013.42157289026</v>
      </c>
      <c r="W54" s="9">
        <v>103442.6441627773</v>
      </c>
      <c r="X54" s="9">
        <v>103873.65518012221</v>
      </c>
      <c r="Y54" s="9">
        <v>104306.46207670606</v>
      </c>
      <c r="Z54" s="9">
        <v>104741.072335359</v>
      </c>
      <c r="AA54" s="9">
        <v>105177.49347008966</v>
      </c>
      <c r="AB54" s="9">
        <v>105615.73302621502</v>
      </c>
      <c r="AC54" s="9">
        <v>106055.79858049093</v>
      </c>
      <c r="AD54" s="9">
        <v>106497.69774124297</v>
      </c>
      <c r="AE54" s="9">
        <v>106941.43814849814</v>
      </c>
      <c r="AF54" s="9">
        <v>107387.02747411688</v>
      </c>
      <c r="AG54" s="9">
        <v>107834.47342192571</v>
      </c>
      <c r="AH54" s="9">
        <v>108283.7837278504</v>
      </c>
      <c r="AI54" s="9">
        <v>108734.96616004978</v>
      </c>
      <c r="AJ54" s="9">
        <v>109188.02851904999</v>
      </c>
      <c r="AK54" s="9">
        <v>109642.97863787937</v>
      </c>
      <c r="AL54" s="9">
        <v>110099.82438220386</v>
      </c>
      <c r="AM54" s="9">
        <v>110558.57365046305</v>
      </c>
      <c r="AN54" s="9">
        <v>111019.23437400663</v>
      </c>
      <c r="AO54" s="9">
        <v>111481.81451723166</v>
      </c>
      <c r="AP54" s="9">
        <v>111946.32207772013</v>
      </c>
      <c r="AQ54" s="9">
        <v>112412.7650863773</v>
      </c>
      <c r="AR54" s="9">
        <v>112881.15160757054</v>
      </c>
      <c r="AS54" s="9">
        <v>113351.48973926874</v>
      </c>
      <c r="AT54" s="9">
        <v>113823.78761318236</v>
      </c>
      <c r="AU54" s="9">
        <v>114298.05339490395</v>
      </c>
      <c r="AV54" s="9">
        <v>114774.29528404938</v>
      </c>
      <c r="AW54" s="9">
        <v>115252.52151439959</v>
      </c>
      <c r="AX54" s="9">
        <v>115732.74035404292</v>
      </c>
      <c r="AY54" s="9">
        <v>116214.9601055181</v>
      </c>
      <c r="AZ54" s="9">
        <v>116699.18910595775</v>
      </c>
      <c r="BA54" s="9">
        <v>117185.43572723259</v>
      </c>
      <c r="BB54" s="9">
        <v>117673.70837609605</v>
      </c>
      <c r="BC54" s="9">
        <v>118164.0154943298</v>
      </c>
      <c r="BD54" s="9">
        <v>118656.36555888949</v>
      </c>
      <c r="BE54" s="9">
        <v>119150.76708205152</v>
      </c>
      <c r="BF54" s="9">
        <v>119647.22861156006</v>
      </c>
      <c r="BG54" s="9">
        <v>120145.75873077489</v>
      </c>
      <c r="BH54" s="9">
        <v>120646.3660588198</v>
      </c>
      <c r="BI54" s="9">
        <v>121149.05925073155</v>
      </c>
      <c r="BJ54" s="9">
        <v>121653.84699760958</v>
      </c>
      <c r="BK54" s="9">
        <v>122160.73802676628</v>
      </c>
      <c r="BL54" s="9">
        <v>122669.74110187779</v>
      </c>
      <c r="BM54" s="9">
        <v>123180.86502313562</v>
      </c>
      <c r="BN54" s="9">
        <v>123694.11862739868</v>
      </c>
      <c r="BO54" s="9">
        <v>124209.51078834616</v>
      </c>
      <c r="BP54" s="9">
        <v>124727.05041663093</v>
      </c>
      <c r="BQ54" s="9">
        <v>125246.74646003357</v>
      </c>
      <c r="BR54" s="9">
        <v>125768.60790361704</v>
      </c>
      <c r="BS54" s="9">
        <v>126292.64376988211</v>
      </c>
      <c r="BT54" s="9">
        <v>126818.86311892327</v>
      </c>
      <c r="BU54" s="9">
        <v>127347.27504858545</v>
      </c>
      <c r="BV54" s="9">
        <v>127877.88869462123</v>
      </c>
      <c r="BW54" s="9">
        <v>128410.71323084884</v>
      </c>
      <c r="BX54" s="9">
        <v>128945.75786931071</v>
      </c>
      <c r="BY54" s="9">
        <v>129483.03186043282</v>
      </c>
      <c r="BZ54" s="9">
        <v>130022.54449318461</v>
      </c>
      <c r="CA54" s="9">
        <v>130564.30509523954</v>
      </c>
      <c r="CB54" s="9">
        <v>131108.32303313637</v>
      </c>
      <c r="CC54" s="9">
        <v>131654.60771244109</v>
      </c>
      <c r="CD54" s="9">
        <v>132203.16857790962</v>
      </c>
      <c r="CE54" s="9">
        <v>132754.01511365091</v>
      </c>
      <c r="CF54" s="9">
        <v>133307.1568432911</v>
      </c>
      <c r="CG54" s="9">
        <v>133862.60333013814</v>
      </c>
      <c r="CH54" s="9">
        <v>134420.36417734704</v>
      </c>
      <c r="CI54" s="9">
        <v>134980.449028086</v>
      </c>
      <c r="CJ54" s="9">
        <v>135542.86756570303</v>
      </c>
      <c r="CK54" s="9">
        <v>136107.62951389345</v>
      </c>
      <c r="CL54" s="9">
        <v>136674.74463686798</v>
      </c>
      <c r="CM54" s="9">
        <v>137244.22273952162</v>
      </c>
      <c r="CN54" s="9">
        <v>137816.07366760293</v>
      </c>
      <c r="CO54" s="9">
        <v>138390.30730788462</v>
      </c>
      <c r="CP54" s="9">
        <v>138966.93358833413</v>
      </c>
      <c r="CQ54" s="9">
        <v>139545.96247828551</v>
      </c>
      <c r="CR54" s="9">
        <v>140127.40398861171</v>
      </c>
      <c r="CS54" s="9">
        <v>140711.26817189759</v>
      </c>
      <c r="CT54" s="9">
        <v>141297.56512261383</v>
      </c>
      <c r="CU54" s="9">
        <v>141886.30497729138</v>
      </c>
      <c r="CV54" s="9">
        <v>142477.49791469678</v>
      </c>
      <c r="CW54" s="9">
        <v>143071.15415600801</v>
      </c>
      <c r="CX54" s="9">
        <v>143667.28396499137</v>
      </c>
      <c r="CY54" s="9">
        <v>144265.89764817883</v>
      </c>
    </row>
    <row r="55" spans="1:103">
      <c r="A55" t="s">
        <v>446</v>
      </c>
      <c r="B55" s="40" t="s">
        <v>0</v>
      </c>
      <c r="C55" s="40" t="s">
        <v>332</v>
      </c>
      <c r="D55" s="9">
        <v>346666.66666666669</v>
      </c>
      <c r="E55" s="9">
        <v>208000</v>
      </c>
      <c r="F55" s="9">
        <v>208000</v>
      </c>
      <c r="G55" s="9">
        <v>208000</v>
      </c>
      <c r="H55" s="9">
        <v>208000</v>
      </c>
      <c r="I55" s="9">
        <v>208000</v>
      </c>
      <c r="J55" s="9">
        <v>208000</v>
      </c>
      <c r="K55" s="9">
        <v>208000</v>
      </c>
      <c r="L55" s="9">
        <v>208000</v>
      </c>
      <c r="M55" s="9">
        <v>208000</v>
      </c>
      <c r="N55" s="9">
        <v>0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</v>
      </c>
      <c r="AM55" s="9">
        <v>0</v>
      </c>
      <c r="AN55" s="9">
        <v>0</v>
      </c>
      <c r="AO55" s="9">
        <v>0</v>
      </c>
      <c r="AP55" s="9">
        <v>0</v>
      </c>
      <c r="AQ55" s="9">
        <v>0</v>
      </c>
      <c r="AR55" s="9">
        <v>0</v>
      </c>
      <c r="AS55" s="9">
        <v>0</v>
      </c>
      <c r="AT55" s="9">
        <v>0</v>
      </c>
      <c r="AU55" s="9">
        <v>0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9">
        <v>0</v>
      </c>
      <c r="BM55" s="9">
        <v>0</v>
      </c>
      <c r="BN55" s="9">
        <v>0</v>
      </c>
      <c r="BO55" s="9">
        <v>0</v>
      </c>
      <c r="BP55" s="9">
        <v>0</v>
      </c>
      <c r="BQ55" s="9">
        <v>0</v>
      </c>
      <c r="BR55" s="9">
        <v>0</v>
      </c>
      <c r="BS55" s="9">
        <v>0</v>
      </c>
      <c r="BT55" s="9">
        <v>0</v>
      </c>
      <c r="BU55" s="9">
        <v>0</v>
      </c>
      <c r="BV55" s="9">
        <v>0</v>
      </c>
      <c r="BW55" s="9">
        <v>0</v>
      </c>
      <c r="BX55" s="9">
        <v>0</v>
      </c>
      <c r="BY55" s="9">
        <v>0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</v>
      </c>
      <c r="CU55" s="9">
        <v>0</v>
      </c>
      <c r="CV55" s="9">
        <v>0</v>
      </c>
      <c r="CW55" s="9">
        <v>0</v>
      </c>
      <c r="CX55" s="9">
        <v>0</v>
      </c>
      <c r="CY55" s="9">
        <v>0</v>
      </c>
    </row>
    <row r="56" spans="1:103">
      <c r="A56" t="s">
        <v>447</v>
      </c>
      <c r="B56" s="40" t="s">
        <v>0</v>
      </c>
      <c r="C56" s="40" t="s">
        <v>333</v>
      </c>
      <c r="D56" s="9">
        <v>571875.19999999995</v>
      </c>
      <c r="E56" s="9">
        <v>571875.19999999995</v>
      </c>
      <c r="F56" s="9">
        <v>571875.19999999995</v>
      </c>
      <c r="G56" s="9">
        <v>571875.19999999995</v>
      </c>
      <c r="H56" s="9">
        <v>571875.19999999995</v>
      </c>
      <c r="I56" s="9">
        <v>571875.19999999995</v>
      </c>
      <c r="J56" s="9">
        <v>571875.19999999995</v>
      </c>
      <c r="K56" s="9">
        <v>571875.19999999995</v>
      </c>
      <c r="L56" s="9">
        <v>571875.19999999995</v>
      </c>
      <c r="M56" s="9">
        <v>571875.19999999995</v>
      </c>
      <c r="N56" s="9">
        <v>413517.31200000003</v>
      </c>
      <c r="O56" s="9">
        <v>413517.31200000003</v>
      </c>
      <c r="P56" s="9">
        <v>413517.31200000003</v>
      </c>
      <c r="Q56" s="9">
        <v>413517.31200000003</v>
      </c>
      <c r="R56" s="9">
        <v>413517.31200000003</v>
      </c>
      <c r="S56" s="9">
        <v>413517.31200000003</v>
      </c>
      <c r="T56" s="9">
        <v>413517.31200000003</v>
      </c>
      <c r="U56" s="9">
        <v>413517.31200000003</v>
      </c>
      <c r="V56" s="9">
        <v>413517.31200000003</v>
      </c>
      <c r="W56" s="9">
        <v>413517.31200000003</v>
      </c>
      <c r="X56" s="9">
        <v>413517.31200000003</v>
      </c>
      <c r="Y56" s="9">
        <v>413517.31200000003</v>
      </c>
      <c r="Z56" s="9">
        <v>430058.00448</v>
      </c>
      <c r="AA56" s="9">
        <v>430058.00448</v>
      </c>
      <c r="AB56" s="9">
        <v>430058.00448</v>
      </c>
      <c r="AC56" s="9">
        <v>430058.00448</v>
      </c>
      <c r="AD56" s="9">
        <v>430058.00448</v>
      </c>
      <c r="AE56" s="9">
        <v>430058.00448</v>
      </c>
      <c r="AF56" s="9">
        <v>430058.00448</v>
      </c>
      <c r="AG56" s="9">
        <v>430058.00448</v>
      </c>
      <c r="AH56" s="9">
        <v>430058.00448</v>
      </c>
      <c r="AI56" s="9">
        <v>430058.00448</v>
      </c>
      <c r="AJ56" s="9">
        <v>430058.00448</v>
      </c>
      <c r="AK56" s="9">
        <v>430058.00448</v>
      </c>
      <c r="AL56" s="9">
        <v>447260.32465920004</v>
      </c>
      <c r="AM56" s="9">
        <v>447260.32465920004</v>
      </c>
      <c r="AN56" s="9">
        <v>447260.32465920004</v>
      </c>
      <c r="AO56" s="9">
        <v>447260.32465920004</v>
      </c>
      <c r="AP56" s="9">
        <v>447260.32465920004</v>
      </c>
      <c r="AQ56" s="9">
        <v>447260.32465920004</v>
      </c>
      <c r="AR56" s="9">
        <v>447260.32465920004</v>
      </c>
      <c r="AS56" s="9">
        <v>447260.32465920004</v>
      </c>
      <c r="AT56" s="9">
        <v>447260.32465920004</v>
      </c>
      <c r="AU56" s="9">
        <v>447260.32465920004</v>
      </c>
      <c r="AV56" s="9">
        <v>447260.32465920004</v>
      </c>
      <c r="AW56" s="9">
        <v>447260.32465920004</v>
      </c>
      <c r="AX56" s="9">
        <v>465150.73764556798</v>
      </c>
      <c r="AY56" s="9">
        <v>465150.73764556798</v>
      </c>
      <c r="AZ56" s="9">
        <v>465150.73764556798</v>
      </c>
      <c r="BA56" s="9">
        <v>465150.73764556798</v>
      </c>
      <c r="BB56" s="9">
        <v>465150.73764556798</v>
      </c>
      <c r="BC56" s="9">
        <v>465150.73764556798</v>
      </c>
      <c r="BD56" s="9">
        <v>465150.73764556798</v>
      </c>
      <c r="BE56" s="9">
        <v>465150.73764556798</v>
      </c>
      <c r="BF56" s="9">
        <v>465150.73764556798</v>
      </c>
      <c r="BG56" s="9">
        <v>465150.73764556798</v>
      </c>
      <c r="BH56" s="9">
        <v>465150.73764556798</v>
      </c>
      <c r="BI56" s="9">
        <v>465150.73764556798</v>
      </c>
      <c r="BJ56" s="9">
        <v>483756.76715139073</v>
      </c>
      <c r="BK56" s="9">
        <v>483756.76715139073</v>
      </c>
      <c r="BL56" s="9">
        <v>483756.76715139073</v>
      </c>
      <c r="BM56" s="9">
        <v>483756.76715139073</v>
      </c>
      <c r="BN56" s="9">
        <v>483756.76715139073</v>
      </c>
      <c r="BO56" s="9">
        <v>483756.76715139073</v>
      </c>
      <c r="BP56" s="9">
        <v>483756.76715139073</v>
      </c>
      <c r="BQ56" s="9">
        <v>483756.76715139073</v>
      </c>
      <c r="BR56" s="9">
        <v>483756.76715139073</v>
      </c>
      <c r="BS56" s="9">
        <v>483756.76715139073</v>
      </c>
      <c r="BT56" s="9">
        <v>483756.76715139073</v>
      </c>
      <c r="BU56" s="9">
        <v>483756.76715139073</v>
      </c>
      <c r="BV56" s="9">
        <v>503107.03783744638</v>
      </c>
      <c r="BW56" s="9">
        <v>503107.03783744638</v>
      </c>
      <c r="BX56" s="9">
        <v>503107.03783744638</v>
      </c>
      <c r="BY56" s="9">
        <v>503107.03783744638</v>
      </c>
      <c r="BZ56" s="9">
        <v>503107.03783744638</v>
      </c>
      <c r="CA56" s="9">
        <v>503107.03783744638</v>
      </c>
      <c r="CB56" s="9">
        <v>503107.03783744638</v>
      </c>
      <c r="CC56" s="9">
        <v>503107.03783744638</v>
      </c>
      <c r="CD56" s="9">
        <v>503107.03783744638</v>
      </c>
      <c r="CE56" s="9">
        <v>503107.03783744638</v>
      </c>
      <c r="CF56" s="9">
        <v>503107.03783744638</v>
      </c>
      <c r="CG56" s="9">
        <v>503107.03783744638</v>
      </c>
      <c r="CH56" s="9">
        <v>523231.31935094425</v>
      </c>
      <c r="CI56" s="9">
        <v>523231.31935094425</v>
      </c>
      <c r="CJ56" s="9">
        <v>523231.31935094425</v>
      </c>
      <c r="CK56" s="9">
        <v>523231.31935094425</v>
      </c>
      <c r="CL56" s="9">
        <v>523231.31935094425</v>
      </c>
      <c r="CM56" s="9">
        <v>523231.31935094425</v>
      </c>
      <c r="CN56" s="9">
        <v>523231.31935094425</v>
      </c>
      <c r="CO56" s="9">
        <v>523231.31935094425</v>
      </c>
      <c r="CP56" s="9">
        <v>523231.31935094425</v>
      </c>
      <c r="CQ56" s="9">
        <v>523231.31935094425</v>
      </c>
      <c r="CR56" s="9">
        <v>523231.31935094425</v>
      </c>
      <c r="CS56" s="9">
        <v>523231.31935094425</v>
      </c>
      <c r="CT56" s="9">
        <v>544160.57212498202</v>
      </c>
      <c r="CU56" s="9">
        <v>544160.57212498202</v>
      </c>
      <c r="CV56" s="9">
        <v>544160.57212498202</v>
      </c>
      <c r="CW56" s="9">
        <v>544160.57212498202</v>
      </c>
      <c r="CX56" s="9">
        <v>544160.57212498202</v>
      </c>
      <c r="CY56" s="9">
        <v>544160.57212498202</v>
      </c>
    </row>
    <row r="57" spans="1:103">
      <c r="A57" t="s">
        <v>448</v>
      </c>
      <c r="B57" s="40" t="s">
        <v>0</v>
      </c>
      <c r="C57" s="40" t="s">
        <v>333</v>
      </c>
      <c r="D57" s="9">
        <v>46800</v>
      </c>
      <c r="E57" s="9">
        <v>46800</v>
      </c>
      <c r="F57" s="9">
        <v>46800</v>
      </c>
      <c r="G57" s="9">
        <v>46800</v>
      </c>
      <c r="H57" s="9">
        <v>46800</v>
      </c>
      <c r="I57" s="9">
        <v>46800</v>
      </c>
      <c r="J57" s="9">
        <v>46800</v>
      </c>
      <c r="K57" s="9">
        <v>46800</v>
      </c>
      <c r="L57" s="9">
        <v>46800</v>
      </c>
      <c r="M57" s="9">
        <v>46800</v>
      </c>
      <c r="N57" s="9">
        <v>48672</v>
      </c>
      <c r="O57" s="9">
        <v>48672</v>
      </c>
      <c r="P57" s="9">
        <v>48672</v>
      </c>
      <c r="Q57" s="9">
        <v>48672</v>
      </c>
      <c r="R57" s="9">
        <v>48672</v>
      </c>
      <c r="S57" s="9">
        <v>48672</v>
      </c>
      <c r="T57" s="9">
        <v>48672</v>
      </c>
      <c r="U57" s="9">
        <v>48672</v>
      </c>
      <c r="V57" s="9">
        <v>48672</v>
      </c>
      <c r="W57" s="9">
        <v>48672</v>
      </c>
      <c r="X57" s="9">
        <v>48672</v>
      </c>
      <c r="Y57" s="9">
        <v>48672</v>
      </c>
      <c r="Z57" s="9">
        <v>50618.880000000005</v>
      </c>
      <c r="AA57" s="9">
        <v>50618.880000000005</v>
      </c>
      <c r="AB57" s="9">
        <v>50618.880000000005</v>
      </c>
      <c r="AC57" s="9">
        <v>50618.880000000005</v>
      </c>
      <c r="AD57" s="9">
        <v>50618.880000000005</v>
      </c>
      <c r="AE57" s="9">
        <v>50618.880000000005</v>
      </c>
      <c r="AF57" s="9">
        <v>50618.880000000005</v>
      </c>
      <c r="AG57" s="9">
        <v>50618.880000000005</v>
      </c>
      <c r="AH57" s="9">
        <v>50618.880000000005</v>
      </c>
      <c r="AI57" s="9">
        <v>50618.880000000005</v>
      </c>
      <c r="AJ57" s="9">
        <v>50618.880000000005</v>
      </c>
      <c r="AK57" s="9">
        <v>50618.880000000005</v>
      </c>
      <c r="AL57" s="9">
        <v>52643.635200000004</v>
      </c>
      <c r="AM57" s="9">
        <v>52643.635200000004</v>
      </c>
      <c r="AN57" s="9">
        <v>52643.635200000004</v>
      </c>
      <c r="AO57" s="9">
        <v>52643.635200000004</v>
      </c>
      <c r="AP57" s="9">
        <v>52643.635200000004</v>
      </c>
      <c r="AQ57" s="9">
        <v>52643.635200000004</v>
      </c>
      <c r="AR57" s="9">
        <v>52643.635200000004</v>
      </c>
      <c r="AS57" s="9">
        <v>52643.635200000004</v>
      </c>
      <c r="AT57" s="9">
        <v>52643.635200000004</v>
      </c>
      <c r="AU57" s="9">
        <v>52643.635200000004</v>
      </c>
      <c r="AV57" s="9">
        <v>52643.635200000004</v>
      </c>
      <c r="AW57" s="9">
        <v>52643.635200000004</v>
      </c>
      <c r="AX57" s="9">
        <v>54749.380608000007</v>
      </c>
      <c r="AY57" s="9">
        <v>54749.380608000007</v>
      </c>
      <c r="AZ57" s="9">
        <v>54749.380608000007</v>
      </c>
      <c r="BA57" s="9">
        <v>54749.380608000007</v>
      </c>
      <c r="BB57" s="9">
        <v>54749.380608000007</v>
      </c>
      <c r="BC57" s="9">
        <v>54749.380608000007</v>
      </c>
      <c r="BD57" s="9">
        <v>54749.380608000007</v>
      </c>
      <c r="BE57" s="9">
        <v>54749.380608000007</v>
      </c>
      <c r="BF57" s="9">
        <v>54749.380608000007</v>
      </c>
      <c r="BG57" s="9">
        <v>54749.380608000007</v>
      </c>
      <c r="BH57" s="9">
        <v>54749.380608000007</v>
      </c>
      <c r="BI57" s="9">
        <v>54749.380608000007</v>
      </c>
      <c r="BJ57" s="9">
        <v>56939.355832320012</v>
      </c>
      <c r="BK57" s="9">
        <v>56939.355832320012</v>
      </c>
      <c r="BL57" s="9">
        <v>56939.355832320012</v>
      </c>
      <c r="BM57" s="9">
        <v>56939.355832320012</v>
      </c>
      <c r="BN57" s="9">
        <v>56939.355832320012</v>
      </c>
      <c r="BO57" s="9">
        <v>56939.355832320012</v>
      </c>
      <c r="BP57" s="9">
        <v>56939.355832320012</v>
      </c>
      <c r="BQ57" s="9">
        <v>56939.355832320012</v>
      </c>
      <c r="BR57" s="9">
        <v>56939.355832320012</v>
      </c>
      <c r="BS57" s="9">
        <v>56939.355832320012</v>
      </c>
      <c r="BT57" s="9">
        <v>56939.355832320012</v>
      </c>
      <c r="BU57" s="9">
        <v>56939.355832320012</v>
      </c>
      <c r="BV57" s="9">
        <v>59216.930065612818</v>
      </c>
      <c r="BW57" s="9">
        <v>59216.930065612818</v>
      </c>
      <c r="BX57" s="9">
        <v>59216.930065612818</v>
      </c>
      <c r="BY57" s="9">
        <v>59216.930065612818</v>
      </c>
      <c r="BZ57" s="9">
        <v>59216.930065612818</v>
      </c>
      <c r="CA57" s="9">
        <v>59216.930065612818</v>
      </c>
      <c r="CB57" s="9">
        <v>59216.930065612818</v>
      </c>
      <c r="CC57" s="9">
        <v>59216.930065612818</v>
      </c>
      <c r="CD57" s="9">
        <v>59216.930065612818</v>
      </c>
      <c r="CE57" s="9">
        <v>59216.930065612818</v>
      </c>
      <c r="CF57" s="9">
        <v>59216.930065612818</v>
      </c>
      <c r="CG57" s="9">
        <v>59216.930065612818</v>
      </c>
      <c r="CH57" s="9">
        <v>61585.607268237334</v>
      </c>
      <c r="CI57" s="9">
        <v>61585.607268237334</v>
      </c>
      <c r="CJ57" s="9">
        <v>61585.607268237334</v>
      </c>
      <c r="CK57" s="9">
        <v>61585.607268237334</v>
      </c>
      <c r="CL57" s="9">
        <v>61585.607268237334</v>
      </c>
      <c r="CM57" s="9">
        <v>61585.607268237334</v>
      </c>
      <c r="CN57" s="9">
        <v>61585.607268237334</v>
      </c>
      <c r="CO57" s="9">
        <v>61585.607268237334</v>
      </c>
      <c r="CP57" s="9">
        <v>61585.607268237334</v>
      </c>
      <c r="CQ57" s="9">
        <v>61585.607268237334</v>
      </c>
      <c r="CR57" s="9">
        <v>61585.607268237334</v>
      </c>
      <c r="CS57" s="9">
        <v>61585.607268237334</v>
      </c>
      <c r="CT57" s="9">
        <v>64049.031558966832</v>
      </c>
      <c r="CU57" s="9">
        <v>64049.031558966832</v>
      </c>
      <c r="CV57" s="9">
        <v>64049.031558966832</v>
      </c>
      <c r="CW57" s="9">
        <v>64049.031558966832</v>
      </c>
      <c r="CX57" s="9">
        <v>64049.031558966832</v>
      </c>
      <c r="CY57" s="9">
        <v>64049.031558966832</v>
      </c>
    </row>
    <row r="58" spans="1:103">
      <c r="A58" t="s">
        <v>449</v>
      </c>
      <c r="B58" s="40" t="s">
        <v>0</v>
      </c>
      <c r="C58" s="40" t="s">
        <v>332</v>
      </c>
      <c r="D58" s="9">
        <v>364000</v>
      </c>
      <c r="E58" s="9">
        <v>364000</v>
      </c>
      <c r="F58" s="9">
        <v>364000</v>
      </c>
      <c r="G58" s="9">
        <v>364000</v>
      </c>
      <c r="H58" s="9">
        <v>364000</v>
      </c>
      <c r="I58" s="9">
        <v>364000</v>
      </c>
      <c r="J58" s="9">
        <v>364000</v>
      </c>
      <c r="K58" s="9">
        <v>364000</v>
      </c>
      <c r="L58" s="9">
        <v>364000</v>
      </c>
      <c r="M58" s="9">
        <v>364000</v>
      </c>
      <c r="N58" s="9">
        <v>378560</v>
      </c>
      <c r="O58" s="9">
        <v>378560</v>
      </c>
      <c r="P58" s="9">
        <v>378560</v>
      </c>
      <c r="Q58" s="9">
        <v>378560</v>
      </c>
      <c r="R58" s="9">
        <v>378560</v>
      </c>
      <c r="S58" s="9">
        <v>378560</v>
      </c>
      <c r="T58" s="9">
        <v>378560</v>
      </c>
      <c r="U58" s="9">
        <v>378560</v>
      </c>
      <c r="V58" s="9">
        <v>378560</v>
      </c>
      <c r="W58" s="9">
        <v>378560</v>
      </c>
      <c r="X58" s="9">
        <v>378560</v>
      </c>
      <c r="Y58" s="9">
        <v>378560</v>
      </c>
      <c r="Z58" s="9">
        <v>393702.40000000002</v>
      </c>
      <c r="AA58" s="9">
        <v>393702.40000000002</v>
      </c>
      <c r="AB58" s="9">
        <v>393702.40000000002</v>
      </c>
      <c r="AC58" s="9">
        <v>393702.40000000002</v>
      </c>
      <c r="AD58" s="9">
        <v>393702.40000000002</v>
      </c>
      <c r="AE58" s="9">
        <v>393702.40000000002</v>
      </c>
      <c r="AF58" s="9">
        <v>393702.40000000002</v>
      </c>
      <c r="AG58" s="9">
        <v>393702.40000000002</v>
      </c>
      <c r="AH58" s="9">
        <v>393702.40000000002</v>
      </c>
      <c r="AI58" s="9">
        <v>393702.40000000002</v>
      </c>
      <c r="AJ58" s="9">
        <v>393702.40000000002</v>
      </c>
      <c r="AK58" s="9">
        <v>393702.40000000002</v>
      </c>
      <c r="AL58" s="9">
        <v>409450.49600000004</v>
      </c>
      <c r="AM58" s="9">
        <v>409450.49600000004</v>
      </c>
      <c r="AN58" s="9">
        <v>409450.49600000004</v>
      </c>
      <c r="AO58" s="9">
        <v>409450.49600000004</v>
      </c>
      <c r="AP58" s="9">
        <v>409450.49600000004</v>
      </c>
      <c r="AQ58" s="9">
        <v>409450.49600000004</v>
      </c>
      <c r="AR58" s="9">
        <v>409450.49600000004</v>
      </c>
      <c r="AS58" s="9">
        <v>409450.49600000004</v>
      </c>
      <c r="AT58" s="9">
        <v>409450.49600000004</v>
      </c>
      <c r="AU58" s="9">
        <v>409450.49600000004</v>
      </c>
      <c r="AV58" s="9">
        <v>409450.49600000004</v>
      </c>
      <c r="AW58" s="9">
        <v>409450.49600000004</v>
      </c>
      <c r="AX58" s="9">
        <v>425828.51584000007</v>
      </c>
      <c r="AY58" s="9">
        <v>425828.51584000007</v>
      </c>
      <c r="AZ58" s="9">
        <v>425828.51584000007</v>
      </c>
      <c r="BA58" s="9">
        <v>425828.51584000007</v>
      </c>
      <c r="BB58" s="9">
        <v>425828.51584000007</v>
      </c>
      <c r="BC58" s="9">
        <v>425828.51584000007</v>
      </c>
      <c r="BD58" s="9">
        <v>425828.51584000007</v>
      </c>
      <c r="BE58" s="9">
        <v>425828.51584000007</v>
      </c>
      <c r="BF58" s="9">
        <v>425828.51584000007</v>
      </c>
      <c r="BG58" s="9">
        <v>425828.51584000007</v>
      </c>
      <c r="BH58" s="9">
        <v>425828.51584000007</v>
      </c>
      <c r="BI58" s="9">
        <v>425828.51584000007</v>
      </c>
      <c r="BJ58" s="9">
        <v>442861.65647360007</v>
      </c>
      <c r="BK58" s="9">
        <v>442861.65647360007</v>
      </c>
      <c r="BL58" s="9">
        <v>442861.65647360007</v>
      </c>
      <c r="BM58" s="9">
        <v>442861.65647360007</v>
      </c>
      <c r="BN58" s="9">
        <v>442861.65647360007</v>
      </c>
      <c r="BO58" s="9">
        <v>442861.65647360007</v>
      </c>
      <c r="BP58" s="9">
        <v>442861.65647360007</v>
      </c>
      <c r="BQ58" s="9">
        <v>442861.65647360007</v>
      </c>
      <c r="BR58" s="9">
        <v>442861.65647360007</v>
      </c>
      <c r="BS58" s="9">
        <v>442861.65647360007</v>
      </c>
      <c r="BT58" s="9">
        <v>442861.65647360007</v>
      </c>
      <c r="BU58" s="9">
        <v>442861.65647360007</v>
      </c>
      <c r="BV58" s="9">
        <v>460576.12273254409</v>
      </c>
      <c r="BW58" s="9">
        <v>460576.12273254409</v>
      </c>
      <c r="BX58" s="9">
        <v>460576.12273254409</v>
      </c>
      <c r="BY58" s="9">
        <v>460576.12273254409</v>
      </c>
      <c r="BZ58" s="9">
        <v>460576.12273254409</v>
      </c>
      <c r="CA58" s="9">
        <v>460576.12273254409</v>
      </c>
      <c r="CB58" s="9">
        <v>460576.12273254409</v>
      </c>
      <c r="CC58" s="9">
        <v>460576.12273254409</v>
      </c>
      <c r="CD58" s="9">
        <v>460576.12273254409</v>
      </c>
      <c r="CE58" s="9">
        <v>460576.12273254409</v>
      </c>
      <c r="CF58" s="9">
        <v>460576.12273254409</v>
      </c>
      <c r="CG58" s="9">
        <v>460576.12273254409</v>
      </c>
      <c r="CH58" s="9">
        <v>478999.16764184588</v>
      </c>
      <c r="CI58" s="9">
        <v>478999.16764184588</v>
      </c>
      <c r="CJ58" s="9">
        <v>478999.16764184588</v>
      </c>
      <c r="CK58" s="9">
        <v>478999.16764184588</v>
      </c>
      <c r="CL58" s="9">
        <v>478999.16764184588</v>
      </c>
      <c r="CM58" s="9">
        <v>478999.16764184588</v>
      </c>
      <c r="CN58" s="9">
        <v>478999.16764184588</v>
      </c>
      <c r="CO58" s="9">
        <v>478999.16764184588</v>
      </c>
      <c r="CP58" s="9">
        <v>478999.16764184588</v>
      </c>
      <c r="CQ58" s="9">
        <v>478999.16764184588</v>
      </c>
      <c r="CR58" s="9">
        <v>478999.16764184588</v>
      </c>
      <c r="CS58" s="9">
        <v>478999.16764184588</v>
      </c>
      <c r="CT58" s="9">
        <v>498159.13434751972</v>
      </c>
      <c r="CU58" s="9">
        <v>498159.13434751972</v>
      </c>
      <c r="CV58" s="9">
        <v>498159.13434751972</v>
      </c>
      <c r="CW58" s="9">
        <v>498159.13434751972</v>
      </c>
      <c r="CX58" s="9">
        <v>498159.13434751972</v>
      </c>
      <c r="CY58" s="9">
        <v>498159.13434751972</v>
      </c>
    </row>
    <row r="59" spans="1:103">
      <c r="A59" t="s">
        <v>450</v>
      </c>
      <c r="B59" s="40" t="s">
        <v>0</v>
      </c>
      <c r="C59" s="40" t="s">
        <v>332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0</v>
      </c>
      <c r="M59" s="9">
        <v>0</v>
      </c>
      <c r="N59" s="9">
        <v>500000</v>
      </c>
      <c r="O59" s="9">
        <v>500000</v>
      </c>
      <c r="P59" s="9">
        <v>500000</v>
      </c>
      <c r="Q59" s="9">
        <v>500000</v>
      </c>
      <c r="R59" s="9">
        <v>500000</v>
      </c>
      <c r="S59" s="9">
        <v>500000</v>
      </c>
      <c r="T59" s="9">
        <v>500000</v>
      </c>
      <c r="U59" s="9">
        <v>500000</v>
      </c>
      <c r="V59" s="9">
        <v>500000</v>
      </c>
      <c r="W59" s="9">
        <v>500000</v>
      </c>
      <c r="X59" s="9">
        <v>500000</v>
      </c>
      <c r="Y59" s="9">
        <v>500000</v>
      </c>
      <c r="Z59" s="9">
        <v>520000</v>
      </c>
      <c r="AA59" s="9">
        <v>520000</v>
      </c>
      <c r="AB59" s="9">
        <v>520000</v>
      </c>
      <c r="AC59" s="9">
        <v>520000</v>
      </c>
      <c r="AD59" s="9">
        <v>520000</v>
      </c>
      <c r="AE59" s="9">
        <v>520000</v>
      </c>
      <c r="AF59" s="9">
        <v>520000</v>
      </c>
      <c r="AG59" s="9">
        <v>520000</v>
      </c>
      <c r="AH59" s="9">
        <v>520000</v>
      </c>
      <c r="AI59" s="9">
        <v>520000</v>
      </c>
      <c r="AJ59" s="9">
        <v>520000</v>
      </c>
      <c r="AK59" s="9">
        <v>520000</v>
      </c>
      <c r="AL59" s="9">
        <v>540800</v>
      </c>
      <c r="AM59" s="9">
        <v>540800</v>
      </c>
      <c r="AN59" s="9">
        <v>540800</v>
      </c>
      <c r="AO59" s="9">
        <v>540800</v>
      </c>
      <c r="AP59" s="9">
        <v>540800</v>
      </c>
      <c r="AQ59" s="9">
        <v>540800</v>
      </c>
      <c r="AR59" s="9">
        <v>540800</v>
      </c>
      <c r="AS59" s="9">
        <v>540800</v>
      </c>
      <c r="AT59" s="9">
        <v>540800</v>
      </c>
      <c r="AU59" s="9">
        <v>540800</v>
      </c>
      <c r="AV59" s="9">
        <v>540800</v>
      </c>
      <c r="AW59" s="9">
        <v>540800</v>
      </c>
      <c r="AX59" s="9">
        <v>562432</v>
      </c>
      <c r="AY59" s="9">
        <v>562432</v>
      </c>
      <c r="AZ59" s="9">
        <v>562432</v>
      </c>
      <c r="BA59" s="9">
        <v>562432</v>
      </c>
      <c r="BB59" s="9">
        <v>562432</v>
      </c>
      <c r="BC59" s="9">
        <v>562432</v>
      </c>
      <c r="BD59" s="9">
        <v>562432</v>
      </c>
      <c r="BE59" s="9">
        <v>562432</v>
      </c>
      <c r="BF59" s="9">
        <v>562432</v>
      </c>
      <c r="BG59" s="9">
        <v>562432</v>
      </c>
      <c r="BH59" s="9">
        <v>562432</v>
      </c>
      <c r="BI59" s="9">
        <v>562432</v>
      </c>
      <c r="BJ59" s="9">
        <v>584929.28000000003</v>
      </c>
      <c r="BK59" s="9">
        <v>584929.28000000003</v>
      </c>
      <c r="BL59" s="9">
        <v>584929.28000000003</v>
      </c>
      <c r="BM59" s="9">
        <v>584929.28000000003</v>
      </c>
      <c r="BN59" s="9">
        <v>584929.28000000003</v>
      </c>
      <c r="BO59" s="9">
        <v>584929.28000000003</v>
      </c>
      <c r="BP59" s="9">
        <v>584929.28000000003</v>
      </c>
      <c r="BQ59" s="9">
        <v>584929.28000000003</v>
      </c>
      <c r="BR59" s="9">
        <v>584929.28000000003</v>
      </c>
      <c r="BS59" s="9">
        <v>584929.28000000003</v>
      </c>
      <c r="BT59" s="9">
        <v>584929.28000000003</v>
      </c>
      <c r="BU59" s="9">
        <v>584929.28000000003</v>
      </c>
      <c r="BV59" s="9">
        <v>608326.45120000001</v>
      </c>
      <c r="BW59" s="9">
        <v>608326.45120000001</v>
      </c>
      <c r="BX59" s="9">
        <v>608326.45120000001</v>
      </c>
      <c r="BY59" s="9">
        <v>608326.45120000001</v>
      </c>
      <c r="BZ59" s="9">
        <v>608326.45120000001</v>
      </c>
      <c r="CA59" s="9">
        <v>608326.45120000001</v>
      </c>
      <c r="CB59" s="9">
        <v>608326.45120000001</v>
      </c>
      <c r="CC59" s="9">
        <v>608326.45120000001</v>
      </c>
      <c r="CD59" s="9">
        <v>608326.45120000001</v>
      </c>
      <c r="CE59" s="9">
        <v>608326.45120000001</v>
      </c>
      <c r="CF59" s="9">
        <v>608326.45120000001</v>
      </c>
      <c r="CG59" s="9">
        <v>608326.45120000001</v>
      </c>
      <c r="CH59" s="9">
        <v>632659.50924799999</v>
      </c>
      <c r="CI59" s="9">
        <v>632659.50924799999</v>
      </c>
      <c r="CJ59" s="9">
        <v>632659.50924799999</v>
      </c>
      <c r="CK59" s="9">
        <v>632659.50924799999</v>
      </c>
      <c r="CL59" s="9">
        <v>632659.50924799999</v>
      </c>
      <c r="CM59" s="9">
        <v>632659.50924799999</v>
      </c>
      <c r="CN59" s="9">
        <v>632659.50924799999</v>
      </c>
      <c r="CO59" s="9">
        <v>632659.50924799999</v>
      </c>
      <c r="CP59" s="9">
        <v>632659.50924799999</v>
      </c>
      <c r="CQ59" s="9">
        <v>632659.50924799999</v>
      </c>
      <c r="CR59" s="9">
        <v>632659.50924799999</v>
      </c>
      <c r="CS59" s="9">
        <v>632659.50924799999</v>
      </c>
      <c r="CT59" s="9">
        <v>657965.88961792004</v>
      </c>
      <c r="CU59" s="9">
        <v>657965.88961792004</v>
      </c>
      <c r="CV59" s="9">
        <v>657965.88961792004</v>
      </c>
      <c r="CW59" s="9">
        <v>657965.88961792004</v>
      </c>
      <c r="CX59" s="9">
        <v>657965.88961792004</v>
      </c>
      <c r="CY59" s="9">
        <v>657965.88961792004</v>
      </c>
    </row>
    <row r="60" spans="1:103">
      <c r="A60" t="s">
        <v>451</v>
      </c>
      <c r="B60" s="40" t="s">
        <v>0</v>
      </c>
      <c r="C60" s="40" t="s">
        <v>332</v>
      </c>
      <c r="D60" s="9">
        <v>28080</v>
      </c>
      <c r="E60" s="9">
        <v>28080</v>
      </c>
      <c r="F60" s="9">
        <v>28080</v>
      </c>
      <c r="G60" s="9">
        <v>28080</v>
      </c>
      <c r="H60" s="9">
        <v>28080</v>
      </c>
      <c r="I60" s="9">
        <v>28080</v>
      </c>
      <c r="J60" s="9">
        <v>28080</v>
      </c>
      <c r="K60" s="9">
        <v>28080</v>
      </c>
      <c r="L60" s="9">
        <v>28080</v>
      </c>
      <c r="M60" s="9">
        <v>28080</v>
      </c>
      <c r="N60" s="9">
        <v>29203.200000000001</v>
      </c>
      <c r="O60" s="9">
        <v>29203.200000000001</v>
      </c>
      <c r="P60" s="9">
        <v>29203.200000000001</v>
      </c>
      <c r="Q60" s="9">
        <v>29203.200000000001</v>
      </c>
      <c r="R60" s="9">
        <v>29203.200000000001</v>
      </c>
      <c r="S60" s="9">
        <v>29203.200000000001</v>
      </c>
      <c r="T60" s="9">
        <v>29203.200000000001</v>
      </c>
      <c r="U60" s="9">
        <v>29203.200000000001</v>
      </c>
      <c r="V60" s="9">
        <v>29203.200000000001</v>
      </c>
      <c r="W60" s="9">
        <v>29203.200000000001</v>
      </c>
      <c r="X60" s="9">
        <v>29203.200000000001</v>
      </c>
      <c r="Y60" s="9">
        <v>29203.200000000001</v>
      </c>
      <c r="Z60" s="9">
        <v>30371.328000000001</v>
      </c>
      <c r="AA60" s="9">
        <v>30371.328000000001</v>
      </c>
      <c r="AB60" s="9">
        <v>30371.328000000001</v>
      </c>
      <c r="AC60" s="9">
        <v>30371.328000000001</v>
      </c>
      <c r="AD60" s="9">
        <v>30371.328000000001</v>
      </c>
      <c r="AE60" s="9">
        <v>30371.328000000001</v>
      </c>
      <c r="AF60" s="9">
        <v>30371.328000000001</v>
      </c>
      <c r="AG60" s="9">
        <v>30371.328000000001</v>
      </c>
      <c r="AH60" s="9">
        <v>30371.328000000001</v>
      </c>
      <c r="AI60" s="9">
        <v>30371.328000000001</v>
      </c>
      <c r="AJ60" s="9">
        <v>30371.328000000001</v>
      </c>
      <c r="AK60" s="9">
        <v>30371.328000000001</v>
      </c>
      <c r="AL60" s="9">
        <v>31586.181120000001</v>
      </c>
      <c r="AM60" s="9">
        <v>31586.181120000001</v>
      </c>
      <c r="AN60" s="9">
        <v>31586.181120000001</v>
      </c>
      <c r="AO60" s="9">
        <v>31586.181120000001</v>
      </c>
      <c r="AP60" s="9">
        <v>31586.181120000001</v>
      </c>
      <c r="AQ60" s="9">
        <v>31586.181120000001</v>
      </c>
      <c r="AR60" s="9">
        <v>31586.181120000001</v>
      </c>
      <c r="AS60" s="9">
        <v>31586.181120000001</v>
      </c>
      <c r="AT60" s="9">
        <v>31586.181120000001</v>
      </c>
      <c r="AU60" s="9">
        <v>31586.181120000001</v>
      </c>
      <c r="AV60" s="9">
        <v>31586.181120000001</v>
      </c>
      <c r="AW60" s="9">
        <v>31586.181120000001</v>
      </c>
      <c r="AX60" s="9">
        <v>32849.628364800003</v>
      </c>
      <c r="AY60" s="9">
        <v>32849.628364800003</v>
      </c>
      <c r="AZ60" s="9">
        <v>32849.628364800003</v>
      </c>
      <c r="BA60" s="9">
        <v>32849.628364800003</v>
      </c>
      <c r="BB60" s="9">
        <v>32849.628364800003</v>
      </c>
      <c r="BC60" s="9">
        <v>32849.628364800003</v>
      </c>
      <c r="BD60" s="9">
        <v>32849.628364800003</v>
      </c>
      <c r="BE60" s="9">
        <v>32849.628364800003</v>
      </c>
      <c r="BF60" s="9">
        <v>32849.628364800003</v>
      </c>
      <c r="BG60" s="9">
        <v>32849.628364800003</v>
      </c>
      <c r="BH60" s="9">
        <v>32849.628364800003</v>
      </c>
      <c r="BI60" s="9">
        <v>32849.628364800003</v>
      </c>
      <c r="BJ60" s="9">
        <v>34163.613499392006</v>
      </c>
      <c r="BK60" s="9">
        <v>34163.613499392006</v>
      </c>
      <c r="BL60" s="9">
        <v>34163.613499392006</v>
      </c>
      <c r="BM60" s="9">
        <v>34163.613499392006</v>
      </c>
      <c r="BN60" s="9">
        <v>34163.613499392006</v>
      </c>
      <c r="BO60" s="9">
        <v>34163.613499392006</v>
      </c>
      <c r="BP60" s="9">
        <v>34163.613499392006</v>
      </c>
      <c r="BQ60" s="9">
        <v>34163.613499392006</v>
      </c>
      <c r="BR60" s="9">
        <v>34163.613499392006</v>
      </c>
      <c r="BS60" s="9">
        <v>34163.613499392006</v>
      </c>
      <c r="BT60" s="9">
        <v>34163.613499392006</v>
      </c>
      <c r="BU60" s="9">
        <v>34163.613499392006</v>
      </c>
      <c r="BV60" s="9">
        <v>35530.158039367685</v>
      </c>
      <c r="BW60" s="9">
        <v>35530.158039367685</v>
      </c>
      <c r="BX60" s="9">
        <v>35530.158039367685</v>
      </c>
      <c r="BY60" s="9">
        <v>35530.158039367685</v>
      </c>
      <c r="BZ60" s="9">
        <v>35530.158039367685</v>
      </c>
      <c r="CA60" s="9">
        <v>35530.158039367685</v>
      </c>
      <c r="CB60" s="9">
        <v>35530.158039367685</v>
      </c>
      <c r="CC60" s="9">
        <v>35530.158039367685</v>
      </c>
      <c r="CD60" s="9">
        <v>35530.158039367685</v>
      </c>
      <c r="CE60" s="9">
        <v>35530.158039367685</v>
      </c>
      <c r="CF60" s="9">
        <v>35530.158039367685</v>
      </c>
      <c r="CG60" s="9">
        <v>35530.158039367685</v>
      </c>
      <c r="CH60" s="9">
        <v>36951.364360942396</v>
      </c>
      <c r="CI60" s="9">
        <v>36951.364360942396</v>
      </c>
      <c r="CJ60" s="9">
        <v>36951.364360942396</v>
      </c>
      <c r="CK60" s="9">
        <v>36951.364360942396</v>
      </c>
      <c r="CL60" s="9">
        <v>36951.364360942396</v>
      </c>
      <c r="CM60" s="9">
        <v>36951.364360942396</v>
      </c>
      <c r="CN60" s="9">
        <v>36951.364360942396</v>
      </c>
      <c r="CO60" s="9">
        <v>36951.364360942396</v>
      </c>
      <c r="CP60" s="9">
        <v>36951.364360942396</v>
      </c>
      <c r="CQ60" s="9">
        <v>36951.364360942396</v>
      </c>
      <c r="CR60" s="9">
        <v>36951.364360942396</v>
      </c>
      <c r="CS60" s="9">
        <v>36951.364360942396</v>
      </c>
      <c r="CT60" s="9">
        <v>38429.41893538009</v>
      </c>
      <c r="CU60" s="9">
        <v>38429.41893538009</v>
      </c>
      <c r="CV60" s="9">
        <v>38429.41893538009</v>
      </c>
      <c r="CW60" s="9">
        <v>38429.41893538009</v>
      </c>
      <c r="CX60" s="9">
        <v>38429.41893538009</v>
      </c>
      <c r="CY60" s="9">
        <v>38429.41893538009</v>
      </c>
    </row>
    <row r="61" spans="1:103">
      <c r="A61" t="s">
        <v>452</v>
      </c>
      <c r="B61" s="40" t="s">
        <v>0</v>
      </c>
      <c r="C61" s="40" t="s">
        <v>332</v>
      </c>
      <c r="D61" s="9">
        <v>16640</v>
      </c>
      <c r="E61" s="9">
        <v>16640</v>
      </c>
      <c r="F61" s="9">
        <v>16640</v>
      </c>
      <c r="G61" s="9">
        <v>16640</v>
      </c>
      <c r="H61" s="9">
        <v>16640</v>
      </c>
      <c r="I61" s="9">
        <v>16640</v>
      </c>
      <c r="J61" s="9">
        <v>16640</v>
      </c>
      <c r="K61" s="9">
        <v>16640</v>
      </c>
      <c r="L61" s="9">
        <v>16640</v>
      </c>
      <c r="M61" s="9">
        <v>16640</v>
      </c>
      <c r="N61" s="9">
        <v>17305.600000000002</v>
      </c>
      <c r="O61" s="9">
        <v>17305.600000000002</v>
      </c>
      <c r="P61" s="9">
        <v>17305.600000000002</v>
      </c>
      <c r="Q61" s="9">
        <v>17305.600000000002</v>
      </c>
      <c r="R61" s="9">
        <v>17305.600000000002</v>
      </c>
      <c r="S61" s="9">
        <v>17305.600000000002</v>
      </c>
      <c r="T61" s="9">
        <v>17305.600000000002</v>
      </c>
      <c r="U61" s="9">
        <v>17305.600000000002</v>
      </c>
      <c r="V61" s="9">
        <v>17305.600000000002</v>
      </c>
      <c r="W61" s="9">
        <v>17305.600000000002</v>
      </c>
      <c r="X61" s="9">
        <v>17305.600000000002</v>
      </c>
      <c r="Y61" s="9">
        <v>17305.600000000002</v>
      </c>
      <c r="Z61" s="9">
        <v>17997.824000000004</v>
      </c>
      <c r="AA61" s="9">
        <v>17997.824000000004</v>
      </c>
      <c r="AB61" s="9">
        <v>17997.824000000004</v>
      </c>
      <c r="AC61" s="9">
        <v>17997.824000000004</v>
      </c>
      <c r="AD61" s="9">
        <v>17997.824000000004</v>
      </c>
      <c r="AE61" s="9">
        <v>17997.824000000004</v>
      </c>
      <c r="AF61" s="9">
        <v>17997.824000000004</v>
      </c>
      <c r="AG61" s="9">
        <v>17997.824000000004</v>
      </c>
      <c r="AH61" s="9">
        <v>17997.824000000004</v>
      </c>
      <c r="AI61" s="9">
        <v>17997.824000000004</v>
      </c>
      <c r="AJ61" s="9">
        <v>17997.824000000004</v>
      </c>
      <c r="AK61" s="9">
        <v>17997.824000000004</v>
      </c>
      <c r="AL61" s="9">
        <v>18717.736960000006</v>
      </c>
      <c r="AM61" s="9">
        <v>18717.736960000006</v>
      </c>
      <c r="AN61" s="9">
        <v>18717.736960000006</v>
      </c>
      <c r="AO61" s="9">
        <v>18717.736960000006</v>
      </c>
      <c r="AP61" s="9">
        <v>18717.736960000006</v>
      </c>
      <c r="AQ61" s="9">
        <v>18717.736960000006</v>
      </c>
      <c r="AR61" s="9">
        <v>18717.736960000006</v>
      </c>
      <c r="AS61" s="9">
        <v>18717.736960000006</v>
      </c>
      <c r="AT61" s="9">
        <v>18717.736960000006</v>
      </c>
      <c r="AU61" s="9">
        <v>18717.736960000006</v>
      </c>
      <c r="AV61" s="9">
        <v>18717.736960000006</v>
      </c>
      <c r="AW61" s="9">
        <v>18717.736960000006</v>
      </c>
      <c r="AX61" s="9">
        <v>19466.446438400006</v>
      </c>
      <c r="AY61" s="9">
        <v>19466.446438400006</v>
      </c>
      <c r="AZ61" s="9">
        <v>19466.446438400006</v>
      </c>
      <c r="BA61" s="9">
        <v>19466.446438400006</v>
      </c>
      <c r="BB61" s="9">
        <v>19466.446438400006</v>
      </c>
      <c r="BC61" s="9">
        <v>19466.446438400006</v>
      </c>
      <c r="BD61" s="9">
        <v>19466.446438400006</v>
      </c>
      <c r="BE61" s="9">
        <v>19466.446438400006</v>
      </c>
      <c r="BF61" s="9">
        <v>19466.446438400006</v>
      </c>
      <c r="BG61" s="9">
        <v>19466.446438400006</v>
      </c>
      <c r="BH61" s="9">
        <v>19466.446438400006</v>
      </c>
      <c r="BI61" s="9">
        <v>19466.446438400006</v>
      </c>
      <c r="BJ61" s="9">
        <v>20245.104295936006</v>
      </c>
      <c r="BK61" s="9">
        <v>20245.104295936006</v>
      </c>
      <c r="BL61" s="9">
        <v>20245.104295936006</v>
      </c>
      <c r="BM61" s="9">
        <v>20245.104295936006</v>
      </c>
      <c r="BN61" s="9">
        <v>20245.104295936006</v>
      </c>
      <c r="BO61" s="9">
        <v>20245.104295936006</v>
      </c>
      <c r="BP61" s="9">
        <v>20245.104295936006</v>
      </c>
      <c r="BQ61" s="9">
        <v>20245.104295936006</v>
      </c>
      <c r="BR61" s="9">
        <v>20245.104295936006</v>
      </c>
      <c r="BS61" s="9">
        <v>20245.104295936006</v>
      </c>
      <c r="BT61" s="9">
        <v>20245.104295936006</v>
      </c>
      <c r="BU61" s="9">
        <v>20245.104295936006</v>
      </c>
      <c r="BV61" s="9">
        <v>21054.908467773446</v>
      </c>
      <c r="BW61" s="9">
        <v>21054.908467773446</v>
      </c>
      <c r="BX61" s="9">
        <v>21054.908467773446</v>
      </c>
      <c r="BY61" s="9">
        <v>21054.908467773446</v>
      </c>
      <c r="BZ61" s="9">
        <v>21054.908467773446</v>
      </c>
      <c r="CA61" s="9">
        <v>21054.908467773446</v>
      </c>
      <c r="CB61" s="9">
        <v>21054.908467773446</v>
      </c>
      <c r="CC61" s="9">
        <v>21054.908467773446</v>
      </c>
      <c r="CD61" s="9">
        <v>21054.908467773446</v>
      </c>
      <c r="CE61" s="9">
        <v>21054.908467773446</v>
      </c>
      <c r="CF61" s="9">
        <v>21054.908467773446</v>
      </c>
      <c r="CG61" s="9">
        <v>21054.908467773446</v>
      </c>
      <c r="CH61" s="9">
        <v>21897.104806484385</v>
      </c>
      <c r="CI61" s="9">
        <v>21897.104806484385</v>
      </c>
      <c r="CJ61" s="9">
        <v>21897.104806484385</v>
      </c>
      <c r="CK61" s="9">
        <v>21897.104806484385</v>
      </c>
      <c r="CL61" s="9">
        <v>21897.104806484385</v>
      </c>
      <c r="CM61" s="9">
        <v>21897.104806484385</v>
      </c>
      <c r="CN61" s="9">
        <v>21897.104806484385</v>
      </c>
      <c r="CO61" s="9">
        <v>21897.104806484385</v>
      </c>
      <c r="CP61" s="9">
        <v>21897.104806484385</v>
      </c>
      <c r="CQ61" s="9">
        <v>21897.104806484385</v>
      </c>
      <c r="CR61" s="9">
        <v>21897.104806484385</v>
      </c>
      <c r="CS61" s="9">
        <v>21897.104806484385</v>
      </c>
      <c r="CT61" s="9">
        <v>22772.98899874376</v>
      </c>
      <c r="CU61" s="9">
        <v>22772.98899874376</v>
      </c>
      <c r="CV61" s="9">
        <v>22772.98899874376</v>
      </c>
      <c r="CW61" s="9">
        <v>22772.98899874376</v>
      </c>
      <c r="CX61" s="9">
        <v>22772.98899874376</v>
      </c>
      <c r="CY61" s="9">
        <v>22772.98899874376</v>
      </c>
    </row>
    <row r="62" spans="1:103">
      <c r="A62" t="s">
        <v>453</v>
      </c>
      <c r="B62" s="40" t="s">
        <v>0</v>
      </c>
      <c r="C62" s="40" t="s">
        <v>332</v>
      </c>
      <c r="D62" s="9">
        <v>416000</v>
      </c>
      <c r="E62" s="9">
        <v>416000</v>
      </c>
      <c r="F62" s="9">
        <v>416000</v>
      </c>
      <c r="G62" s="9">
        <v>416000</v>
      </c>
      <c r="H62" s="9">
        <v>416000</v>
      </c>
      <c r="I62" s="9">
        <v>416000</v>
      </c>
      <c r="J62" s="9">
        <v>416000</v>
      </c>
      <c r="K62" s="9">
        <v>416000</v>
      </c>
      <c r="L62" s="9">
        <v>416000</v>
      </c>
      <c r="M62" s="9">
        <v>416000</v>
      </c>
      <c r="N62" s="9">
        <v>432640</v>
      </c>
      <c r="O62" s="9">
        <v>432640</v>
      </c>
      <c r="P62" s="9">
        <v>432640</v>
      </c>
      <c r="Q62" s="9">
        <v>432640</v>
      </c>
      <c r="R62" s="9">
        <v>432640</v>
      </c>
      <c r="S62" s="9">
        <v>432640</v>
      </c>
      <c r="T62" s="9">
        <v>432640</v>
      </c>
      <c r="U62" s="9">
        <v>432640</v>
      </c>
      <c r="V62" s="9">
        <v>432640</v>
      </c>
      <c r="W62" s="9">
        <v>432640</v>
      </c>
      <c r="X62" s="9">
        <v>432640</v>
      </c>
      <c r="Y62" s="9">
        <v>432640</v>
      </c>
      <c r="Z62" s="9">
        <v>449945.60000000003</v>
      </c>
      <c r="AA62" s="9">
        <v>449945.60000000003</v>
      </c>
      <c r="AB62" s="9">
        <v>449945.60000000003</v>
      </c>
      <c r="AC62" s="9">
        <v>449945.60000000003</v>
      </c>
      <c r="AD62" s="9">
        <v>449945.60000000003</v>
      </c>
      <c r="AE62" s="9">
        <v>449945.60000000003</v>
      </c>
      <c r="AF62" s="9">
        <v>449945.60000000003</v>
      </c>
      <c r="AG62" s="9">
        <v>449945.60000000003</v>
      </c>
      <c r="AH62" s="9">
        <v>449945.60000000003</v>
      </c>
      <c r="AI62" s="9">
        <v>449945.60000000003</v>
      </c>
      <c r="AJ62" s="9">
        <v>449945.60000000003</v>
      </c>
      <c r="AK62" s="9">
        <v>449945.60000000003</v>
      </c>
      <c r="AL62" s="9">
        <v>467943.42400000006</v>
      </c>
      <c r="AM62" s="9">
        <v>467943.42400000006</v>
      </c>
      <c r="AN62" s="9">
        <v>467943.42400000006</v>
      </c>
      <c r="AO62" s="9">
        <v>467943.42400000006</v>
      </c>
      <c r="AP62" s="9">
        <v>467943.42400000006</v>
      </c>
      <c r="AQ62" s="9">
        <v>467943.42400000006</v>
      </c>
      <c r="AR62" s="9">
        <v>467943.42400000006</v>
      </c>
      <c r="AS62" s="9">
        <v>467943.42400000006</v>
      </c>
      <c r="AT62" s="9">
        <v>467943.42400000006</v>
      </c>
      <c r="AU62" s="9">
        <v>467943.42400000006</v>
      </c>
      <c r="AV62" s="9">
        <v>467943.42400000006</v>
      </c>
      <c r="AW62" s="9">
        <v>467943.42400000006</v>
      </c>
      <c r="AX62" s="9">
        <v>486661.16096000007</v>
      </c>
      <c r="AY62" s="9">
        <v>486661.16096000007</v>
      </c>
      <c r="AZ62" s="9">
        <v>486661.16096000007</v>
      </c>
      <c r="BA62" s="9">
        <v>486661.16096000007</v>
      </c>
      <c r="BB62" s="9">
        <v>486661.16096000007</v>
      </c>
      <c r="BC62" s="9">
        <v>486661.16096000007</v>
      </c>
      <c r="BD62" s="9">
        <v>486661.16096000007</v>
      </c>
      <c r="BE62" s="9">
        <v>486661.16096000007</v>
      </c>
      <c r="BF62" s="9">
        <v>486661.16096000007</v>
      </c>
      <c r="BG62" s="9">
        <v>486661.16096000007</v>
      </c>
      <c r="BH62" s="9">
        <v>486661.16096000007</v>
      </c>
      <c r="BI62" s="9">
        <v>486661.16096000007</v>
      </c>
      <c r="BJ62" s="9">
        <v>506127.60739840008</v>
      </c>
      <c r="BK62" s="9">
        <v>506127.60739840008</v>
      </c>
      <c r="BL62" s="9">
        <v>506127.60739840008</v>
      </c>
      <c r="BM62" s="9">
        <v>506127.60739840008</v>
      </c>
      <c r="BN62" s="9">
        <v>506127.60739840008</v>
      </c>
      <c r="BO62" s="9">
        <v>506127.60739840008</v>
      </c>
      <c r="BP62" s="9">
        <v>506127.60739840008</v>
      </c>
      <c r="BQ62" s="9">
        <v>506127.60739840008</v>
      </c>
      <c r="BR62" s="9">
        <v>506127.60739840008</v>
      </c>
      <c r="BS62" s="9">
        <v>506127.60739840008</v>
      </c>
      <c r="BT62" s="9">
        <v>506127.60739840008</v>
      </c>
      <c r="BU62" s="9">
        <v>506127.60739840008</v>
      </c>
      <c r="BV62" s="9">
        <v>526372.71169433615</v>
      </c>
      <c r="BW62" s="9">
        <v>526372.71169433615</v>
      </c>
      <c r="BX62" s="9">
        <v>526372.71169433615</v>
      </c>
      <c r="BY62" s="9">
        <v>526372.71169433615</v>
      </c>
      <c r="BZ62" s="9">
        <v>526372.71169433615</v>
      </c>
      <c r="CA62" s="9">
        <v>526372.71169433615</v>
      </c>
      <c r="CB62" s="9">
        <v>526372.71169433615</v>
      </c>
      <c r="CC62" s="9">
        <v>526372.71169433615</v>
      </c>
      <c r="CD62" s="9">
        <v>526372.71169433615</v>
      </c>
      <c r="CE62" s="9">
        <v>526372.71169433615</v>
      </c>
      <c r="CF62" s="9">
        <v>526372.71169433615</v>
      </c>
      <c r="CG62" s="9">
        <v>526372.71169433615</v>
      </c>
      <c r="CH62" s="9">
        <v>547427.62016210961</v>
      </c>
      <c r="CI62" s="9">
        <v>547427.62016210961</v>
      </c>
      <c r="CJ62" s="9">
        <v>547427.62016210961</v>
      </c>
      <c r="CK62" s="9">
        <v>547427.62016210961</v>
      </c>
      <c r="CL62" s="9">
        <v>547427.62016210961</v>
      </c>
      <c r="CM62" s="9">
        <v>547427.62016210961</v>
      </c>
      <c r="CN62" s="9">
        <v>547427.62016210961</v>
      </c>
      <c r="CO62" s="9">
        <v>547427.62016210961</v>
      </c>
      <c r="CP62" s="9">
        <v>547427.62016210961</v>
      </c>
      <c r="CQ62" s="9">
        <v>547427.62016210961</v>
      </c>
      <c r="CR62" s="9">
        <v>547427.62016210961</v>
      </c>
      <c r="CS62" s="9">
        <v>547427.62016210961</v>
      </c>
      <c r="CT62" s="9">
        <v>569324.72496859403</v>
      </c>
      <c r="CU62" s="9">
        <v>569324.72496859403</v>
      </c>
      <c r="CV62" s="9">
        <v>569324.72496859403</v>
      </c>
      <c r="CW62" s="9">
        <v>569324.72496859403</v>
      </c>
      <c r="CX62" s="9">
        <v>569324.72496859403</v>
      </c>
      <c r="CY62" s="9">
        <v>569324.72496859403</v>
      </c>
    </row>
    <row r="63" spans="1:103">
      <c r="A63" t="s">
        <v>454</v>
      </c>
      <c r="B63" s="40" t="s">
        <v>0</v>
      </c>
      <c r="C63" s="40" t="s">
        <v>332</v>
      </c>
      <c r="D63" s="9">
        <v>312000</v>
      </c>
      <c r="E63" s="9">
        <v>312000</v>
      </c>
      <c r="F63" s="9">
        <v>312000</v>
      </c>
      <c r="G63" s="9">
        <v>312000</v>
      </c>
      <c r="H63" s="9">
        <v>312000</v>
      </c>
      <c r="I63" s="9">
        <v>312000</v>
      </c>
      <c r="J63" s="9">
        <v>312000</v>
      </c>
      <c r="K63" s="9">
        <v>312000</v>
      </c>
      <c r="L63" s="9">
        <v>312000</v>
      </c>
      <c r="M63" s="9">
        <v>312000</v>
      </c>
      <c r="N63" s="9">
        <v>0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0</v>
      </c>
      <c r="AM63" s="9">
        <v>0</v>
      </c>
      <c r="AN63" s="9">
        <v>0</v>
      </c>
      <c r="AO63" s="9">
        <v>0</v>
      </c>
      <c r="AP63" s="9">
        <v>0</v>
      </c>
      <c r="AQ63" s="9">
        <v>0</v>
      </c>
      <c r="AR63" s="9">
        <v>0</v>
      </c>
      <c r="AS63" s="9">
        <v>0</v>
      </c>
      <c r="AT63" s="9">
        <v>0</v>
      </c>
      <c r="AU63" s="9">
        <v>0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0</v>
      </c>
      <c r="BQ63" s="9">
        <v>0</v>
      </c>
      <c r="BR63" s="9">
        <v>0</v>
      </c>
      <c r="BS63" s="9">
        <v>0</v>
      </c>
      <c r="BT63" s="9">
        <v>0</v>
      </c>
      <c r="BU63" s="9">
        <v>0</v>
      </c>
      <c r="BV63" s="9">
        <v>0</v>
      </c>
      <c r="BW63" s="9">
        <v>0</v>
      </c>
      <c r="BX63" s="9">
        <v>0</v>
      </c>
      <c r="BY63" s="9">
        <v>0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0</v>
      </c>
      <c r="CU63" s="9">
        <v>0</v>
      </c>
      <c r="CV63" s="9">
        <v>0</v>
      </c>
      <c r="CW63" s="9">
        <v>0</v>
      </c>
      <c r="CX63" s="9">
        <v>0</v>
      </c>
      <c r="CY63" s="9">
        <v>0</v>
      </c>
    </row>
    <row r="64" spans="1:103">
      <c r="A64" t="s">
        <v>455</v>
      </c>
      <c r="B64" s="40" t="s">
        <v>0</v>
      </c>
      <c r="C64" s="40" t="s">
        <v>334</v>
      </c>
      <c r="D64" s="9">
        <v>1560000</v>
      </c>
      <c r="E64" s="9">
        <v>1560000</v>
      </c>
      <c r="F64" s="9">
        <v>1560000</v>
      </c>
      <c r="G64" s="9">
        <v>1560000</v>
      </c>
      <c r="H64" s="9">
        <v>1560000</v>
      </c>
      <c r="I64" s="9">
        <v>1560000</v>
      </c>
      <c r="J64" s="9">
        <v>1560000</v>
      </c>
      <c r="K64" s="9">
        <v>1560000</v>
      </c>
      <c r="L64" s="9">
        <v>1560000</v>
      </c>
      <c r="M64" s="9">
        <v>1560000</v>
      </c>
      <c r="N64" s="9">
        <v>1622400</v>
      </c>
      <c r="O64" s="9">
        <v>1622400</v>
      </c>
      <c r="P64" s="9">
        <v>1622400</v>
      </c>
      <c r="Q64" s="9">
        <v>1622400</v>
      </c>
      <c r="R64" s="9">
        <v>1622400</v>
      </c>
      <c r="S64" s="9">
        <v>1622400</v>
      </c>
      <c r="T64" s="9">
        <v>1622400</v>
      </c>
      <c r="U64" s="9">
        <v>1622400</v>
      </c>
      <c r="V64" s="9">
        <v>1622400</v>
      </c>
      <c r="W64" s="9">
        <v>1622400</v>
      </c>
      <c r="X64" s="9">
        <v>1622400</v>
      </c>
      <c r="Y64" s="9">
        <v>1622400</v>
      </c>
      <c r="Z64" s="9">
        <v>1687296</v>
      </c>
      <c r="AA64" s="9">
        <v>1687296</v>
      </c>
      <c r="AB64" s="9">
        <v>1687296</v>
      </c>
      <c r="AC64" s="9">
        <v>1687296</v>
      </c>
      <c r="AD64" s="9">
        <v>1687296</v>
      </c>
      <c r="AE64" s="9">
        <v>1687296</v>
      </c>
      <c r="AF64" s="9">
        <v>1687296</v>
      </c>
      <c r="AG64" s="9">
        <v>1687296</v>
      </c>
      <c r="AH64" s="9">
        <v>1687296</v>
      </c>
      <c r="AI64" s="9">
        <v>1687296</v>
      </c>
      <c r="AJ64" s="9">
        <v>1687296</v>
      </c>
      <c r="AK64" s="9">
        <v>1687296</v>
      </c>
      <c r="AL64" s="9">
        <v>1754787.8400000001</v>
      </c>
      <c r="AM64" s="9">
        <v>1754787.8400000001</v>
      </c>
      <c r="AN64" s="9">
        <v>1754787.8400000001</v>
      </c>
      <c r="AO64" s="9">
        <v>1754787.8400000001</v>
      </c>
      <c r="AP64" s="9">
        <v>1754787.8400000001</v>
      </c>
      <c r="AQ64" s="9">
        <v>1754787.8400000001</v>
      </c>
      <c r="AR64" s="9">
        <v>1754787.8400000001</v>
      </c>
      <c r="AS64" s="9">
        <v>1754787.8400000001</v>
      </c>
      <c r="AT64" s="9">
        <v>1754787.8400000001</v>
      </c>
      <c r="AU64" s="9">
        <v>1754787.8400000001</v>
      </c>
      <c r="AV64" s="9">
        <v>1754787.8400000001</v>
      </c>
      <c r="AW64" s="9">
        <v>1754787.8400000001</v>
      </c>
      <c r="AX64" s="9">
        <v>1824979.3536000003</v>
      </c>
      <c r="AY64" s="9">
        <v>1824979.3536000003</v>
      </c>
      <c r="AZ64" s="9">
        <v>1824979.3536000003</v>
      </c>
      <c r="BA64" s="9">
        <v>1824979.3536000003</v>
      </c>
      <c r="BB64" s="9">
        <v>1824979.3536000003</v>
      </c>
      <c r="BC64" s="9">
        <v>1824979.3536000003</v>
      </c>
      <c r="BD64" s="9">
        <v>1824979.3536000003</v>
      </c>
      <c r="BE64" s="9">
        <v>1824979.3536000003</v>
      </c>
      <c r="BF64" s="9">
        <v>1824979.3536000003</v>
      </c>
      <c r="BG64" s="9">
        <v>1824979.3536000003</v>
      </c>
      <c r="BH64" s="9">
        <v>1824979.3536000003</v>
      </c>
      <c r="BI64" s="9">
        <v>1824979.3536000003</v>
      </c>
      <c r="BJ64" s="9">
        <v>1897978.5277440003</v>
      </c>
      <c r="BK64" s="9">
        <v>1897978.5277440003</v>
      </c>
      <c r="BL64" s="9">
        <v>1897978.5277440003</v>
      </c>
      <c r="BM64" s="9">
        <v>1897978.5277440003</v>
      </c>
      <c r="BN64" s="9">
        <v>1897978.5277440003</v>
      </c>
      <c r="BO64" s="9">
        <v>1897978.5277440003</v>
      </c>
      <c r="BP64" s="9">
        <v>1897978.5277440003</v>
      </c>
      <c r="BQ64" s="9">
        <v>1897978.5277440003</v>
      </c>
      <c r="BR64" s="9">
        <v>1897978.5277440003</v>
      </c>
      <c r="BS64" s="9">
        <v>1897978.5277440003</v>
      </c>
      <c r="BT64" s="9">
        <v>1897978.5277440003</v>
      </c>
      <c r="BU64" s="9">
        <v>1897978.5277440003</v>
      </c>
      <c r="BV64" s="9">
        <v>1973897.6688537605</v>
      </c>
      <c r="BW64" s="9">
        <v>1973897.6688537605</v>
      </c>
      <c r="BX64" s="9">
        <v>1973897.6688537605</v>
      </c>
      <c r="BY64" s="9">
        <v>1973897.6688537605</v>
      </c>
      <c r="BZ64" s="9">
        <v>1973897.6688537605</v>
      </c>
      <c r="CA64" s="9">
        <v>1973897.6688537605</v>
      </c>
      <c r="CB64" s="9">
        <v>1973897.6688537605</v>
      </c>
      <c r="CC64" s="9">
        <v>1973897.6688537605</v>
      </c>
      <c r="CD64" s="9">
        <v>1973897.6688537605</v>
      </c>
      <c r="CE64" s="9">
        <v>1973897.6688537605</v>
      </c>
      <c r="CF64" s="9">
        <v>1973897.6688537605</v>
      </c>
      <c r="CG64" s="9">
        <v>1973897.6688537605</v>
      </c>
      <c r="CH64" s="9">
        <v>2052853.575607911</v>
      </c>
      <c r="CI64" s="9">
        <v>2052853.575607911</v>
      </c>
      <c r="CJ64" s="9">
        <v>2052853.575607911</v>
      </c>
      <c r="CK64" s="9">
        <v>2052853.575607911</v>
      </c>
      <c r="CL64" s="9">
        <v>2052853.575607911</v>
      </c>
      <c r="CM64" s="9">
        <v>2052853.575607911</v>
      </c>
      <c r="CN64" s="9">
        <v>2052853.575607911</v>
      </c>
      <c r="CO64" s="9">
        <v>2052853.575607911</v>
      </c>
      <c r="CP64" s="9">
        <v>2052853.575607911</v>
      </c>
      <c r="CQ64" s="9">
        <v>2052853.575607911</v>
      </c>
      <c r="CR64" s="9">
        <v>2052853.575607911</v>
      </c>
      <c r="CS64" s="9">
        <v>2052853.575607911</v>
      </c>
      <c r="CT64" s="9">
        <v>2134967.7186322273</v>
      </c>
      <c r="CU64" s="9">
        <v>2134967.7186322273</v>
      </c>
      <c r="CV64" s="9">
        <v>2134967.7186322273</v>
      </c>
      <c r="CW64" s="9">
        <v>2134967.7186322273</v>
      </c>
      <c r="CX64" s="9">
        <v>2134967.7186322273</v>
      </c>
      <c r="CY64" s="9">
        <v>2134967.7186322273</v>
      </c>
    </row>
    <row r="65" spans="1:103">
      <c r="A65" t="s">
        <v>335</v>
      </c>
      <c r="B65" s="40" t="s">
        <v>0</v>
      </c>
      <c r="C65" s="40" t="s">
        <v>333</v>
      </c>
      <c r="D65" s="9">
        <v>5928000</v>
      </c>
      <c r="E65" s="9">
        <v>5928000</v>
      </c>
      <c r="F65" s="9">
        <v>5928000</v>
      </c>
      <c r="G65" s="9">
        <v>5928000</v>
      </c>
      <c r="H65" s="9">
        <v>5928000</v>
      </c>
      <c r="I65" s="9">
        <v>5928000</v>
      </c>
      <c r="J65" s="9">
        <v>5928000</v>
      </c>
      <c r="K65" s="9">
        <v>5070000</v>
      </c>
      <c r="L65" s="9">
        <v>5070000</v>
      </c>
      <c r="M65" s="9">
        <v>5070000</v>
      </c>
      <c r="N65" s="9">
        <v>5272800</v>
      </c>
      <c r="O65" s="9">
        <v>5272800</v>
      </c>
      <c r="P65" s="9">
        <v>5272800</v>
      </c>
      <c r="Q65" s="9">
        <v>5272800</v>
      </c>
      <c r="R65" s="9">
        <v>5272800</v>
      </c>
      <c r="S65" s="9">
        <v>5272800</v>
      </c>
      <c r="T65" s="9">
        <v>4056000</v>
      </c>
      <c r="U65" s="9">
        <v>4056000</v>
      </c>
      <c r="V65" s="9">
        <v>3244800</v>
      </c>
      <c r="W65" s="9">
        <v>3244800</v>
      </c>
      <c r="X65" s="9">
        <v>3244800</v>
      </c>
      <c r="Y65" s="9">
        <v>3244800</v>
      </c>
      <c r="Z65" s="9">
        <v>3374592</v>
      </c>
      <c r="AA65" s="9">
        <v>3374592</v>
      </c>
      <c r="AB65" s="9">
        <v>3374592</v>
      </c>
      <c r="AC65" s="9">
        <v>3374592</v>
      </c>
      <c r="AD65" s="9">
        <v>3374592</v>
      </c>
      <c r="AE65" s="9">
        <v>3374592</v>
      </c>
      <c r="AF65" s="9">
        <v>3374592</v>
      </c>
      <c r="AG65" s="9">
        <v>2530944</v>
      </c>
      <c r="AH65" s="9">
        <v>2530944</v>
      </c>
      <c r="AI65" s="9">
        <v>2530944</v>
      </c>
      <c r="AJ65" s="9">
        <v>2530944</v>
      </c>
      <c r="AK65" s="9">
        <v>2530944</v>
      </c>
      <c r="AL65" s="9">
        <v>2632181.7600000002</v>
      </c>
      <c r="AM65" s="9">
        <v>2632181.7600000002</v>
      </c>
      <c r="AN65" s="9">
        <v>2632181.7600000002</v>
      </c>
      <c r="AO65" s="9">
        <v>2632181.7600000002</v>
      </c>
      <c r="AP65" s="9">
        <v>2632181.7600000002</v>
      </c>
      <c r="AQ65" s="9">
        <v>2632181.7600000002</v>
      </c>
      <c r="AR65" s="9">
        <v>1754787.8400000001</v>
      </c>
      <c r="AS65" s="9">
        <v>1754787.8400000001</v>
      </c>
      <c r="AT65" s="9">
        <v>1754787.8400000001</v>
      </c>
      <c r="AU65" s="9">
        <v>1754787.8400000001</v>
      </c>
      <c r="AV65" s="9">
        <v>1754787.8400000001</v>
      </c>
      <c r="AW65" s="9">
        <v>1754787.8400000001</v>
      </c>
      <c r="AX65" s="9">
        <v>1824979.3536000003</v>
      </c>
      <c r="AY65" s="9">
        <v>1824979.3536000003</v>
      </c>
      <c r="AZ65" s="9">
        <v>1824979.3536000003</v>
      </c>
      <c r="BA65" s="9">
        <v>1824979.3536000003</v>
      </c>
      <c r="BB65" s="9">
        <v>1824979.3536000003</v>
      </c>
      <c r="BC65" s="9">
        <v>1824979.3536000003</v>
      </c>
      <c r="BD65" s="9">
        <v>1824979.3536000003</v>
      </c>
      <c r="BE65" s="9">
        <v>1824979.3536000003</v>
      </c>
      <c r="BF65" s="9">
        <v>1824979.3536000003</v>
      </c>
      <c r="BG65" s="9">
        <v>1824979.3536000003</v>
      </c>
      <c r="BH65" s="9">
        <v>1824979.3536000003</v>
      </c>
      <c r="BI65" s="9">
        <v>1824979.3536000003</v>
      </c>
      <c r="BJ65" s="9">
        <v>1897978.5277440003</v>
      </c>
      <c r="BK65" s="9">
        <v>1897978.5277440003</v>
      </c>
      <c r="BL65" s="9">
        <v>1897978.5277440003</v>
      </c>
      <c r="BM65" s="9">
        <v>1897978.5277440003</v>
      </c>
      <c r="BN65" s="9">
        <v>1897978.5277440003</v>
      </c>
      <c r="BO65" s="9">
        <v>1897978.5277440003</v>
      </c>
      <c r="BP65" s="9">
        <v>1897978.5277440003</v>
      </c>
      <c r="BQ65" s="9">
        <v>1897978.5277440003</v>
      </c>
      <c r="BR65" s="9">
        <v>1897978.5277440003</v>
      </c>
      <c r="BS65" s="9">
        <v>1897978.5277440003</v>
      </c>
      <c r="BT65" s="9">
        <v>1897978.5277440003</v>
      </c>
      <c r="BU65" s="9">
        <v>1897978.5277440003</v>
      </c>
      <c r="BV65" s="9">
        <v>1973897.6688537605</v>
      </c>
      <c r="BW65" s="9">
        <v>1973897.6688537605</v>
      </c>
      <c r="BX65" s="9">
        <v>1973897.6688537605</v>
      </c>
      <c r="BY65" s="9">
        <v>1973897.6688537605</v>
      </c>
      <c r="BZ65" s="9">
        <v>1973897.6688537605</v>
      </c>
      <c r="CA65" s="9">
        <v>1973897.6688537605</v>
      </c>
      <c r="CB65" s="9">
        <v>1973897.6688537605</v>
      </c>
      <c r="CC65" s="9">
        <v>1973897.6688537605</v>
      </c>
      <c r="CD65" s="9">
        <v>1973897.6688537605</v>
      </c>
      <c r="CE65" s="9">
        <v>1579118.1350830083</v>
      </c>
      <c r="CF65" s="9">
        <v>1579118.1350830083</v>
      </c>
      <c r="CG65" s="9">
        <v>1579118.1350830083</v>
      </c>
      <c r="CH65" s="9">
        <v>1642282.8604863286</v>
      </c>
      <c r="CI65" s="9">
        <v>1642282.8604863286</v>
      </c>
      <c r="CJ65" s="9">
        <v>1642282.8604863286</v>
      </c>
      <c r="CK65" s="9">
        <v>1642282.8604863286</v>
      </c>
      <c r="CL65" s="9">
        <v>1642282.8604863286</v>
      </c>
      <c r="CM65" s="9">
        <v>1642282.8604863286</v>
      </c>
      <c r="CN65" s="9">
        <v>1642282.8604863286</v>
      </c>
      <c r="CO65" s="9">
        <v>1642282.8604863286</v>
      </c>
      <c r="CP65" s="9">
        <v>1642282.8604863286</v>
      </c>
      <c r="CQ65" s="9">
        <v>1642282.8604863286</v>
      </c>
      <c r="CR65" s="9">
        <v>1642282.8604863286</v>
      </c>
      <c r="CS65" s="9">
        <v>1642282.8604863286</v>
      </c>
      <c r="CT65" s="9">
        <v>1707974.1749057819</v>
      </c>
      <c r="CU65" s="9">
        <v>1707974.1749057819</v>
      </c>
      <c r="CV65" s="9">
        <v>1707974.1749057819</v>
      </c>
      <c r="CW65" s="9">
        <v>1707974.1749057819</v>
      </c>
      <c r="CX65" s="9">
        <v>1707974.1749057819</v>
      </c>
      <c r="CY65" s="9">
        <v>1707974.1749057819</v>
      </c>
    </row>
    <row r="66" spans="1:103">
      <c r="A66" t="s">
        <v>336</v>
      </c>
      <c r="B66" s="40" t="s">
        <v>0</v>
      </c>
      <c r="C66" s="40" t="s">
        <v>336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2608390.8975600004</v>
      </c>
      <c r="O66" s="9">
        <v>2608390.8975600004</v>
      </c>
      <c r="P66" s="9">
        <v>2608390.8975600004</v>
      </c>
      <c r="Q66" s="9">
        <v>2608390.8975600004</v>
      </c>
      <c r="R66" s="9">
        <v>2608390.8975600004</v>
      </c>
      <c r="S66" s="9">
        <v>2608390.8975600004</v>
      </c>
      <c r="T66" s="9">
        <v>2608390.8975600004</v>
      </c>
      <c r="U66" s="9">
        <v>2608390.8975600004</v>
      </c>
      <c r="V66" s="9">
        <v>2608390.8975600004</v>
      </c>
      <c r="W66" s="9">
        <v>2608390.8975600004</v>
      </c>
      <c r="X66" s="9">
        <v>2608390.8975600004</v>
      </c>
      <c r="Y66" s="9">
        <v>2608390.8975600004</v>
      </c>
      <c r="Z66" s="9">
        <v>2660558.7155112005</v>
      </c>
      <c r="AA66" s="9">
        <v>2660558.7155112005</v>
      </c>
      <c r="AB66" s="9">
        <v>2660558.7155112005</v>
      </c>
      <c r="AC66" s="9">
        <v>2660558.7155112005</v>
      </c>
      <c r="AD66" s="9">
        <v>2660558.7155112005</v>
      </c>
      <c r="AE66" s="9">
        <v>2660558.7155112005</v>
      </c>
      <c r="AF66" s="9">
        <v>2660558.7155112005</v>
      </c>
      <c r="AG66" s="9">
        <v>2660558.7155112005</v>
      </c>
      <c r="AH66" s="9">
        <v>2660558.7155112005</v>
      </c>
      <c r="AI66" s="9">
        <v>2660558.7155112005</v>
      </c>
      <c r="AJ66" s="9">
        <v>2660558.7155112005</v>
      </c>
      <c r="AK66" s="9">
        <v>2660558.7155112005</v>
      </c>
      <c r="AL66" s="9">
        <v>2713769.8898214246</v>
      </c>
      <c r="AM66" s="9">
        <v>2713769.8898214246</v>
      </c>
      <c r="AN66" s="9">
        <v>2713769.8898214246</v>
      </c>
      <c r="AO66" s="9">
        <v>2713769.8898214246</v>
      </c>
      <c r="AP66" s="9">
        <v>2713769.8898214246</v>
      </c>
      <c r="AQ66" s="9">
        <v>2713769.8898214246</v>
      </c>
      <c r="AR66" s="9">
        <v>2713769.8898214246</v>
      </c>
      <c r="AS66" s="9">
        <v>2713769.8898214246</v>
      </c>
      <c r="AT66" s="9">
        <v>2713769.8898214246</v>
      </c>
      <c r="AU66" s="9">
        <v>2713769.8898214246</v>
      </c>
      <c r="AV66" s="9">
        <v>2713769.8898214246</v>
      </c>
      <c r="AW66" s="9">
        <v>2713769.8898214246</v>
      </c>
      <c r="AX66" s="9">
        <v>2768045.2876178529</v>
      </c>
      <c r="AY66" s="9">
        <v>2768045.2876178529</v>
      </c>
      <c r="AZ66" s="9">
        <v>2768045.2876178529</v>
      </c>
      <c r="BA66" s="9">
        <v>2768045.2876178529</v>
      </c>
      <c r="BB66" s="9">
        <v>2768045.2876178529</v>
      </c>
      <c r="BC66" s="9">
        <v>2768045.2876178529</v>
      </c>
      <c r="BD66" s="9">
        <v>2768045.2876178529</v>
      </c>
      <c r="BE66" s="9">
        <v>2768045.2876178529</v>
      </c>
      <c r="BF66" s="9">
        <v>2768045.2876178529</v>
      </c>
      <c r="BG66" s="9">
        <v>2768045.2876178529</v>
      </c>
      <c r="BH66" s="9">
        <v>2768045.2876178529</v>
      </c>
      <c r="BI66" s="9">
        <v>2768045.2876178529</v>
      </c>
      <c r="BJ66" s="9">
        <v>2823406.19337021</v>
      </c>
      <c r="BK66" s="9">
        <v>2823406.19337021</v>
      </c>
      <c r="BL66" s="9">
        <v>2823406.19337021</v>
      </c>
      <c r="BM66" s="9">
        <v>1254847.1970534266</v>
      </c>
      <c r="BN66" s="9">
        <v>1254847.1970534266</v>
      </c>
      <c r="BO66" s="9">
        <v>1254847.1970534266</v>
      </c>
      <c r="BP66" s="9">
        <v>1882270.7955801401</v>
      </c>
      <c r="BQ66" s="9">
        <v>1882270.7955801401</v>
      </c>
      <c r="BR66" s="9">
        <v>1882270.7955801401</v>
      </c>
      <c r="BS66" s="9">
        <v>1882270.7955801401</v>
      </c>
      <c r="BT66" s="9">
        <v>14556227.48581975</v>
      </c>
      <c r="BU66" s="9">
        <v>3137117.9926335667</v>
      </c>
      <c r="BV66" s="9">
        <v>7359678.8107183473</v>
      </c>
      <c r="BW66" s="9">
        <v>8959608.9869614672</v>
      </c>
      <c r="BX66" s="9">
        <v>8959608.9869614672</v>
      </c>
      <c r="BY66" s="9">
        <v>8968568.5959484279</v>
      </c>
      <c r="BZ66" s="9">
        <v>8992887.534627324</v>
      </c>
      <c r="CA66" s="9">
        <v>8999927.2274027932</v>
      </c>
      <c r="CB66" s="9">
        <v>8991607.590486329</v>
      </c>
      <c r="CC66" s="9">
        <v>8989687.6742748376</v>
      </c>
      <c r="CD66" s="9">
        <v>8973688.3725124057</v>
      </c>
      <c r="CE66" s="9">
        <v>8959608.9869614672</v>
      </c>
      <c r="CF66" s="9">
        <v>8959608.9869614672</v>
      </c>
      <c r="CG66" s="9">
        <v>8959608.9869614672</v>
      </c>
      <c r="CH66" s="9">
        <v>9138801.1667006966</v>
      </c>
      <c r="CI66" s="9">
        <v>9138801.1667006966</v>
      </c>
      <c r="CJ66" s="9">
        <v>3916629.0714431554</v>
      </c>
      <c r="CK66" s="9">
        <v>3916629.0714431554</v>
      </c>
      <c r="CL66" s="9">
        <v>3916629.0714431554</v>
      </c>
      <c r="CM66" s="9">
        <v>3916629.0714431554</v>
      </c>
      <c r="CN66" s="9">
        <v>3916629.0714431554</v>
      </c>
      <c r="CO66" s="9">
        <v>3916629.0714431554</v>
      </c>
      <c r="CP66" s="9">
        <v>3916629.0714431554</v>
      </c>
      <c r="CQ66" s="9">
        <v>3916629.0714431554</v>
      </c>
      <c r="CR66" s="9">
        <v>3916629.0714431554</v>
      </c>
      <c r="CS66" s="9">
        <v>3916629.0714431554</v>
      </c>
      <c r="CT66" s="9">
        <v>3994961.652872019</v>
      </c>
      <c r="CU66" s="9">
        <v>3994961.652872019</v>
      </c>
      <c r="CV66" s="9">
        <v>1997480.8264360095</v>
      </c>
      <c r="CW66" s="9">
        <v>1997480.8264360095</v>
      </c>
      <c r="CX66" s="9">
        <v>1997480.8264360095</v>
      </c>
      <c r="CY66" s="9">
        <v>1997480.8264360095</v>
      </c>
    </row>
    <row r="67" spans="1:103">
      <c r="A67" t="s">
        <v>337</v>
      </c>
      <c r="B67" s="40" t="s">
        <v>338</v>
      </c>
      <c r="C67" s="40" t="s">
        <v>281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38288.639999999999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39820.185600000004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41412.993024000003</v>
      </c>
      <c r="AI67" s="9">
        <v>0</v>
      </c>
      <c r="AJ67" s="9">
        <v>0</v>
      </c>
      <c r="AK67" s="9">
        <v>0</v>
      </c>
      <c r="AL67" s="9">
        <v>0</v>
      </c>
      <c r="AM67" s="9">
        <v>0</v>
      </c>
      <c r="AN67" s="9">
        <v>0</v>
      </c>
      <c r="AO67" s="9">
        <v>0</v>
      </c>
      <c r="AP67" s="9">
        <v>0</v>
      </c>
      <c r="AQ67" s="9">
        <v>0</v>
      </c>
      <c r="AR67" s="9">
        <v>0</v>
      </c>
      <c r="AS67" s="9">
        <v>0</v>
      </c>
      <c r="AT67" s="9">
        <v>43069.512744960004</v>
      </c>
      <c r="AU67" s="9">
        <v>0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44792.293254758406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0</v>
      </c>
      <c r="BQ67" s="9">
        <v>0</v>
      </c>
      <c r="BR67" s="9">
        <v>46583.984984948744</v>
      </c>
      <c r="BS67" s="9">
        <v>0</v>
      </c>
      <c r="BT67" s="9">
        <v>0</v>
      </c>
      <c r="BU67" s="9">
        <v>0</v>
      </c>
      <c r="BV67" s="9">
        <v>0</v>
      </c>
      <c r="BW67" s="9">
        <v>0</v>
      </c>
      <c r="BX67" s="9">
        <v>0</v>
      </c>
      <c r="BY67" s="9">
        <v>0</v>
      </c>
      <c r="BZ67" s="9">
        <v>0</v>
      </c>
      <c r="CA67" s="9">
        <v>0</v>
      </c>
      <c r="CB67" s="9">
        <v>0</v>
      </c>
      <c r="CC67" s="9">
        <v>0</v>
      </c>
      <c r="CD67" s="9">
        <v>48447.344384346696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0</v>
      </c>
      <c r="CU67" s="9">
        <v>0</v>
      </c>
      <c r="CV67" s="9">
        <v>0</v>
      </c>
      <c r="CW67" s="9">
        <v>0</v>
      </c>
      <c r="CX67" s="9">
        <v>0</v>
      </c>
      <c r="CY67" s="9">
        <v>0</v>
      </c>
    </row>
    <row r="68" spans="1:103">
      <c r="A68" t="s">
        <v>339</v>
      </c>
      <c r="B68" s="40" t="s">
        <v>338</v>
      </c>
      <c r="C68" s="40" t="s">
        <v>281</v>
      </c>
      <c r="D68" s="9">
        <v>20739.68</v>
      </c>
      <c r="E68" s="9">
        <v>20739.68</v>
      </c>
      <c r="F68" s="9">
        <v>20739.68</v>
      </c>
      <c r="G68" s="9">
        <v>20739.68</v>
      </c>
      <c r="H68" s="9">
        <v>20739.68</v>
      </c>
      <c r="I68" s="9">
        <v>20739.68</v>
      </c>
      <c r="J68" s="9">
        <v>20739.68</v>
      </c>
      <c r="K68" s="9">
        <v>20739.68</v>
      </c>
      <c r="L68" s="9">
        <v>21569.267199999998</v>
      </c>
      <c r="M68" s="9">
        <v>21569.267199999998</v>
      </c>
      <c r="N68" s="9">
        <v>21569.267199999998</v>
      </c>
      <c r="O68" s="9">
        <v>21569.267199999998</v>
      </c>
      <c r="P68" s="9">
        <v>21569.267199999998</v>
      </c>
      <c r="Q68" s="9">
        <v>21569.267199999998</v>
      </c>
      <c r="R68" s="9">
        <v>21569.267199999998</v>
      </c>
      <c r="S68" s="9">
        <v>21569.267199999998</v>
      </c>
      <c r="T68" s="9">
        <v>21569.267199999998</v>
      </c>
      <c r="U68" s="9">
        <v>21569.267199999998</v>
      </c>
      <c r="V68" s="9">
        <v>21569.267199999998</v>
      </c>
      <c r="W68" s="9">
        <v>21569.267199999998</v>
      </c>
      <c r="X68" s="9">
        <v>22432.037888000003</v>
      </c>
      <c r="Y68" s="9">
        <v>22432.037888000003</v>
      </c>
      <c r="Z68" s="9">
        <v>22432.037888000003</v>
      </c>
      <c r="AA68" s="9">
        <v>22432.037888000003</v>
      </c>
      <c r="AB68" s="9">
        <v>22432.037888000003</v>
      </c>
      <c r="AC68" s="9">
        <v>22432.037888000003</v>
      </c>
      <c r="AD68" s="9">
        <v>22432.037888000003</v>
      </c>
      <c r="AE68" s="9">
        <v>22432.037888000003</v>
      </c>
      <c r="AF68" s="9">
        <v>22432.037888000003</v>
      </c>
      <c r="AG68" s="9">
        <v>22432.037888000003</v>
      </c>
      <c r="AH68" s="9">
        <v>22432.037888000003</v>
      </c>
      <c r="AI68" s="9">
        <v>22432.037888000003</v>
      </c>
      <c r="AJ68" s="9">
        <v>23329.319403520003</v>
      </c>
      <c r="AK68" s="9">
        <v>23329.319403520003</v>
      </c>
      <c r="AL68" s="9">
        <v>23329.319403520003</v>
      </c>
      <c r="AM68" s="9">
        <v>23329.319403520003</v>
      </c>
      <c r="AN68" s="9">
        <v>23329.319403520003</v>
      </c>
      <c r="AO68" s="9">
        <v>23329.319403520003</v>
      </c>
      <c r="AP68" s="9">
        <v>23329.319403520003</v>
      </c>
      <c r="AQ68" s="9">
        <v>23329.319403520003</v>
      </c>
      <c r="AR68" s="9">
        <v>23329.319403520003</v>
      </c>
      <c r="AS68" s="9">
        <v>23329.319403520003</v>
      </c>
      <c r="AT68" s="9">
        <v>23329.319403520003</v>
      </c>
      <c r="AU68" s="9">
        <v>23329.319403520003</v>
      </c>
      <c r="AV68" s="9">
        <v>24262.492179660803</v>
      </c>
      <c r="AW68" s="9">
        <v>24262.492179660803</v>
      </c>
      <c r="AX68" s="9">
        <v>24262.492179660803</v>
      </c>
      <c r="AY68" s="9">
        <v>24262.492179660803</v>
      </c>
      <c r="AZ68" s="9">
        <v>24262.492179660803</v>
      </c>
      <c r="BA68" s="9">
        <v>24262.492179660803</v>
      </c>
      <c r="BB68" s="9">
        <v>24262.492179660803</v>
      </c>
      <c r="BC68" s="9">
        <v>24262.492179660803</v>
      </c>
      <c r="BD68" s="9">
        <v>24262.492179660803</v>
      </c>
      <c r="BE68" s="9">
        <v>24262.492179660803</v>
      </c>
      <c r="BF68" s="9">
        <v>24262.492179660803</v>
      </c>
      <c r="BG68" s="9">
        <v>24262.492179660803</v>
      </c>
      <c r="BH68" s="9">
        <v>25232.991866847235</v>
      </c>
      <c r="BI68" s="9">
        <v>25232.991866847235</v>
      </c>
      <c r="BJ68" s="9">
        <v>25232.991866847235</v>
      </c>
      <c r="BK68" s="9">
        <v>25232.991866847235</v>
      </c>
      <c r="BL68" s="9">
        <v>25232.991866847235</v>
      </c>
      <c r="BM68" s="9">
        <v>25232.991866847235</v>
      </c>
      <c r="BN68" s="9">
        <v>25232.991866847235</v>
      </c>
      <c r="BO68" s="9">
        <v>25232.991866847235</v>
      </c>
      <c r="BP68" s="9">
        <v>25232.991866847235</v>
      </c>
      <c r="BQ68" s="9">
        <v>25232.991866847235</v>
      </c>
      <c r="BR68" s="9">
        <v>25232.991866847235</v>
      </c>
      <c r="BS68" s="9">
        <v>25232.991866847235</v>
      </c>
      <c r="BT68" s="9">
        <v>26242.311541521125</v>
      </c>
      <c r="BU68" s="9">
        <v>26242.311541521125</v>
      </c>
      <c r="BV68" s="9">
        <v>26242.311541521125</v>
      </c>
      <c r="BW68" s="9">
        <v>26242.311541521125</v>
      </c>
      <c r="BX68" s="9">
        <v>26242.311541521125</v>
      </c>
      <c r="BY68" s="9">
        <v>26242.311541521125</v>
      </c>
      <c r="BZ68" s="9">
        <v>26242.311541521125</v>
      </c>
      <c r="CA68" s="9">
        <v>26242.311541521125</v>
      </c>
      <c r="CB68" s="9">
        <v>26242.311541521125</v>
      </c>
      <c r="CC68" s="9">
        <v>26242.311541521125</v>
      </c>
      <c r="CD68" s="9">
        <v>26242.311541521125</v>
      </c>
      <c r="CE68" s="9">
        <v>26242.311541521125</v>
      </c>
      <c r="CF68" s="9">
        <v>27292.00400318197</v>
      </c>
      <c r="CG68" s="9">
        <v>27292.00400318197</v>
      </c>
      <c r="CH68" s="9">
        <v>27292.00400318197</v>
      </c>
      <c r="CI68" s="9">
        <v>27292.00400318197</v>
      </c>
      <c r="CJ68" s="9">
        <v>27292.00400318197</v>
      </c>
      <c r="CK68" s="9">
        <v>27292.00400318197</v>
      </c>
      <c r="CL68" s="9">
        <v>27292.00400318197</v>
      </c>
      <c r="CM68" s="9">
        <v>27292.00400318197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</v>
      </c>
      <c r="CV68" s="9">
        <v>0</v>
      </c>
      <c r="CW68" s="9">
        <v>0</v>
      </c>
      <c r="CX68" s="9">
        <v>0</v>
      </c>
      <c r="CY68" s="9">
        <v>0</v>
      </c>
    </row>
    <row r="69" spans="1:103">
      <c r="A69" t="s">
        <v>340</v>
      </c>
      <c r="B69" s="40" t="s">
        <v>338</v>
      </c>
      <c r="C69" s="40" t="s">
        <v>281</v>
      </c>
      <c r="D69" s="9">
        <v>12167.278933333331</v>
      </c>
      <c r="E69" s="9">
        <v>12167.278933333331</v>
      </c>
      <c r="F69" s="9">
        <v>12167.278933333331</v>
      </c>
      <c r="G69" s="9">
        <v>12167.278933333331</v>
      </c>
      <c r="H69" s="9">
        <v>12167.278933333331</v>
      </c>
      <c r="I69" s="9">
        <v>12167.278933333331</v>
      </c>
      <c r="J69" s="9">
        <v>12167.278933333331</v>
      </c>
      <c r="K69" s="9">
        <v>12167.278933333331</v>
      </c>
      <c r="L69" s="9">
        <v>12653.970090666666</v>
      </c>
      <c r="M69" s="9">
        <v>12653.970090666666</v>
      </c>
      <c r="N69" s="9">
        <v>12653.970090666666</v>
      </c>
      <c r="O69" s="9">
        <v>12653.970090666666</v>
      </c>
      <c r="P69" s="9">
        <v>12653.970090666666</v>
      </c>
      <c r="Q69" s="9">
        <v>12653.970090666666</v>
      </c>
      <c r="R69" s="9">
        <v>12653.970090666666</v>
      </c>
      <c r="S69" s="9">
        <v>12653.970090666666</v>
      </c>
      <c r="T69" s="9">
        <v>12653.970090666666</v>
      </c>
      <c r="U69" s="9">
        <v>12653.970090666666</v>
      </c>
      <c r="V69" s="9">
        <v>12653.970090666666</v>
      </c>
      <c r="W69" s="9">
        <v>12653.970090666666</v>
      </c>
      <c r="X69" s="9">
        <v>13160.128894293332</v>
      </c>
      <c r="Y69" s="9">
        <v>13160.128894293332</v>
      </c>
      <c r="Z69" s="9">
        <v>13160.128894293332</v>
      </c>
      <c r="AA69" s="9">
        <v>13160.128894293332</v>
      </c>
      <c r="AB69" s="9">
        <v>13160.128894293332</v>
      </c>
      <c r="AC69" s="9">
        <v>13160.128894293332</v>
      </c>
      <c r="AD69" s="9">
        <v>13160.128894293332</v>
      </c>
      <c r="AE69" s="9">
        <v>13160.128894293332</v>
      </c>
      <c r="AF69" s="9">
        <v>13160.128894293332</v>
      </c>
      <c r="AG69" s="9">
        <v>13160.128894293332</v>
      </c>
      <c r="AH69" s="9">
        <v>13160.128894293332</v>
      </c>
      <c r="AI69" s="9">
        <v>13160.128894293332</v>
      </c>
      <c r="AJ69" s="9">
        <v>13686.534050065065</v>
      </c>
      <c r="AK69" s="9">
        <v>13686.534050065065</v>
      </c>
      <c r="AL69" s="9">
        <v>13686.534050065065</v>
      </c>
      <c r="AM69" s="9">
        <v>13686.534050065065</v>
      </c>
      <c r="AN69" s="9">
        <v>13686.534050065065</v>
      </c>
      <c r="AO69" s="9">
        <v>13686.534050065065</v>
      </c>
      <c r="AP69" s="9">
        <v>13686.534050065065</v>
      </c>
      <c r="AQ69" s="9">
        <v>13686.534050065065</v>
      </c>
      <c r="AR69" s="9">
        <v>13686.534050065065</v>
      </c>
      <c r="AS69" s="9">
        <v>13686.534050065065</v>
      </c>
      <c r="AT69" s="9">
        <v>13686.534050065065</v>
      </c>
      <c r="AU69" s="9">
        <v>13686.534050065065</v>
      </c>
      <c r="AV69" s="9">
        <v>14233.995412067668</v>
      </c>
      <c r="AW69" s="9">
        <v>14233.995412067668</v>
      </c>
      <c r="AX69" s="9">
        <v>14233.995412067668</v>
      </c>
      <c r="AY69" s="9">
        <v>14233.995412067668</v>
      </c>
      <c r="AZ69" s="9">
        <v>14233.995412067668</v>
      </c>
      <c r="BA69" s="9">
        <v>14233.995412067668</v>
      </c>
      <c r="BB69" s="9">
        <v>14233.995412067668</v>
      </c>
      <c r="BC69" s="9">
        <v>14233.995412067668</v>
      </c>
      <c r="BD69" s="9">
        <v>14233.995412067668</v>
      </c>
      <c r="BE69" s="9">
        <v>14233.995412067668</v>
      </c>
      <c r="BF69" s="9">
        <v>14233.995412067668</v>
      </c>
      <c r="BG69" s="9">
        <v>14233.995412067668</v>
      </c>
      <c r="BH69" s="9">
        <v>14803.355228550376</v>
      </c>
      <c r="BI69" s="9">
        <v>14803.355228550376</v>
      </c>
      <c r="BJ69" s="9">
        <v>14803.355228550376</v>
      </c>
      <c r="BK69" s="9">
        <v>14803.355228550376</v>
      </c>
      <c r="BL69" s="9">
        <v>14803.355228550376</v>
      </c>
      <c r="BM69" s="9">
        <v>14803.355228550376</v>
      </c>
      <c r="BN69" s="9">
        <v>14803.355228550376</v>
      </c>
      <c r="BO69" s="9">
        <v>14803.355228550376</v>
      </c>
      <c r="BP69" s="9">
        <v>14803.355228550376</v>
      </c>
      <c r="BQ69" s="9">
        <v>14803.355228550376</v>
      </c>
      <c r="BR69" s="9">
        <v>14803.355228550376</v>
      </c>
      <c r="BS69" s="9">
        <v>14803.355228550376</v>
      </c>
      <c r="BT69" s="9">
        <v>15395.489437692391</v>
      </c>
      <c r="BU69" s="9">
        <v>15395.489437692391</v>
      </c>
      <c r="BV69" s="9">
        <v>15395.489437692391</v>
      </c>
      <c r="BW69" s="9">
        <v>15395.489437692391</v>
      </c>
      <c r="BX69" s="9">
        <v>15395.489437692391</v>
      </c>
      <c r="BY69" s="9">
        <v>15395.489437692391</v>
      </c>
      <c r="BZ69" s="9">
        <v>15395.489437692391</v>
      </c>
      <c r="CA69" s="9">
        <v>15395.489437692391</v>
      </c>
      <c r="CB69" s="9">
        <v>15395.489437692391</v>
      </c>
      <c r="CC69" s="9">
        <v>15395.489437692391</v>
      </c>
      <c r="CD69" s="9">
        <v>15395.489437692391</v>
      </c>
      <c r="CE69" s="9">
        <v>15395.489437692391</v>
      </c>
      <c r="CF69" s="9">
        <v>16011.309015200086</v>
      </c>
      <c r="CG69" s="9">
        <v>16011.309015200086</v>
      </c>
      <c r="CH69" s="9">
        <v>16011.309015200086</v>
      </c>
      <c r="CI69" s="9">
        <v>16011.309015200086</v>
      </c>
      <c r="CJ69" s="9">
        <v>16011.309015200086</v>
      </c>
      <c r="CK69" s="9">
        <v>16011.309015200086</v>
      </c>
      <c r="CL69" s="9">
        <v>16011.309015200086</v>
      </c>
      <c r="CM69" s="9">
        <v>16011.309015200086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0</v>
      </c>
      <c r="CU69" s="9">
        <v>0</v>
      </c>
      <c r="CV69" s="9">
        <v>0</v>
      </c>
      <c r="CW69" s="9">
        <v>0</v>
      </c>
      <c r="CX69" s="9">
        <v>0</v>
      </c>
      <c r="CY69" s="9">
        <v>0</v>
      </c>
    </row>
    <row r="70" spans="1:103">
      <c r="A70" t="s">
        <v>341</v>
      </c>
      <c r="B70" s="40" t="s">
        <v>338</v>
      </c>
      <c r="C70" s="40" t="s">
        <v>281</v>
      </c>
      <c r="D70" s="9">
        <v>0</v>
      </c>
      <c r="E70" s="9">
        <v>0</v>
      </c>
      <c r="F70" s="9">
        <v>0</v>
      </c>
      <c r="G70" s="9">
        <v>283379.20000000001</v>
      </c>
      <c r="H70" s="9">
        <v>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9">
        <v>0</v>
      </c>
      <c r="S70" s="9">
        <v>294714.36800000002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306502.94272000005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</v>
      </c>
      <c r="AM70" s="9">
        <v>0</v>
      </c>
      <c r="AN70" s="9">
        <v>0</v>
      </c>
      <c r="AO70" s="9">
        <v>0</v>
      </c>
      <c r="AP70" s="9">
        <v>0</v>
      </c>
      <c r="AQ70" s="9">
        <v>318763.06042880006</v>
      </c>
      <c r="AR70" s="9">
        <v>0</v>
      </c>
      <c r="AS70" s="9">
        <v>0</v>
      </c>
      <c r="AT70" s="9">
        <v>0</v>
      </c>
      <c r="AU70" s="9">
        <v>0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331513.58284595207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344774.12615979015</v>
      </c>
      <c r="BP70" s="9">
        <v>0</v>
      </c>
      <c r="BQ70" s="9">
        <v>0</v>
      </c>
      <c r="BR70" s="9">
        <v>0</v>
      </c>
      <c r="BS70" s="9">
        <v>0</v>
      </c>
      <c r="BT70" s="9">
        <v>0</v>
      </c>
      <c r="BU70" s="9">
        <v>0</v>
      </c>
      <c r="BV70" s="9">
        <v>0</v>
      </c>
      <c r="BW70" s="9">
        <v>0</v>
      </c>
      <c r="BX70" s="9">
        <v>0</v>
      </c>
      <c r="BY70" s="9">
        <v>0</v>
      </c>
      <c r="BZ70" s="9">
        <v>0</v>
      </c>
      <c r="CA70" s="9">
        <v>358565.09120618174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372907.69485442899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</v>
      </c>
      <c r="CU70" s="9">
        <v>0</v>
      </c>
      <c r="CV70" s="9">
        <v>0</v>
      </c>
      <c r="CW70" s="9">
        <v>0</v>
      </c>
      <c r="CX70" s="9">
        <v>0</v>
      </c>
      <c r="CY70" s="9">
        <v>0</v>
      </c>
    </row>
    <row r="71" spans="1:103">
      <c r="A71" t="s">
        <v>342</v>
      </c>
      <c r="B71" s="40" t="s">
        <v>338</v>
      </c>
      <c r="C71" s="40" t="s">
        <v>281</v>
      </c>
      <c r="D71" s="9">
        <v>7030.4</v>
      </c>
      <c r="E71" s="9">
        <v>7030.4</v>
      </c>
      <c r="F71" s="9">
        <v>7030.4</v>
      </c>
      <c r="G71" s="9">
        <v>7030.4</v>
      </c>
      <c r="H71" s="9">
        <v>7030.4</v>
      </c>
      <c r="I71" s="9">
        <v>7030.4</v>
      </c>
      <c r="J71" s="9">
        <v>7030.4</v>
      </c>
      <c r="K71" s="9">
        <v>7030.4</v>
      </c>
      <c r="L71" s="9">
        <v>7311.616</v>
      </c>
      <c r="M71" s="9">
        <v>7311.616</v>
      </c>
      <c r="N71" s="9">
        <v>7311.616</v>
      </c>
      <c r="O71" s="9">
        <v>7311.616</v>
      </c>
      <c r="P71" s="9">
        <v>7311.616</v>
      </c>
      <c r="Q71" s="9">
        <v>7311.616</v>
      </c>
      <c r="R71" s="9">
        <v>7311.616</v>
      </c>
      <c r="S71" s="9">
        <v>7311.616</v>
      </c>
      <c r="T71" s="9">
        <v>7311.616</v>
      </c>
      <c r="U71" s="9">
        <v>7311.616</v>
      </c>
      <c r="V71" s="9">
        <v>7311.616</v>
      </c>
      <c r="W71" s="9">
        <v>7311.616</v>
      </c>
      <c r="X71" s="9">
        <v>7604.080640000001</v>
      </c>
      <c r="Y71" s="9">
        <v>7604.080640000001</v>
      </c>
      <c r="Z71" s="9">
        <v>7604.080640000001</v>
      </c>
      <c r="AA71" s="9">
        <v>7604.080640000001</v>
      </c>
      <c r="AB71" s="9">
        <v>7604.080640000001</v>
      </c>
      <c r="AC71" s="9">
        <v>7604.080640000001</v>
      </c>
      <c r="AD71" s="9">
        <v>7604.080640000001</v>
      </c>
      <c r="AE71" s="9">
        <v>7604.080640000001</v>
      </c>
      <c r="AF71" s="9">
        <v>7604.080640000001</v>
      </c>
      <c r="AG71" s="9">
        <v>7604.080640000001</v>
      </c>
      <c r="AH71" s="9">
        <v>7604.080640000001</v>
      </c>
      <c r="AI71" s="9">
        <v>7604.080640000001</v>
      </c>
      <c r="AJ71" s="9">
        <v>7908.2438656000013</v>
      </c>
      <c r="AK71" s="9">
        <v>7908.2438656000013</v>
      </c>
      <c r="AL71" s="9">
        <v>7908.2438656000013</v>
      </c>
      <c r="AM71" s="9">
        <v>7908.2438656000013</v>
      </c>
      <c r="AN71" s="9">
        <v>7908.2438656000013</v>
      </c>
      <c r="AO71" s="9">
        <v>7908.2438656000013</v>
      </c>
      <c r="AP71" s="9">
        <v>7908.2438656000013</v>
      </c>
      <c r="AQ71" s="9">
        <v>7908.2438656000013</v>
      </c>
      <c r="AR71" s="9">
        <v>7908.2438656000013</v>
      </c>
      <c r="AS71" s="9">
        <v>7908.2438656000013</v>
      </c>
      <c r="AT71" s="9">
        <v>7908.2438656000013</v>
      </c>
      <c r="AU71" s="9">
        <v>7908.2438656000013</v>
      </c>
      <c r="AV71" s="9">
        <v>8224.5736202240005</v>
      </c>
      <c r="AW71" s="9">
        <v>8224.5736202240005</v>
      </c>
      <c r="AX71" s="9">
        <v>8224.5736202240005</v>
      </c>
      <c r="AY71" s="9">
        <v>8224.5736202240005</v>
      </c>
      <c r="AZ71" s="9">
        <v>8224.5736202240005</v>
      </c>
      <c r="BA71" s="9">
        <v>8224.5736202240005</v>
      </c>
      <c r="BB71" s="9">
        <v>8224.5736202240005</v>
      </c>
      <c r="BC71" s="9">
        <v>8224.5736202240005</v>
      </c>
      <c r="BD71" s="9">
        <v>8224.5736202240005</v>
      </c>
      <c r="BE71" s="9">
        <v>8224.5736202240005</v>
      </c>
      <c r="BF71" s="9">
        <v>8224.5736202240005</v>
      </c>
      <c r="BG71" s="9">
        <v>8224.5736202240005</v>
      </c>
      <c r="BH71" s="9">
        <v>8553.5565650329609</v>
      </c>
      <c r="BI71" s="9">
        <v>8553.5565650329609</v>
      </c>
      <c r="BJ71" s="9">
        <v>8553.5565650329609</v>
      </c>
      <c r="BK71" s="9">
        <v>8553.5565650329609</v>
      </c>
      <c r="BL71" s="9">
        <v>8553.5565650329609</v>
      </c>
      <c r="BM71" s="9">
        <v>8553.5565650329609</v>
      </c>
      <c r="BN71" s="9">
        <v>8553.5565650329609</v>
      </c>
      <c r="BO71" s="9">
        <v>8553.5565650329609</v>
      </c>
      <c r="BP71" s="9">
        <v>8553.5565650329609</v>
      </c>
      <c r="BQ71" s="9">
        <v>8553.5565650329609</v>
      </c>
      <c r="BR71" s="9">
        <v>8553.5565650329609</v>
      </c>
      <c r="BS71" s="9">
        <v>8553.5565650329609</v>
      </c>
      <c r="BT71" s="9">
        <v>8895.69882763428</v>
      </c>
      <c r="BU71" s="9">
        <v>8895.69882763428</v>
      </c>
      <c r="BV71" s="9">
        <v>8895.69882763428</v>
      </c>
      <c r="BW71" s="9">
        <v>8895.69882763428</v>
      </c>
      <c r="BX71" s="9">
        <v>8895.69882763428</v>
      </c>
      <c r="BY71" s="9">
        <v>8895.69882763428</v>
      </c>
      <c r="BZ71" s="9">
        <v>8895.69882763428</v>
      </c>
      <c r="CA71" s="9">
        <v>8895.69882763428</v>
      </c>
      <c r="CB71" s="9">
        <v>8895.69882763428</v>
      </c>
      <c r="CC71" s="9">
        <v>8895.69882763428</v>
      </c>
      <c r="CD71" s="9">
        <v>8895.69882763428</v>
      </c>
      <c r="CE71" s="9">
        <v>8895.69882763428</v>
      </c>
      <c r="CF71" s="9">
        <v>9251.5267807396522</v>
      </c>
      <c r="CG71" s="9">
        <v>9251.5267807396522</v>
      </c>
      <c r="CH71" s="9">
        <v>9251.5267807396522</v>
      </c>
      <c r="CI71" s="9">
        <v>9251.5267807396522</v>
      </c>
      <c r="CJ71" s="9">
        <v>9251.5267807396522</v>
      </c>
      <c r="CK71" s="9">
        <v>9251.5267807396522</v>
      </c>
      <c r="CL71" s="9">
        <v>9251.5267807396522</v>
      </c>
      <c r="CM71" s="9">
        <v>9251.5267807396522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0</v>
      </c>
      <c r="CU71" s="9">
        <v>0</v>
      </c>
      <c r="CV71" s="9">
        <v>0</v>
      </c>
      <c r="CW71" s="9">
        <v>0</v>
      </c>
      <c r="CX71" s="9">
        <v>0</v>
      </c>
      <c r="CY71" s="9">
        <v>0</v>
      </c>
    </row>
    <row r="72" spans="1:103">
      <c r="A72" t="s">
        <v>343</v>
      </c>
      <c r="B72" s="40" t="s">
        <v>338</v>
      </c>
      <c r="C72" s="40" t="s">
        <v>281</v>
      </c>
      <c r="D72" s="9">
        <v>12762.880000000001</v>
      </c>
      <c r="E72" s="9">
        <v>12762.880000000001</v>
      </c>
      <c r="F72" s="9">
        <v>12762.880000000001</v>
      </c>
      <c r="G72" s="9">
        <v>12762.880000000001</v>
      </c>
      <c r="H72" s="9">
        <v>12762.880000000001</v>
      </c>
      <c r="I72" s="9">
        <v>12762.880000000001</v>
      </c>
      <c r="J72" s="9">
        <v>12762.880000000001</v>
      </c>
      <c r="K72" s="9">
        <v>12762.880000000001</v>
      </c>
      <c r="L72" s="9">
        <v>13273.395200000001</v>
      </c>
      <c r="M72" s="9">
        <v>13273.395200000001</v>
      </c>
      <c r="N72" s="9">
        <v>13273.395200000001</v>
      </c>
      <c r="O72" s="9">
        <v>13273.395200000001</v>
      </c>
      <c r="P72" s="9">
        <v>13273.395200000001</v>
      </c>
      <c r="Q72" s="9">
        <v>13273.395200000001</v>
      </c>
      <c r="R72" s="9">
        <v>13273.395200000001</v>
      </c>
      <c r="S72" s="9">
        <v>13273.395200000001</v>
      </c>
      <c r="T72" s="9">
        <v>13273.395200000001</v>
      </c>
      <c r="U72" s="9">
        <v>13273.395200000001</v>
      </c>
      <c r="V72" s="9">
        <v>13273.395200000001</v>
      </c>
      <c r="W72" s="9">
        <v>13273.395200000001</v>
      </c>
      <c r="X72" s="9">
        <v>13804.331008000001</v>
      </c>
      <c r="Y72" s="9">
        <v>13804.331008000001</v>
      </c>
      <c r="Z72" s="9">
        <v>13804.331008000001</v>
      </c>
      <c r="AA72" s="9">
        <v>13804.331008000001</v>
      </c>
      <c r="AB72" s="9">
        <v>13804.331008000001</v>
      </c>
      <c r="AC72" s="9">
        <v>13804.331008000001</v>
      </c>
      <c r="AD72" s="9">
        <v>13804.331008000001</v>
      </c>
      <c r="AE72" s="9">
        <v>13804.331008000001</v>
      </c>
      <c r="AF72" s="9">
        <v>13804.331008000001</v>
      </c>
      <c r="AG72" s="9">
        <v>13804.331008000001</v>
      </c>
      <c r="AH72" s="9">
        <v>13804.331008000001</v>
      </c>
      <c r="AI72" s="9">
        <v>13804.331008000001</v>
      </c>
      <c r="AJ72" s="9">
        <v>14356.504248320001</v>
      </c>
      <c r="AK72" s="9">
        <v>14356.504248320001</v>
      </c>
      <c r="AL72" s="9">
        <v>14356.504248320001</v>
      </c>
      <c r="AM72" s="9">
        <v>14356.504248320001</v>
      </c>
      <c r="AN72" s="9">
        <v>14356.504248320001</v>
      </c>
      <c r="AO72" s="9">
        <v>14356.504248320001</v>
      </c>
      <c r="AP72" s="9">
        <v>14356.504248320001</v>
      </c>
      <c r="AQ72" s="9">
        <v>14356.504248320001</v>
      </c>
      <c r="AR72" s="9">
        <v>14356.504248320001</v>
      </c>
      <c r="AS72" s="9">
        <v>14356.504248320001</v>
      </c>
      <c r="AT72" s="9">
        <v>14356.504248320001</v>
      </c>
      <c r="AU72" s="9">
        <v>14356.504248320001</v>
      </c>
      <c r="AV72" s="9">
        <v>14930.764418252802</v>
      </c>
      <c r="AW72" s="9">
        <v>14930.764418252802</v>
      </c>
      <c r="AX72" s="9">
        <v>14930.764418252802</v>
      </c>
      <c r="AY72" s="9">
        <v>14930.764418252802</v>
      </c>
      <c r="AZ72" s="9">
        <v>14930.764418252802</v>
      </c>
      <c r="BA72" s="9">
        <v>14930.764418252802</v>
      </c>
      <c r="BB72" s="9">
        <v>14930.764418252802</v>
      </c>
      <c r="BC72" s="9">
        <v>14930.764418252802</v>
      </c>
      <c r="BD72" s="9">
        <v>14930.764418252802</v>
      </c>
      <c r="BE72" s="9">
        <v>14930.764418252802</v>
      </c>
      <c r="BF72" s="9">
        <v>14930.764418252802</v>
      </c>
      <c r="BG72" s="9">
        <v>14930.764418252802</v>
      </c>
      <c r="BH72" s="9">
        <v>15527.994994982915</v>
      </c>
      <c r="BI72" s="9">
        <v>15527.994994982915</v>
      </c>
      <c r="BJ72" s="9">
        <v>15527.994994982915</v>
      </c>
      <c r="BK72" s="9">
        <v>15527.994994982915</v>
      </c>
      <c r="BL72" s="9">
        <v>15527.994994982915</v>
      </c>
      <c r="BM72" s="9">
        <v>15527.994994982915</v>
      </c>
      <c r="BN72" s="9">
        <v>15527.994994982915</v>
      </c>
      <c r="BO72" s="9">
        <v>15527.994994982915</v>
      </c>
      <c r="BP72" s="9">
        <v>15527.994994982915</v>
      </c>
      <c r="BQ72" s="9">
        <v>15527.994994982915</v>
      </c>
      <c r="BR72" s="9">
        <v>15527.994994982915</v>
      </c>
      <c r="BS72" s="9">
        <v>15527.994994982915</v>
      </c>
      <c r="BT72" s="9">
        <v>16149.114794782232</v>
      </c>
      <c r="BU72" s="9">
        <v>16149.114794782232</v>
      </c>
      <c r="BV72" s="9">
        <v>16149.114794782232</v>
      </c>
      <c r="BW72" s="9">
        <v>16149.114794782232</v>
      </c>
      <c r="BX72" s="9">
        <v>16149.114794782232</v>
      </c>
      <c r="BY72" s="9">
        <v>16149.114794782232</v>
      </c>
      <c r="BZ72" s="9">
        <v>16149.114794782232</v>
      </c>
      <c r="CA72" s="9">
        <v>16149.114794782232</v>
      </c>
      <c r="CB72" s="9">
        <v>16149.114794782232</v>
      </c>
      <c r="CC72" s="9">
        <v>16149.114794782232</v>
      </c>
      <c r="CD72" s="9">
        <v>16149.114794782232</v>
      </c>
      <c r="CE72" s="9">
        <v>16149.114794782232</v>
      </c>
      <c r="CF72" s="9">
        <v>16795.079386573521</v>
      </c>
      <c r="CG72" s="9">
        <v>16795.079386573521</v>
      </c>
      <c r="CH72" s="9">
        <v>16795.079386573521</v>
      </c>
      <c r="CI72" s="9">
        <v>16795.079386573521</v>
      </c>
      <c r="CJ72" s="9">
        <v>16795.079386573521</v>
      </c>
      <c r="CK72" s="9">
        <v>16795.079386573521</v>
      </c>
      <c r="CL72" s="9">
        <v>16795.079386573521</v>
      </c>
      <c r="CM72" s="9">
        <v>16795.079386573521</v>
      </c>
      <c r="CN72" s="9">
        <v>0</v>
      </c>
      <c r="CO72" s="9">
        <v>0</v>
      </c>
      <c r="CP72" s="9">
        <v>0</v>
      </c>
      <c r="CQ72" s="9">
        <v>0</v>
      </c>
      <c r="CR72" s="9">
        <v>0</v>
      </c>
      <c r="CS72" s="9">
        <v>0</v>
      </c>
      <c r="CT72" s="9">
        <v>0</v>
      </c>
      <c r="CU72" s="9">
        <v>0</v>
      </c>
      <c r="CV72" s="9">
        <v>0</v>
      </c>
      <c r="CW72" s="9">
        <v>0</v>
      </c>
      <c r="CX72" s="9">
        <v>0</v>
      </c>
      <c r="CY72" s="9">
        <v>0</v>
      </c>
    </row>
    <row r="73" spans="1:103">
      <c r="A73" t="s">
        <v>344</v>
      </c>
      <c r="B73" s="40" t="s">
        <v>338</v>
      </c>
      <c r="C73" s="40" t="s">
        <v>281</v>
      </c>
      <c r="D73" s="9">
        <v>23408.639999999999</v>
      </c>
      <c r="E73" s="9">
        <v>23408.639999999999</v>
      </c>
      <c r="F73" s="9">
        <v>23408.639999999999</v>
      </c>
      <c r="G73" s="9">
        <v>23408.639999999999</v>
      </c>
      <c r="H73" s="9">
        <v>23408.639999999999</v>
      </c>
      <c r="I73" s="9">
        <v>23408.639999999999</v>
      </c>
      <c r="J73" s="9">
        <v>23408.639999999999</v>
      </c>
      <c r="K73" s="9">
        <v>23408.639999999999</v>
      </c>
      <c r="L73" s="9">
        <v>24344.9856</v>
      </c>
      <c r="M73" s="9">
        <v>24344.9856</v>
      </c>
      <c r="N73" s="9">
        <v>24344.9856</v>
      </c>
      <c r="O73" s="9">
        <v>24344.9856</v>
      </c>
      <c r="P73" s="9">
        <v>24344.9856</v>
      </c>
      <c r="Q73" s="9">
        <v>24344.9856</v>
      </c>
      <c r="R73" s="9">
        <v>24344.9856</v>
      </c>
      <c r="S73" s="9">
        <v>24344.9856</v>
      </c>
      <c r="T73" s="9">
        <v>24344.9856</v>
      </c>
      <c r="U73" s="9">
        <v>24344.9856</v>
      </c>
      <c r="V73" s="9">
        <v>24344.9856</v>
      </c>
      <c r="W73" s="9">
        <v>24344.9856</v>
      </c>
      <c r="X73" s="9">
        <v>25318.785024000001</v>
      </c>
      <c r="Y73" s="9">
        <v>25318.785024000001</v>
      </c>
      <c r="Z73" s="9">
        <v>25318.785024000001</v>
      </c>
      <c r="AA73" s="9">
        <v>25318.785024000001</v>
      </c>
      <c r="AB73" s="9">
        <v>25318.785024000001</v>
      </c>
      <c r="AC73" s="9">
        <v>25318.785024000001</v>
      </c>
      <c r="AD73" s="9">
        <v>25318.785024000001</v>
      </c>
      <c r="AE73" s="9">
        <v>25318.785024000001</v>
      </c>
      <c r="AF73" s="9">
        <v>25318.785024000001</v>
      </c>
      <c r="AG73" s="9">
        <v>25318.785024000001</v>
      </c>
      <c r="AH73" s="9">
        <v>25318.785024000001</v>
      </c>
      <c r="AI73" s="9">
        <v>25318.785024000001</v>
      </c>
      <c r="AJ73" s="9">
        <v>26331.536424960002</v>
      </c>
      <c r="AK73" s="9">
        <v>26331.536424960002</v>
      </c>
      <c r="AL73" s="9">
        <v>26331.536424960002</v>
      </c>
      <c r="AM73" s="9">
        <v>26331.536424960002</v>
      </c>
      <c r="AN73" s="9">
        <v>26331.536424960002</v>
      </c>
      <c r="AO73" s="9">
        <v>26331.536424960002</v>
      </c>
      <c r="AP73" s="9">
        <v>26331.536424960002</v>
      </c>
      <c r="AQ73" s="9">
        <v>26331.536424960002</v>
      </c>
      <c r="AR73" s="9">
        <v>26331.536424960002</v>
      </c>
      <c r="AS73" s="9">
        <v>26331.536424960002</v>
      </c>
      <c r="AT73" s="9">
        <v>26331.536424960002</v>
      </c>
      <c r="AU73" s="9">
        <v>26331.536424960002</v>
      </c>
      <c r="AV73" s="9">
        <v>27384.797881958402</v>
      </c>
      <c r="AW73" s="9">
        <v>27384.797881958402</v>
      </c>
      <c r="AX73" s="9">
        <v>27384.797881958402</v>
      </c>
      <c r="AY73" s="9">
        <v>27384.797881958402</v>
      </c>
      <c r="AZ73" s="9">
        <v>27384.797881958402</v>
      </c>
      <c r="BA73" s="9">
        <v>27384.797881958402</v>
      </c>
      <c r="BB73" s="9">
        <v>27384.797881958402</v>
      </c>
      <c r="BC73" s="9">
        <v>27384.797881958402</v>
      </c>
      <c r="BD73" s="9">
        <v>27384.797881958402</v>
      </c>
      <c r="BE73" s="9">
        <v>27384.797881958402</v>
      </c>
      <c r="BF73" s="9">
        <v>27384.797881958402</v>
      </c>
      <c r="BG73" s="9">
        <v>27384.797881958402</v>
      </c>
      <c r="BH73" s="9">
        <v>28480.189797236741</v>
      </c>
      <c r="BI73" s="9">
        <v>28480.189797236741</v>
      </c>
      <c r="BJ73" s="9">
        <v>28480.189797236741</v>
      </c>
      <c r="BK73" s="9">
        <v>28480.189797236741</v>
      </c>
      <c r="BL73" s="9">
        <v>28480.189797236741</v>
      </c>
      <c r="BM73" s="9">
        <v>28480.189797236741</v>
      </c>
      <c r="BN73" s="9">
        <v>28480.189797236741</v>
      </c>
      <c r="BO73" s="9">
        <v>28480.189797236741</v>
      </c>
      <c r="BP73" s="9">
        <v>28480.189797236741</v>
      </c>
      <c r="BQ73" s="9">
        <v>28480.189797236741</v>
      </c>
      <c r="BR73" s="9">
        <v>28480.189797236741</v>
      </c>
      <c r="BS73" s="9">
        <v>28480.189797236741</v>
      </c>
      <c r="BT73" s="9">
        <v>29619.39738912621</v>
      </c>
      <c r="BU73" s="9">
        <v>29619.39738912621</v>
      </c>
      <c r="BV73" s="9">
        <v>29619.39738912621</v>
      </c>
      <c r="BW73" s="9">
        <v>29619.39738912621</v>
      </c>
      <c r="BX73" s="9">
        <v>29619.39738912621</v>
      </c>
      <c r="BY73" s="9">
        <v>29619.39738912621</v>
      </c>
      <c r="BZ73" s="9">
        <v>29619.39738912621</v>
      </c>
      <c r="CA73" s="9">
        <v>29619.39738912621</v>
      </c>
      <c r="CB73" s="9">
        <v>29619.39738912621</v>
      </c>
      <c r="CC73" s="9">
        <v>29619.39738912621</v>
      </c>
      <c r="CD73" s="9">
        <v>29619.39738912621</v>
      </c>
      <c r="CE73" s="9">
        <v>29619.39738912621</v>
      </c>
      <c r="CF73" s="9">
        <v>30804.17328469126</v>
      </c>
      <c r="CG73" s="9">
        <v>30804.17328469126</v>
      </c>
      <c r="CH73" s="9">
        <v>30804.17328469126</v>
      </c>
      <c r="CI73" s="9">
        <v>30804.17328469126</v>
      </c>
      <c r="CJ73" s="9">
        <v>30804.17328469126</v>
      </c>
      <c r="CK73" s="9">
        <v>30804.17328469126</v>
      </c>
      <c r="CL73" s="9">
        <v>30804.17328469126</v>
      </c>
      <c r="CM73" s="9">
        <v>30804.17328469126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</v>
      </c>
      <c r="CU73" s="9">
        <v>0</v>
      </c>
      <c r="CV73" s="9">
        <v>0</v>
      </c>
      <c r="CW73" s="9">
        <v>0</v>
      </c>
      <c r="CX73" s="9">
        <v>0</v>
      </c>
      <c r="CY73" s="9">
        <v>0</v>
      </c>
    </row>
    <row r="74" spans="1:103">
      <c r="A74" t="s">
        <v>345</v>
      </c>
      <c r="B74" s="40" t="s">
        <v>346</v>
      </c>
      <c r="C74" s="40" t="s">
        <v>281</v>
      </c>
      <c r="D74" s="9">
        <f>'Monthly PL'!B28*10000000</f>
        <v>0</v>
      </c>
      <c r="E74" s="9">
        <f>'Monthly PL'!C28*10000000</f>
        <v>0</v>
      </c>
      <c r="F74" s="9">
        <f>'Monthly PL'!D28*10000000</f>
        <v>1813000.0000000002</v>
      </c>
      <c r="G74" s="9">
        <f>'Monthly PL'!E28*10000000</f>
        <v>1600377.0245842373</v>
      </c>
      <c r="H74" s="9">
        <f>'Monthly PL'!F28*10000000</f>
        <v>1600377.0245842373</v>
      </c>
      <c r="I74" s="9">
        <f>'Monthly PL'!G28*10000000</f>
        <v>1600377.0245842373</v>
      </c>
      <c r="J74" s="9">
        <f>'Monthly PL'!H28*10000000</f>
        <v>1600377.0245842373</v>
      </c>
      <c r="K74" s="9">
        <f>'Monthly PL'!I28*10000000</f>
        <v>0</v>
      </c>
      <c r="L74" s="9">
        <f>'Monthly PL'!J28*10000000</f>
        <v>0</v>
      </c>
      <c r="M74" s="9">
        <f>'Monthly PL'!K28*10000000</f>
        <v>0</v>
      </c>
      <c r="N74" s="9">
        <f>'Monthly PL'!L28*10000000</f>
        <v>0</v>
      </c>
      <c r="O74" s="9">
        <f>'Monthly PL'!M28*10000000</f>
        <v>0</v>
      </c>
      <c r="P74" s="9">
        <f>'Monthly PL'!N28*10000000</f>
        <v>0</v>
      </c>
      <c r="Q74" s="9">
        <f>'Monthly PL'!O28*10000000</f>
        <v>0</v>
      </c>
      <c r="R74" s="9">
        <f>'Monthly PL'!P28*10000000</f>
        <v>0</v>
      </c>
      <c r="S74" s="9">
        <f>'Monthly PL'!Q28*10000000</f>
        <v>0</v>
      </c>
      <c r="T74" s="9">
        <f>'Monthly PL'!R28*10000000</f>
        <v>0</v>
      </c>
      <c r="U74" s="9">
        <f>'Monthly PL'!S28*10000000</f>
        <v>0</v>
      </c>
      <c r="V74" s="9">
        <f>'Monthly PL'!T28*10000000</f>
        <v>0</v>
      </c>
      <c r="W74" s="9">
        <f>'Monthly PL'!U28*10000000</f>
        <v>0</v>
      </c>
      <c r="X74" s="9">
        <f>'Monthly PL'!V28*10000000</f>
        <v>0</v>
      </c>
      <c r="Y74" s="9">
        <f>'Monthly PL'!W28*10000000</f>
        <v>0</v>
      </c>
      <c r="Z74" s="9">
        <f>'Monthly PL'!X28*10000000</f>
        <v>0</v>
      </c>
      <c r="AA74" s="9">
        <f>'Monthly PL'!Y28*10000000</f>
        <v>0</v>
      </c>
      <c r="AB74" s="9">
        <f>'Monthly PL'!Z28*10000000</f>
        <v>0</v>
      </c>
      <c r="AC74" s="9">
        <f>'Monthly PL'!AA28*10000000</f>
        <v>0</v>
      </c>
      <c r="AD74" s="9">
        <f>'Monthly PL'!AB28*10000000</f>
        <v>0</v>
      </c>
      <c r="AE74" s="9">
        <f>'Monthly PL'!AC28*10000000</f>
        <v>0</v>
      </c>
      <c r="AF74" s="9">
        <f>'Monthly PL'!AD28*10000000</f>
        <v>0</v>
      </c>
      <c r="AG74" s="9">
        <f>'Monthly PL'!AE28*10000000</f>
        <v>0</v>
      </c>
      <c r="AH74" s="9">
        <f>'Monthly PL'!AF28*10000000</f>
        <v>0</v>
      </c>
      <c r="AI74" s="9">
        <f>'Monthly PL'!AG28*10000000</f>
        <v>0</v>
      </c>
      <c r="AJ74" s="9">
        <f>'Monthly PL'!AH28*10000000</f>
        <v>0</v>
      </c>
      <c r="AK74" s="9">
        <f>'Monthly PL'!AI28*10000000</f>
        <v>0</v>
      </c>
      <c r="AL74" s="9">
        <f>'Monthly PL'!AJ28*10000000</f>
        <v>0</v>
      </c>
      <c r="AM74" s="9">
        <f>'Monthly PL'!AK28*10000000</f>
        <v>0</v>
      </c>
      <c r="AN74" s="9">
        <f>'Monthly PL'!AL28*10000000</f>
        <v>0</v>
      </c>
      <c r="AO74" s="9">
        <f>'Monthly PL'!AM28*10000000</f>
        <v>0</v>
      </c>
      <c r="AP74" s="9">
        <f>'Monthly PL'!AN28*10000000</f>
        <v>0</v>
      </c>
      <c r="AQ74" s="9">
        <f>'Monthly PL'!AO28*10000000</f>
        <v>0</v>
      </c>
      <c r="AR74" s="9">
        <f>'Monthly PL'!AP28*10000000</f>
        <v>0</v>
      </c>
      <c r="AS74" s="9">
        <f>'Monthly PL'!AQ28*10000000</f>
        <v>0</v>
      </c>
      <c r="AT74" s="9">
        <f>'Monthly PL'!AR28*10000000</f>
        <v>0</v>
      </c>
      <c r="AU74" s="9">
        <f>'Monthly PL'!AS28*10000000</f>
        <v>0</v>
      </c>
      <c r="AV74" s="9">
        <f>'Monthly PL'!AT28*10000000</f>
        <v>0</v>
      </c>
      <c r="AW74" s="9">
        <f>'Monthly PL'!AU28*10000000</f>
        <v>0</v>
      </c>
      <c r="AX74" s="9">
        <f>'Monthly PL'!AV28*10000000</f>
        <v>0</v>
      </c>
      <c r="AY74" s="9">
        <f>'Monthly PL'!AW28*10000000</f>
        <v>0</v>
      </c>
      <c r="AZ74" s="9">
        <f>'Monthly PL'!AX28*10000000</f>
        <v>0</v>
      </c>
      <c r="BA74" s="9">
        <f>'Monthly PL'!AY28*10000000</f>
        <v>0</v>
      </c>
      <c r="BB74" s="9">
        <f>'Monthly PL'!AZ28*10000000</f>
        <v>0</v>
      </c>
      <c r="BC74" s="9">
        <f>'Monthly PL'!BA28*10000000</f>
        <v>0</v>
      </c>
      <c r="BD74" s="9">
        <f>'Monthly PL'!BB28*10000000</f>
        <v>0</v>
      </c>
      <c r="BE74" s="9">
        <f>'Monthly PL'!BC28*10000000</f>
        <v>0</v>
      </c>
      <c r="BF74" s="9">
        <f>'Monthly PL'!BD28*10000000</f>
        <v>0</v>
      </c>
      <c r="BG74" s="9">
        <f>'Monthly PL'!BE28*10000000</f>
        <v>0</v>
      </c>
      <c r="BH74" s="9">
        <f>'Monthly PL'!BF28*10000000</f>
        <v>0</v>
      </c>
      <c r="BI74" s="9">
        <f>'Monthly PL'!BG28*10000000</f>
        <v>0</v>
      </c>
      <c r="BJ74" s="9">
        <f>'Monthly PL'!BH28*10000000</f>
        <v>0</v>
      </c>
      <c r="BK74" s="9">
        <f>'Monthly PL'!BI28*10000000</f>
        <v>0</v>
      </c>
      <c r="BL74" s="9">
        <f>'Monthly PL'!BJ28*10000000</f>
        <v>0</v>
      </c>
      <c r="BM74" s="9">
        <f>'Monthly PL'!BK28*10000000</f>
        <v>0</v>
      </c>
      <c r="BN74" s="9">
        <f>'Monthly PL'!BL28*10000000</f>
        <v>0</v>
      </c>
      <c r="BO74" s="9">
        <f>'Monthly PL'!BM28*10000000</f>
        <v>0</v>
      </c>
      <c r="BP74" s="9">
        <f>'Monthly PL'!BN28*10000000</f>
        <v>0</v>
      </c>
      <c r="BQ74" s="9">
        <f>'Monthly PL'!BO28*10000000</f>
        <v>0</v>
      </c>
      <c r="BR74" s="9">
        <f>'Monthly PL'!BP28*10000000</f>
        <v>0</v>
      </c>
      <c r="BS74" s="9">
        <f>'Monthly PL'!BQ28*10000000</f>
        <v>0</v>
      </c>
      <c r="BT74" s="9">
        <f>'Monthly PL'!BR28*10000000</f>
        <v>0</v>
      </c>
      <c r="BU74" s="9">
        <f>'Monthly PL'!BS28*10000000</f>
        <v>0</v>
      </c>
      <c r="BV74" s="9">
        <f>'Monthly PL'!BT28*10000000</f>
        <v>0</v>
      </c>
      <c r="BW74" s="9">
        <f>'Monthly PL'!BU28*10000000</f>
        <v>0</v>
      </c>
      <c r="BX74" s="9">
        <f>'Monthly PL'!BV28*10000000</f>
        <v>0</v>
      </c>
      <c r="BY74" s="9">
        <f>'Monthly PL'!BW28*10000000</f>
        <v>0</v>
      </c>
      <c r="BZ74" s="9">
        <f>'Monthly PL'!BX28*10000000</f>
        <v>0</v>
      </c>
      <c r="CA74" s="9">
        <f>'Monthly PL'!BY28*10000000</f>
        <v>0</v>
      </c>
      <c r="CB74" s="9">
        <f>'Monthly PL'!BZ28*10000000</f>
        <v>0</v>
      </c>
      <c r="CC74" s="9">
        <f>'Monthly PL'!CA28*10000000</f>
        <v>0</v>
      </c>
      <c r="CD74" s="9">
        <f>'Monthly PL'!CB28*10000000</f>
        <v>0</v>
      </c>
      <c r="CE74" s="9">
        <f>'Monthly PL'!CC28*10000000</f>
        <v>0</v>
      </c>
      <c r="CF74" s="9">
        <f>'Monthly PL'!CD28*10000000</f>
        <v>0</v>
      </c>
      <c r="CG74" s="9">
        <f>'Monthly PL'!CE28*10000000</f>
        <v>0</v>
      </c>
      <c r="CH74" s="9">
        <f>'Monthly PL'!CF28*10000000</f>
        <v>0</v>
      </c>
      <c r="CI74" s="9">
        <f>'Monthly PL'!CG28*10000000</f>
        <v>0</v>
      </c>
      <c r="CJ74" s="9">
        <f>'Monthly PL'!CH28*10000000</f>
        <v>0</v>
      </c>
      <c r="CK74" s="9">
        <f>'Monthly PL'!CI28*10000000</f>
        <v>0</v>
      </c>
      <c r="CL74" s="9">
        <f>'Monthly PL'!CJ28*10000000</f>
        <v>0</v>
      </c>
      <c r="CM74" s="9">
        <f>'Monthly PL'!CK28*10000000</f>
        <v>0</v>
      </c>
      <c r="CN74" s="9">
        <f>'Monthly PL'!CL28*10000000</f>
        <v>0</v>
      </c>
      <c r="CO74" s="9">
        <f>'Monthly PL'!CM28*10000000</f>
        <v>0</v>
      </c>
      <c r="CP74" s="9">
        <f>'Monthly PL'!CN28*10000000</f>
        <v>0</v>
      </c>
      <c r="CQ74" s="9">
        <f>'Monthly PL'!CO28*10000000</f>
        <v>0</v>
      </c>
      <c r="CR74" s="9">
        <f>'Monthly PL'!CP28*10000000</f>
        <v>0</v>
      </c>
      <c r="CS74" s="9">
        <f>'Monthly PL'!CQ28*10000000</f>
        <v>0</v>
      </c>
      <c r="CT74" s="9">
        <f>'Monthly PL'!CR28*10000000</f>
        <v>0</v>
      </c>
      <c r="CU74" s="9">
        <f>'Monthly PL'!CS28*10000000</f>
        <v>0</v>
      </c>
      <c r="CV74" s="9">
        <f>'Monthly PL'!CT28*10000000</f>
        <v>0</v>
      </c>
      <c r="CW74" s="9">
        <f>'Monthly PL'!CU28*10000000</f>
        <v>0</v>
      </c>
      <c r="CX74" s="9">
        <f>'Monthly PL'!CV28*10000000</f>
        <v>0</v>
      </c>
      <c r="CY74" s="9">
        <f>'Monthly PL'!CW28*10000000</f>
        <v>0</v>
      </c>
    </row>
    <row r="75" spans="1:103">
      <c r="A75" t="s">
        <v>347</v>
      </c>
      <c r="B75" s="40" t="s">
        <v>346</v>
      </c>
      <c r="C75" s="40" t="s">
        <v>347</v>
      </c>
      <c r="D75" s="9">
        <v>5968943.0090000005</v>
      </c>
      <c r="E75" s="9">
        <v>5968974.0090000005</v>
      </c>
      <c r="F75" s="9">
        <v>5969005.0090000005</v>
      </c>
      <c r="G75" s="9">
        <v>5969035.0090000005</v>
      </c>
      <c r="H75" s="9">
        <v>5969066.0090000005</v>
      </c>
      <c r="I75" s="9">
        <v>5969096.0090000005</v>
      </c>
      <c r="J75" s="9">
        <v>5969127.0090000005</v>
      </c>
      <c r="K75" s="9">
        <v>5969158.0090000005</v>
      </c>
      <c r="L75" s="9">
        <v>5969186.0090000005</v>
      </c>
      <c r="M75" s="9">
        <v>5969217.0090000005</v>
      </c>
      <c r="N75" s="9">
        <v>6383992.1796300011</v>
      </c>
      <c r="O75" s="9">
        <v>6384023.1796300011</v>
      </c>
      <c r="P75" s="9">
        <v>6384053.1796300011</v>
      </c>
      <c r="Q75" s="9">
        <v>6384084.1796300011</v>
      </c>
      <c r="R75" s="9">
        <v>6384115.1796300011</v>
      </c>
      <c r="S75" s="9">
        <v>6384145.1796300011</v>
      </c>
      <c r="T75" s="9">
        <v>6384176.1796300011</v>
      </c>
      <c r="U75" s="9">
        <v>6384206.1796300011</v>
      </c>
      <c r="V75" s="9">
        <v>6384237.1796300011</v>
      </c>
      <c r="W75" s="9">
        <v>6384268.1796300011</v>
      </c>
      <c r="X75" s="9">
        <v>6384296.1796300011</v>
      </c>
      <c r="Y75" s="9">
        <v>6384327.1796300011</v>
      </c>
      <c r="Z75" s="9">
        <v>6828134.5122041022</v>
      </c>
      <c r="AA75" s="9">
        <v>6828165.5122041022</v>
      </c>
      <c r="AB75" s="9">
        <v>6828195.5122041022</v>
      </c>
      <c r="AC75" s="9">
        <v>6828226.5122041022</v>
      </c>
      <c r="AD75" s="9">
        <v>6828257.5122041022</v>
      </c>
      <c r="AE75" s="9">
        <v>6828287.5122041022</v>
      </c>
      <c r="AF75" s="9">
        <v>6828318.5122041022</v>
      </c>
      <c r="AG75" s="9">
        <v>6828348.5122041022</v>
      </c>
      <c r="AH75" s="9">
        <v>6828379.5122041022</v>
      </c>
      <c r="AI75" s="9">
        <v>6828410.5122041022</v>
      </c>
      <c r="AJ75" s="9">
        <v>6828438.5122041022</v>
      </c>
      <c r="AK75" s="9">
        <v>6828469.5122041022</v>
      </c>
      <c r="AL75" s="9">
        <v>7167672.1878143065</v>
      </c>
      <c r="AM75" s="9">
        <v>7167703.1878143065</v>
      </c>
      <c r="AN75" s="9">
        <v>7167733.1878143065</v>
      </c>
      <c r="AO75" s="9">
        <v>7167764.1878143065</v>
      </c>
      <c r="AP75" s="9">
        <v>7167795.1878143065</v>
      </c>
      <c r="AQ75" s="9">
        <v>7167825.1878143065</v>
      </c>
      <c r="AR75" s="9">
        <v>7167856.1878143065</v>
      </c>
      <c r="AS75" s="9">
        <v>7167886.1878143065</v>
      </c>
      <c r="AT75" s="9">
        <v>7167917.1878143065</v>
      </c>
      <c r="AU75" s="9">
        <v>7167948.1878143065</v>
      </c>
      <c r="AV75" s="9">
        <v>7167977.1878143065</v>
      </c>
      <c r="AW75" s="9">
        <v>7168008.1878143065</v>
      </c>
      <c r="AX75" s="9">
        <v>7524169.4972050227</v>
      </c>
      <c r="AY75" s="9">
        <v>7524200.4972050227</v>
      </c>
      <c r="AZ75" s="9">
        <v>7524230.4972050227</v>
      </c>
      <c r="BA75" s="9">
        <v>7524261.4972050227</v>
      </c>
      <c r="BB75" s="9">
        <v>7524292.4972050227</v>
      </c>
      <c r="BC75" s="9">
        <v>7524322.4972050227</v>
      </c>
      <c r="BD75" s="9">
        <v>7524353.4972050227</v>
      </c>
      <c r="BE75" s="9">
        <v>7524383.4972050227</v>
      </c>
      <c r="BF75" s="9">
        <v>7524414.4972050227</v>
      </c>
      <c r="BG75" s="9">
        <v>7524445.4972050227</v>
      </c>
      <c r="BH75" s="9">
        <v>7524473.4972050227</v>
      </c>
      <c r="BI75" s="9">
        <v>7524504.4972050227</v>
      </c>
      <c r="BJ75" s="9">
        <v>7898472.372065275</v>
      </c>
      <c r="BK75" s="9">
        <v>7898503.372065275</v>
      </c>
      <c r="BL75" s="9">
        <v>7898533.372065275</v>
      </c>
      <c r="BM75" s="9">
        <v>7898564.372065275</v>
      </c>
      <c r="BN75" s="9">
        <v>7898595.372065275</v>
      </c>
      <c r="BO75" s="9">
        <v>7898625.372065275</v>
      </c>
      <c r="BP75" s="9">
        <v>7898656.372065275</v>
      </c>
      <c r="BQ75" s="9">
        <v>7898686.372065275</v>
      </c>
      <c r="BR75" s="9">
        <v>7898717.372065275</v>
      </c>
      <c r="BS75" s="9">
        <v>7898748.372065275</v>
      </c>
      <c r="BT75" s="9">
        <v>7898776.372065275</v>
      </c>
      <c r="BU75" s="9">
        <v>7898807.372065275</v>
      </c>
      <c r="BV75" s="9">
        <v>8291472.1406685384</v>
      </c>
      <c r="BW75" s="9">
        <v>8291503.1406685384</v>
      </c>
      <c r="BX75" s="9">
        <v>8291533.1406685384</v>
      </c>
      <c r="BY75" s="9">
        <v>8291564.1406685384</v>
      </c>
      <c r="BZ75" s="9">
        <v>8291595.1406685384</v>
      </c>
      <c r="CA75" s="9">
        <v>8291625.1406685384</v>
      </c>
      <c r="CB75" s="9">
        <v>8291656.1406685384</v>
      </c>
      <c r="CC75" s="9">
        <v>8291686.1406685384</v>
      </c>
      <c r="CD75" s="9">
        <v>8291717.1406685384</v>
      </c>
      <c r="CE75" s="9">
        <v>8291748.1406685384</v>
      </c>
      <c r="CF75" s="9">
        <v>8291776.1406685384</v>
      </c>
      <c r="CG75" s="9">
        <v>8291807.1406685384</v>
      </c>
      <c r="CH75" s="9">
        <v>8704103.6477019619</v>
      </c>
      <c r="CI75" s="9">
        <v>8704134.6477019619</v>
      </c>
      <c r="CJ75" s="9">
        <v>8704164.6477019619</v>
      </c>
      <c r="CK75" s="9">
        <v>8704195.6477019619</v>
      </c>
      <c r="CL75" s="9">
        <v>8704226.6477019619</v>
      </c>
      <c r="CM75" s="9">
        <v>8704256.6477019619</v>
      </c>
      <c r="CN75" s="9">
        <v>8704287.6477019619</v>
      </c>
      <c r="CO75" s="9">
        <v>8704317.6477019619</v>
      </c>
      <c r="CP75" s="9">
        <v>8704348.6477019619</v>
      </c>
      <c r="CQ75" s="9">
        <v>8704379.6477019619</v>
      </c>
      <c r="CR75" s="9">
        <v>8704408.6477019619</v>
      </c>
      <c r="CS75" s="9">
        <v>8704439.6477019619</v>
      </c>
      <c r="CT75" s="9">
        <v>9137349.4800870586</v>
      </c>
      <c r="CU75" s="9">
        <v>9137380.4800870586</v>
      </c>
      <c r="CV75" s="9">
        <v>9137410.4800870586</v>
      </c>
      <c r="CW75" s="9">
        <v>9137441.4800870586</v>
      </c>
      <c r="CX75" s="9">
        <v>9137472.4800870586</v>
      </c>
      <c r="CY75" s="9">
        <v>9137502.4800870586</v>
      </c>
    </row>
    <row r="76" spans="1:103">
      <c r="A76" t="s">
        <v>348</v>
      </c>
      <c r="B76" s="40" t="s">
        <v>346</v>
      </c>
      <c r="C76" s="40" t="s">
        <v>348</v>
      </c>
      <c r="D76" s="9">
        <v>7638807.799999998</v>
      </c>
      <c r="E76" s="9">
        <v>7638838.799999998</v>
      </c>
      <c r="F76" s="9">
        <v>7638869.799999998</v>
      </c>
      <c r="G76" s="9">
        <v>7638899.799999998</v>
      </c>
      <c r="H76" s="9">
        <v>7638930.799999998</v>
      </c>
      <c r="I76" s="9">
        <v>7638960.799999998</v>
      </c>
      <c r="J76" s="9">
        <v>7638991.799999998</v>
      </c>
      <c r="K76" s="9">
        <v>7639022.799999998</v>
      </c>
      <c r="L76" s="9">
        <v>7639050.799999998</v>
      </c>
      <c r="M76" s="9">
        <v>7639081.799999998</v>
      </c>
      <c r="N76" s="9">
        <v>8170747.5059999991</v>
      </c>
      <c r="O76" s="9">
        <v>8170778.5059999991</v>
      </c>
      <c r="P76" s="9">
        <v>8170808.5059999991</v>
      </c>
      <c r="Q76" s="9">
        <v>8170839.5059999991</v>
      </c>
      <c r="R76" s="9">
        <v>8170870.5059999991</v>
      </c>
      <c r="S76" s="9">
        <v>8170900.5059999991</v>
      </c>
      <c r="T76" s="9">
        <v>8170931.5059999991</v>
      </c>
      <c r="U76" s="9">
        <v>8170961.5059999991</v>
      </c>
      <c r="V76" s="9">
        <v>8170992.5059999991</v>
      </c>
      <c r="W76" s="9">
        <v>8171023.5059999991</v>
      </c>
      <c r="X76" s="9">
        <v>8171051.5059999991</v>
      </c>
      <c r="Y76" s="9">
        <v>8171082.5059999991</v>
      </c>
      <c r="Z76" s="9">
        <v>8739962.7114199959</v>
      </c>
      <c r="AA76" s="9">
        <v>8739993.7114199959</v>
      </c>
      <c r="AB76" s="9">
        <v>8740023.7114199959</v>
      </c>
      <c r="AC76" s="9">
        <v>8740054.7114199959</v>
      </c>
      <c r="AD76" s="9">
        <v>8740085.7114199959</v>
      </c>
      <c r="AE76" s="9">
        <v>8740115.7114199959</v>
      </c>
      <c r="AF76" s="9">
        <v>8740146.7114199959</v>
      </c>
      <c r="AG76" s="9">
        <v>8740176.7114199959</v>
      </c>
      <c r="AH76" s="9">
        <v>8740207.7114199959</v>
      </c>
      <c r="AI76" s="9">
        <v>8740238.7114199959</v>
      </c>
      <c r="AJ76" s="9">
        <v>8740266.7114199959</v>
      </c>
      <c r="AK76" s="9">
        <v>8740297.7114199959</v>
      </c>
      <c r="AL76" s="9">
        <v>9175091.7969910018</v>
      </c>
      <c r="AM76" s="9">
        <v>9175122.7969910018</v>
      </c>
      <c r="AN76" s="9">
        <v>9175152.7969910018</v>
      </c>
      <c r="AO76" s="9">
        <v>9175183.7969910018</v>
      </c>
      <c r="AP76" s="9">
        <v>9175214.7969910018</v>
      </c>
      <c r="AQ76" s="9">
        <v>9175244.7969910018</v>
      </c>
      <c r="AR76" s="9">
        <v>9175275.7969910018</v>
      </c>
      <c r="AS76" s="9">
        <v>9175305.7969910018</v>
      </c>
      <c r="AT76" s="9">
        <v>9175336.7969910018</v>
      </c>
      <c r="AU76" s="9">
        <v>9175367.7969910018</v>
      </c>
      <c r="AV76" s="9">
        <v>9175396.7969910018</v>
      </c>
      <c r="AW76" s="9">
        <v>9175427.7969910018</v>
      </c>
      <c r="AX76" s="9">
        <v>9631960.0868405513</v>
      </c>
      <c r="AY76" s="9">
        <v>9631991.0868405513</v>
      </c>
      <c r="AZ76" s="9">
        <v>9632021.0868405513</v>
      </c>
      <c r="BA76" s="9">
        <v>9632052.0868405513</v>
      </c>
      <c r="BB76" s="9">
        <v>9632083.0868405513</v>
      </c>
      <c r="BC76" s="9">
        <v>9632113.0868405513</v>
      </c>
      <c r="BD76" s="9">
        <v>9632144.0868405513</v>
      </c>
      <c r="BE76" s="9">
        <v>9632174.0868405513</v>
      </c>
      <c r="BF76" s="9">
        <v>9632205.0868405513</v>
      </c>
      <c r="BG76" s="9">
        <v>9632236.0868405513</v>
      </c>
      <c r="BH76" s="9">
        <v>9632264.0868405513</v>
      </c>
      <c r="BI76" s="9">
        <v>9632295.0868405513</v>
      </c>
      <c r="BJ76" s="9">
        <v>10111652.491182577</v>
      </c>
      <c r="BK76" s="9">
        <v>10111683.491182577</v>
      </c>
      <c r="BL76" s="9">
        <v>10111713.491182577</v>
      </c>
      <c r="BM76" s="9">
        <v>10111744.491182577</v>
      </c>
      <c r="BN76" s="9">
        <v>10111775.491182577</v>
      </c>
      <c r="BO76" s="9">
        <v>10111805.491182577</v>
      </c>
      <c r="BP76" s="9">
        <v>10111836.491182577</v>
      </c>
      <c r="BQ76" s="9">
        <v>10111866.491182577</v>
      </c>
      <c r="BR76" s="9">
        <v>10111897.491182577</v>
      </c>
      <c r="BS76" s="9">
        <v>10111928.491182577</v>
      </c>
      <c r="BT76" s="9">
        <v>10111956.491182577</v>
      </c>
      <c r="BU76" s="9">
        <v>10111987.491182577</v>
      </c>
      <c r="BV76" s="9">
        <v>10615311.265741711</v>
      </c>
      <c r="BW76" s="9">
        <v>10615342.265741711</v>
      </c>
      <c r="BX76" s="9">
        <v>10615372.265741711</v>
      </c>
      <c r="BY76" s="9">
        <v>10615403.265741711</v>
      </c>
      <c r="BZ76" s="9">
        <v>10615434.265741711</v>
      </c>
      <c r="CA76" s="9">
        <v>10615464.265741711</v>
      </c>
      <c r="CB76" s="9">
        <v>10615495.265741711</v>
      </c>
      <c r="CC76" s="9">
        <v>10615525.265741711</v>
      </c>
      <c r="CD76" s="9">
        <v>10615556.265741711</v>
      </c>
      <c r="CE76" s="9">
        <v>10615587.265741711</v>
      </c>
      <c r="CF76" s="9">
        <v>10615615.265741711</v>
      </c>
      <c r="CG76" s="9">
        <v>10615646.265741711</v>
      </c>
      <c r="CH76" s="9">
        <v>11144134.729028793</v>
      </c>
      <c r="CI76" s="9">
        <v>11144165.729028793</v>
      </c>
      <c r="CJ76" s="9">
        <v>11144195.729028793</v>
      </c>
      <c r="CK76" s="9">
        <v>11144226.729028793</v>
      </c>
      <c r="CL76" s="9">
        <v>11144257.729028793</v>
      </c>
      <c r="CM76" s="9">
        <v>11144287.729028793</v>
      </c>
      <c r="CN76" s="9">
        <v>11144318.729028793</v>
      </c>
      <c r="CO76" s="9">
        <v>11144348.729028793</v>
      </c>
      <c r="CP76" s="9">
        <v>11144379.729028793</v>
      </c>
      <c r="CQ76" s="9">
        <v>11144410.729028793</v>
      </c>
      <c r="CR76" s="9">
        <v>11144439.729028793</v>
      </c>
      <c r="CS76" s="9">
        <v>11144470.729028793</v>
      </c>
      <c r="CT76" s="9">
        <v>11699382.115480226</v>
      </c>
      <c r="CU76" s="9">
        <v>11699413.115480226</v>
      </c>
      <c r="CV76" s="9">
        <v>11699443.115480226</v>
      </c>
      <c r="CW76" s="9">
        <v>11699474.115480226</v>
      </c>
      <c r="CX76" s="9">
        <v>11699505.115480226</v>
      </c>
      <c r="CY76" s="9">
        <v>11699535.115480226</v>
      </c>
    </row>
    <row r="77" spans="1:103">
      <c r="A77" t="s">
        <v>65</v>
      </c>
      <c r="B77" s="40" t="s">
        <v>346</v>
      </c>
      <c r="C77" s="40" t="s">
        <v>65</v>
      </c>
      <c r="D77" s="9">
        <f>'Monthly PL'!B23*10000000</f>
        <v>900000</v>
      </c>
      <c r="E77" s="9">
        <f>'Monthly PL'!C23*10000000</f>
        <v>300000</v>
      </c>
      <c r="F77" s="9">
        <f>'Monthly PL'!D23*10000000</f>
        <v>400000</v>
      </c>
      <c r="G77" s="9">
        <f>'Monthly PL'!E23*10000000</f>
        <v>400000</v>
      </c>
      <c r="H77" s="9">
        <f>'Monthly PL'!F23*10000000</f>
        <v>400000</v>
      </c>
      <c r="I77" s="9">
        <f>'Monthly PL'!G23*10000000</f>
        <v>400000</v>
      </c>
      <c r="J77" s="9">
        <f>'Monthly PL'!H23*10000000</f>
        <v>400000</v>
      </c>
      <c r="K77" s="9">
        <f>'Monthly PL'!I23*10000000</f>
        <v>400000</v>
      </c>
      <c r="L77" s="9">
        <f>'Monthly PL'!J23*10000000</f>
        <v>400000</v>
      </c>
      <c r="M77" s="9">
        <f>'Monthly PL'!K23*10000000</f>
        <v>400000</v>
      </c>
      <c r="N77" s="9">
        <f>'Monthly PL'!L23*10000000</f>
        <v>0</v>
      </c>
      <c r="O77" s="9">
        <f>'Monthly PL'!M23*10000000</f>
        <v>0</v>
      </c>
      <c r="P77" s="9">
        <f>'Monthly PL'!N23*10000000</f>
        <v>0</v>
      </c>
      <c r="Q77" s="9">
        <f>'Monthly PL'!O23*10000000</f>
        <v>0</v>
      </c>
      <c r="R77" s="9">
        <f>'Monthly PL'!P23*10000000</f>
        <v>0</v>
      </c>
      <c r="S77" s="9">
        <f>'Monthly PL'!Q23*10000000</f>
        <v>0</v>
      </c>
      <c r="T77" s="9">
        <f>'Monthly PL'!R23*10000000</f>
        <v>0</v>
      </c>
      <c r="U77" s="9">
        <f>'Monthly PL'!S23*10000000</f>
        <v>0</v>
      </c>
      <c r="V77" s="9">
        <f>'Monthly PL'!T23*10000000</f>
        <v>0</v>
      </c>
      <c r="W77" s="9">
        <f>'Monthly PL'!U23*10000000</f>
        <v>0</v>
      </c>
      <c r="X77" s="9">
        <f>'Monthly PL'!V23*10000000</f>
        <v>0</v>
      </c>
      <c r="Y77" s="9">
        <f>'Monthly PL'!W23*10000000</f>
        <v>307500000</v>
      </c>
      <c r="Z77" s="9">
        <f>'Monthly PL'!X23*10000000</f>
        <v>0</v>
      </c>
      <c r="AA77" s="9">
        <f>'Monthly PL'!Y23*10000000</f>
        <v>0</v>
      </c>
      <c r="AB77" s="9">
        <f>'Monthly PL'!Z23*10000000</f>
        <v>0</v>
      </c>
      <c r="AC77" s="9">
        <f>'Monthly PL'!AA23*10000000</f>
        <v>0</v>
      </c>
      <c r="AD77" s="9">
        <f>'Monthly PL'!AB23*10000000</f>
        <v>0</v>
      </c>
      <c r="AE77" s="9">
        <f>'Monthly PL'!AC23*10000000</f>
        <v>0</v>
      </c>
      <c r="AF77" s="9">
        <f>'Monthly PL'!AD23*10000000</f>
        <v>0</v>
      </c>
      <c r="AG77" s="9">
        <f>'Monthly PL'!AE23*10000000</f>
        <v>0</v>
      </c>
      <c r="AH77" s="9">
        <f>'Monthly PL'!AF23*10000000</f>
        <v>0</v>
      </c>
      <c r="AI77" s="9">
        <f>'Monthly PL'!AG23*10000000</f>
        <v>0</v>
      </c>
      <c r="AJ77" s="9">
        <f>'Monthly PL'!AH23*10000000</f>
        <v>0</v>
      </c>
      <c r="AK77" s="9">
        <f>'Monthly PL'!AI23*10000000</f>
        <v>455000000</v>
      </c>
      <c r="AL77" s="9">
        <f>'Monthly PL'!AJ23*10000000</f>
        <v>0</v>
      </c>
      <c r="AM77" s="9">
        <f>'Monthly PL'!AK23*10000000</f>
        <v>0</v>
      </c>
      <c r="AN77" s="9">
        <f>'Monthly PL'!AL23*10000000</f>
        <v>0</v>
      </c>
      <c r="AO77" s="9">
        <f>'Monthly PL'!AM23*10000000</f>
        <v>0</v>
      </c>
      <c r="AP77" s="9">
        <f>'Monthly PL'!AN23*10000000</f>
        <v>0</v>
      </c>
      <c r="AQ77" s="9">
        <f>'Monthly PL'!AO23*10000000</f>
        <v>0</v>
      </c>
      <c r="AR77" s="9">
        <f>'Monthly PL'!AP23*10000000</f>
        <v>0</v>
      </c>
      <c r="AS77" s="9">
        <f>'Monthly PL'!AQ23*10000000</f>
        <v>0</v>
      </c>
      <c r="AT77" s="9">
        <f>'Monthly PL'!AR23*10000000</f>
        <v>0</v>
      </c>
      <c r="AU77" s="9">
        <f>'Monthly PL'!AS23*10000000</f>
        <v>0</v>
      </c>
      <c r="AV77" s="9">
        <f>'Monthly PL'!AT23*10000000</f>
        <v>0</v>
      </c>
      <c r="AW77" s="9">
        <f>'Monthly PL'!AU23*10000000</f>
        <v>455000000</v>
      </c>
      <c r="AX77" s="9">
        <f>'Monthly PL'!AV23*10000000</f>
        <v>0</v>
      </c>
      <c r="AY77" s="9">
        <f>'Monthly PL'!AW23*10000000</f>
        <v>0</v>
      </c>
      <c r="AZ77" s="9">
        <f>'Monthly PL'!AX23*10000000</f>
        <v>0</v>
      </c>
      <c r="BA77" s="9">
        <f>'Monthly PL'!AY23*10000000</f>
        <v>0</v>
      </c>
      <c r="BB77" s="9">
        <f>'Monthly PL'!AZ23*10000000</f>
        <v>0</v>
      </c>
      <c r="BC77" s="9">
        <f>'Monthly PL'!BA23*10000000</f>
        <v>0</v>
      </c>
      <c r="BD77" s="9">
        <f>'Monthly PL'!BB23*10000000</f>
        <v>0</v>
      </c>
      <c r="BE77" s="9">
        <f>'Monthly PL'!BC23*10000000</f>
        <v>0</v>
      </c>
      <c r="BF77" s="9">
        <f>'Monthly PL'!BD23*10000000</f>
        <v>0</v>
      </c>
      <c r="BG77" s="9">
        <f>'Monthly PL'!BE23*10000000</f>
        <v>0</v>
      </c>
      <c r="BH77" s="9">
        <f>'Monthly PL'!BF23*10000000</f>
        <v>0</v>
      </c>
      <c r="BI77" s="9">
        <f>'Monthly PL'!BG23*10000000</f>
        <v>455000000</v>
      </c>
      <c r="BJ77" s="9">
        <f>'Monthly PL'!BH23*10000000</f>
        <v>0</v>
      </c>
      <c r="BK77" s="9">
        <f>'Monthly PL'!BI23*10000000</f>
        <v>0</v>
      </c>
      <c r="BL77" s="9">
        <f>'Monthly PL'!BJ23*10000000</f>
        <v>0</v>
      </c>
      <c r="BM77" s="9">
        <f>'Monthly PL'!BK23*10000000</f>
        <v>0</v>
      </c>
      <c r="BN77" s="9">
        <f>'Monthly PL'!BL23*10000000</f>
        <v>0</v>
      </c>
      <c r="BO77" s="9">
        <f>'Monthly PL'!BM23*10000000</f>
        <v>0</v>
      </c>
      <c r="BP77" s="9">
        <f>'Monthly PL'!BN23*10000000</f>
        <v>0</v>
      </c>
      <c r="BQ77" s="9">
        <f>'Monthly PL'!BO23*10000000</f>
        <v>0</v>
      </c>
      <c r="BR77" s="9">
        <f>'Monthly PL'!BP23*10000000</f>
        <v>0</v>
      </c>
      <c r="BS77" s="9">
        <f>'Monthly PL'!BQ23*10000000</f>
        <v>0</v>
      </c>
      <c r="BT77" s="9">
        <f>'Monthly PL'!BR23*10000000</f>
        <v>0</v>
      </c>
      <c r="BU77" s="9">
        <f>'Monthly PL'!BS23*10000000</f>
        <v>455000000</v>
      </c>
      <c r="BV77" s="9">
        <f>'Monthly PL'!BT23*10000000</f>
        <v>0</v>
      </c>
      <c r="BW77" s="9">
        <f>'Monthly PL'!BU23*10000000</f>
        <v>0</v>
      </c>
      <c r="BX77" s="9">
        <f>'Monthly PL'!BV23*10000000</f>
        <v>0</v>
      </c>
      <c r="BY77" s="9">
        <f>'Monthly PL'!BW23*10000000</f>
        <v>0</v>
      </c>
      <c r="BZ77" s="9">
        <f>'Monthly PL'!BX23*10000000</f>
        <v>0</v>
      </c>
      <c r="CA77" s="9">
        <f>'Monthly PL'!BY23*10000000</f>
        <v>0</v>
      </c>
      <c r="CB77" s="9">
        <f>'Monthly PL'!BZ23*10000000</f>
        <v>0</v>
      </c>
      <c r="CC77" s="9">
        <f>'Monthly PL'!CA23*10000000</f>
        <v>0</v>
      </c>
      <c r="CD77" s="9">
        <f>'Monthly PL'!CB23*10000000</f>
        <v>0</v>
      </c>
      <c r="CE77" s="9">
        <f>'Monthly PL'!CC23*10000000</f>
        <v>0</v>
      </c>
      <c r="CF77" s="9">
        <f>'Monthly PL'!CD23*10000000</f>
        <v>0</v>
      </c>
      <c r="CG77" s="9">
        <f>'Monthly PL'!CE23*10000000</f>
        <v>455000000</v>
      </c>
      <c r="CH77" s="9">
        <f>'Monthly PL'!CF23*10000000</f>
        <v>0</v>
      </c>
      <c r="CI77" s="9">
        <f>'Monthly PL'!CG23*10000000</f>
        <v>0</v>
      </c>
      <c r="CJ77" s="9">
        <f>'Monthly PL'!CH23*10000000</f>
        <v>0</v>
      </c>
      <c r="CK77" s="9">
        <f>'Monthly PL'!CI23*10000000</f>
        <v>0</v>
      </c>
      <c r="CL77" s="9">
        <f>'Monthly PL'!CJ23*10000000</f>
        <v>0</v>
      </c>
      <c r="CM77" s="9">
        <f>'Monthly PL'!CK23*10000000</f>
        <v>0</v>
      </c>
      <c r="CN77" s="9">
        <f>'Monthly PL'!CL23*10000000</f>
        <v>0</v>
      </c>
      <c r="CO77" s="9">
        <f>'Monthly PL'!CM23*10000000</f>
        <v>0</v>
      </c>
      <c r="CP77" s="9">
        <f>'Monthly PL'!CN23*10000000</f>
        <v>0</v>
      </c>
      <c r="CQ77" s="9">
        <f>'Monthly PL'!CO23*10000000</f>
        <v>0</v>
      </c>
      <c r="CR77" s="9">
        <f>'Monthly PL'!CP23*10000000</f>
        <v>0</v>
      </c>
      <c r="CS77" s="9">
        <f>'Monthly PL'!CQ23*10000000</f>
        <v>460400000</v>
      </c>
      <c r="CT77" s="9">
        <f>'Monthly PL'!CR23*10000000</f>
        <v>0</v>
      </c>
      <c r="CU77" s="9">
        <f>'Monthly PL'!CS23*10000000</f>
        <v>0</v>
      </c>
      <c r="CV77" s="9">
        <f>'Monthly PL'!CT23*10000000</f>
        <v>0</v>
      </c>
      <c r="CW77" s="9">
        <f>'Monthly PL'!CU23*10000000</f>
        <v>0</v>
      </c>
      <c r="CX77" s="9">
        <f>'Monthly PL'!CV23*10000000</f>
        <v>0</v>
      </c>
      <c r="CY77" s="9">
        <f>'Monthly PL'!CW23*10000000</f>
        <v>0</v>
      </c>
    </row>
    <row r="78" spans="1:103">
      <c r="A78" t="s">
        <v>114</v>
      </c>
      <c r="B78" s="40" t="s">
        <v>346</v>
      </c>
      <c r="C78" s="40" t="s">
        <v>349</v>
      </c>
      <c r="D78" s="9">
        <f>'Monthly PL'!B27*10000000</f>
        <v>300000</v>
      </c>
      <c r="E78" s="9">
        <f>'Monthly PL'!C27*10000000</f>
        <v>100000</v>
      </c>
      <c r="F78" s="9">
        <f>'Monthly PL'!D27*10000000</f>
        <v>261000.00000000003</v>
      </c>
      <c r="G78" s="9">
        <f>'Monthly PL'!E27*10000000</f>
        <v>261000.00000000003</v>
      </c>
      <c r="H78" s="9">
        <f>'Monthly PL'!F27*10000000</f>
        <v>261000.00000000003</v>
      </c>
      <c r="I78" s="9">
        <f>'Monthly PL'!G27*10000000</f>
        <v>261000.00000000003</v>
      </c>
      <c r="J78" s="9">
        <f>'Monthly PL'!H27*10000000</f>
        <v>261000.00000000003</v>
      </c>
      <c r="K78" s="9">
        <f>'Monthly PL'!I27*10000000</f>
        <v>261000.00000000003</v>
      </c>
      <c r="L78" s="9">
        <f>'Monthly PL'!J27*10000000</f>
        <v>261000.00000000003</v>
      </c>
      <c r="M78" s="9">
        <f>'Monthly PL'!K27*10000000</f>
        <v>261000.00000000003</v>
      </c>
      <c r="N78" s="9">
        <f>'Monthly PL'!L27*10000000</f>
        <v>261000.00000000003</v>
      </c>
      <c r="O78" s="9">
        <f>'Monthly PL'!M27*10000000</f>
        <v>261000.00000000003</v>
      </c>
      <c r="P78" s="9">
        <f>'Monthly PL'!N27*10000000</f>
        <v>261000.00000000003</v>
      </c>
      <c r="Q78" s="9">
        <f>'Monthly PL'!O27*10000000</f>
        <v>261000.00000000003</v>
      </c>
      <c r="R78" s="9">
        <f>'Monthly PL'!P27*10000000</f>
        <v>261000.00000000003</v>
      </c>
      <c r="S78" s="9">
        <f>'Monthly PL'!Q27*10000000</f>
        <v>261000.00000000003</v>
      </c>
      <c r="T78" s="9">
        <f>'Monthly PL'!R27*10000000</f>
        <v>261000.00000000003</v>
      </c>
      <c r="U78" s="9">
        <f>'Monthly PL'!S27*10000000</f>
        <v>261000.00000000003</v>
      </c>
      <c r="V78" s="9">
        <f>'Monthly PL'!T27*10000000</f>
        <v>0</v>
      </c>
      <c r="W78" s="9">
        <f>'Monthly PL'!U27*10000000</f>
        <v>0</v>
      </c>
      <c r="X78" s="9">
        <f>'Monthly PL'!V27*10000000</f>
        <v>0</v>
      </c>
      <c r="Y78" s="9">
        <f>'Monthly PL'!W27*10000000</f>
        <v>0</v>
      </c>
      <c r="Z78" s="9">
        <f>'Monthly PL'!X27*10000000</f>
        <v>0</v>
      </c>
      <c r="AA78" s="9">
        <f>'Monthly PL'!Y27*10000000</f>
        <v>0</v>
      </c>
      <c r="AB78" s="9">
        <f>'Monthly PL'!Z27*10000000</f>
        <v>0</v>
      </c>
      <c r="AC78" s="9">
        <f>'Monthly PL'!AA27*10000000</f>
        <v>0</v>
      </c>
      <c r="AD78" s="9">
        <f>'Monthly PL'!AB27*10000000</f>
        <v>0</v>
      </c>
      <c r="AE78" s="9">
        <f>'Monthly PL'!AC27*10000000</f>
        <v>0</v>
      </c>
      <c r="AF78" s="9">
        <f>'Monthly PL'!AD27*10000000</f>
        <v>0</v>
      </c>
      <c r="AG78" s="9">
        <f>'Monthly PL'!AE27*10000000</f>
        <v>0</v>
      </c>
      <c r="AH78" s="9">
        <f>'Monthly PL'!AF27*10000000</f>
        <v>0</v>
      </c>
      <c r="AI78" s="9">
        <f>'Monthly PL'!AG27*10000000</f>
        <v>0</v>
      </c>
      <c r="AJ78" s="9">
        <f>'Monthly PL'!AH27*10000000</f>
        <v>0</v>
      </c>
      <c r="AK78" s="9">
        <f>'Monthly PL'!AI27*10000000</f>
        <v>0</v>
      </c>
      <c r="AL78" s="9">
        <f>'Monthly PL'!AJ27*10000000</f>
        <v>0</v>
      </c>
      <c r="AM78" s="9">
        <f>'Monthly PL'!AK27*10000000</f>
        <v>0</v>
      </c>
      <c r="AN78" s="9">
        <f>'Monthly PL'!AL27*10000000</f>
        <v>0</v>
      </c>
      <c r="AO78" s="9">
        <f>'Monthly PL'!AM27*10000000</f>
        <v>0</v>
      </c>
      <c r="AP78" s="9">
        <f>'Monthly PL'!AN27*10000000</f>
        <v>0</v>
      </c>
      <c r="AQ78" s="9">
        <f>'Monthly PL'!AO27*10000000</f>
        <v>0</v>
      </c>
      <c r="AR78" s="9">
        <f>'Monthly PL'!AP27*10000000</f>
        <v>0</v>
      </c>
      <c r="AS78" s="9">
        <f>'Monthly PL'!AQ27*10000000</f>
        <v>0</v>
      </c>
      <c r="AT78" s="9">
        <f>'Monthly PL'!AR27*10000000</f>
        <v>0</v>
      </c>
      <c r="AU78" s="9">
        <f>'Monthly PL'!AS27*10000000</f>
        <v>0</v>
      </c>
      <c r="AV78" s="9">
        <f>'Monthly PL'!AT27*10000000</f>
        <v>0</v>
      </c>
      <c r="AW78" s="9">
        <f>'Monthly PL'!AU27*10000000</f>
        <v>0</v>
      </c>
      <c r="AX78" s="9">
        <f>'Monthly PL'!AV27*10000000</f>
        <v>0</v>
      </c>
      <c r="AY78" s="9">
        <f>'Monthly PL'!AW27*10000000</f>
        <v>0</v>
      </c>
      <c r="AZ78" s="9">
        <f>'Monthly PL'!AX27*10000000</f>
        <v>0</v>
      </c>
      <c r="BA78" s="9">
        <f>'Monthly PL'!AY27*10000000</f>
        <v>0</v>
      </c>
      <c r="BB78" s="9">
        <f>'Monthly PL'!AZ27*10000000</f>
        <v>0</v>
      </c>
      <c r="BC78" s="9">
        <f>'Monthly PL'!BA27*10000000</f>
        <v>0</v>
      </c>
      <c r="BD78" s="9">
        <f>'Monthly PL'!BB27*10000000</f>
        <v>0</v>
      </c>
      <c r="BE78" s="9">
        <f>'Monthly PL'!BC27*10000000</f>
        <v>0</v>
      </c>
      <c r="BF78" s="9">
        <f>'Monthly PL'!BD27*10000000</f>
        <v>0</v>
      </c>
      <c r="BG78" s="9">
        <f>'Monthly PL'!BE27*10000000</f>
        <v>0</v>
      </c>
      <c r="BH78" s="9">
        <f>'Monthly PL'!BF27*10000000</f>
        <v>0</v>
      </c>
      <c r="BI78" s="9">
        <f>'Monthly PL'!BG27*10000000</f>
        <v>0</v>
      </c>
      <c r="BJ78" s="9">
        <f>'Monthly PL'!BH27*10000000</f>
        <v>0</v>
      </c>
      <c r="BK78" s="9">
        <f>'Monthly PL'!BI27*10000000</f>
        <v>0</v>
      </c>
      <c r="BL78" s="9">
        <f>'Monthly PL'!BJ27*10000000</f>
        <v>0</v>
      </c>
      <c r="BM78" s="9">
        <f>'Monthly PL'!BK27*10000000</f>
        <v>0</v>
      </c>
      <c r="BN78" s="9">
        <f>'Monthly PL'!BL27*10000000</f>
        <v>0</v>
      </c>
      <c r="BO78" s="9">
        <f>'Monthly PL'!BM27*10000000</f>
        <v>0</v>
      </c>
      <c r="BP78" s="9">
        <f>'Monthly PL'!BN27*10000000</f>
        <v>0</v>
      </c>
      <c r="BQ78" s="9">
        <f>'Monthly PL'!BO27*10000000</f>
        <v>0</v>
      </c>
      <c r="BR78" s="9">
        <f>'Monthly PL'!BP27*10000000</f>
        <v>0</v>
      </c>
      <c r="BS78" s="9">
        <f>'Monthly PL'!BQ27*10000000</f>
        <v>0</v>
      </c>
      <c r="BT78" s="9">
        <f>'Monthly PL'!BR27*10000000</f>
        <v>0</v>
      </c>
      <c r="BU78" s="9">
        <f>'Monthly PL'!BS27*10000000</f>
        <v>0</v>
      </c>
      <c r="BV78" s="9">
        <f>'Monthly PL'!BT27*10000000</f>
        <v>0</v>
      </c>
      <c r="BW78" s="9">
        <f>'Monthly PL'!BU27*10000000</f>
        <v>0</v>
      </c>
      <c r="BX78" s="9">
        <f>'Monthly PL'!BV27*10000000</f>
        <v>0</v>
      </c>
      <c r="BY78" s="9">
        <f>'Monthly PL'!BW27*10000000</f>
        <v>0</v>
      </c>
      <c r="BZ78" s="9">
        <f>'Monthly PL'!BX27*10000000</f>
        <v>0</v>
      </c>
      <c r="CA78" s="9">
        <f>'Monthly PL'!BY27*10000000</f>
        <v>0</v>
      </c>
      <c r="CB78" s="9">
        <f>'Monthly PL'!BZ27*10000000</f>
        <v>0</v>
      </c>
      <c r="CC78" s="9">
        <f>'Monthly PL'!CA27*10000000</f>
        <v>0</v>
      </c>
      <c r="CD78" s="9">
        <f>'Monthly PL'!CB27*10000000</f>
        <v>0</v>
      </c>
      <c r="CE78" s="9">
        <f>'Monthly PL'!CC27*10000000</f>
        <v>0</v>
      </c>
      <c r="CF78" s="9">
        <f>'Monthly PL'!CD27*10000000</f>
        <v>0</v>
      </c>
      <c r="CG78" s="9">
        <f>'Monthly PL'!CE27*10000000</f>
        <v>0</v>
      </c>
      <c r="CH78" s="9">
        <f>'Monthly PL'!CF27*10000000</f>
        <v>0</v>
      </c>
      <c r="CI78" s="9">
        <f>'Monthly PL'!CG27*10000000</f>
        <v>0</v>
      </c>
      <c r="CJ78" s="9">
        <f>'Monthly PL'!CH27*10000000</f>
        <v>0</v>
      </c>
      <c r="CK78" s="9">
        <f>'Monthly PL'!CI27*10000000</f>
        <v>0</v>
      </c>
      <c r="CL78" s="9">
        <f>'Monthly PL'!CJ27*10000000</f>
        <v>0</v>
      </c>
      <c r="CM78" s="9">
        <f>'Monthly PL'!CK27*10000000</f>
        <v>0</v>
      </c>
      <c r="CN78" s="9">
        <f>'Monthly PL'!CL27*10000000</f>
        <v>0</v>
      </c>
      <c r="CO78" s="9">
        <f>'Monthly PL'!CM27*10000000</f>
        <v>0</v>
      </c>
      <c r="CP78" s="9">
        <f>'Monthly PL'!CN27*10000000</f>
        <v>0</v>
      </c>
      <c r="CQ78" s="9">
        <f>'Monthly PL'!CO27*10000000</f>
        <v>0</v>
      </c>
      <c r="CR78" s="9">
        <f>'Monthly PL'!CP27*10000000</f>
        <v>0</v>
      </c>
      <c r="CS78" s="9">
        <f>'Monthly PL'!CQ27*10000000</f>
        <v>0</v>
      </c>
      <c r="CT78" s="9">
        <f>'Monthly PL'!CR27*10000000</f>
        <v>0</v>
      </c>
      <c r="CU78" s="9">
        <f>'Monthly PL'!CS27*10000000</f>
        <v>0</v>
      </c>
      <c r="CV78" s="9">
        <f>'Monthly PL'!CT27*10000000</f>
        <v>0</v>
      </c>
      <c r="CW78" s="9">
        <f>'Monthly PL'!CU27*10000000</f>
        <v>0</v>
      </c>
      <c r="CX78" s="9">
        <f>'Monthly PL'!CV27*10000000</f>
        <v>0</v>
      </c>
      <c r="CY78" s="9">
        <f>'Monthly PL'!CW27*10000000</f>
        <v>0</v>
      </c>
    </row>
    <row r="79" spans="1:103">
      <c r="A79" t="s">
        <v>350</v>
      </c>
      <c r="B79" s="40" t="s">
        <v>346</v>
      </c>
      <c r="C79" s="40" t="s">
        <v>351</v>
      </c>
      <c r="D79" s="9">
        <f>'Monthly PL'!B18*10000000</f>
        <v>2867500</v>
      </c>
      <c r="E79" s="9">
        <f>'Monthly PL'!C18*10000000</f>
        <v>1073975.1840430107</v>
      </c>
      <c r="F79" s="9">
        <f>'Monthly PL'!D18*10000000</f>
        <v>1835591.6010666667</v>
      </c>
      <c r="G79" s="9">
        <f>'Monthly PL'!E18*10000000</f>
        <v>3418425.4485333324</v>
      </c>
      <c r="H79" s="9">
        <f>'Monthly PL'!F18*10000000</f>
        <v>1913452.3583999998</v>
      </c>
      <c r="I79" s="9">
        <f>'Monthly PL'!G18*10000000</f>
        <v>2902635.6057600006</v>
      </c>
      <c r="J79" s="9">
        <f>'Monthly PL'!H18*10000000</f>
        <v>1991313.1157333336</v>
      </c>
      <c r="K79" s="9">
        <f>'Monthly PL'!I18*10000000</f>
        <v>3046631.4395733341</v>
      </c>
      <c r="L79" s="9">
        <f>'Monthly PL'!J18*10000000</f>
        <v>2394159.9498666665</v>
      </c>
      <c r="M79" s="9">
        <f>'Monthly PL'!K18*10000000</f>
        <v>3100079.082026667</v>
      </c>
      <c r="N79" s="9">
        <f>'Monthly PL'!L18*10000000</f>
        <v>1647759.52</v>
      </c>
      <c r="O79" s="9">
        <f>'Monthly PL'!M18*10000000</f>
        <v>3196980.8816000004</v>
      </c>
      <c r="P79" s="9">
        <f>'Monthly PL'!N18*10000000</f>
        <v>1674230.6239999998</v>
      </c>
      <c r="Q79" s="9">
        <f>'Monthly PL'!O18*10000000</f>
        <v>3495268.4272000003</v>
      </c>
      <c r="R79" s="9">
        <f>'Monthly PL'!P18*10000000</f>
        <v>1922675.8671999997</v>
      </c>
      <c r="S79" s="9">
        <f>'Monthly PL'!Q18*10000000</f>
        <v>3602667.9655999998</v>
      </c>
      <c r="T79" s="9">
        <f>'Monthly PL'!R18*10000000</f>
        <v>1901101.0480000002</v>
      </c>
      <c r="U79" s="9">
        <f>'Monthly PL'!S18*10000000</f>
        <v>3624248.0120000006</v>
      </c>
      <c r="V79" s="9">
        <f>'Monthly PL'!T18*10000000</f>
        <v>1901834.2287999997</v>
      </c>
      <c r="W79" s="9">
        <f>'Monthly PL'!U18*10000000</f>
        <v>3757371.5431999997</v>
      </c>
      <c r="X79" s="9">
        <f>'Monthly PL'!V18*10000000</f>
        <v>1780171.6416</v>
      </c>
      <c r="Y79" s="9">
        <f>'Monthly PL'!W18*10000000</f>
        <v>3809913.2015999998</v>
      </c>
      <c r="Z79" s="9">
        <f>'Monthly PL'!X18*10000000</f>
        <v>2108818.9440000001</v>
      </c>
      <c r="AA79" s="9">
        <f>'Monthly PL'!Y18*10000000</f>
        <v>4227231.3599999994</v>
      </c>
      <c r="AB79" s="9">
        <f>'Monthly PL'!Z18*10000000</f>
        <v>2149177.344</v>
      </c>
      <c r="AC79" s="9">
        <f>'Monthly PL'!AA18*10000000</f>
        <v>4309966.080000001</v>
      </c>
      <c r="AD79" s="9">
        <f>'Monthly PL'!AB18*10000000</f>
        <v>2250342.3999999999</v>
      </c>
      <c r="AE79" s="9">
        <f>'Monthly PL'!AC18*10000000</f>
        <v>4294360.8320000004</v>
      </c>
      <c r="AF79" s="9">
        <f>'Monthly PL'!AD18*10000000</f>
        <v>2267023.872</v>
      </c>
      <c r="AG79" s="9">
        <f>'Monthly PL'!AE18*10000000</f>
        <v>4276297.7279999992</v>
      </c>
      <c r="AH79" s="9">
        <f>'Monthly PL'!AF18*10000000</f>
        <v>2233086.4640000002</v>
      </c>
      <c r="AI79" s="9">
        <f>'Monthly PL'!AG18*10000000</f>
        <v>4414188.9279999994</v>
      </c>
      <c r="AJ79" s="9">
        <f>'Monthly PL'!AH18*10000000</f>
        <v>3838289.9199999999</v>
      </c>
      <c r="AK79" s="9">
        <f>'Monthly PL'!AI18*10000000</f>
        <v>4427359.2192000002</v>
      </c>
      <c r="AL79" s="9">
        <f>'Monthly PL'!AJ18*10000000</f>
        <v>2872597.9963200008</v>
      </c>
      <c r="AM79" s="9">
        <f>'Monthly PL'!AK18*10000000</f>
        <v>5281639.9681344004</v>
      </c>
      <c r="AN79" s="9">
        <f>'Monthly PL'!AL18*10000000</f>
        <v>2906847.7488960004</v>
      </c>
      <c r="AO79" s="9">
        <f>'Monthly PL'!AM18*10000000</f>
        <v>5351851.9609152004</v>
      </c>
      <c r="AP79" s="9">
        <f>'Monthly PL'!AN18*10000000</f>
        <v>3019015.6885824003</v>
      </c>
      <c r="AQ79" s="9">
        <f>'Monthly PL'!AO18*10000000</f>
        <v>5343289.5227711983</v>
      </c>
      <c r="AR79" s="9">
        <f>'Monthly PL'!AP18*10000000</f>
        <v>3012292.1914176</v>
      </c>
      <c r="AS79" s="9">
        <f>'Monthly PL'!AQ18*10000000</f>
        <v>5370244.9489728007</v>
      </c>
      <c r="AT79" s="9">
        <f>'Monthly PL'!AR18*10000000</f>
        <v>3047683.6024128008</v>
      </c>
      <c r="AU79" s="9">
        <f>'Monthly PL'!AS18*10000000</f>
        <v>5560473.7830719994</v>
      </c>
      <c r="AV79" s="9">
        <f>'Monthly PL'!AT18*10000000</f>
        <v>2920388.6886720005</v>
      </c>
      <c r="AW79" s="9">
        <f>'Monthly PL'!AU18*10000000</f>
        <v>5549913.4426943995</v>
      </c>
      <c r="AX79" s="9">
        <f>'Monthly PL'!AV18*10000000</f>
        <v>3221997.0785675524</v>
      </c>
      <c r="AY79" s="9">
        <f>'Monthly PL'!AW18*10000000</f>
        <v>6313504.811189454</v>
      </c>
      <c r="AZ79" s="9">
        <f>'Monthly PL'!AX18*10000000</f>
        <v>3242339.2909881603</v>
      </c>
      <c r="BA79" s="9">
        <f>'Monthly PL'!AY18*10000000</f>
        <v>6355206.3466517003</v>
      </c>
      <c r="BB79" s="9">
        <f>'Monthly PL'!AZ18*10000000</f>
        <v>3361680.2705223942</v>
      </c>
      <c r="BC79" s="9">
        <f>'Monthly PL'!BA18*10000000</f>
        <v>6297400.5596898049</v>
      </c>
      <c r="BD79" s="9">
        <f>'Monthly PL'!BB18*10000000</f>
        <v>3382700.5566903558</v>
      </c>
      <c r="BE79" s="9">
        <f>'Monthly PL'!BC18*10000000</f>
        <v>6338424.0214046976</v>
      </c>
      <c r="BF79" s="9">
        <f>'Monthly PL'!BD18*10000000</f>
        <v>3403720.8428583173</v>
      </c>
      <c r="BG79" s="9">
        <f>'Monthly PL'!BE18*10000000</f>
        <v>6530488.4103426076</v>
      </c>
      <c r="BH79" s="9">
        <f>'Monthly PL'!BF18*10000000</f>
        <v>3121642.1639592196</v>
      </c>
      <c r="BI79" s="9">
        <f>'Monthly PL'!BG18*10000000</f>
        <v>6420979.5001449985</v>
      </c>
      <c r="BJ79" s="9">
        <f>'Monthly PL'!BH18*10000000</f>
        <v>3326455.4073854908</v>
      </c>
      <c r="BK79" s="9">
        <f>'Monthly PL'!BI18*10000000</f>
        <v>6661154.2894957606</v>
      </c>
      <c r="BL79" s="9">
        <f>'Monthly PL'!BJ18*10000000</f>
        <v>3337033.357844207</v>
      </c>
      <c r="BM79" s="9">
        <f>'Monthly PL'!BK18*10000000</f>
        <v>6682839.0879361285</v>
      </c>
      <c r="BN79" s="9">
        <f>'Monthly PL'!BL18*10000000</f>
        <v>3453919.7104130206</v>
      </c>
      <c r="BO79" s="9">
        <f>'Monthly PL'!BM18*10000000</f>
        <v>6597951.0355049316</v>
      </c>
      <c r="BP79" s="9">
        <f>'Monthly PL'!BN18*10000000</f>
        <v>3464850.2592203594</v>
      </c>
      <c r="BQ79" s="9">
        <f>'Monthly PL'!BO18*10000000</f>
        <v>6619283.2355966754</v>
      </c>
      <c r="BR79" s="9">
        <f>'Monthly PL'!BP18*10000000</f>
        <v>3475780.808027701</v>
      </c>
      <c r="BS79" s="9">
        <f>'Monthly PL'!BQ18*10000000</f>
        <v>6801400.2826609062</v>
      </c>
      <c r="BT79" s="9">
        <f>'Monthly PL'!BR18*10000000</f>
        <v>3164612.7653671331</v>
      </c>
      <c r="BU79" s="9">
        <f>'Monthly PL'!BS18*10000000</f>
        <v>6662212.0845416319</v>
      </c>
      <c r="BV79" s="9">
        <f>'Monthly PL'!BT18*10000000</f>
        <v>3716881.3364929049</v>
      </c>
      <c r="BW79" s="9">
        <f>'Monthly PL'!BU18*10000000</f>
        <v>7462356.8799283998</v>
      </c>
      <c r="BX79" s="9">
        <f>'Monthly PL'!BV18*10000000</f>
        <v>3728529.5266450918</v>
      </c>
      <c r="BY79" s="9">
        <f>'Monthly PL'!BW18*10000000</f>
        <v>7486235.6697403807</v>
      </c>
      <c r="BZ79" s="9">
        <f>'Monthly PL'!BX18*10000000</f>
        <v>3859571.665857187</v>
      </c>
      <c r="CA79" s="9">
        <f>'Monthly PL'!BY18*10000000</f>
        <v>7390429.3057386484</v>
      </c>
      <c r="CB79" s="9">
        <f>'Monthly PL'!BZ18*10000000</f>
        <v>3871608.1290144455</v>
      </c>
      <c r="CC79" s="9">
        <f>'Monthly PL'!CA18*10000000</f>
        <v>7413919.8225455582</v>
      </c>
      <c r="CD79" s="9">
        <f>'Monthly PL'!CB18*10000000</f>
        <v>3883644.5921717053</v>
      </c>
      <c r="CE79" s="9">
        <f>'Monthly PL'!CC18*10000000</f>
        <v>7683038.1630849065</v>
      </c>
      <c r="CF79" s="9">
        <f>'Monthly PL'!CD18*10000000</f>
        <v>3573256.4430350172</v>
      </c>
      <c r="CG79" s="9">
        <f>'Monthly PL'!CE18*10000000</f>
        <v>7546108.7215633336</v>
      </c>
      <c r="CH79" s="9">
        <f>'Monthly PL'!CF18*10000000</f>
        <v>3975785.3881174061</v>
      </c>
      <c r="CI79" s="9">
        <f>'Monthly PL'!CG18*10000000</f>
        <v>7993580.4475750048</v>
      </c>
      <c r="CJ79" s="9">
        <f>'Monthly PL'!CH18*10000000</f>
        <v>3988040.3677100791</v>
      </c>
      <c r="CK79" s="9">
        <f>'Monthly PL'!CI18*10000000</f>
        <v>8018703.1557399826</v>
      </c>
      <c r="CL79" s="9">
        <f>'Monthly PL'!CJ18*10000000</f>
        <v>4128359.884046176</v>
      </c>
      <c r="CM79" s="9">
        <f>'Monthly PL'!CK18*10000000</f>
        <v>7915454.9526717188</v>
      </c>
      <c r="CN79" s="9">
        <f>'Monthly PL'!CL18*10000000</f>
        <v>4141023.3629586035</v>
      </c>
      <c r="CO79" s="9">
        <f>'Monthly PL'!CM18*10000000</f>
        <v>7940169.1615169393</v>
      </c>
      <c r="CP79" s="9">
        <f>'Monthly PL'!CN18*10000000</f>
        <v>4153686.8418710316</v>
      </c>
      <c r="CQ79" s="9">
        <f>'Monthly PL'!CO18*10000000</f>
        <v>8158512.047926384</v>
      </c>
      <c r="CR79" s="9">
        <f>'Monthly PL'!CP18*10000000</f>
        <v>3907770.2513780752</v>
      </c>
      <c r="CS79" s="9">
        <f>'Monthly PL'!CQ18*10000000</f>
        <v>8054548.971048547</v>
      </c>
      <c r="CT79" s="9">
        <f>'Monthly PL'!CR18*10000000</f>
        <v>4204953.5065003773</v>
      </c>
      <c r="CU79" s="9">
        <f>'Monthly PL'!CS18*10000000</f>
        <v>8463754.9946274683</v>
      </c>
      <c r="CV79" s="9">
        <f>'Monthly PL'!CT18*10000000</f>
        <v>4217698.6852767579</v>
      </c>
      <c r="CW79" s="9">
        <f>'Monthly PL'!CU18*10000000</f>
        <v>8489882.6111190449</v>
      </c>
      <c r="CX79" s="9">
        <f>'Monthly PL'!CV18*10000000</f>
        <v>4366180.0180215742</v>
      </c>
      <c r="CY79" s="9">
        <f>'Monthly PL'!CW18*10000000</f>
        <v>8379955.4441727744</v>
      </c>
    </row>
    <row r="80" spans="1:103">
      <c r="A80" t="s">
        <v>352</v>
      </c>
      <c r="B80" s="40" t="s">
        <v>346</v>
      </c>
      <c r="C80" s="40" t="s">
        <v>351</v>
      </c>
      <c r="D80" s="9">
        <f>'Monthly PL'!B19*10000000</f>
        <v>2000000</v>
      </c>
      <c r="E80" s="9">
        <f>'Monthly PL'!C19*10000000</f>
        <v>700000.00000000012</v>
      </c>
      <c r="F80" s="9">
        <f>'Monthly PL'!D19*10000000</f>
        <v>0</v>
      </c>
      <c r="G80" s="9">
        <f>'Monthly PL'!E19*10000000</f>
        <v>0</v>
      </c>
      <c r="H80" s="9">
        <f>'Monthly PL'!F19*10000000</f>
        <v>0</v>
      </c>
      <c r="I80" s="9">
        <f>'Monthly PL'!G19*10000000</f>
        <v>0</v>
      </c>
      <c r="J80" s="9">
        <f>'Monthly PL'!H19*10000000</f>
        <v>0</v>
      </c>
      <c r="K80" s="9">
        <f>'Monthly PL'!I19*10000000</f>
        <v>0</v>
      </c>
      <c r="L80" s="9">
        <f>'Monthly PL'!J19*10000000</f>
        <v>0</v>
      </c>
      <c r="M80" s="9">
        <f>'Monthly PL'!K19*10000000</f>
        <v>0</v>
      </c>
      <c r="N80" s="9">
        <f>'Monthly PL'!L19*10000000</f>
        <v>0</v>
      </c>
      <c r="O80" s="9">
        <f>'Monthly PL'!M19*10000000</f>
        <v>0</v>
      </c>
      <c r="P80" s="9">
        <f>'Monthly PL'!N19*10000000</f>
        <v>0</v>
      </c>
      <c r="Q80" s="9">
        <f>'Monthly PL'!O19*10000000</f>
        <v>0</v>
      </c>
      <c r="R80" s="9">
        <f>'Monthly PL'!P19*10000000</f>
        <v>0</v>
      </c>
      <c r="S80" s="9">
        <f>'Monthly PL'!Q19*10000000</f>
        <v>667500</v>
      </c>
      <c r="T80" s="9">
        <f>'Monthly PL'!R19*10000000</f>
        <v>42500</v>
      </c>
      <c r="U80" s="9">
        <f>'Monthly PL'!S19*10000000</f>
        <v>298040</v>
      </c>
      <c r="V80" s="9">
        <f>'Monthly PL'!T19*10000000</f>
        <v>2144403.4084134884</v>
      </c>
      <c r="W80" s="9">
        <f>'Monthly PL'!U19*10000000</f>
        <v>2531824.203001</v>
      </c>
      <c r="X80" s="9">
        <f>'Monthly PL'!V19*10000000</f>
        <v>3262540.525225</v>
      </c>
      <c r="Y80" s="9">
        <f>'Monthly PL'!W19*10000000</f>
        <v>2673527.135923001</v>
      </c>
      <c r="Z80" s="9">
        <f>'Monthly PL'!X19*10000000</f>
        <v>0</v>
      </c>
      <c r="AA80" s="9">
        <f>'Monthly PL'!Y19*10000000</f>
        <v>0</v>
      </c>
      <c r="AB80" s="9">
        <f>'Monthly PL'!Z19*10000000</f>
        <v>0</v>
      </c>
      <c r="AC80" s="9">
        <f>'Monthly PL'!AA19*10000000</f>
        <v>667500</v>
      </c>
      <c r="AD80" s="9">
        <f>'Monthly PL'!AB19*10000000</f>
        <v>12542500</v>
      </c>
      <c r="AE80" s="9">
        <f>'Monthly PL'!AC19*10000000</f>
        <v>298040</v>
      </c>
      <c r="AF80" s="9">
        <f>'Monthly PL'!AD19*10000000</f>
        <v>2144403.4084134884</v>
      </c>
      <c r="AG80" s="9">
        <f>'Monthly PL'!AE19*10000000</f>
        <v>2531824.203001</v>
      </c>
      <c r="AH80" s="9">
        <f>'Monthly PL'!AF19*10000000</f>
        <v>3262540.525225</v>
      </c>
      <c r="AI80" s="9">
        <f>'Monthly PL'!AG19*10000000</f>
        <v>2673527.135923001</v>
      </c>
      <c r="AJ80" s="9">
        <f>'Monthly PL'!AH19*10000000</f>
        <v>2552897.314737</v>
      </c>
      <c r="AK80" s="9">
        <f>'Monthly PL'!AI19*10000000</f>
        <v>2514368.5436672671</v>
      </c>
      <c r="AL80" s="9">
        <f>'Monthly PL'!AJ19*10000000</f>
        <v>993308.17813200015</v>
      </c>
      <c r="AM80" s="9">
        <f>'Monthly PL'!AK19*10000000</f>
        <v>1207838.068219376</v>
      </c>
      <c r="AN80" s="9">
        <f>'Monthly PL'!AL19*10000000</f>
        <v>754349.03128800006</v>
      </c>
      <c r="AO80" s="9">
        <f>'Monthly PL'!AM19*10000000</f>
        <v>961674.56279772799</v>
      </c>
      <c r="AP80" s="9">
        <f>'Monthly PL'!AN19*10000000</f>
        <v>727671</v>
      </c>
      <c r="AQ80" s="9">
        <f>'Monthly PL'!AO19*10000000</f>
        <v>4506735.6000000006</v>
      </c>
      <c r="AR80" s="9">
        <f>'Monthly PL'!AP19*10000000</f>
        <v>271950.37500000006</v>
      </c>
      <c r="AS80" s="9">
        <f>'Monthly PL'!AQ19*10000000</f>
        <v>202414.5</v>
      </c>
      <c r="AT80" s="9">
        <f>'Monthly PL'!AR19*10000000</f>
        <v>711649.06825000013</v>
      </c>
      <c r="AU80" s="9">
        <f>'Monthly PL'!AS19*10000000</f>
        <v>0</v>
      </c>
      <c r="AV80" s="9">
        <f>'Monthly PL'!AT19*10000000</f>
        <v>0</v>
      </c>
      <c r="AW80" s="9">
        <f>'Monthly PL'!AU19*10000000</f>
        <v>0</v>
      </c>
      <c r="AX80" s="9">
        <f>'Monthly PL'!AV19*10000000</f>
        <v>0</v>
      </c>
      <c r="AY80" s="9">
        <f>'Monthly PL'!AW19*10000000</f>
        <v>0</v>
      </c>
      <c r="AZ80" s="9">
        <f>'Monthly PL'!AX19*10000000</f>
        <v>0</v>
      </c>
      <c r="BA80" s="9">
        <f>'Monthly PL'!AY19*10000000</f>
        <v>0</v>
      </c>
      <c r="BB80" s="9">
        <f>'Monthly PL'!AZ19*10000000</f>
        <v>0</v>
      </c>
      <c r="BC80" s="9">
        <f>'Monthly PL'!BA19*10000000</f>
        <v>0</v>
      </c>
      <c r="BD80" s="9">
        <f>'Monthly PL'!BB19*10000000</f>
        <v>0</v>
      </c>
      <c r="BE80" s="9">
        <f>'Monthly PL'!BC19*10000000</f>
        <v>0</v>
      </c>
      <c r="BF80" s="9">
        <f>'Monthly PL'!BD19*10000000</f>
        <v>0</v>
      </c>
      <c r="BG80" s="9">
        <f>'Monthly PL'!BE19*10000000</f>
        <v>0</v>
      </c>
      <c r="BH80" s="9">
        <f>'Monthly PL'!BF19*10000000</f>
        <v>0</v>
      </c>
      <c r="BI80" s="9">
        <f>'Monthly PL'!BG19*10000000</f>
        <v>0</v>
      </c>
      <c r="BJ80" s="9">
        <f>'Monthly PL'!BH19*10000000</f>
        <v>0</v>
      </c>
      <c r="BK80" s="9">
        <f>'Monthly PL'!BI19*10000000</f>
        <v>0</v>
      </c>
      <c r="BL80" s="9">
        <f>'Monthly PL'!BJ19*10000000</f>
        <v>0</v>
      </c>
      <c r="BM80" s="9">
        <f>'Monthly PL'!BK19*10000000</f>
        <v>0</v>
      </c>
      <c r="BN80" s="9">
        <f>'Monthly PL'!BL19*10000000</f>
        <v>0</v>
      </c>
      <c r="BO80" s="9">
        <f>'Monthly PL'!BM19*10000000</f>
        <v>0</v>
      </c>
      <c r="BP80" s="9">
        <f>'Monthly PL'!BN19*10000000</f>
        <v>0</v>
      </c>
      <c r="BQ80" s="9">
        <f>'Monthly PL'!BO19*10000000</f>
        <v>0</v>
      </c>
      <c r="BR80" s="9">
        <f>'Monthly PL'!BP19*10000000</f>
        <v>0</v>
      </c>
      <c r="BS80" s="9">
        <f>'Monthly PL'!BQ19*10000000</f>
        <v>0</v>
      </c>
      <c r="BT80" s="9">
        <f>'Monthly PL'!BR19*10000000</f>
        <v>0</v>
      </c>
      <c r="BU80" s="9">
        <f>'Monthly PL'!BS19*10000000</f>
        <v>0</v>
      </c>
      <c r="BV80" s="9">
        <f>'Monthly PL'!BT19*10000000</f>
        <v>0</v>
      </c>
      <c r="BW80" s="9">
        <f>'Monthly PL'!BU19*10000000</f>
        <v>0</v>
      </c>
      <c r="BX80" s="9">
        <f>'Monthly PL'!BV19*10000000</f>
        <v>0</v>
      </c>
      <c r="BY80" s="9">
        <f>'Monthly PL'!BW19*10000000</f>
        <v>0</v>
      </c>
      <c r="BZ80" s="9">
        <f>'Monthly PL'!BX19*10000000</f>
        <v>0</v>
      </c>
      <c r="CA80" s="9">
        <f>'Monthly PL'!BY19*10000000</f>
        <v>0</v>
      </c>
      <c r="CB80" s="9">
        <f>'Monthly PL'!BZ19*10000000</f>
        <v>0</v>
      </c>
      <c r="CC80" s="9">
        <f>'Monthly PL'!CA19*10000000</f>
        <v>0</v>
      </c>
      <c r="CD80" s="9">
        <f>'Monthly PL'!CB19*10000000</f>
        <v>0</v>
      </c>
      <c r="CE80" s="9">
        <f>'Monthly PL'!CC19*10000000</f>
        <v>0</v>
      </c>
      <c r="CF80" s="9">
        <f>'Monthly PL'!CD19*10000000</f>
        <v>0</v>
      </c>
      <c r="CG80" s="9">
        <f>'Monthly PL'!CE19*10000000</f>
        <v>0</v>
      </c>
      <c r="CH80" s="9">
        <f>'Monthly PL'!CF19*10000000</f>
        <v>0</v>
      </c>
      <c r="CI80" s="9">
        <f>'Monthly PL'!CG19*10000000</f>
        <v>0</v>
      </c>
      <c r="CJ80" s="9">
        <f>'Monthly PL'!CH19*10000000</f>
        <v>0</v>
      </c>
      <c r="CK80" s="9">
        <f>'Monthly PL'!CI19*10000000</f>
        <v>0</v>
      </c>
      <c r="CL80" s="9">
        <f>'Monthly PL'!CJ19*10000000</f>
        <v>0</v>
      </c>
      <c r="CM80" s="9">
        <f>'Monthly PL'!CK19*10000000</f>
        <v>0</v>
      </c>
      <c r="CN80" s="9">
        <f>'Monthly PL'!CL19*10000000</f>
        <v>0</v>
      </c>
      <c r="CO80" s="9">
        <f>'Monthly PL'!CM19*10000000</f>
        <v>0</v>
      </c>
      <c r="CP80" s="9">
        <f>'Monthly PL'!CN19*10000000</f>
        <v>0</v>
      </c>
      <c r="CQ80" s="9">
        <f>'Monthly PL'!CO19*10000000</f>
        <v>0</v>
      </c>
      <c r="CR80" s="9">
        <f>'Monthly PL'!CP19*10000000</f>
        <v>0</v>
      </c>
      <c r="CS80" s="9">
        <f>'Monthly PL'!CQ19*10000000</f>
        <v>0</v>
      </c>
      <c r="CT80" s="9">
        <f>'Monthly PL'!CR19*10000000</f>
        <v>0</v>
      </c>
      <c r="CU80" s="9">
        <f>'Monthly PL'!CS19*10000000</f>
        <v>0</v>
      </c>
      <c r="CV80" s="9">
        <f>'Monthly PL'!CT19*10000000</f>
        <v>0</v>
      </c>
      <c r="CW80" s="9">
        <f>'Monthly PL'!CU19*10000000</f>
        <v>0</v>
      </c>
      <c r="CX80" s="9">
        <f>'Monthly PL'!CV19*10000000</f>
        <v>0</v>
      </c>
      <c r="CY80" s="9">
        <f>'Monthly PL'!CW19*10000000</f>
        <v>0</v>
      </c>
    </row>
    <row r="81" spans="1:103">
      <c r="A81" t="s">
        <v>111</v>
      </c>
      <c r="B81" s="40" t="s">
        <v>346</v>
      </c>
      <c r="C81" s="40" t="s">
        <v>111</v>
      </c>
      <c r="D81" s="9">
        <f>'Monthly PL'!B24*10000000</f>
        <v>0</v>
      </c>
      <c r="E81" s="9">
        <f>'Monthly PL'!C24*10000000</f>
        <v>0</v>
      </c>
      <c r="F81" s="9">
        <f>'Monthly PL'!D24*10000000</f>
        <v>0</v>
      </c>
      <c r="G81" s="9">
        <f>'Monthly PL'!E24*10000000</f>
        <v>0</v>
      </c>
      <c r="H81" s="9">
        <f>'Monthly PL'!F24*10000000</f>
        <v>0</v>
      </c>
      <c r="I81" s="9">
        <f>'Monthly PL'!G24*10000000</f>
        <v>0</v>
      </c>
      <c r="J81" s="9">
        <f>'Monthly PL'!H24*10000000</f>
        <v>0</v>
      </c>
      <c r="K81" s="9">
        <f>'Monthly PL'!I24*10000000</f>
        <v>0</v>
      </c>
      <c r="L81" s="9">
        <f>'Monthly PL'!J24*10000000</f>
        <v>0</v>
      </c>
      <c r="M81" s="9">
        <f>'Monthly PL'!K24*10000000</f>
        <v>0</v>
      </c>
      <c r="N81" s="9">
        <f>'Monthly PL'!L24*10000000</f>
        <v>15484758.33333333</v>
      </c>
      <c r="O81" s="9">
        <f>'Monthly PL'!M24*10000000</f>
        <v>15484758.33333333</v>
      </c>
      <c r="P81" s="9">
        <f>'Monthly PL'!N24*10000000</f>
        <v>15484758.33333333</v>
      </c>
      <c r="Q81" s="9">
        <f>'Monthly PL'!O24*10000000</f>
        <v>15484758.33333333</v>
      </c>
      <c r="R81" s="9">
        <f>'Monthly PL'!P24*10000000</f>
        <v>15484758.33333333</v>
      </c>
      <c r="S81" s="9">
        <f>'Monthly PL'!Q24*10000000</f>
        <v>15484758.33333333</v>
      </c>
      <c r="T81" s="9">
        <f>'Monthly PL'!R24*10000000</f>
        <v>15484758.33333333</v>
      </c>
      <c r="U81" s="9">
        <f>'Monthly PL'!S24*10000000</f>
        <v>15484758.33333333</v>
      </c>
      <c r="V81" s="9">
        <f>'Monthly PL'!T24*10000000</f>
        <v>15484758.33333333</v>
      </c>
      <c r="W81" s="9">
        <f>'Monthly PL'!U24*10000000</f>
        <v>20661036.607468676</v>
      </c>
      <c r="X81" s="9">
        <f>'Monthly PL'!V24*10000000</f>
        <v>20661036.607468676</v>
      </c>
      <c r="Y81" s="9">
        <f>'Monthly PL'!W24*10000000</f>
        <v>20661036.607468676</v>
      </c>
      <c r="Z81" s="9">
        <f>'Monthly PL'!X24*10000000</f>
        <v>22975608.469164338</v>
      </c>
      <c r="AA81" s="9">
        <f>'Monthly PL'!Y24*10000000</f>
        <v>22975608.469164338</v>
      </c>
      <c r="AB81" s="9">
        <f>'Monthly PL'!Z24*10000000</f>
        <v>22837706.276777629</v>
      </c>
      <c r="AC81" s="9">
        <f>'Monthly PL'!AA24*10000000</f>
        <v>22837706.276777629</v>
      </c>
      <c r="AD81" s="9">
        <f>'Monthly PL'!AB24*10000000</f>
        <v>10690674.40171005</v>
      </c>
      <c r="AE81" s="9">
        <f>'Monthly PL'!AC24*10000000</f>
        <v>16206762.097178293</v>
      </c>
      <c r="AF81" s="9">
        <f>'Monthly PL'!AD24*10000000</f>
        <v>16206762.097178293</v>
      </c>
      <c r="AG81" s="9">
        <f>'Monthly PL'!AE24*10000000</f>
        <v>16206762.097178293</v>
      </c>
      <c r="AH81" s="9">
        <f>'Monthly PL'!AF24*10000000</f>
        <v>16206762.097178293</v>
      </c>
      <c r="AI81" s="9">
        <f>'Monthly PL'!AG24*10000000</f>
        <v>12967391.197846973</v>
      </c>
      <c r="AJ81" s="9">
        <f>'Monthly PL'!AH24*10000000</f>
        <v>12967391.197846973</v>
      </c>
      <c r="AK81" s="9">
        <f>'Monthly PL'!AI24*10000000</f>
        <v>12967391.197846973</v>
      </c>
      <c r="AL81" s="9">
        <f>'Monthly PL'!AJ24*10000000</f>
        <v>12967391.197846973</v>
      </c>
      <c r="AM81" s="9">
        <f>'Monthly PL'!AK24*10000000</f>
        <v>12967391.197846973</v>
      </c>
      <c r="AN81" s="9">
        <f>'Monthly PL'!AL24*10000000</f>
        <v>12967391.197846973</v>
      </c>
      <c r="AO81" s="9">
        <f>'Monthly PL'!AM24*10000000</f>
        <v>12967391.197846973</v>
      </c>
      <c r="AP81" s="9">
        <f>'Monthly PL'!AN24*10000000</f>
        <v>12967391.197846973</v>
      </c>
      <c r="AQ81" s="9">
        <f>'Monthly PL'!AO24*10000000</f>
        <v>12967391.197846973</v>
      </c>
      <c r="AR81" s="9">
        <f>'Monthly PL'!AP24*10000000</f>
        <v>12967391.197846973</v>
      </c>
      <c r="AS81" s="9">
        <f>'Monthly PL'!AQ24*10000000</f>
        <v>12967391.197846973</v>
      </c>
      <c r="AT81" s="9">
        <f>'Monthly PL'!AR24*10000000</f>
        <v>12967391.197846973</v>
      </c>
      <c r="AU81" s="9">
        <f>'Monthly PL'!AS24*10000000</f>
        <v>12967391.197846973</v>
      </c>
      <c r="AV81" s="9">
        <f>'Monthly PL'!AT24*10000000</f>
        <v>12967391.197846973</v>
      </c>
      <c r="AW81" s="9">
        <f>'Monthly PL'!AU24*10000000</f>
        <v>12837717.285868509</v>
      </c>
      <c r="AX81" s="9">
        <f>'Monthly PL'!AV24*10000000</f>
        <v>12837717.285868509</v>
      </c>
      <c r="AY81" s="9">
        <f>'Monthly PL'!AW24*10000000</f>
        <v>12837717.285868509</v>
      </c>
      <c r="AZ81" s="9">
        <f>'Monthly PL'!AX24*10000000</f>
        <v>12448695.549933095</v>
      </c>
      <c r="BA81" s="9">
        <f>'Monthly PL'!AY24*10000000</f>
        <v>12448695.549933095</v>
      </c>
      <c r="BB81" s="9">
        <f>'Monthly PL'!AZ24*10000000</f>
        <v>12448695.549933095</v>
      </c>
      <c r="BC81" s="9">
        <f>'Monthly PL'!BA24*10000000</f>
        <v>12059673.813997684</v>
      </c>
      <c r="BD81" s="9">
        <f>'Monthly PL'!BB24*10000000</f>
        <v>12059673.813997684</v>
      </c>
      <c r="BE81" s="9">
        <f>'Monthly PL'!BC24*10000000</f>
        <v>12059673.813997684</v>
      </c>
      <c r="BF81" s="9">
        <f>'Monthly PL'!BD24*10000000</f>
        <v>11670652.078062275</v>
      </c>
      <c r="BG81" s="9">
        <f>'Monthly PL'!BE24*10000000</f>
        <v>11670652.078062275</v>
      </c>
      <c r="BH81" s="9">
        <f>'Monthly PL'!BF24*10000000</f>
        <v>11670652.078062275</v>
      </c>
      <c r="BI81" s="9">
        <f>'Monthly PL'!BG24*10000000</f>
        <v>11151956.430148397</v>
      </c>
      <c r="BJ81" s="9">
        <f>'Monthly PL'!BH24*10000000</f>
        <v>11151956.430148397</v>
      </c>
      <c r="BK81" s="9">
        <f>'Monthly PL'!BI24*10000000</f>
        <v>11151956.430148397</v>
      </c>
      <c r="BL81" s="9">
        <f>'Monthly PL'!BJ24*10000000</f>
        <v>10633260.782234518</v>
      </c>
      <c r="BM81" s="9">
        <f>'Monthly PL'!BK24*10000000</f>
        <v>10633260.782234518</v>
      </c>
      <c r="BN81" s="9">
        <f>'Monthly PL'!BL24*10000000</f>
        <v>10633260.782234518</v>
      </c>
      <c r="BO81" s="9">
        <f>'Monthly PL'!BM24*10000000</f>
        <v>10114565.134320637</v>
      </c>
      <c r="BP81" s="9">
        <f>'Monthly PL'!BN24*10000000</f>
        <v>10114565.134320637</v>
      </c>
      <c r="BQ81" s="9">
        <f>'Monthly PL'!BO24*10000000</f>
        <v>10114565.134320637</v>
      </c>
      <c r="BR81" s="9">
        <f>'Monthly PL'!BP24*10000000</f>
        <v>9595869.4864067566</v>
      </c>
      <c r="BS81" s="9">
        <f>'Monthly PL'!BQ24*10000000</f>
        <v>9595869.4864067566</v>
      </c>
      <c r="BT81" s="9">
        <f>'Monthly PL'!BR24*10000000</f>
        <v>9595869.4864067566</v>
      </c>
      <c r="BU81" s="9">
        <f>'Monthly PL'!BS24*10000000</f>
        <v>8979918.4045090266</v>
      </c>
      <c r="BV81" s="9">
        <f>'Monthly PL'!BT24*10000000</f>
        <v>8979918.4045090266</v>
      </c>
      <c r="BW81" s="9">
        <f>'Monthly PL'!BU24*10000000</f>
        <v>8979918.4045090266</v>
      </c>
      <c r="BX81" s="9">
        <f>'Monthly PL'!BV24*10000000</f>
        <v>8363967.3226112947</v>
      </c>
      <c r="BY81" s="9">
        <f>'Monthly PL'!BW24*10000000</f>
        <v>8363967.3226112947</v>
      </c>
      <c r="BZ81" s="9">
        <f>'Monthly PL'!BX24*10000000</f>
        <v>8363967.3226112947</v>
      </c>
      <c r="CA81" s="9">
        <f>'Monthly PL'!BY24*10000000</f>
        <v>7748016.2407135619</v>
      </c>
      <c r="CB81" s="9">
        <f>'Monthly PL'!BZ24*10000000</f>
        <v>7748016.2407135619</v>
      </c>
      <c r="CC81" s="9">
        <f>'Monthly PL'!CA24*10000000</f>
        <v>7748016.2407135619</v>
      </c>
      <c r="CD81" s="9">
        <f>'Monthly PL'!CB24*10000000</f>
        <v>7132065.1588158328</v>
      </c>
      <c r="CE81" s="9">
        <f>'Monthly PL'!CC24*10000000</f>
        <v>7132065.1588158328</v>
      </c>
      <c r="CF81" s="9">
        <f>'Monthly PL'!CD24*10000000</f>
        <v>7132065.1588158328</v>
      </c>
      <c r="CG81" s="9">
        <f>'Monthly PL'!CE24*10000000</f>
        <v>6516114.0769181</v>
      </c>
      <c r="CH81" s="9">
        <f>'Monthly PL'!CF24*10000000</f>
        <v>6516114.0769181</v>
      </c>
      <c r="CI81" s="9">
        <f>'Monthly PL'!CG24*10000000</f>
        <v>6516114.0769181</v>
      </c>
      <c r="CJ81" s="9">
        <f>'Monthly PL'!CH24*10000000</f>
        <v>5673233.6490580468</v>
      </c>
      <c r="CK81" s="9">
        <f>'Monthly PL'!CI24*10000000</f>
        <v>5673233.6490580468</v>
      </c>
      <c r="CL81" s="9">
        <f>'Monthly PL'!CJ24*10000000</f>
        <v>5673233.6490580468</v>
      </c>
      <c r="CM81" s="9">
        <f>'Monthly PL'!CK24*10000000</f>
        <v>4830353.2211979926</v>
      </c>
      <c r="CN81" s="9">
        <f>'Monthly PL'!CL24*10000000</f>
        <v>4830353.2211979926</v>
      </c>
      <c r="CO81" s="9">
        <f>'Monthly PL'!CM24*10000000</f>
        <v>4830353.2211979926</v>
      </c>
      <c r="CP81" s="9">
        <f>'Monthly PL'!CN24*10000000</f>
        <v>3663288.0133917658</v>
      </c>
      <c r="CQ81" s="9">
        <f>'Monthly PL'!CO24*10000000</f>
        <v>3663288.0133917658</v>
      </c>
      <c r="CR81" s="9">
        <f>'Monthly PL'!CP24*10000000</f>
        <v>3663288.0133917658</v>
      </c>
      <c r="CS81" s="9">
        <f>'Monthly PL'!CQ24*10000000</f>
        <v>2496222.805585538</v>
      </c>
      <c r="CT81" s="9">
        <f>'Monthly PL'!CR24*10000000</f>
        <v>2496222.805585538</v>
      </c>
      <c r="CU81" s="9">
        <f>'Monthly PL'!CS24*10000000</f>
        <v>2496222.805585538</v>
      </c>
      <c r="CV81" s="9">
        <f>'Monthly PL'!CT24*10000000</f>
        <v>1264320.6417900748</v>
      </c>
      <c r="CW81" s="9">
        <f>'Monthly PL'!CU24*10000000</f>
        <v>1264320.6417900748</v>
      </c>
      <c r="CX81" s="9">
        <f>'Monthly PL'!CV24*10000000</f>
        <v>1264320.6417900748</v>
      </c>
      <c r="CY81" s="9">
        <f>'Monthly PL'!CW24*10000000</f>
        <v>-5.1744198675646074E-9</v>
      </c>
    </row>
    <row r="82" spans="1:103">
      <c r="A82" s="97" t="s">
        <v>353</v>
      </c>
      <c r="B82" s="40" t="s">
        <v>346</v>
      </c>
      <c r="C82" s="40" t="s">
        <v>353</v>
      </c>
      <c r="D82" s="9">
        <f>'Monthly PL'!B4*10000000</f>
        <v>98500000</v>
      </c>
      <c r="E82" s="9">
        <f>'Monthly PL'!C4*10000000</f>
        <v>37759007.361720428</v>
      </c>
      <c r="F82" s="9">
        <f>'Monthly PL'!D4*10000000</f>
        <v>29162392.746666666</v>
      </c>
      <c r="G82" s="9">
        <f>'Monthly PL'!E4*10000000</f>
        <v>57941189.973333322</v>
      </c>
      <c r="H82" s="9">
        <f>'Monthly PL'!F4*10000000</f>
        <v>30578042.879999999</v>
      </c>
      <c r="I82" s="9">
        <f>'Monthly PL'!G4*10000000</f>
        <v>48563192.83200001</v>
      </c>
      <c r="J82" s="9">
        <f>'Monthly PL'!H4*10000000</f>
        <v>31993693.013333339</v>
      </c>
      <c r="K82" s="9">
        <f>'Monthly PL'!I4*10000000</f>
        <v>52039298.901333347</v>
      </c>
      <c r="L82" s="9">
        <f>'Monthly PL'!J4*10000000</f>
        <v>30176180.906666666</v>
      </c>
      <c r="M82" s="9">
        <f>'Monthly PL'!K4*10000000</f>
        <v>53011074.21866668</v>
      </c>
      <c r="N82" s="9">
        <f>'Monthly PL'!L4*10000000</f>
        <v>26471104</v>
      </c>
      <c r="O82" s="9">
        <f>'Monthly PL'!M4*10000000</f>
        <v>54638765.120000005</v>
      </c>
      <c r="P82" s="9">
        <f>'Monthly PL'!N4*10000000</f>
        <v>26952396.799999997</v>
      </c>
      <c r="Q82" s="9">
        <f>'Monthly PL'!O4*10000000</f>
        <v>60062175.040000007</v>
      </c>
      <c r="R82" s="9">
        <f>'Monthly PL'!P4*10000000</f>
        <v>31469583.039999995</v>
      </c>
      <c r="S82" s="9">
        <f>'Monthly PL'!Q4*10000000</f>
        <v>62014893.920000002</v>
      </c>
      <c r="T82" s="9">
        <f>'Monthly PL'!R4*10000000</f>
        <v>32294113.599999998</v>
      </c>
      <c r="U82" s="9">
        <f>'Monthly PL'!S4*10000000</f>
        <v>63624058.400000013</v>
      </c>
      <c r="V82" s="9">
        <f>'Monthly PL'!T4*10000000</f>
        <v>33118644.159999996</v>
      </c>
      <c r="W82" s="9">
        <f>'Monthly PL'!U4*10000000</f>
        <v>66855686.239999995</v>
      </c>
      <c r="X82" s="9">
        <f>'Monthly PL'!V4*10000000</f>
        <v>30906597.119999997</v>
      </c>
      <c r="Y82" s="9">
        <f>'Monthly PL'!W4*10000000</f>
        <v>67810989.11999999</v>
      </c>
      <c r="Z82" s="9">
        <f>'Monthly PL'!X4*10000000</f>
        <v>33228416</v>
      </c>
      <c r="AA82" s="9">
        <f>'Monthly PL'!Y4*10000000</f>
        <v>68535289.599999994</v>
      </c>
      <c r="AB82" s="9">
        <f>'Monthly PL'!Z4*10000000</f>
        <v>33901056</v>
      </c>
      <c r="AC82" s="9">
        <f>'Monthly PL'!AA4*10000000</f>
        <v>69914201.599999994</v>
      </c>
      <c r="AD82" s="9">
        <f>'Monthly PL'!AB4*10000000</f>
        <v>35587140.266666666</v>
      </c>
      <c r="AE82" s="9">
        <f>'Monthly PL'!AC4*10000000</f>
        <v>69654114.13333334</v>
      </c>
      <c r="AF82" s="9">
        <f>'Monthly PL'!AD4*10000000</f>
        <v>35865164.799999997</v>
      </c>
      <c r="AG82" s="9">
        <f>'Monthly PL'!AE4*10000000</f>
        <v>70196710.399999991</v>
      </c>
      <c r="AH82" s="9">
        <f>'Monthly PL'!AF4*10000000</f>
        <v>36143189.333333336</v>
      </c>
      <c r="AI82" s="9">
        <f>'Monthly PL'!AG4*10000000</f>
        <v>72494897.066666663</v>
      </c>
      <c r="AJ82" s="9">
        <f>'Monthly PL'!AH4*10000000</f>
        <v>32896580.266666666</v>
      </c>
      <c r="AK82" s="9">
        <f>'Monthly PL'!AI4*10000000</f>
        <v>71288629.333333328</v>
      </c>
      <c r="AL82" s="9">
        <f>'Monthly PL'!AJ4*10000000</f>
        <v>37075916.800000004</v>
      </c>
      <c r="AM82" s="9">
        <f>'Monthly PL'!AK4*10000000</f>
        <v>76439347.712000012</v>
      </c>
      <c r="AN82" s="9">
        <f>'Monthly PL'!AL4*10000000</f>
        <v>37635553.280000001</v>
      </c>
      <c r="AO82" s="9">
        <f>'Monthly PL'!AM4*10000000</f>
        <v>77586602.496000007</v>
      </c>
      <c r="AP82" s="9">
        <f>'Monthly PL'!AN4*10000000</f>
        <v>39468362.752000004</v>
      </c>
      <c r="AQ82" s="9">
        <f>'Monthly PL'!AO4*10000000</f>
        <v>77446693.376000002</v>
      </c>
      <c r="AR82" s="9">
        <f>'Monthly PL'!AP4*10000000</f>
        <v>40046653.781333335</v>
      </c>
      <c r="AS82" s="9">
        <f>'Monthly PL'!AQ4*10000000</f>
        <v>78575293.610666692</v>
      </c>
      <c r="AT82" s="9">
        <f>'Monthly PL'!AR4*10000000</f>
        <v>40624944.810666673</v>
      </c>
      <c r="AU82" s="9">
        <f>'Monthly PL'!AS4*10000000</f>
        <v>81683607.893333346</v>
      </c>
      <c r="AV82" s="9">
        <f>'Monthly PL'!AT4*10000000</f>
        <v>38544962.560000002</v>
      </c>
      <c r="AW82" s="9">
        <f>'Monthly PL'!AU4*10000000</f>
        <v>81511053.312000006</v>
      </c>
      <c r="AX82" s="9">
        <f>'Monthly PL'!AV4*10000000</f>
        <v>47864029.224959999</v>
      </c>
      <c r="AY82" s="9">
        <f>'Monthly PL'!AW4*10000000</f>
        <v>98378861.45734404</v>
      </c>
      <c r="AZ82" s="9">
        <f>'Monthly PL'!AX4*10000000</f>
        <v>48196418.316800006</v>
      </c>
      <c r="BA82" s="9">
        <f>'Monthly PL'!AY4*10000000</f>
        <v>99060259.095616043</v>
      </c>
      <c r="BB82" s="9">
        <f>'Monthly PL'!AZ4*10000000</f>
        <v>50146434.322261341</v>
      </c>
      <c r="BC82" s="9">
        <f>'Monthly PL'!BA4*10000000</f>
        <v>98115720.092970699</v>
      </c>
      <c r="BD82" s="9">
        <f>'Monthly PL'!BB4*10000000</f>
        <v>50489903.050496012</v>
      </c>
      <c r="BE82" s="9">
        <f>'Monthly PL'!BC4*10000000</f>
        <v>98786038.094848007</v>
      </c>
      <c r="BF82" s="9">
        <f>'Monthly PL'!BD4*10000000</f>
        <v>50833371.778730668</v>
      </c>
      <c r="BG82" s="9">
        <f>'Monthly PL'!BE4*10000000</f>
        <v>101924345.10363737</v>
      </c>
      <c r="BH82" s="9">
        <f>'Monthly PL'!BF4*10000000</f>
        <v>46224243.038549334</v>
      </c>
      <c r="BI82" s="9">
        <f>'Monthly PL'!BG4*10000000</f>
        <v>100134983.82589868</v>
      </c>
      <c r="BJ82" s="9">
        <f>'Monthly PL'!BH4*10000000</f>
        <v>51766277.163161606</v>
      </c>
      <c r="BK82" s="9">
        <f>'Monthly PL'!BI4*10000000</f>
        <v>106254820.98849282</v>
      </c>
      <c r="BL82" s="9">
        <f>'Monthly PL'!BJ4*10000000</f>
        <v>51939119.490918405</v>
      </c>
      <c r="BM82" s="9">
        <f>'Monthly PL'!BK4*10000000</f>
        <v>106609147.76039429</v>
      </c>
      <c r="BN82" s="9">
        <f>'Monthly PL'!BL4*10000000</f>
        <v>53849027.212631054</v>
      </c>
      <c r="BO82" s="9">
        <f>'Monthly PL'!BM4*10000000</f>
        <v>105222088.08014596</v>
      </c>
      <c r="BP82" s="9">
        <f>'Monthly PL'!BN4*10000000</f>
        <v>54027630.951313078</v>
      </c>
      <c r="BQ82" s="9">
        <f>'Monthly PL'!BO4*10000000</f>
        <v>105570653.44112217</v>
      </c>
      <c r="BR82" s="9">
        <f>'Monthly PL'!BP4*10000000</f>
        <v>54206234.68999511</v>
      </c>
      <c r="BS82" s="9">
        <f>'Monthly PL'!BQ4*10000000</f>
        <v>108546422.18400174</v>
      </c>
      <c r="BT82" s="9">
        <f>'Monthly PL'!BR4*10000000</f>
        <v>49121789.548482567</v>
      </c>
      <c r="BU82" s="9">
        <f>'Monthly PL'!BS4*10000000</f>
        <v>106272105.2212685</v>
      </c>
      <c r="BV82" s="9">
        <f>'Monthly PL'!BT4*10000000</f>
        <v>58145785.808707602</v>
      </c>
      <c r="BW82" s="9">
        <f>'Monthly PL'!BU4*10000000</f>
        <v>119346366.5837974</v>
      </c>
      <c r="BX82" s="9">
        <f>'Monthly PL'!BV4*10000000</f>
        <v>58336115.713155091</v>
      </c>
      <c r="BY82" s="9">
        <f>'Monthly PL'!BW4*10000000</f>
        <v>119736542.88791472</v>
      </c>
      <c r="BZ82" s="9">
        <f>'Monthly PL'!BX4*10000000</f>
        <v>60477327.138189331</v>
      </c>
      <c r="CA82" s="9">
        <f>'Monthly PL'!BY4*10000000</f>
        <v>118171079.42383415</v>
      </c>
      <c r="CB82" s="9">
        <f>'Monthly PL'!BZ4*10000000</f>
        <v>60674001.372785062</v>
      </c>
      <c r="CC82" s="9">
        <f>'Monthly PL'!CA4*10000000</f>
        <v>118554911.39780325</v>
      </c>
      <c r="CD82" s="9">
        <f>'Monthly PL'!CB4*10000000</f>
        <v>60870675.607380807</v>
      </c>
      <c r="CE82" s="9">
        <f>'Monthly PL'!CC4*10000000</f>
        <v>122952269.90334815</v>
      </c>
      <c r="CF82" s="9">
        <f>'Monthly PL'!CD4*10000000</f>
        <v>55798973.824101597</v>
      </c>
      <c r="CG82" s="9">
        <f>'Monthly PL'!CE4*10000000</f>
        <v>120714860.72815904</v>
      </c>
      <c r="CH82" s="9">
        <f>'Monthly PL'!CF4*10000000</f>
        <v>62376244.168585069</v>
      </c>
      <c r="CI82" s="9">
        <f>'Monthly PL'!CG4*10000000</f>
        <v>128026490.2381537</v>
      </c>
      <c r="CJ82" s="9">
        <f>'Monthly PL'!CH4*10000000</f>
        <v>62576488.93317122</v>
      </c>
      <c r="CK82" s="9">
        <f>'Monthly PL'!CI4*10000000</f>
        <v>128436992.00555527</v>
      </c>
      <c r="CL82" s="9">
        <f>'Monthly PL'!CJ4*10000000</f>
        <v>64869291.487682618</v>
      </c>
      <c r="CM82" s="9">
        <f>'Monthly PL'!CK4*10000000</f>
        <v>126749929.86391699</v>
      </c>
      <c r="CN82" s="9">
        <f>'Monthly PL'!CL4*10000000</f>
        <v>65076211.077754967</v>
      </c>
      <c r="CO82" s="9">
        <f>'Monthly PL'!CM4*10000000</f>
        <v>127153756.80583236</v>
      </c>
      <c r="CP82" s="9">
        <f>'Monthly PL'!CN4*10000000</f>
        <v>65283130.667827308</v>
      </c>
      <c r="CQ82" s="9">
        <f>'Monthly PL'!CO4*10000000</f>
        <v>130721451.0282089</v>
      </c>
      <c r="CR82" s="9">
        <f>'Monthly PL'!CP4*10000000</f>
        <v>61264885.725131951</v>
      </c>
      <c r="CS82" s="9">
        <f>'Monthly PL'!CQ4*10000000</f>
        <v>129022707.94196972</v>
      </c>
      <c r="CT82" s="9">
        <f>'Monthly PL'!CR4*10000000</f>
        <v>66120821.266346045</v>
      </c>
      <c r="CU82" s="9">
        <f>'Monthly PL'!CS4*10000000</f>
        <v>135709080.87626582</v>
      </c>
      <c r="CV82" s="9">
        <f>'Monthly PL'!CT4*10000000</f>
        <v>66329075.82151565</v>
      </c>
      <c r="CW82" s="9">
        <f>'Monthly PL'!CU4*10000000</f>
        <v>136136002.71436349</v>
      </c>
      <c r="CX82" s="9">
        <f>'Monthly PL'!CV4*10000000</f>
        <v>68755241.389241412</v>
      </c>
      <c r="CY82" s="9">
        <f>'Monthly PL'!CW4*10000000</f>
        <v>134339807.17602575</v>
      </c>
    </row>
    <row r="83" spans="1:103">
      <c r="A83" s="97" t="s">
        <v>354</v>
      </c>
      <c r="B83" s="40" t="s">
        <v>346</v>
      </c>
      <c r="C83" s="40" t="s">
        <v>355</v>
      </c>
      <c r="D83" s="9">
        <f>'Monthly PL'!B6*10000000</f>
        <v>0</v>
      </c>
      <c r="E83" s="9">
        <f>'Monthly PL'!C6*10000000</f>
        <v>0</v>
      </c>
      <c r="F83" s="9">
        <f>'Monthly PL'!D6*10000000</f>
        <v>0</v>
      </c>
      <c r="G83" s="9">
        <f>'Monthly PL'!E6*10000000</f>
        <v>0</v>
      </c>
      <c r="H83" s="9">
        <f>'Monthly PL'!F6*10000000</f>
        <v>0</v>
      </c>
      <c r="I83" s="9">
        <f>'Monthly PL'!G6*10000000</f>
        <v>0</v>
      </c>
      <c r="J83" s="9">
        <f>'Monthly PL'!H6*10000000</f>
        <v>0</v>
      </c>
      <c r="K83" s="9">
        <f>'Monthly PL'!I6*10000000</f>
        <v>0</v>
      </c>
      <c r="L83" s="9">
        <f>'Monthly PL'!J6*10000000</f>
        <v>0</v>
      </c>
      <c r="M83" s="9">
        <f>'Monthly PL'!K6*10000000</f>
        <v>0</v>
      </c>
      <c r="N83" s="9">
        <f>'Monthly PL'!L6*10000000</f>
        <v>0</v>
      </c>
      <c r="O83" s="9">
        <f>'Monthly PL'!M6*10000000</f>
        <v>0</v>
      </c>
      <c r="P83" s="9">
        <f>'Monthly PL'!N6*10000000</f>
        <v>0</v>
      </c>
      <c r="Q83" s="9">
        <f>'Monthly PL'!O6*10000000</f>
        <v>0</v>
      </c>
      <c r="R83" s="9">
        <f>'Monthly PL'!P6*10000000</f>
        <v>0</v>
      </c>
      <c r="S83" s="9">
        <f>'Monthly PL'!Q6*10000000</f>
        <v>0</v>
      </c>
      <c r="T83" s="9">
        <f>'Monthly PL'!R6*10000000</f>
        <v>0</v>
      </c>
      <c r="U83" s="9">
        <f>'Monthly PL'!S6*10000000</f>
        <v>0</v>
      </c>
      <c r="V83" s="9">
        <f>'Monthly PL'!T6*10000000</f>
        <v>0</v>
      </c>
      <c r="W83" s="9">
        <f>'Monthly PL'!U6*10000000</f>
        <v>0</v>
      </c>
      <c r="X83" s="9">
        <f>'Monthly PL'!V6*10000000</f>
        <v>0</v>
      </c>
      <c r="Y83" s="9">
        <f>'Monthly PL'!W6*10000000</f>
        <v>0</v>
      </c>
      <c r="Z83" s="9">
        <f>'Monthly PL'!X6*10000000</f>
        <v>400000</v>
      </c>
      <c r="AA83" s="9">
        <f>'Monthly PL'!Y6*10000000</f>
        <v>400000</v>
      </c>
      <c r="AB83" s="9">
        <f>'Monthly PL'!Z6*10000000</f>
        <v>400000</v>
      </c>
      <c r="AC83" s="9">
        <f>'Monthly PL'!AA6*10000000</f>
        <v>400000</v>
      </c>
      <c r="AD83" s="9">
        <f>'Monthly PL'!AB6*10000000</f>
        <v>400000</v>
      </c>
      <c r="AE83" s="9">
        <f>'Monthly PL'!AC6*10000000</f>
        <v>400000</v>
      </c>
      <c r="AF83" s="9">
        <f>'Monthly PL'!AD6*10000000</f>
        <v>400000</v>
      </c>
      <c r="AG83" s="9">
        <f>'Monthly PL'!AE6*10000000</f>
        <v>400000</v>
      </c>
      <c r="AH83" s="9">
        <f>'Monthly PL'!AF6*10000000</f>
        <v>400000</v>
      </c>
      <c r="AI83" s="9">
        <f>'Monthly PL'!AG6*10000000</f>
        <v>400000</v>
      </c>
      <c r="AJ83" s="9">
        <f>'Monthly PL'!AH6*10000000</f>
        <v>400000</v>
      </c>
      <c r="AK83" s="9">
        <f>'Monthly PL'!AI6*10000000</f>
        <v>400000</v>
      </c>
      <c r="AL83" s="9">
        <f>'Monthly PL'!AJ6*10000000</f>
        <v>400000</v>
      </c>
      <c r="AM83" s="9">
        <f>'Monthly PL'!AK6*10000000</f>
        <v>400000</v>
      </c>
      <c r="AN83" s="9">
        <f>'Monthly PL'!AL6*10000000</f>
        <v>400000</v>
      </c>
      <c r="AO83" s="9">
        <f>'Monthly PL'!AM6*10000000</f>
        <v>400000</v>
      </c>
      <c r="AP83" s="9">
        <f>'Monthly PL'!AN6*10000000</f>
        <v>400000</v>
      </c>
      <c r="AQ83" s="9">
        <f>'Monthly PL'!AO6*10000000</f>
        <v>400000</v>
      </c>
      <c r="AR83" s="9">
        <f>'Monthly PL'!AP6*10000000</f>
        <v>400000</v>
      </c>
      <c r="AS83" s="9">
        <f>'Monthly PL'!AQ6*10000000</f>
        <v>400000</v>
      </c>
      <c r="AT83" s="9">
        <f>'Monthly PL'!AR6*10000000</f>
        <v>400000</v>
      </c>
      <c r="AU83" s="9">
        <f>'Monthly PL'!AS6*10000000</f>
        <v>400000</v>
      </c>
      <c r="AV83" s="9">
        <f>'Monthly PL'!AT6*10000000</f>
        <v>400000</v>
      </c>
      <c r="AW83" s="9">
        <f>'Monthly PL'!AU6*10000000</f>
        <v>400000</v>
      </c>
      <c r="AX83" s="9">
        <f>'Monthly PL'!AV6*10000000</f>
        <v>400000</v>
      </c>
      <c r="AY83" s="9">
        <f>'Monthly PL'!AW6*10000000</f>
        <v>400000</v>
      </c>
      <c r="AZ83" s="9">
        <f>'Monthly PL'!AX6*10000000</f>
        <v>400000</v>
      </c>
      <c r="BA83" s="9">
        <f>'Monthly PL'!AY6*10000000</f>
        <v>400000</v>
      </c>
      <c r="BB83" s="9">
        <f>'Monthly PL'!AZ6*10000000</f>
        <v>400000</v>
      </c>
      <c r="BC83" s="9">
        <f>'Monthly PL'!BA6*10000000</f>
        <v>400000</v>
      </c>
      <c r="BD83" s="9">
        <f>'Monthly PL'!BB6*10000000</f>
        <v>400000</v>
      </c>
      <c r="BE83" s="9">
        <f>'Monthly PL'!BC6*10000000</f>
        <v>400000</v>
      </c>
      <c r="BF83" s="9">
        <f>'Monthly PL'!BD6*10000000</f>
        <v>400000</v>
      </c>
      <c r="BG83" s="9">
        <f>'Monthly PL'!BE6*10000000</f>
        <v>400000</v>
      </c>
      <c r="BH83" s="9">
        <f>'Monthly PL'!BF6*10000000</f>
        <v>400000</v>
      </c>
      <c r="BI83" s="9">
        <f>'Monthly PL'!BG6*10000000</f>
        <v>400000</v>
      </c>
      <c r="BJ83" s="9">
        <f>'Monthly PL'!BH6*10000000</f>
        <v>400000</v>
      </c>
      <c r="BK83" s="9">
        <f>'Monthly PL'!BI6*10000000</f>
        <v>400000</v>
      </c>
      <c r="BL83" s="9">
        <f>'Monthly PL'!BJ6*10000000</f>
        <v>400000</v>
      </c>
      <c r="BM83" s="9">
        <f>'Monthly PL'!BK6*10000000</f>
        <v>400000</v>
      </c>
      <c r="BN83" s="9">
        <f>'Monthly PL'!BL6*10000000</f>
        <v>400000</v>
      </c>
      <c r="BO83" s="9">
        <f>'Monthly PL'!BM6*10000000</f>
        <v>400000</v>
      </c>
      <c r="BP83" s="9">
        <f>'Monthly PL'!BN6*10000000</f>
        <v>400000</v>
      </c>
      <c r="BQ83" s="9">
        <f>'Monthly PL'!BO6*10000000</f>
        <v>400000</v>
      </c>
      <c r="BR83" s="9">
        <f>'Monthly PL'!BP6*10000000</f>
        <v>400000</v>
      </c>
      <c r="BS83" s="9">
        <f>'Monthly PL'!BQ6*10000000</f>
        <v>400000</v>
      </c>
      <c r="BT83" s="9">
        <f>'Monthly PL'!BR6*10000000</f>
        <v>400000</v>
      </c>
      <c r="BU83" s="9">
        <f>'Monthly PL'!BS6*10000000</f>
        <v>400000</v>
      </c>
      <c r="BV83" s="9">
        <f>'Monthly PL'!BT6*10000000</f>
        <v>400000</v>
      </c>
      <c r="BW83" s="9">
        <f>'Monthly PL'!BU6*10000000</f>
        <v>400000</v>
      </c>
      <c r="BX83" s="9">
        <f>'Monthly PL'!BV6*10000000</f>
        <v>400000</v>
      </c>
      <c r="BY83" s="9">
        <f>'Monthly PL'!BW6*10000000</f>
        <v>400000</v>
      </c>
      <c r="BZ83" s="9">
        <f>'Monthly PL'!BX6*10000000</f>
        <v>400000</v>
      </c>
      <c r="CA83" s="9">
        <f>'Monthly PL'!BY6*10000000</f>
        <v>400000</v>
      </c>
      <c r="CB83" s="9">
        <f>'Monthly PL'!BZ6*10000000</f>
        <v>400000</v>
      </c>
      <c r="CC83" s="9">
        <f>'Monthly PL'!CA6*10000000</f>
        <v>400000</v>
      </c>
      <c r="CD83" s="9">
        <f>'Monthly PL'!CB6*10000000</f>
        <v>400000</v>
      </c>
      <c r="CE83" s="9">
        <f>'Monthly PL'!CC6*10000000</f>
        <v>400000</v>
      </c>
      <c r="CF83" s="9">
        <f>'Monthly PL'!CD6*10000000</f>
        <v>400000</v>
      </c>
      <c r="CG83" s="9">
        <f>'Monthly PL'!CE6*10000000</f>
        <v>400000</v>
      </c>
      <c r="CH83" s="9">
        <f>'Monthly PL'!CF6*10000000</f>
        <v>400000</v>
      </c>
      <c r="CI83" s="9">
        <f>'Monthly PL'!CG6*10000000</f>
        <v>400000</v>
      </c>
      <c r="CJ83" s="9">
        <f>'Monthly PL'!CH6*10000000</f>
        <v>400000</v>
      </c>
      <c r="CK83" s="9">
        <f>'Monthly PL'!CI6*10000000</f>
        <v>400000</v>
      </c>
      <c r="CL83" s="9">
        <f>'Monthly PL'!CJ6*10000000</f>
        <v>400000</v>
      </c>
      <c r="CM83" s="9">
        <f>'Monthly PL'!CK6*10000000</f>
        <v>400000</v>
      </c>
      <c r="CN83" s="9">
        <f>'Monthly PL'!CL6*10000000</f>
        <v>400000</v>
      </c>
      <c r="CO83" s="9">
        <f>'Monthly PL'!CM6*10000000</f>
        <v>400000</v>
      </c>
      <c r="CP83" s="9">
        <f>'Monthly PL'!CN6*10000000</f>
        <v>400000</v>
      </c>
      <c r="CQ83" s="9">
        <f>'Monthly PL'!CO6*10000000</f>
        <v>400000</v>
      </c>
      <c r="CR83" s="9">
        <f>'Monthly PL'!CP6*10000000</f>
        <v>400000</v>
      </c>
      <c r="CS83" s="9">
        <f>'Monthly PL'!CQ6*10000000</f>
        <v>400000</v>
      </c>
      <c r="CT83" s="9">
        <f>'Monthly PL'!CR6*10000000</f>
        <v>400000</v>
      </c>
      <c r="CU83" s="9">
        <f>'Monthly PL'!CS6*10000000</f>
        <v>400000</v>
      </c>
      <c r="CV83" s="9">
        <f>'Monthly PL'!CT6*10000000</f>
        <v>400000</v>
      </c>
      <c r="CW83" s="9">
        <f>'Monthly PL'!CU6*10000000</f>
        <v>400000</v>
      </c>
      <c r="CX83" s="9">
        <f>'Monthly PL'!CV6*10000000</f>
        <v>400000</v>
      </c>
      <c r="CY83" s="9">
        <f>'Monthly PL'!CW6*10000000</f>
        <v>400000</v>
      </c>
    </row>
    <row r="84" spans="1:103">
      <c r="A84" s="97" t="s">
        <v>356</v>
      </c>
      <c r="B84" s="40" t="s">
        <v>346</v>
      </c>
      <c r="C84" s="40" t="s">
        <v>356</v>
      </c>
      <c r="D84" s="9">
        <f>'Monthly PL'!B7*10000000</f>
        <v>0</v>
      </c>
      <c r="E84" s="9">
        <f>'Monthly PL'!C7*10000000</f>
        <v>0</v>
      </c>
      <c r="F84" s="9">
        <f>'Monthly PL'!D7*10000000</f>
        <v>0</v>
      </c>
      <c r="G84" s="9">
        <f>'Monthly PL'!E7*10000000</f>
        <v>0</v>
      </c>
      <c r="H84" s="9">
        <f>'Monthly PL'!F7*10000000</f>
        <v>0</v>
      </c>
      <c r="I84" s="9">
        <f>'Monthly PL'!G7*10000000</f>
        <v>0</v>
      </c>
      <c r="J84" s="9">
        <f>'Monthly PL'!H7*10000000</f>
        <v>0</v>
      </c>
      <c r="K84" s="9">
        <f>'Monthly PL'!I7*10000000</f>
        <v>0</v>
      </c>
      <c r="L84" s="9">
        <f>'Monthly PL'!J7*10000000</f>
        <v>0</v>
      </c>
      <c r="M84" s="9">
        <f>'Monthly PL'!K7*10000000</f>
        <v>0</v>
      </c>
      <c r="N84" s="9">
        <f>'Monthly PL'!L7*10000000</f>
        <v>0</v>
      </c>
      <c r="O84" s="9">
        <f>'Monthly PL'!M7*10000000</f>
        <v>0</v>
      </c>
      <c r="P84" s="9">
        <f>'Monthly PL'!N7*10000000</f>
        <v>0</v>
      </c>
      <c r="Q84" s="9">
        <f>'Monthly PL'!O7*10000000</f>
        <v>0</v>
      </c>
      <c r="R84" s="9">
        <f>'Monthly PL'!P7*10000000</f>
        <v>0</v>
      </c>
      <c r="S84" s="9">
        <f>'Monthly PL'!Q7*10000000</f>
        <v>0</v>
      </c>
      <c r="T84" s="9">
        <f>'Monthly PL'!R7*10000000</f>
        <v>0</v>
      </c>
      <c r="U84" s="9">
        <f>'Monthly PL'!S7*10000000</f>
        <v>0</v>
      </c>
      <c r="V84" s="9">
        <f>'Monthly PL'!T7*10000000</f>
        <v>0</v>
      </c>
      <c r="W84" s="9">
        <f>'Monthly PL'!U7*10000000</f>
        <v>0</v>
      </c>
      <c r="X84" s="9">
        <f>'Monthly PL'!V7*10000000</f>
        <v>0</v>
      </c>
      <c r="Y84" s="9">
        <f>'Monthly PL'!W7*10000000</f>
        <v>0</v>
      </c>
      <c r="Z84" s="9">
        <f>'Monthly PL'!X7*10000000</f>
        <v>0</v>
      </c>
      <c r="AA84" s="9">
        <f>'Monthly PL'!Y7*10000000</f>
        <v>0</v>
      </c>
      <c r="AB84" s="9">
        <f>'Monthly PL'!Z7*10000000</f>
        <v>0</v>
      </c>
      <c r="AC84" s="9">
        <f>'Monthly PL'!AA7*10000000</f>
        <v>0</v>
      </c>
      <c r="AD84" s="9">
        <f>'Monthly PL'!AB7*10000000</f>
        <v>0</v>
      </c>
      <c r="AE84" s="9">
        <f>'Monthly PL'!AC7*10000000</f>
        <v>0</v>
      </c>
      <c r="AF84" s="9">
        <f>'Monthly PL'!AD7*10000000</f>
        <v>0</v>
      </c>
      <c r="AG84" s="9">
        <f>'Monthly PL'!AE7*10000000</f>
        <v>0</v>
      </c>
      <c r="AH84" s="9">
        <f>'Monthly PL'!AF7*10000000</f>
        <v>0</v>
      </c>
      <c r="AI84" s="9">
        <f>'Monthly PL'!AG7*10000000</f>
        <v>0</v>
      </c>
      <c r="AJ84" s="9">
        <f>'Monthly PL'!AH7*10000000</f>
        <v>0</v>
      </c>
      <c r="AK84" s="9">
        <f>'Monthly PL'!AI7*10000000</f>
        <v>0</v>
      </c>
      <c r="AL84" s="9">
        <f>'Monthly PL'!AJ7*10000000</f>
        <v>8957283</v>
      </c>
      <c r="AM84" s="9">
        <f>'Monthly PL'!AK7*10000000</f>
        <v>8957283</v>
      </c>
      <c r="AN84" s="9">
        <f>'Monthly PL'!AL7*10000000</f>
        <v>8957283</v>
      </c>
      <c r="AO84" s="9">
        <f>'Monthly PL'!AM7*10000000</f>
        <v>8957283</v>
      </c>
      <c r="AP84" s="9">
        <f>'Monthly PL'!AN7*10000000</f>
        <v>8957283</v>
      </c>
      <c r="AQ84" s="9">
        <f>'Monthly PL'!AO7*10000000</f>
        <v>8957283</v>
      </c>
      <c r="AR84" s="9">
        <f>'Monthly PL'!AP7*10000000</f>
        <v>8957283</v>
      </c>
      <c r="AS84" s="9">
        <f>'Monthly PL'!AQ7*10000000</f>
        <v>8957283</v>
      </c>
      <c r="AT84" s="9">
        <f>'Monthly PL'!AR7*10000000</f>
        <v>8957283</v>
      </c>
      <c r="AU84" s="9">
        <f>'Monthly PL'!AS7*10000000</f>
        <v>8957283</v>
      </c>
      <c r="AV84" s="9">
        <f>'Monthly PL'!AT7*10000000</f>
        <v>8957283</v>
      </c>
      <c r="AW84" s="9">
        <f>'Monthly PL'!AU7*10000000</f>
        <v>8957283</v>
      </c>
      <c r="AX84" s="9">
        <f>'Monthly PL'!AV7*10000000</f>
        <v>4478641.5</v>
      </c>
      <c r="AY84" s="9">
        <f>'Monthly PL'!AW7*10000000</f>
        <v>4478641.5</v>
      </c>
      <c r="AZ84" s="9">
        <f>'Monthly PL'!AX7*10000000</f>
        <v>4478641.5</v>
      </c>
      <c r="BA84" s="9">
        <f>'Monthly PL'!AY7*10000000</f>
        <v>4478641.5</v>
      </c>
      <c r="BB84" s="9">
        <f>'Monthly PL'!AZ7*10000000</f>
        <v>4478641.5</v>
      </c>
      <c r="BC84" s="9">
        <f>'Monthly PL'!BA7*10000000</f>
        <v>4478641.5</v>
      </c>
      <c r="BD84" s="9">
        <f>'Monthly PL'!BB7*10000000</f>
        <v>4478641.5</v>
      </c>
      <c r="BE84" s="9">
        <f>'Monthly PL'!BC7*10000000</f>
        <v>4478641.5</v>
      </c>
      <c r="BF84" s="9">
        <f>'Monthly PL'!BD7*10000000</f>
        <v>4478641.5</v>
      </c>
      <c r="BG84" s="9">
        <f>'Monthly PL'!BE7*10000000</f>
        <v>4478641.5</v>
      </c>
      <c r="BH84" s="9">
        <f>'Monthly PL'!BF7*10000000</f>
        <v>4478641.5</v>
      </c>
      <c r="BI84" s="9">
        <f>'Monthly PL'!BG7*10000000</f>
        <v>4478641.5</v>
      </c>
      <c r="BJ84" s="9">
        <f>'Monthly PL'!BH7*10000000</f>
        <v>2239320.75</v>
      </c>
      <c r="BK84" s="9">
        <f>'Monthly PL'!BI7*10000000</f>
        <v>2239320.75</v>
      </c>
      <c r="BL84" s="9">
        <f>'Monthly PL'!BJ7*10000000</f>
        <v>2239320.75</v>
      </c>
      <c r="BM84" s="9">
        <f>'Monthly PL'!BK7*10000000</f>
        <v>2239320.75</v>
      </c>
      <c r="BN84" s="9">
        <f>'Monthly PL'!BL7*10000000</f>
        <v>2239320.75</v>
      </c>
      <c r="BO84" s="9">
        <f>'Monthly PL'!BM7*10000000</f>
        <v>2239320.75</v>
      </c>
      <c r="BP84" s="9">
        <f>'Monthly PL'!BN7*10000000</f>
        <v>2239320.75</v>
      </c>
      <c r="BQ84" s="9">
        <f>'Monthly PL'!BO7*10000000</f>
        <v>2239320.75</v>
      </c>
      <c r="BR84" s="9">
        <f>'Monthly PL'!BP7*10000000</f>
        <v>2239320.75</v>
      </c>
      <c r="BS84" s="9">
        <f>'Monthly PL'!BQ7*10000000</f>
        <v>2239320.75</v>
      </c>
      <c r="BT84" s="9">
        <f>'Monthly PL'!BR7*10000000</f>
        <v>2239320.75</v>
      </c>
      <c r="BU84" s="9">
        <f>'Monthly PL'!BS7*10000000</f>
        <v>2239320.75</v>
      </c>
      <c r="BV84" s="9">
        <f>'Monthly PL'!BT7*10000000</f>
        <v>2239320.75</v>
      </c>
      <c r="BW84" s="9">
        <f>'Monthly PL'!BU7*10000000</f>
        <v>2239320.75</v>
      </c>
      <c r="BX84" s="9">
        <f>'Monthly PL'!BV7*10000000</f>
        <v>2239320.75</v>
      </c>
      <c r="BY84" s="9">
        <f>'Monthly PL'!BW7*10000000</f>
        <v>2239320.75</v>
      </c>
      <c r="BZ84" s="9">
        <f>'Monthly PL'!BX7*10000000</f>
        <v>2239320.75</v>
      </c>
      <c r="CA84" s="9">
        <f>'Monthly PL'!BY7*10000000</f>
        <v>2239320.75</v>
      </c>
      <c r="CB84" s="9">
        <f>'Monthly PL'!BZ7*10000000</f>
        <v>2239320.75</v>
      </c>
      <c r="CC84" s="9">
        <f>'Monthly PL'!CA7*10000000</f>
        <v>2239320.75</v>
      </c>
      <c r="CD84" s="9">
        <f>'Monthly PL'!CB7*10000000</f>
        <v>2239320.75</v>
      </c>
      <c r="CE84" s="9">
        <f>'Monthly PL'!CC7*10000000</f>
        <v>2239320.75</v>
      </c>
      <c r="CF84" s="9">
        <f>'Monthly PL'!CD7*10000000</f>
        <v>2239320.75</v>
      </c>
      <c r="CG84" s="9">
        <f>'Monthly PL'!CE7*10000000</f>
        <v>2239320.75</v>
      </c>
      <c r="CH84" s="9">
        <f>'Monthly PL'!CF7*10000000</f>
        <v>2239320.75</v>
      </c>
      <c r="CI84" s="9">
        <f>'Monthly PL'!CG7*10000000</f>
        <v>2239320.75</v>
      </c>
      <c r="CJ84" s="9">
        <f>'Monthly PL'!CH7*10000000</f>
        <v>2239320.75</v>
      </c>
      <c r="CK84" s="9">
        <f>'Monthly PL'!CI7*10000000</f>
        <v>2239320.75</v>
      </c>
      <c r="CL84" s="9">
        <f>'Monthly PL'!CJ7*10000000</f>
        <v>2239320.75</v>
      </c>
      <c r="CM84" s="9">
        <f>'Monthly PL'!CK7*10000000</f>
        <v>2239320.75</v>
      </c>
      <c r="CN84" s="9">
        <f>'Monthly PL'!CL7*10000000</f>
        <v>2239320.75</v>
      </c>
      <c r="CO84" s="9">
        <f>'Monthly PL'!CM7*10000000</f>
        <v>2239320.75</v>
      </c>
      <c r="CP84" s="9">
        <f>'Monthly PL'!CN7*10000000</f>
        <v>2239320.75</v>
      </c>
      <c r="CQ84" s="9">
        <f>'Monthly PL'!CO7*10000000</f>
        <v>2239320.75</v>
      </c>
      <c r="CR84" s="9">
        <f>'Monthly PL'!CP7*10000000</f>
        <v>2239320.75</v>
      </c>
      <c r="CS84" s="9">
        <f>'Monthly PL'!CQ7*10000000</f>
        <v>2239320.75</v>
      </c>
      <c r="CT84" s="9">
        <f>'Monthly PL'!CR7*10000000</f>
        <v>2239320.75</v>
      </c>
      <c r="CU84" s="9">
        <f>'Monthly PL'!CS7*10000000</f>
        <v>2239320.75</v>
      </c>
      <c r="CV84" s="9">
        <f>'Monthly PL'!CT7*10000000</f>
        <v>2239320.75</v>
      </c>
      <c r="CW84" s="9">
        <f>'Monthly PL'!CU7*10000000</f>
        <v>2239320.75</v>
      </c>
      <c r="CX84" s="9">
        <f>'Monthly PL'!CV7*10000000</f>
        <v>2239320.75</v>
      </c>
      <c r="CY84" s="9">
        <f>'Monthly PL'!CW7*10000000</f>
        <v>2239320.75</v>
      </c>
    </row>
    <row r="85" spans="1:103">
      <c r="A85" s="97" t="s">
        <v>357</v>
      </c>
      <c r="B85" s="40" t="s">
        <v>346</v>
      </c>
      <c r="C85" s="40" t="s">
        <v>358</v>
      </c>
      <c r="D85" s="9">
        <f>'Monthly PL'!B8*10000000</f>
        <v>16200000.000000002</v>
      </c>
      <c r="E85" s="9">
        <f>'Monthly PL'!C8*10000000</f>
        <v>5200000</v>
      </c>
      <c r="F85" s="9">
        <f>'Monthly PL'!D8*10000000</f>
        <v>4212000</v>
      </c>
      <c r="G85" s="9">
        <f>'Monthly PL'!E8*10000000</f>
        <v>4212000</v>
      </c>
      <c r="H85" s="9">
        <f>'Monthly PL'!F8*10000000</f>
        <v>4212000</v>
      </c>
      <c r="I85" s="9">
        <f>'Monthly PL'!G8*10000000</f>
        <v>4212000</v>
      </c>
      <c r="J85" s="9">
        <f>'Monthly PL'!H8*10000000</f>
        <v>4212000</v>
      </c>
      <c r="K85" s="9">
        <f>'Monthly PL'!I8*10000000</f>
        <v>3353999.9999999995</v>
      </c>
      <c r="L85" s="9">
        <f>'Monthly PL'!J8*10000000</f>
        <v>3353999.9999999995</v>
      </c>
      <c r="M85" s="9">
        <f>'Monthly PL'!K8*10000000</f>
        <v>3353999.9999999995</v>
      </c>
      <c r="N85" s="9">
        <f>'Monthly PL'!L8*10000000</f>
        <v>3488160</v>
      </c>
      <c r="O85" s="9">
        <f>'Monthly PL'!M8*10000000</f>
        <v>3488160</v>
      </c>
      <c r="P85" s="9">
        <f>'Monthly PL'!N8*10000000</f>
        <v>3488160</v>
      </c>
      <c r="Q85" s="9">
        <f>'Monthly PL'!O8*10000000</f>
        <v>3488160</v>
      </c>
      <c r="R85" s="9">
        <f>'Monthly PL'!P8*10000000</f>
        <v>3488160</v>
      </c>
      <c r="S85" s="9">
        <f>'Monthly PL'!Q8*10000000</f>
        <v>3488160</v>
      </c>
      <c r="T85" s="9">
        <f>'Monthly PL'!R8*10000000</f>
        <v>2271360</v>
      </c>
      <c r="U85" s="9">
        <f>'Monthly PL'!S8*10000000</f>
        <v>2271360</v>
      </c>
      <c r="V85" s="9">
        <f>'Monthly PL'!T8*10000000</f>
        <v>1460160</v>
      </c>
      <c r="W85" s="9">
        <f>'Monthly PL'!U8*10000000</f>
        <v>1460160</v>
      </c>
      <c r="X85" s="9">
        <f>'Monthly PL'!V8*10000000</f>
        <v>1460160</v>
      </c>
      <c r="Y85" s="9">
        <f>'Monthly PL'!W8*10000000</f>
        <v>1460160</v>
      </c>
      <c r="Z85" s="9">
        <f>'Monthly PL'!X8*10000000</f>
        <v>1518566.4000000001</v>
      </c>
      <c r="AA85" s="9">
        <f>'Monthly PL'!Y8*10000000</f>
        <v>1518566.4000000001</v>
      </c>
      <c r="AB85" s="9">
        <f>'Monthly PL'!Z8*10000000</f>
        <v>1518566.4000000001</v>
      </c>
      <c r="AC85" s="9">
        <f>'Monthly PL'!AA8*10000000</f>
        <v>1518566.4000000001</v>
      </c>
      <c r="AD85" s="9">
        <f>'Monthly PL'!AB8*10000000</f>
        <v>1518566.4000000001</v>
      </c>
      <c r="AE85" s="9">
        <f>'Monthly PL'!AC8*10000000</f>
        <v>1518566.4000000001</v>
      </c>
      <c r="AF85" s="9">
        <f>'Monthly PL'!AD8*10000000</f>
        <v>1518566.4000000001</v>
      </c>
      <c r="AG85" s="9">
        <f>'Monthly PL'!AE8*10000000</f>
        <v>674918.40000000002</v>
      </c>
      <c r="AH85" s="9">
        <f>'Monthly PL'!AF8*10000000</f>
        <v>674918.40000000002</v>
      </c>
      <c r="AI85" s="9">
        <f>'Monthly PL'!AG8*10000000</f>
        <v>674918.40000000002</v>
      </c>
      <c r="AJ85" s="9">
        <f>'Monthly PL'!AH8*10000000</f>
        <v>674918.40000000002</v>
      </c>
      <c r="AK85" s="9">
        <f>'Monthly PL'!AI8*10000000</f>
        <v>674918.40000000002</v>
      </c>
      <c r="AL85" s="9">
        <f>'Monthly PL'!AJ8*10000000</f>
        <v>701915.13600000006</v>
      </c>
      <c r="AM85" s="9">
        <f>'Monthly PL'!AK8*10000000</f>
        <v>701915.13600000006</v>
      </c>
      <c r="AN85" s="9">
        <f>'Monthly PL'!AL8*10000000</f>
        <v>701915.13600000006</v>
      </c>
      <c r="AO85" s="9">
        <f>'Monthly PL'!AM8*10000000</f>
        <v>701915.13600000006</v>
      </c>
      <c r="AP85" s="9">
        <f>'Monthly PL'!AN8*10000000</f>
        <v>701915.13600000006</v>
      </c>
      <c r="AQ85" s="9">
        <f>'Monthly PL'!AO8*10000000</f>
        <v>701915.13600000006</v>
      </c>
      <c r="AR85" s="9">
        <f>'Monthly PL'!AP8*10000000</f>
        <v>0</v>
      </c>
      <c r="AS85" s="9">
        <f>'Monthly PL'!AQ8*10000000</f>
        <v>0</v>
      </c>
      <c r="AT85" s="9">
        <f>'Monthly PL'!AR8*10000000</f>
        <v>0</v>
      </c>
      <c r="AU85" s="9">
        <f>'Monthly PL'!AS8*10000000</f>
        <v>0</v>
      </c>
      <c r="AV85" s="9">
        <f>'Monthly PL'!AT8*10000000</f>
        <v>0</v>
      </c>
      <c r="AW85" s="9">
        <f>'Monthly PL'!AU8*10000000</f>
        <v>0</v>
      </c>
      <c r="AX85" s="9">
        <f>'Monthly PL'!AV8*10000000</f>
        <v>0</v>
      </c>
      <c r="AY85" s="9">
        <f>'Monthly PL'!AW8*10000000</f>
        <v>0</v>
      </c>
      <c r="AZ85" s="9">
        <f>'Monthly PL'!AX8*10000000</f>
        <v>0</v>
      </c>
      <c r="BA85" s="9">
        <f>'Monthly PL'!AY8*10000000</f>
        <v>0</v>
      </c>
      <c r="BB85" s="9">
        <f>'Monthly PL'!AZ8*10000000</f>
        <v>0</v>
      </c>
      <c r="BC85" s="9">
        <f>'Monthly PL'!BA8*10000000</f>
        <v>0</v>
      </c>
      <c r="BD85" s="9">
        <f>'Monthly PL'!BB8*10000000</f>
        <v>0</v>
      </c>
      <c r="BE85" s="9">
        <f>'Monthly PL'!BC8*10000000</f>
        <v>0</v>
      </c>
      <c r="BF85" s="9">
        <f>'Monthly PL'!BD8*10000000</f>
        <v>0</v>
      </c>
      <c r="BG85" s="9">
        <f>'Monthly PL'!BE8*10000000</f>
        <v>0</v>
      </c>
      <c r="BH85" s="9">
        <f>'Monthly PL'!BF8*10000000</f>
        <v>0</v>
      </c>
      <c r="BI85" s="9">
        <f>'Monthly PL'!BG8*10000000</f>
        <v>0</v>
      </c>
      <c r="BJ85" s="9">
        <f>'Monthly PL'!BH8*10000000</f>
        <v>0</v>
      </c>
      <c r="BK85" s="9">
        <f>'Monthly PL'!BI8*10000000</f>
        <v>0</v>
      </c>
      <c r="BL85" s="9">
        <f>'Monthly PL'!BJ8*10000000</f>
        <v>0</v>
      </c>
      <c r="BM85" s="9">
        <f>'Monthly PL'!BK8*10000000</f>
        <v>0</v>
      </c>
      <c r="BN85" s="9">
        <f>'Monthly PL'!BL8*10000000</f>
        <v>0</v>
      </c>
      <c r="BO85" s="9">
        <f>'Monthly PL'!BM8*10000000</f>
        <v>0</v>
      </c>
      <c r="BP85" s="9">
        <f>'Monthly PL'!BN8*10000000</f>
        <v>0</v>
      </c>
      <c r="BQ85" s="9">
        <f>'Monthly PL'!BO8*10000000</f>
        <v>0</v>
      </c>
      <c r="BR85" s="9">
        <f>'Monthly PL'!BP8*10000000</f>
        <v>0</v>
      </c>
      <c r="BS85" s="9">
        <f>'Monthly PL'!BQ8*10000000</f>
        <v>0</v>
      </c>
      <c r="BT85" s="9">
        <f>'Monthly PL'!BR8*10000000</f>
        <v>0</v>
      </c>
      <c r="BU85" s="9">
        <f>'Monthly PL'!BS8*10000000</f>
        <v>0</v>
      </c>
      <c r="BV85" s="9">
        <f>'Monthly PL'!BT8*10000000</f>
        <v>0</v>
      </c>
      <c r="BW85" s="9">
        <f>'Monthly PL'!BU8*10000000</f>
        <v>0</v>
      </c>
      <c r="BX85" s="9">
        <f>'Monthly PL'!BV8*10000000</f>
        <v>0</v>
      </c>
      <c r="BY85" s="9">
        <f>'Monthly PL'!BW8*10000000</f>
        <v>0</v>
      </c>
      <c r="BZ85" s="9">
        <f>'Monthly PL'!BX8*10000000</f>
        <v>0</v>
      </c>
      <c r="CA85" s="9">
        <f>'Monthly PL'!BY8*10000000</f>
        <v>0</v>
      </c>
      <c r="CB85" s="9">
        <f>'Monthly PL'!BZ8*10000000</f>
        <v>0</v>
      </c>
      <c r="CC85" s="9">
        <f>'Monthly PL'!CA8*10000000</f>
        <v>0</v>
      </c>
      <c r="CD85" s="9">
        <f>'Monthly PL'!CB8*10000000</f>
        <v>0</v>
      </c>
      <c r="CE85" s="9">
        <f>'Monthly PL'!CC8*10000000</f>
        <v>0</v>
      </c>
      <c r="CF85" s="9">
        <f>'Monthly PL'!CD8*10000000</f>
        <v>0</v>
      </c>
      <c r="CG85" s="9">
        <f>'Monthly PL'!CE8*10000000</f>
        <v>0</v>
      </c>
      <c r="CH85" s="9">
        <f>'Monthly PL'!CF8*10000000</f>
        <v>0</v>
      </c>
      <c r="CI85" s="9">
        <f>'Monthly PL'!CG8*10000000</f>
        <v>0</v>
      </c>
      <c r="CJ85" s="9">
        <f>'Monthly PL'!CH8*10000000</f>
        <v>0</v>
      </c>
      <c r="CK85" s="9">
        <f>'Monthly PL'!CI8*10000000</f>
        <v>0</v>
      </c>
      <c r="CL85" s="9">
        <f>'Monthly PL'!CJ8*10000000</f>
        <v>0</v>
      </c>
      <c r="CM85" s="9">
        <f>'Monthly PL'!CK8*10000000</f>
        <v>0</v>
      </c>
      <c r="CN85" s="9">
        <f>'Monthly PL'!CL8*10000000</f>
        <v>0</v>
      </c>
      <c r="CO85" s="9">
        <f>'Monthly PL'!CM8*10000000</f>
        <v>0</v>
      </c>
      <c r="CP85" s="9">
        <f>'Monthly PL'!CN8*10000000</f>
        <v>0</v>
      </c>
      <c r="CQ85" s="9">
        <f>'Monthly PL'!CO8*10000000</f>
        <v>0</v>
      </c>
      <c r="CR85" s="9">
        <f>'Monthly PL'!CP8*10000000</f>
        <v>0</v>
      </c>
      <c r="CS85" s="9">
        <f>'Monthly PL'!CQ8*10000000</f>
        <v>0</v>
      </c>
      <c r="CT85" s="9">
        <f>'Monthly PL'!CR8*10000000</f>
        <v>0</v>
      </c>
      <c r="CU85" s="9">
        <f>'Monthly PL'!CS8*10000000</f>
        <v>0</v>
      </c>
      <c r="CV85" s="9">
        <f>'Monthly PL'!CT8*10000000</f>
        <v>0</v>
      </c>
      <c r="CW85" s="9">
        <f>'Monthly PL'!CU8*10000000</f>
        <v>0</v>
      </c>
      <c r="CX85" s="9">
        <f>'Monthly PL'!CV8*10000000</f>
        <v>0</v>
      </c>
      <c r="CY85" s="9">
        <f>'Monthly PL'!CW8*10000000</f>
        <v>0</v>
      </c>
    </row>
    <row r="86" spans="1:103">
      <c r="A86" t="s">
        <v>102</v>
      </c>
      <c r="B86" s="40" t="s">
        <v>346</v>
      </c>
      <c r="C86" s="40" t="s">
        <v>102</v>
      </c>
      <c r="D86" s="9">
        <f>'Monthly PL'!B9*10000000</f>
        <v>0</v>
      </c>
      <c r="E86" s="9">
        <f>'Monthly PL'!C9*10000000</f>
        <v>0</v>
      </c>
      <c r="F86" s="9">
        <f>'Monthly PL'!D9*10000000</f>
        <v>0</v>
      </c>
      <c r="G86" s="9">
        <f>'Monthly PL'!E9*10000000</f>
        <v>0</v>
      </c>
      <c r="H86" s="9">
        <f>'Monthly PL'!F9*10000000</f>
        <v>0</v>
      </c>
      <c r="I86" s="9">
        <f>'Monthly PL'!G9*10000000</f>
        <v>0</v>
      </c>
      <c r="J86" s="9">
        <f>'Monthly PL'!H9*10000000</f>
        <v>0</v>
      </c>
      <c r="K86" s="9">
        <f>'Monthly PL'!I9*10000000</f>
        <v>0</v>
      </c>
      <c r="L86" s="9">
        <f>'Monthly PL'!J9*10000000</f>
        <v>0</v>
      </c>
      <c r="M86" s="9">
        <f>'Monthly PL'!K9*10000000</f>
        <v>0</v>
      </c>
      <c r="N86" s="9">
        <f>'Monthly PL'!L9*10000000</f>
        <v>0</v>
      </c>
      <c r="O86" s="9">
        <f>'Monthly PL'!M9*10000000</f>
        <v>0</v>
      </c>
      <c r="P86" s="9">
        <f>'Monthly PL'!N9*10000000</f>
        <v>0</v>
      </c>
      <c r="Q86" s="9">
        <f>'Monthly PL'!O9*10000000</f>
        <v>0</v>
      </c>
      <c r="R86" s="9">
        <f>'Monthly PL'!P9*10000000</f>
        <v>0</v>
      </c>
      <c r="S86" s="9">
        <f>'Monthly PL'!Q9*10000000</f>
        <v>0</v>
      </c>
      <c r="T86" s="9">
        <f>'Monthly PL'!R9*10000000</f>
        <v>0</v>
      </c>
      <c r="U86" s="9">
        <f>'Monthly PL'!S9*10000000</f>
        <v>0</v>
      </c>
      <c r="V86" s="9">
        <f>'Monthly PL'!T9*10000000</f>
        <v>0</v>
      </c>
      <c r="W86" s="9">
        <f>'Monthly PL'!U9*10000000</f>
        <v>0</v>
      </c>
      <c r="X86" s="9">
        <f>'Monthly PL'!V9*10000000</f>
        <v>0</v>
      </c>
      <c r="Y86" s="9">
        <f>'Monthly PL'!W9*10000000</f>
        <v>0</v>
      </c>
      <c r="Z86" s="9">
        <f>'Monthly PL'!X9*10000000</f>
        <v>0</v>
      </c>
      <c r="AA86" s="9">
        <f>'Monthly PL'!Y9*10000000</f>
        <v>0</v>
      </c>
      <c r="AB86" s="9">
        <f>'Monthly PL'!Z9*10000000</f>
        <v>0</v>
      </c>
      <c r="AC86" s="9">
        <f>'Monthly PL'!AA9*10000000</f>
        <v>0</v>
      </c>
      <c r="AD86" s="9">
        <f>'Monthly PL'!AB9*10000000</f>
        <v>0</v>
      </c>
      <c r="AE86" s="9">
        <f>'Monthly PL'!AC9*10000000</f>
        <v>0</v>
      </c>
      <c r="AF86" s="9">
        <f>'Monthly PL'!AD9*10000000</f>
        <v>0</v>
      </c>
      <c r="AG86" s="9">
        <f>'Monthly PL'!AE9*10000000</f>
        <v>0</v>
      </c>
      <c r="AH86" s="9">
        <f>'Monthly PL'!AF9*10000000</f>
        <v>0</v>
      </c>
      <c r="AI86" s="9">
        <f>'Monthly PL'!AG9*10000000</f>
        <v>0</v>
      </c>
      <c r="AJ86" s="9">
        <f>'Monthly PL'!AH9*10000000</f>
        <v>0</v>
      </c>
      <c r="AK86" s="9">
        <f>'Monthly PL'!AI9*10000000</f>
        <v>0</v>
      </c>
      <c r="AL86" s="9">
        <f>'Monthly PL'!AJ9*10000000</f>
        <v>0</v>
      </c>
      <c r="AM86" s="9">
        <f>'Monthly PL'!AK9*10000000</f>
        <v>0</v>
      </c>
      <c r="AN86" s="9">
        <f>'Monthly PL'!AL9*10000000</f>
        <v>0</v>
      </c>
      <c r="AO86" s="9">
        <f>'Monthly PL'!AM9*10000000</f>
        <v>0</v>
      </c>
      <c r="AP86" s="9">
        <f>'Monthly PL'!AN9*10000000</f>
        <v>0</v>
      </c>
      <c r="AQ86" s="9">
        <f>'Monthly PL'!AO9*10000000</f>
        <v>0</v>
      </c>
      <c r="AR86" s="9">
        <f>'Monthly PL'!AP9*10000000</f>
        <v>0</v>
      </c>
      <c r="AS86" s="9">
        <f>'Monthly PL'!AQ9*10000000</f>
        <v>0</v>
      </c>
      <c r="AT86" s="9">
        <f>'Monthly PL'!AR9*10000000</f>
        <v>0</v>
      </c>
      <c r="AU86" s="9">
        <f>'Monthly PL'!AS9*10000000</f>
        <v>0</v>
      </c>
      <c r="AV86" s="9">
        <f>'Monthly PL'!AT9*10000000</f>
        <v>0</v>
      </c>
      <c r="AW86" s="9">
        <f>'Monthly PL'!AU9*10000000</f>
        <v>0</v>
      </c>
      <c r="AX86" s="9">
        <f>'Monthly PL'!AV9*10000000</f>
        <v>0</v>
      </c>
      <c r="AY86" s="9">
        <f>'Monthly PL'!AW9*10000000</f>
        <v>0</v>
      </c>
      <c r="AZ86" s="9">
        <f>'Monthly PL'!AX9*10000000</f>
        <v>0</v>
      </c>
      <c r="BA86" s="9">
        <f>'Monthly PL'!AY9*10000000</f>
        <v>0</v>
      </c>
      <c r="BB86" s="9">
        <f>'Monthly PL'!AZ9*10000000</f>
        <v>0</v>
      </c>
      <c r="BC86" s="9">
        <f>'Monthly PL'!BA9*10000000</f>
        <v>0</v>
      </c>
      <c r="BD86" s="9">
        <f>'Monthly PL'!BB9*10000000</f>
        <v>0</v>
      </c>
      <c r="BE86" s="9">
        <f>'Monthly PL'!BC9*10000000</f>
        <v>0</v>
      </c>
      <c r="BF86" s="9">
        <f>'Monthly PL'!BD9*10000000</f>
        <v>0</v>
      </c>
      <c r="BG86" s="9">
        <f>'Monthly PL'!BE9*10000000</f>
        <v>0</v>
      </c>
      <c r="BH86" s="9">
        <f>'Monthly PL'!BF9*10000000</f>
        <v>0</v>
      </c>
      <c r="BI86" s="9">
        <f>'Monthly PL'!BG9*10000000</f>
        <v>0</v>
      </c>
      <c r="BJ86" s="9">
        <f>'Monthly PL'!BH9*10000000</f>
        <v>0</v>
      </c>
      <c r="BK86" s="9">
        <f>'Monthly PL'!BI9*10000000</f>
        <v>0</v>
      </c>
      <c r="BL86" s="9">
        <f>'Monthly PL'!BJ9*10000000</f>
        <v>0</v>
      </c>
      <c r="BM86" s="9">
        <f>'Monthly PL'!BK9*10000000</f>
        <v>0</v>
      </c>
      <c r="BN86" s="9">
        <f>'Monthly PL'!BL9*10000000</f>
        <v>0</v>
      </c>
      <c r="BO86" s="9">
        <f>'Monthly PL'!BM9*10000000</f>
        <v>0</v>
      </c>
      <c r="BP86" s="9">
        <f>'Monthly PL'!BN9*10000000</f>
        <v>0</v>
      </c>
      <c r="BQ86" s="9">
        <f>'Monthly PL'!BO9*10000000</f>
        <v>0</v>
      </c>
      <c r="BR86" s="9">
        <f>'Monthly PL'!BP9*10000000</f>
        <v>0</v>
      </c>
      <c r="BS86" s="9">
        <f>'Monthly PL'!BQ9*10000000</f>
        <v>0</v>
      </c>
      <c r="BT86" s="9">
        <f>'Monthly PL'!BR9*10000000</f>
        <v>0</v>
      </c>
      <c r="BU86" s="9">
        <f>'Monthly PL'!BS9*10000000</f>
        <v>0</v>
      </c>
      <c r="BV86" s="9">
        <f>'Monthly PL'!BT9*10000000</f>
        <v>0</v>
      </c>
      <c r="BW86" s="9">
        <f>'Monthly PL'!BU9*10000000</f>
        <v>0</v>
      </c>
      <c r="BX86" s="9">
        <f>'Monthly PL'!BV9*10000000</f>
        <v>0</v>
      </c>
      <c r="BY86" s="9">
        <f>'Monthly PL'!BW9*10000000</f>
        <v>0</v>
      </c>
      <c r="BZ86" s="9">
        <f>'Monthly PL'!BX9*10000000</f>
        <v>0</v>
      </c>
      <c r="CA86" s="9">
        <f>'Monthly PL'!BY9*10000000</f>
        <v>0</v>
      </c>
      <c r="CB86" s="9">
        <f>'Monthly PL'!BZ9*10000000</f>
        <v>0</v>
      </c>
      <c r="CC86" s="9">
        <f>'Monthly PL'!CA9*10000000</f>
        <v>0</v>
      </c>
      <c r="CD86" s="9">
        <f>'Monthly PL'!CB9*10000000</f>
        <v>0</v>
      </c>
      <c r="CE86" s="9">
        <f>'Monthly PL'!CC9*10000000</f>
        <v>0</v>
      </c>
      <c r="CF86" s="9">
        <f>'Monthly PL'!CD9*10000000</f>
        <v>0</v>
      </c>
      <c r="CG86" s="9">
        <f>'Monthly PL'!CE9*10000000</f>
        <v>0</v>
      </c>
      <c r="CH86" s="9">
        <f>'Monthly PL'!CF9*10000000</f>
        <v>0</v>
      </c>
      <c r="CI86" s="9">
        <f>'Monthly PL'!CG9*10000000</f>
        <v>0</v>
      </c>
      <c r="CJ86" s="9">
        <f>'Monthly PL'!CH9*10000000</f>
        <v>0</v>
      </c>
      <c r="CK86" s="9">
        <f>'Monthly PL'!CI9*10000000</f>
        <v>0</v>
      </c>
      <c r="CL86" s="9">
        <f>'Monthly PL'!CJ9*10000000</f>
        <v>0</v>
      </c>
      <c r="CM86" s="9">
        <f>'Monthly PL'!CK9*10000000</f>
        <v>0</v>
      </c>
      <c r="CN86" s="9">
        <f>'Monthly PL'!CL9*10000000</f>
        <v>0</v>
      </c>
      <c r="CO86" s="9">
        <f>'Monthly PL'!CM9*10000000</f>
        <v>0</v>
      </c>
      <c r="CP86" s="9">
        <f>'Monthly PL'!CN9*10000000</f>
        <v>0</v>
      </c>
      <c r="CQ86" s="9">
        <f>'Monthly PL'!CO9*10000000</f>
        <v>0</v>
      </c>
      <c r="CR86" s="9">
        <f>'Monthly PL'!CP9*10000000</f>
        <v>0</v>
      </c>
      <c r="CS86" s="9">
        <f>'Monthly PL'!CQ9*10000000</f>
        <v>0</v>
      </c>
      <c r="CT86" s="9">
        <f>'Monthly PL'!CR9*10000000</f>
        <v>0</v>
      </c>
      <c r="CU86" s="9">
        <f>'Monthly PL'!CS9*10000000</f>
        <v>0</v>
      </c>
      <c r="CV86" s="9">
        <f>'Monthly PL'!CT9*10000000</f>
        <v>0</v>
      </c>
      <c r="CW86" s="9">
        <f>'Monthly PL'!CU9*10000000</f>
        <v>0</v>
      </c>
      <c r="CX86" s="9">
        <f>'Monthly PL'!CV9*10000000</f>
        <v>0</v>
      </c>
      <c r="CY86" s="9">
        <f>'Monthly PL'!CW9*10000000</f>
        <v>0</v>
      </c>
    </row>
    <row r="87" spans="1:103" ht="12.75" thickBot="1">
      <c r="C87" s="40"/>
      <c r="D87" s="10">
        <f t="shared" ref="D87:I87" si="0">SUM(D82:D86)-SUM(D3:D81)</f>
        <v>79082408.181904629</v>
      </c>
      <c r="E87" s="10">
        <f t="shared" si="0"/>
        <v>13093762.324900813</v>
      </c>
      <c r="F87" s="10">
        <f t="shared" si="0"/>
        <v>1550383.5711816885</v>
      </c>
      <c r="G87" s="10">
        <f t="shared" si="0"/>
        <v>27254786.485280842</v>
      </c>
      <c r="H87" s="10">
        <f t="shared" si="0"/>
        <v>514959.99741278589</v>
      </c>
      <c r="I87" s="10">
        <f t="shared" si="0"/>
        <v>16199802.418761119</v>
      </c>
      <c r="J87" s="10">
        <f t="shared" ref="J87:AO87" si="1">SUM(J82:J86)-SUM(J3:J81)</f>
        <v>-81972.520462058485</v>
      </c>
      <c r="K87" s="10">
        <f t="shared" si="1"/>
        <v>24929489.043377142</v>
      </c>
      <c r="L87" s="10">
        <f t="shared" si="1"/>
        <v>3682608.8169731982</v>
      </c>
      <c r="M87" s="10">
        <f t="shared" si="1"/>
        <v>15912908.922055982</v>
      </c>
      <c r="N87" s="10">
        <f t="shared" si="1"/>
        <v>-17813967.291120537</v>
      </c>
      <c r="O87" s="10">
        <f t="shared" si="1"/>
        <v>5048823.5995287523</v>
      </c>
      <c r="P87" s="10">
        <f t="shared" si="1"/>
        <v>-18646356.164537601</v>
      </c>
      <c r="Q87" s="10">
        <f t="shared" si="1"/>
        <v>14427275.105472445</v>
      </c>
      <c r="R87" s="10">
        <f t="shared" si="1"/>
        <v>-12438867.725679159</v>
      </c>
      <c r="S87" s="10">
        <f t="shared" si="1"/>
        <v>14014819.465139478</v>
      </c>
      <c r="T87" s="10">
        <f t="shared" si="1"/>
        <v>-14245913.350970171</v>
      </c>
      <c r="U87" s="10">
        <f t="shared" si="1"/>
        <v>17760046.777063079</v>
      </c>
      <c r="V87" s="10">
        <f t="shared" si="1"/>
        <v>-16135399.795333713</v>
      </c>
      <c r="W87" s="10">
        <f t="shared" si="1"/>
        <v>13530155.944553539</v>
      </c>
      <c r="X87" s="10">
        <f t="shared" si="1"/>
        <v>-21241621.336451426</v>
      </c>
      <c r="Y87" s="10">
        <f t="shared" si="1"/>
        <v>-293168159.79404604</v>
      </c>
      <c r="Z87" s="10">
        <f t="shared" si="1"/>
        <v>-19769684.728102617</v>
      </c>
      <c r="AA87" s="10">
        <f t="shared" si="1"/>
        <v>9662978.7792426497</v>
      </c>
      <c r="AB87" s="10">
        <f t="shared" si="1"/>
        <v>-20321485.735606767</v>
      </c>
      <c r="AC87" s="10">
        <f t="shared" si="1"/>
        <v>14683414.702038959</v>
      </c>
      <c r="AD87" s="10">
        <f t="shared" si="1"/>
        <v>-17150407.115387551</v>
      </c>
      <c r="AE87" s="10">
        <f t="shared" si="1"/>
        <v>19814840.15748363</v>
      </c>
      <c r="AF87" s="10">
        <f t="shared" si="1"/>
        <v>-14775377.646068834</v>
      </c>
      <c r="AG87" s="10">
        <f t="shared" si="1"/>
        <v>19920520.635795847</v>
      </c>
      <c r="AH87" s="10">
        <f t="shared" si="1"/>
        <v>-16357714.495624736</v>
      </c>
      <c r="AI87" s="10">
        <f t="shared" si="1"/>
        <v>24992292.096133724</v>
      </c>
      <c r="AJ87" s="10">
        <f t="shared" si="1"/>
        <v>-13981277.755577452</v>
      </c>
      <c r="AK87" s="10">
        <f t="shared" si="1"/>
        <v>-431021422.64635986</v>
      </c>
      <c r="AL87" s="10">
        <f t="shared" si="1"/>
        <v>34739.488085761666</v>
      </c>
      <c r="AM87" s="10">
        <f t="shared" si="1"/>
        <v>33018541.629841603</v>
      </c>
      <c r="AN87" s="10">
        <f t="shared" si="1"/>
        <v>-559273.5790727064</v>
      </c>
      <c r="AO87" s="10">
        <f t="shared" si="1"/>
        <v>38595943.844689824</v>
      </c>
      <c r="AP87" s="10">
        <f t="shared" ref="AP87:CY87" si="2">SUM(AP82:AP86)-SUM(AP3:AP81)</f>
        <v>3214059.869326517</v>
      </c>
      <c r="AQ87" s="10">
        <f t="shared" si="2"/>
        <v>33259087.827838928</v>
      </c>
      <c r="AR87" s="10">
        <f t="shared" si="2"/>
        <v>1548230.4438921288</v>
      </c>
      <c r="AS87" s="10">
        <f t="shared" si="2"/>
        <v>40659995.088741258</v>
      </c>
      <c r="AT87" s="10">
        <f t="shared" si="2"/>
        <v>975128.23177102953</v>
      </c>
      <c r="AU87" s="10">
        <f t="shared" si="2"/>
        <v>43586960.42778641</v>
      </c>
      <c r="AV87" s="10">
        <f t="shared" si="2"/>
        <v>3013797.2823508829</v>
      </c>
      <c r="AW87" s="10">
        <f t="shared" si="2"/>
        <v>-411392829.90562475</v>
      </c>
      <c r="AX87" s="10">
        <f t="shared" si="2"/>
        <v>5988419.7536492124</v>
      </c>
      <c r="AY87" s="10">
        <f t="shared" si="2"/>
        <v>49655415.528222784</v>
      </c>
      <c r="AZ87" s="10">
        <f t="shared" si="2"/>
        <v>5293295.8875600621</v>
      </c>
      <c r="BA87" s="10">
        <f t="shared" si="2"/>
        <v>54938677.896783337</v>
      </c>
      <c r="BB87" s="10">
        <f t="shared" si="2"/>
        <v>9196142.1656184122</v>
      </c>
      <c r="BC87" s="10">
        <f t="shared" si="2"/>
        <v>52742956.110155791</v>
      </c>
      <c r="BD87" s="10">
        <f t="shared" si="2"/>
        <v>6907127.1277789548</v>
      </c>
      <c r="BE87" s="10">
        <f t="shared" si="2"/>
        <v>55233992.323544227</v>
      </c>
      <c r="BF87" s="10">
        <f t="shared" si="2"/>
        <v>7046142.6014766246</v>
      </c>
      <c r="BG87" s="10">
        <f t="shared" si="2"/>
        <v>58368081.279981025</v>
      </c>
      <c r="BH87" s="10">
        <f t="shared" si="2"/>
        <v>5999290.5427507833</v>
      </c>
      <c r="BI87" s="10">
        <f t="shared" si="2"/>
        <v>-397734341.89793313</v>
      </c>
      <c r="BJ87" s="10">
        <f t="shared" si="2"/>
        <v>7864415.7488885075</v>
      </c>
      <c r="BK87" s="10">
        <f t="shared" si="2"/>
        <v>55261597.882092372</v>
      </c>
      <c r="BL87" s="10">
        <f t="shared" si="2"/>
        <v>7109733.6193297878</v>
      </c>
      <c r="BM87" s="10">
        <f t="shared" si="2"/>
        <v>61936298.791775681</v>
      </c>
      <c r="BN87" s="10">
        <f t="shared" si="2"/>
        <v>12591386.102855667</v>
      </c>
      <c r="BO87" s="10">
        <f t="shared" si="2"/>
        <v>59415460.740643643</v>
      </c>
      <c r="BP87" s="10">
        <f t="shared" si="2"/>
        <v>9526379.3200564906</v>
      </c>
      <c r="BQ87" s="10">
        <f t="shared" si="2"/>
        <v>61020879.442469336</v>
      </c>
      <c r="BR87" s="10">
        <f t="shared" si="2"/>
        <v>9748193.0187895745</v>
      </c>
      <c r="BS87" s="10">
        <f t="shared" si="2"/>
        <v>64124002.158212654</v>
      </c>
      <c r="BT87" s="10">
        <f t="shared" si="2"/>
        <v>-4418437.3465801924</v>
      </c>
      <c r="BU87" s="10">
        <f t="shared" si="2"/>
        <v>-393584942.38357997</v>
      </c>
      <c r="BV87" s="10">
        <f t="shared" si="2"/>
        <v>10110159.306694768</v>
      </c>
      <c r="BW87" s="10">
        <f t="shared" si="2"/>
        <v>62208323.828488961</v>
      </c>
      <c r="BX87" s="10">
        <f t="shared" si="2"/>
        <v>7828191.5597102642</v>
      </c>
      <c r="BY87" s="10">
        <f t="shared" si="2"/>
        <v>67436686.706156254</v>
      </c>
      <c r="BZ87" s="10">
        <f t="shared" si="2"/>
        <v>11974970.759990416</v>
      </c>
      <c r="CA87" s="10">
        <f t="shared" si="2"/>
        <v>64773130.667277187</v>
      </c>
      <c r="CB87" s="10">
        <f t="shared" si="2"/>
        <v>9524278.5715183392</v>
      </c>
      <c r="CC87" s="10">
        <f t="shared" si="2"/>
        <v>67094942.418428674</v>
      </c>
      <c r="CD87" s="10">
        <f t="shared" si="2"/>
        <v>9990446.4857857898</v>
      </c>
      <c r="CE87" s="10">
        <f t="shared" si="2"/>
        <v>72046395.492445111</v>
      </c>
      <c r="CF87" s="10">
        <f t="shared" si="2"/>
        <v>8919016.2621275336</v>
      </c>
      <c r="CG87" s="10">
        <f t="shared" si="2"/>
        <v>-384350924.73118699</v>
      </c>
      <c r="CH87" s="10">
        <f t="shared" si="2"/>
        <v>13728033.608194038</v>
      </c>
      <c r="CI87" s="10">
        <f t="shared" si="2"/>
        <v>71603112.16267699</v>
      </c>
      <c r="CJ87" s="10">
        <f t="shared" si="2"/>
        <v>18477884.743374757</v>
      </c>
      <c r="CK87" s="10">
        <f t="shared" si="2"/>
        <v>82308897.435322702</v>
      </c>
      <c r="CL87" s="10">
        <f t="shared" si="2"/>
        <v>22835915.541715086</v>
      </c>
      <c r="CM87" s="10">
        <f t="shared" si="2"/>
        <v>79762623.355320096</v>
      </c>
      <c r="CN87" s="10">
        <f t="shared" si="2"/>
        <v>20586668.05825635</v>
      </c>
      <c r="CO87" s="10">
        <f t="shared" si="2"/>
        <v>82224417.680048496</v>
      </c>
      <c r="CP87" s="10">
        <f t="shared" si="2"/>
        <v>21778886.559631765</v>
      </c>
      <c r="CQ87" s="10">
        <f t="shared" si="2"/>
        <v>86514530.595952213</v>
      </c>
      <c r="CR87" s="10">
        <f t="shared" si="2"/>
        <v>21225489.819711804</v>
      </c>
      <c r="CS87" s="10">
        <f t="shared" si="2"/>
        <v>-374214486.99725592</v>
      </c>
      <c r="CT87" s="10">
        <f t="shared" si="2"/>
        <v>25005180.195170365</v>
      </c>
      <c r="CU87" s="10">
        <f t="shared" si="2"/>
        <v>88700889.158166632</v>
      </c>
      <c r="CV87" s="10">
        <f t="shared" si="2"/>
        <v>27768150.026012644</v>
      </c>
      <c r="CW87" s="10">
        <f t="shared" si="2"/>
        <v>94462710.439767227</v>
      </c>
      <c r="CX87" s="10">
        <f t="shared" si="2"/>
        <v>31419616.191002272</v>
      </c>
      <c r="CY87" s="10">
        <f t="shared" si="2"/>
        <v>93432899.768098205</v>
      </c>
    </row>
    <row r="88" spans="1:103" ht="12.75" thickTop="1"/>
  </sheetData>
  <autoFilter ref="A2:CY87" xr:uid="{00000000-0009-0000-0000-00001C000000}"/>
  <conditionalFormatting sqref="A67:A71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pageSetUpPr fitToPage="1"/>
  </sheetPr>
  <dimension ref="A1:K4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ColWidth="9" defaultRowHeight="12"/>
  <cols>
    <col min="1" max="1" width="23.6640625" style="99" bestFit="1" customWidth="1"/>
    <col min="2" max="2" width="8" style="111" customWidth="1"/>
    <col min="3" max="3" width="7" style="99" customWidth="1"/>
    <col min="4" max="4" width="6.83203125" style="99" customWidth="1"/>
    <col min="5" max="5" width="6.6640625" style="99" customWidth="1"/>
    <col min="6" max="6" width="7.1640625" style="99" customWidth="1"/>
    <col min="7" max="9" width="7" style="99" customWidth="1"/>
    <col min="10" max="10" width="7.1640625" style="99" customWidth="1"/>
    <col min="11" max="11" width="7.1640625" style="99" bestFit="1" customWidth="1"/>
    <col min="12" max="16384" width="9" style="99"/>
  </cols>
  <sheetData>
    <row r="1" spans="1:11">
      <c r="B1" s="100"/>
      <c r="C1" s="101"/>
      <c r="D1" s="101"/>
      <c r="E1" s="101"/>
      <c r="F1" s="101"/>
      <c r="G1" s="101"/>
      <c r="H1" s="101"/>
      <c r="I1" s="101"/>
      <c r="J1" s="101"/>
      <c r="K1" s="101"/>
    </row>
    <row r="2" spans="1:11">
      <c r="A2" s="102" t="s">
        <v>359</v>
      </c>
      <c r="B2" s="103" t="s">
        <v>467</v>
      </c>
      <c r="C2" s="104">
        <f>'Works Working'!C2</f>
        <v>44743</v>
      </c>
      <c r="D2" s="104">
        <f>'Works Working'!D2</f>
        <v>44774</v>
      </c>
      <c r="E2" s="104">
        <f>'Works Working'!E2</f>
        <v>44805</v>
      </c>
      <c r="F2" s="104">
        <f>'Works Working'!F2</f>
        <v>44835</v>
      </c>
      <c r="G2" s="104">
        <f>'Works Working'!G2</f>
        <v>44866</v>
      </c>
      <c r="H2" s="104">
        <f>'Works Working'!H2</f>
        <v>44896</v>
      </c>
      <c r="I2" s="104">
        <f>'Works Working'!I2</f>
        <v>44927</v>
      </c>
      <c r="J2" s="104">
        <f>'Works Working'!J2</f>
        <v>44958</v>
      </c>
      <c r="K2" s="104">
        <f>'Works Working'!K2</f>
        <v>44986</v>
      </c>
    </row>
    <row r="3" spans="1:11">
      <c r="A3" s="105" t="s">
        <v>360</v>
      </c>
      <c r="B3" s="106">
        <v>46.126333073399998</v>
      </c>
      <c r="C3" s="107">
        <v>0</v>
      </c>
      <c r="D3" s="107">
        <v>0</v>
      </c>
      <c r="E3" s="107">
        <v>6.0180886133000007</v>
      </c>
      <c r="F3" s="107">
        <v>6.0180886133000007</v>
      </c>
      <c r="G3" s="107">
        <v>0</v>
      </c>
      <c r="H3" s="107">
        <v>0</v>
      </c>
      <c r="I3" s="107">
        <v>0</v>
      </c>
      <c r="J3" s="107">
        <v>0</v>
      </c>
      <c r="K3" s="107">
        <v>0</v>
      </c>
    </row>
    <row r="4" spans="1:11">
      <c r="A4" s="105" t="s">
        <v>361</v>
      </c>
      <c r="B4" s="106">
        <v>30.770981367000001</v>
      </c>
      <c r="C4" s="106">
        <v>0</v>
      </c>
      <c r="D4" s="106">
        <v>1.0531340109999991</v>
      </c>
      <c r="E4" s="106">
        <v>1.0531340109999991</v>
      </c>
      <c r="F4" s="106">
        <v>1.0531340109999991</v>
      </c>
      <c r="G4" s="106">
        <v>0</v>
      </c>
      <c r="H4" s="106">
        <v>0</v>
      </c>
      <c r="I4" s="106">
        <v>0</v>
      </c>
      <c r="J4" s="106">
        <v>0</v>
      </c>
      <c r="K4" s="106">
        <v>0</v>
      </c>
    </row>
    <row r="5" spans="1:11">
      <c r="A5" s="105" t="s">
        <v>362</v>
      </c>
      <c r="B5" s="106">
        <v>8.0908215576499991</v>
      </c>
      <c r="C5" s="107">
        <v>0</v>
      </c>
      <c r="D5" s="107">
        <v>0</v>
      </c>
      <c r="E5" s="107">
        <v>2.5129637211750002</v>
      </c>
      <c r="F5" s="107">
        <v>2.5129637211750002</v>
      </c>
      <c r="G5" s="107">
        <v>0</v>
      </c>
      <c r="H5" s="107">
        <v>0</v>
      </c>
      <c r="I5" s="107">
        <v>0</v>
      </c>
      <c r="J5" s="107">
        <v>0</v>
      </c>
      <c r="K5" s="107">
        <v>0</v>
      </c>
    </row>
    <row r="6" spans="1:11">
      <c r="A6" s="105" t="s">
        <v>363</v>
      </c>
      <c r="B6" s="106">
        <v>9.5173500000000004</v>
      </c>
      <c r="C6" s="107">
        <v>0</v>
      </c>
      <c r="D6" s="107">
        <v>0</v>
      </c>
      <c r="E6" s="107">
        <v>1.1206624999999999</v>
      </c>
      <c r="F6" s="107">
        <v>1.1206624999999999</v>
      </c>
      <c r="G6" s="107">
        <v>1.1206624999999999</v>
      </c>
      <c r="H6" s="107">
        <v>1.1206624999999999</v>
      </c>
      <c r="I6" s="107">
        <v>0</v>
      </c>
      <c r="J6" s="107">
        <v>0</v>
      </c>
      <c r="K6" s="107">
        <v>0</v>
      </c>
    </row>
    <row r="7" spans="1:11">
      <c r="A7" s="105" t="s">
        <v>364</v>
      </c>
      <c r="B7" s="108">
        <v>14.33926983093</v>
      </c>
      <c r="C7" s="108">
        <f>'Works Working'!C6</f>
        <v>0</v>
      </c>
      <c r="D7" s="108">
        <f>'Works Working'!D6</f>
        <v>0</v>
      </c>
      <c r="E7" s="108">
        <f>'Works Working'!E6</f>
        <v>0</v>
      </c>
      <c r="F7" s="108">
        <f>'Works Working'!F6</f>
        <v>0</v>
      </c>
      <c r="G7" s="108">
        <f>'Works Working'!G6</f>
        <v>0</v>
      </c>
      <c r="H7" s="108">
        <f>'Works Working'!H6</f>
        <v>0</v>
      </c>
      <c r="I7" s="108">
        <f>'Works Working'!I6</f>
        <v>0</v>
      </c>
      <c r="J7" s="108">
        <f>'Works Working'!J6</f>
        <v>0</v>
      </c>
      <c r="K7" s="108">
        <f>'Works Working'!K6</f>
        <v>0</v>
      </c>
    </row>
    <row r="8" spans="1:11">
      <c r="A8" s="105" t="s">
        <v>365</v>
      </c>
      <c r="B8" s="106">
        <v>7.8258041508699998</v>
      </c>
      <c r="C8" s="107">
        <f>'Works Working'!C18</f>
        <v>0</v>
      </c>
      <c r="D8" s="107">
        <f>'Works Working'!D18</f>
        <v>0</v>
      </c>
      <c r="E8" s="107">
        <f>'Works Working'!E18</f>
        <v>0</v>
      </c>
      <c r="F8" s="107">
        <f>'Works Working'!F18</f>
        <v>0</v>
      </c>
      <c r="G8" s="107">
        <f>'Works Working'!G18</f>
        <v>0</v>
      </c>
      <c r="H8" s="107">
        <f>'Works Working'!H18</f>
        <v>0</v>
      </c>
      <c r="I8" s="107">
        <f>'Works Working'!I18</f>
        <v>0</v>
      </c>
      <c r="J8" s="107">
        <f>'Works Working'!J18</f>
        <v>0</v>
      </c>
      <c r="K8" s="107">
        <f>'Works Working'!K18</f>
        <v>0</v>
      </c>
    </row>
    <row r="9" spans="1:11">
      <c r="A9" s="105" t="s">
        <v>366</v>
      </c>
      <c r="B9" s="106">
        <f>'Works Working'!B47</f>
        <v>262.43490516143606</v>
      </c>
      <c r="C9" s="107">
        <f>'Works Working'!C47</f>
        <v>5.9781783297942788</v>
      </c>
      <c r="D9" s="107">
        <f>'Works Working'!D47</f>
        <v>5.9781783297942788</v>
      </c>
      <c r="E9" s="107">
        <f>'Works Working'!E47</f>
        <v>5.9781783297942788</v>
      </c>
      <c r="F9" s="107">
        <f>'Works Working'!F47</f>
        <v>11.940574429751228</v>
      </c>
      <c r="G9" s="107">
        <f>'Works Working'!G47</f>
        <v>11.132093055828156</v>
      </c>
      <c r="H9" s="107">
        <f>'Works Working'!H47</f>
        <v>18.03832439040923</v>
      </c>
      <c r="I9" s="107">
        <f>'Works Working'!I47</f>
        <v>9.9492235573247925</v>
      </c>
      <c r="J9" s="107">
        <f>'Works Working'!J47</f>
        <v>0</v>
      </c>
      <c r="K9" s="107">
        <f>'Works Working'!K47</f>
        <v>0</v>
      </c>
    </row>
    <row r="10" spans="1:11">
      <c r="A10" s="105" t="s">
        <v>367</v>
      </c>
      <c r="B10" s="106">
        <f>'Works Working'!B75</f>
        <v>0</v>
      </c>
      <c r="C10" s="107">
        <f>'Works Working'!C75</f>
        <v>0.17</v>
      </c>
      <c r="D10" s="107">
        <f>'Works Working'!D75</f>
        <v>0.17</v>
      </c>
      <c r="E10" s="107">
        <f>'Works Working'!E75</f>
        <v>0.17</v>
      </c>
      <c r="F10" s="107">
        <f>'Works Working'!F75</f>
        <v>0.17</v>
      </c>
      <c r="G10" s="107">
        <f>'Works Working'!G75</f>
        <v>0.17</v>
      </c>
      <c r="H10" s="107">
        <f>'Works Working'!H75</f>
        <v>0.17</v>
      </c>
      <c r="I10" s="107">
        <f>'Works Working'!I75</f>
        <v>0.17</v>
      </c>
      <c r="J10" s="107">
        <f>'Works Working'!J75</f>
        <v>0</v>
      </c>
      <c r="K10" s="107">
        <f>'Works Working'!K75</f>
        <v>0</v>
      </c>
    </row>
    <row r="11" spans="1:11" ht="12.75" thickBot="1">
      <c r="A11" s="101" t="s">
        <v>54</v>
      </c>
      <c r="B11" s="109">
        <f>SUM(B3:B10)</f>
        <v>379.10546514128606</v>
      </c>
      <c r="C11" s="109">
        <f t="shared" ref="C11:K11" si="0">SUM(C3:C10)</f>
        <v>6.1481783297942787</v>
      </c>
      <c r="D11" s="109">
        <f t="shared" si="0"/>
        <v>7.2013123407942778</v>
      </c>
      <c r="E11" s="109">
        <f t="shared" si="0"/>
        <v>16.853027175269283</v>
      </c>
      <c r="F11" s="109">
        <f t="shared" si="0"/>
        <v>22.81542327522623</v>
      </c>
      <c r="G11" s="109">
        <f t="shared" si="0"/>
        <v>12.422755555828155</v>
      </c>
      <c r="H11" s="109">
        <f t="shared" si="0"/>
        <v>19.328986890409233</v>
      </c>
      <c r="I11" s="109">
        <f t="shared" si="0"/>
        <v>10.119223557324792</v>
      </c>
      <c r="J11" s="109">
        <f t="shared" si="0"/>
        <v>0</v>
      </c>
      <c r="K11" s="109">
        <f t="shared" si="0"/>
        <v>0</v>
      </c>
    </row>
    <row r="12" spans="1:11" ht="12.75" thickTop="1">
      <c r="B12" s="101"/>
      <c r="C12" s="101"/>
      <c r="D12" s="101"/>
      <c r="E12" s="101"/>
      <c r="F12" s="101"/>
      <c r="G12" s="101"/>
      <c r="H12" s="101"/>
      <c r="I12" s="101"/>
      <c r="J12" s="143"/>
      <c r="K12" s="101"/>
    </row>
    <row r="13" spans="1:11">
      <c r="A13" s="102" t="s">
        <v>368</v>
      </c>
      <c r="B13" s="103" t="str">
        <f>B2</f>
        <v>TTD</v>
      </c>
      <c r="C13" s="103">
        <f t="shared" ref="C13:K13" si="1">C2</f>
        <v>44743</v>
      </c>
      <c r="D13" s="103">
        <f t="shared" si="1"/>
        <v>44774</v>
      </c>
      <c r="E13" s="103">
        <f t="shared" si="1"/>
        <v>44805</v>
      </c>
      <c r="F13" s="103">
        <f t="shared" si="1"/>
        <v>44835</v>
      </c>
      <c r="G13" s="103">
        <f t="shared" si="1"/>
        <v>44866</v>
      </c>
      <c r="H13" s="103">
        <f t="shared" si="1"/>
        <v>44896</v>
      </c>
      <c r="I13" s="103">
        <f t="shared" si="1"/>
        <v>44927</v>
      </c>
      <c r="J13" s="103">
        <f t="shared" si="1"/>
        <v>44958</v>
      </c>
      <c r="K13" s="103">
        <f t="shared" si="1"/>
        <v>44986</v>
      </c>
    </row>
    <row r="14" spans="1:11">
      <c r="A14" s="105" t="s">
        <v>360</v>
      </c>
      <c r="B14" s="106">
        <v>48.997227995414363</v>
      </c>
      <c r="C14" s="106">
        <v>0</v>
      </c>
      <c r="D14" s="106">
        <v>0</v>
      </c>
      <c r="E14" s="106">
        <v>3.6489895022928192</v>
      </c>
      <c r="F14" s="106">
        <v>3.6489895022928192</v>
      </c>
      <c r="G14" s="106">
        <v>0</v>
      </c>
      <c r="H14" s="106">
        <v>0</v>
      </c>
      <c r="I14" s="106">
        <v>0</v>
      </c>
      <c r="J14" s="106">
        <v>0</v>
      </c>
      <c r="K14" s="106">
        <v>0</v>
      </c>
    </row>
    <row r="15" spans="1:11">
      <c r="A15" s="105" t="s">
        <v>361</v>
      </c>
      <c r="B15" s="106">
        <v>39.846668053787127</v>
      </c>
      <c r="C15" s="106">
        <v>0</v>
      </c>
      <c r="D15" s="106">
        <v>2.0242325067424951</v>
      </c>
      <c r="E15" s="106">
        <v>2.0242325067424951</v>
      </c>
      <c r="F15" s="106">
        <v>2.0242325067424951</v>
      </c>
      <c r="G15" s="106">
        <v>0</v>
      </c>
      <c r="H15" s="106">
        <v>0</v>
      </c>
      <c r="I15" s="106">
        <v>0</v>
      </c>
      <c r="J15" s="106">
        <v>0</v>
      </c>
      <c r="K15" s="106">
        <v>0</v>
      </c>
    </row>
    <row r="16" spans="1:11">
      <c r="A16" s="105" t="s">
        <v>362</v>
      </c>
      <c r="B16" s="106">
        <v>10.394576466885857</v>
      </c>
      <c r="C16" s="106">
        <v>0</v>
      </c>
      <c r="D16" s="106">
        <v>0</v>
      </c>
      <c r="E16" s="106">
        <v>3.392732135557071</v>
      </c>
      <c r="F16" s="106">
        <v>3.392732135557071</v>
      </c>
      <c r="G16" s="106">
        <v>0</v>
      </c>
      <c r="H16" s="106">
        <v>0</v>
      </c>
      <c r="I16" s="106">
        <v>0</v>
      </c>
      <c r="J16" s="106">
        <v>0</v>
      </c>
      <c r="K16" s="106">
        <v>0</v>
      </c>
    </row>
    <row r="17" spans="1:11">
      <c r="A17" s="105" t="s">
        <v>363</v>
      </c>
      <c r="B17" s="106">
        <v>8.1275353204917575</v>
      </c>
      <c r="C17" s="107">
        <v>0</v>
      </c>
      <c r="D17" s="107">
        <v>0</v>
      </c>
      <c r="E17" s="107">
        <v>0.72258150550206046</v>
      </c>
      <c r="F17" s="107">
        <v>0.72258150550206046</v>
      </c>
      <c r="G17" s="107">
        <v>0.72258150550206046</v>
      </c>
      <c r="H17" s="107">
        <v>0.72258150550206046</v>
      </c>
      <c r="I17" s="106">
        <v>0</v>
      </c>
      <c r="J17" s="106">
        <v>0</v>
      </c>
      <c r="K17" s="107">
        <v>0</v>
      </c>
    </row>
    <row r="18" spans="1:11">
      <c r="A18" s="105" t="s">
        <v>364</v>
      </c>
      <c r="B18" s="110">
        <v>15.37</v>
      </c>
      <c r="C18" s="108">
        <f>'Works Working'!C11</f>
        <v>0</v>
      </c>
      <c r="D18" s="108">
        <f>'Works Working'!D11</f>
        <v>0</v>
      </c>
      <c r="E18" s="108">
        <f>'Works Working'!E11</f>
        <v>0</v>
      </c>
      <c r="F18" s="108">
        <f>'Works Working'!F11</f>
        <v>0</v>
      </c>
      <c r="G18" s="108">
        <f>'Works Working'!G11</f>
        <v>0</v>
      </c>
      <c r="H18" s="108">
        <f>'Works Working'!H11</f>
        <v>0</v>
      </c>
      <c r="I18" s="108">
        <f>'Works Working'!I11</f>
        <v>0</v>
      </c>
      <c r="J18" s="108">
        <f>'Works Working'!J11</f>
        <v>0</v>
      </c>
      <c r="K18" s="108">
        <f>'Works Working'!K11</f>
        <v>0</v>
      </c>
    </row>
    <row r="19" spans="1:11">
      <c r="A19" s="105" t="s">
        <v>365</v>
      </c>
      <c r="B19" s="106">
        <v>5.98</v>
      </c>
      <c r="C19" s="107">
        <f>'Works Working'!C23</f>
        <v>0</v>
      </c>
      <c r="D19" s="107">
        <f>'Works Working'!D23</f>
        <v>0</v>
      </c>
      <c r="E19" s="107">
        <f>'Works Working'!E23</f>
        <v>0</v>
      </c>
      <c r="F19" s="107">
        <f>'Works Working'!F23</f>
        <v>0</v>
      </c>
      <c r="G19" s="107">
        <f>'Works Working'!G23</f>
        <v>0</v>
      </c>
      <c r="H19" s="107">
        <f>'Works Working'!H23</f>
        <v>0</v>
      </c>
      <c r="I19" s="107">
        <f>'Works Working'!I23</f>
        <v>0</v>
      </c>
      <c r="J19" s="107">
        <f>'Works Working'!J23</f>
        <v>0</v>
      </c>
      <c r="K19" s="107">
        <f>'Works Working'!K23</f>
        <v>0</v>
      </c>
    </row>
    <row r="20" spans="1:11">
      <c r="A20" s="105" t="s">
        <v>366</v>
      </c>
      <c r="B20" s="106">
        <f>'Works Working'!B69</f>
        <v>196.57653101940494</v>
      </c>
      <c r="C20" s="107">
        <f>'Works Working'!C69</f>
        <v>6.3383745270357341</v>
      </c>
      <c r="D20" s="107">
        <f>'Works Working'!D69</f>
        <v>6.3383745270357341</v>
      </c>
      <c r="E20" s="107">
        <f>'Works Working'!E69</f>
        <v>6.3383745270357341</v>
      </c>
      <c r="F20" s="107">
        <f>'Works Working'!F69</f>
        <v>13.149511902527234</v>
      </c>
      <c r="G20" s="107">
        <f>'Works Working'!G69</f>
        <v>12.340790429940562</v>
      </c>
      <c r="H20" s="107">
        <f>'Works Working'!H69</f>
        <v>14.501549940551522</v>
      </c>
      <c r="I20" s="107">
        <f>'Works Working'!I69</f>
        <v>0</v>
      </c>
      <c r="J20" s="107">
        <f>'Works Working'!J69</f>
        <v>0</v>
      </c>
      <c r="K20" s="107">
        <f>'Works Working'!K69</f>
        <v>0</v>
      </c>
    </row>
    <row r="21" spans="1:11">
      <c r="A21" s="105" t="s">
        <v>367</v>
      </c>
      <c r="B21" s="106">
        <f>'Works Working'!B80</f>
        <v>0</v>
      </c>
      <c r="C21" s="107">
        <f>'Works Working'!C80</f>
        <v>0.22</v>
      </c>
      <c r="D21" s="107">
        <f>'Works Working'!D80</f>
        <v>0.22</v>
      </c>
      <c r="E21" s="107">
        <f>'Works Working'!E80</f>
        <v>0.22</v>
      </c>
      <c r="F21" s="107">
        <f>'Works Working'!F80</f>
        <v>0.22</v>
      </c>
      <c r="G21" s="107">
        <f>'Works Working'!G80</f>
        <v>0.22</v>
      </c>
      <c r="H21" s="107">
        <f>'Works Working'!H80</f>
        <v>0.22</v>
      </c>
      <c r="I21" s="107">
        <f>'Works Working'!I80</f>
        <v>0.22</v>
      </c>
      <c r="J21" s="107">
        <f>'Works Working'!J80</f>
        <v>0</v>
      </c>
      <c r="K21" s="107">
        <f>'Works Working'!K80</f>
        <v>0</v>
      </c>
    </row>
    <row r="22" spans="1:11" ht="12.75" thickBot="1">
      <c r="A22" s="101" t="s">
        <v>54</v>
      </c>
      <c r="B22" s="109">
        <f>SUM(B14:B21)</f>
        <v>325.29253885598405</v>
      </c>
      <c r="C22" s="109">
        <f t="shared" ref="C22:K22" si="2">SUM(C14:C21)</f>
        <v>6.5583745270357339</v>
      </c>
      <c r="D22" s="109">
        <f t="shared" si="2"/>
        <v>8.5826070337782294</v>
      </c>
      <c r="E22" s="109">
        <f t="shared" si="2"/>
        <v>16.346910177130177</v>
      </c>
      <c r="F22" s="109">
        <f t="shared" si="2"/>
        <v>23.158047552621678</v>
      </c>
      <c r="G22" s="109">
        <f t="shared" si="2"/>
        <v>13.283371935442622</v>
      </c>
      <c r="H22" s="109">
        <f t="shared" si="2"/>
        <v>15.444131446053582</v>
      </c>
      <c r="I22" s="109">
        <f t="shared" si="2"/>
        <v>0.22</v>
      </c>
      <c r="J22" s="109">
        <f t="shared" si="2"/>
        <v>0</v>
      </c>
      <c r="K22" s="109">
        <f t="shared" si="2"/>
        <v>0</v>
      </c>
    </row>
    <row r="23" spans="1:11" ht="12.75" thickTop="1">
      <c r="J23" s="143"/>
    </row>
    <row r="24" spans="1:11">
      <c r="A24" s="102" t="s">
        <v>369</v>
      </c>
      <c r="B24" s="103" t="str">
        <f>B13</f>
        <v>TTD</v>
      </c>
      <c r="C24" s="103">
        <f t="shared" ref="C24:K24" si="3">C13</f>
        <v>44743</v>
      </c>
      <c r="D24" s="103">
        <f t="shared" si="3"/>
        <v>44774</v>
      </c>
      <c r="E24" s="103">
        <f t="shared" si="3"/>
        <v>44805</v>
      </c>
      <c r="F24" s="103">
        <f t="shared" si="3"/>
        <v>44835</v>
      </c>
      <c r="G24" s="103">
        <f t="shared" si="3"/>
        <v>44866</v>
      </c>
      <c r="H24" s="103">
        <f t="shared" si="3"/>
        <v>44896</v>
      </c>
      <c r="I24" s="103">
        <f t="shared" si="3"/>
        <v>44927</v>
      </c>
      <c r="J24" s="103">
        <f t="shared" si="3"/>
        <v>44958</v>
      </c>
      <c r="K24" s="103">
        <f t="shared" si="3"/>
        <v>44986</v>
      </c>
    </row>
    <row r="25" spans="1:11">
      <c r="A25" s="105" t="s">
        <v>360</v>
      </c>
      <c r="B25" s="106">
        <f>B3-B14</f>
        <v>-2.8708949220143651</v>
      </c>
      <c r="C25" s="106">
        <f t="shared" ref="C25:K25" si="4">C3-C14</f>
        <v>0</v>
      </c>
      <c r="D25" s="106">
        <f t="shared" si="4"/>
        <v>0</v>
      </c>
      <c r="E25" s="106">
        <f t="shared" si="4"/>
        <v>2.3690991110071815</v>
      </c>
      <c r="F25" s="106">
        <f t="shared" si="4"/>
        <v>2.3690991110071815</v>
      </c>
      <c r="G25" s="106">
        <f t="shared" si="4"/>
        <v>0</v>
      </c>
      <c r="H25" s="106">
        <f t="shared" si="4"/>
        <v>0</v>
      </c>
      <c r="I25" s="106">
        <f t="shared" si="4"/>
        <v>0</v>
      </c>
      <c r="J25" s="106">
        <f t="shared" si="4"/>
        <v>0</v>
      </c>
      <c r="K25" s="106">
        <f t="shared" si="4"/>
        <v>0</v>
      </c>
    </row>
    <row r="26" spans="1:11">
      <c r="A26" s="105" t="s">
        <v>361</v>
      </c>
      <c r="B26" s="106">
        <f t="shared" ref="B26:K32" si="5">B4-B15</f>
        <v>-9.075686686787126</v>
      </c>
      <c r="C26" s="106">
        <f t="shared" si="5"/>
        <v>0</v>
      </c>
      <c r="D26" s="106">
        <f t="shared" si="5"/>
        <v>-0.97109849574249596</v>
      </c>
      <c r="E26" s="106">
        <f t="shared" si="5"/>
        <v>-0.97109849574249596</v>
      </c>
      <c r="F26" s="106">
        <f t="shared" si="5"/>
        <v>-0.97109849574249596</v>
      </c>
      <c r="G26" s="106">
        <f t="shared" si="5"/>
        <v>0</v>
      </c>
      <c r="H26" s="106">
        <f t="shared" si="5"/>
        <v>0</v>
      </c>
      <c r="I26" s="106">
        <f t="shared" si="5"/>
        <v>0</v>
      </c>
      <c r="J26" s="106">
        <f t="shared" si="5"/>
        <v>0</v>
      </c>
      <c r="K26" s="106">
        <f t="shared" si="5"/>
        <v>0</v>
      </c>
    </row>
    <row r="27" spans="1:11">
      <c r="A27" s="105" t="s">
        <v>362</v>
      </c>
      <c r="B27" s="106">
        <f t="shared" si="5"/>
        <v>-2.3037549092358578</v>
      </c>
      <c r="C27" s="106">
        <f t="shared" si="5"/>
        <v>0</v>
      </c>
      <c r="D27" s="106">
        <f t="shared" si="5"/>
        <v>0</v>
      </c>
      <c r="E27" s="106">
        <f t="shared" si="5"/>
        <v>-0.87976841438207076</v>
      </c>
      <c r="F27" s="106">
        <f t="shared" si="5"/>
        <v>-0.87976841438207076</v>
      </c>
      <c r="G27" s="106">
        <f t="shared" si="5"/>
        <v>0</v>
      </c>
      <c r="H27" s="106">
        <f t="shared" si="5"/>
        <v>0</v>
      </c>
      <c r="I27" s="106">
        <f t="shared" si="5"/>
        <v>0</v>
      </c>
      <c r="J27" s="106">
        <f t="shared" si="5"/>
        <v>0</v>
      </c>
      <c r="K27" s="106">
        <f t="shared" si="5"/>
        <v>0</v>
      </c>
    </row>
    <row r="28" spans="1:11">
      <c r="A28" s="105" t="s">
        <v>363</v>
      </c>
      <c r="B28" s="106">
        <f t="shared" si="5"/>
        <v>1.3898146795082429</v>
      </c>
      <c r="C28" s="106">
        <f t="shared" si="5"/>
        <v>0</v>
      </c>
      <c r="D28" s="106">
        <f t="shared" si="5"/>
        <v>0</v>
      </c>
      <c r="E28" s="106">
        <f t="shared" si="5"/>
        <v>0.39808099449793943</v>
      </c>
      <c r="F28" s="106">
        <f t="shared" si="5"/>
        <v>0.39808099449793943</v>
      </c>
      <c r="G28" s="106">
        <f t="shared" si="5"/>
        <v>0.39808099449793943</v>
      </c>
      <c r="H28" s="106">
        <f t="shared" si="5"/>
        <v>0.39808099449793943</v>
      </c>
      <c r="I28" s="106">
        <f t="shared" si="5"/>
        <v>0</v>
      </c>
      <c r="J28" s="106">
        <f t="shared" si="5"/>
        <v>0</v>
      </c>
      <c r="K28" s="106">
        <f t="shared" si="5"/>
        <v>0</v>
      </c>
    </row>
    <row r="29" spans="1:11">
      <c r="A29" s="105" t="s">
        <v>364</v>
      </c>
      <c r="B29" s="106">
        <f t="shared" si="5"/>
        <v>-1.030730169069999</v>
      </c>
      <c r="C29" s="106">
        <f t="shared" si="5"/>
        <v>0</v>
      </c>
      <c r="D29" s="106">
        <f t="shared" si="5"/>
        <v>0</v>
      </c>
      <c r="E29" s="106">
        <f t="shared" si="5"/>
        <v>0</v>
      </c>
      <c r="F29" s="106">
        <f t="shared" si="5"/>
        <v>0</v>
      </c>
      <c r="G29" s="106">
        <f t="shared" si="5"/>
        <v>0</v>
      </c>
      <c r="H29" s="106">
        <f t="shared" si="5"/>
        <v>0</v>
      </c>
      <c r="I29" s="106">
        <f t="shared" si="5"/>
        <v>0</v>
      </c>
      <c r="J29" s="106">
        <f t="shared" si="5"/>
        <v>0</v>
      </c>
      <c r="K29" s="106">
        <f t="shared" si="5"/>
        <v>0</v>
      </c>
    </row>
    <row r="30" spans="1:11">
      <c r="A30" s="105" t="s">
        <v>365</v>
      </c>
      <c r="B30" s="106">
        <f t="shared" si="5"/>
        <v>1.8458041508699994</v>
      </c>
      <c r="C30" s="106">
        <f t="shared" si="5"/>
        <v>0</v>
      </c>
      <c r="D30" s="106">
        <f t="shared" si="5"/>
        <v>0</v>
      </c>
      <c r="E30" s="106">
        <f t="shared" si="5"/>
        <v>0</v>
      </c>
      <c r="F30" s="106">
        <f t="shared" si="5"/>
        <v>0</v>
      </c>
      <c r="G30" s="106">
        <f t="shared" si="5"/>
        <v>0</v>
      </c>
      <c r="H30" s="106">
        <f t="shared" si="5"/>
        <v>0</v>
      </c>
      <c r="I30" s="106">
        <f t="shared" si="5"/>
        <v>0</v>
      </c>
      <c r="J30" s="106">
        <f t="shared" si="5"/>
        <v>0</v>
      </c>
      <c r="K30" s="106">
        <f t="shared" si="5"/>
        <v>0</v>
      </c>
    </row>
    <row r="31" spans="1:11">
      <c r="A31" s="105" t="s">
        <v>366</v>
      </c>
      <c r="B31" s="106">
        <f t="shared" si="5"/>
        <v>65.858374142031124</v>
      </c>
      <c r="C31" s="106">
        <f t="shared" si="5"/>
        <v>-0.36019619724145535</v>
      </c>
      <c r="D31" s="106">
        <f t="shared" si="5"/>
        <v>-0.36019619724145535</v>
      </c>
      <c r="E31" s="106">
        <f t="shared" si="5"/>
        <v>-0.36019619724145535</v>
      </c>
      <c r="F31" s="106">
        <f t="shared" si="5"/>
        <v>-1.2089374727760056</v>
      </c>
      <c r="G31" s="106">
        <f t="shared" si="5"/>
        <v>-1.2086973741124059</v>
      </c>
      <c r="H31" s="106">
        <f t="shared" si="5"/>
        <v>3.5367744498577078</v>
      </c>
      <c r="I31" s="106">
        <f t="shared" si="5"/>
        <v>9.9492235573247925</v>
      </c>
      <c r="J31" s="106">
        <f t="shared" si="5"/>
        <v>0</v>
      </c>
      <c r="K31" s="106">
        <f t="shared" si="5"/>
        <v>0</v>
      </c>
    </row>
    <row r="32" spans="1:11">
      <c r="A32" s="105" t="s">
        <v>367</v>
      </c>
      <c r="B32" s="106">
        <f t="shared" si="5"/>
        <v>0</v>
      </c>
      <c r="C32" s="106">
        <f t="shared" si="5"/>
        <v>-4.9999999999999989E-2</v>
      </c>
      <c r="D32" s="106">
        <f t="shared" si="5"/>
        <v>-4.9999999999999989E-2</v>
      </c>
      <c r="E32" s="106">
        <f t="shared" si="5"/>
        <v>-4.9999999999999989E-2</v>
      </c>
      <c r="F32" s="106">
        <f t="shared" si="5"/>
        <v>-4.9999999999999989E-2</v>
      </c>
      <c r="G32" s="106">
        <f t="shared" si="5"/>
        <v>-4.9999999999999989E-2</v>
      </c>
      <c r="H32" s="106">
        <f t="shared" si="5"/>
        <v>-4.9999999999999989E-2</v>
      </c>
      <c r="I32" s="106">
        <f t="shared" si="5"/>
        <v>-4.9999999999999989E-2</v>
      </c>
      <c r="J32" s="106">
        <f t="shared" si="5"/>
        <v>0</v>
      </c>
      <c r="K32" s="106">
        <f t="shared" si="5"/>
        <v>0</v>
      </c>
    </row>
    <row r="33" spans="1:11" ht="12.75" thickBot="1">
      <c r="A33" s="101" t="s">
        <v>54</v>
      </c>
      <c r="B33" s="109">
        <f>SUM(B25:B32)</f>
        <v>53.812926285302019</v>
      </c>
      <c r="C33" s="109">
        <f t="shared" ref="C33:K33" si="6">SUM(C25:C32)</f>
        <v>-0.41019619724145534</v>
      </c>
      <c r="D33" s="109">
        <f t="shared" si="6"/>
        <v>-1.3812946929839514</v>
      </c>
      <c r="E33" s="109">
        <f t="shared" si="6"/>
        <v>0.50611699813909894</v>
      </c>
      <c r="F33" s="109">
        <f t="shared" si="6"/>
        <v>-0.34262427739545137</v>
      </c>
      <c r="G33" s="109">
        <f t="shared" si="6"/>
        <v>-0.86061637961446635</v>
      </c>
      <c r="H33" s="109">
        <f t="shared" si="6"/>
        <v>3.8848554443556473</v>
      </c>
      <c r="I33" s="109">
        <f t="shared" si="6"/>
        <v>9.8992235573247918</v>
      </c>
      <c r="J33" s="109">
        <f t="shared" si="6"/>
        <v>0</v>
      </c>
      <c r="K33" s="109">
        <f t="shared" si="6"/>
        <v>0</v>
      </c>
    </row>
    <row r="34" spans="1:11" ht="12.75" thickTop="1">
      <c r="A34" s="101"/>
      <c r="B34" s="112"/>
      <c r="C34" s="112"/>
      <c r="D34" s="112"/>
      <c r="E34" s="112"/>
      <c r="F34" s="112"/>
      <c r="G34" s="112"/>
      <c r="H34" s="112"/>
      <c r="I34" s="112"/>
      <c r="J34" s="112"/>
      <c r="K34" s="112"/>
    </row>
    <row r="35" spans="1:11">
      <c r="A35" s="113" t="s">
        <v>370</v>
      </c>
      <c r="B35" s="107">
        <f>B11-B10</f>
        <v>379.10546514128606</v>
      </c>
      <c r="C35" s="107">
        <f t="shared" ref="C35:K35" si="7">C11-C10</f>
        <v>5.9781783297942788</v>
      </c>
      <c r="D35" s="107">
        <f t="shared" si="7"/>
        <v>7.0313123407942779</v>
      </c>
      <c r="E35" s="107">
        <f t="shared" si="7"/>
        <v>16.683027175269281</v>
      </c>
      <c r="F35" s="107">
        <f t="shared" si="7"/>
        <v>22.645423275226229</v>
      </c>
      <c r="G35" s="107">
        <f t="shared" si="7"/>
        <v>12.252755555828156</v>
      </c>
      <c r="H35" s="107">
        <f t="shared" si="7"/>
        <v>19.158986890409231</v>
      </c>
      <c r="I35" s="107">
        <f t="shared" si="7"/>
        <v>9.9492235573247925</v>
      </c>
      <c r="J35" s="107">
        <f t="shared" si="7"/>
        <v>0</v>
      </c>
      <c r="K35" s="107">
        <f t="shared" si="7"/>
        <v>0</v>
      </c>
    </row>
    <row r="36" spans="1:11">
      <c r="A36" s="113" t="s">
        <v>371</v>
      </c>
      <c r="B36" s="106">
        <f>B22-B21</f>
        <v>325.29253885598405</v>
      </c>
      <c r="C36" s="106">
        <f t="shared" ref="C36:K36" si="8">C22-C21</f>
        <v>6.3383745270357341</v>
      </c>
      <c r="D36" s="106">
        <f t="shared" si="8"/>
        <v>8.3626070337782288</v>
      </c>
      <c r="E36" s="106">
        <f t="shared" si="8"/>
        <v>16.126910177130178</v>
      </c>
      <c r="F36" s="106">
        <f t="shared" si="8"/>
        <v>22.938047552621679</v>
      </c>
      <c r="G36" s="106">
        <f t="shared" si="8"/>
        <v>13.063371935442621</v>
      </c>
      <c r="H36" s="106">
        <f t="shared" si="8"/>
        <v>15.224131446053581</v>
      </c>
      <c r="I36" s="106">
        <f t="shared" si="8"/>
        <v>0</v>
      </c>
      <c r="J36" s="106">
        <f t="shared" si="8"/>
        <v>0</v>
      </c>
      <c r="K36" s="106">
        <f t="shared" si="8"/>
        <v>0</v>
      </c>
    </row>
    <row r="37" spans="1:11" ht="12.75" thickBot="1">
      <c r="A37" s="102" t="s">
        <v>54</v>
      </c>
      <c r="B37" s="114">
        <f t="shared" ref="B37:K37" si="9">B35-B36</f>
        <v>53.812926285302012</v>
      </c>
      <c r="C37" s="115">
        <f t="shared" si="9"/>
        <v>-0.36019619724145535</v>
      </c>
      <c r="D37" s="115">
        <f t="shared" si="9"/>
        <v>-1.3312946929839509</v>
      </c>
      <c r="E37" s="115">
        <f t="shared" si="9"/>
        <v>0.5561169981391032</v>
      </c>
      <c r="F37" s="115">
        <f t="shared" si="9"/>
        <v>-0.2926242773954506</v>
      </c>
      <c r="G37" s="115">
        <f t="shared" si="9"/>
        <v>-0.81061637961446564</v>
      </c>
      <c r="H37" s="115">
        <f t="shared" si="9"/>
        <v>3.9348554443556498</v>
      </c>
      <c r="I37" s="115">
        <f t="shared" si="9"/>
        <v>9.9492235573247925</v>
      </c>
      <c r="J37" s="115">
        <f t="shared" si="9"/>
        <v>0</v>
      </c>
      <c r="K37" s="115">
        <f t="shared" si="9"/>
        <v>0</v>
      </c>
    </row>
    <row r="38" spans="1:11" ht="12.75" thickTop="1">
      <c r="B38" s="108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>
      <c r="A39" s="113" t="s">
        <v>193</v>
      </c>
      <c r="B39" s="108">
        <f>'Works Working'!B5+'Works Working'!B17+'Works Working'!B46</f>
        <v>40.25</v>
      </c>
      <c r="C39" s="108">
        <f>'Works Working'!C5+'Works Working'!C17+'Works Working'!C46</f>
        <v>0</v>
      </c>
      <c r="D39" s="108">
        <f>'Works Working'!D5+'Works Working'!D17+'Works Working'!D46</f>
        <v>0</v>
      </c>
      <c r="E39" s="108">
        <f>'Works Working'!E5+'Works Working'!E17+'Works Working'!E46</f>
        <v>0</v>
      </c>
      <c r="F39" s="108">
        <f>'Works Working'!F5+'Works Working'!F17+'Works Working'!F46</f>
        <v>0</v>
      </c>
      <c r="G39" s="108">
        <f>'Works Working'!G5+'Works Working'!G17+'Works Working'!G46</f>
        <v>0</v>
      </c>
      <c r="H39" s="108">
        <f>'Works Working'!H5+'Works Working'!H17+'Works Working'!H46</f>
        <v>4.9319971220802827</v>
      </c>
      <c r="I39" s="108">
        <f>'Works Working'!I5+'Works Working'!I17+'Works Working'!I46</f>
        <v>9.9492235573247925</v>
      </c>
      <c r="J39" s="108">
        <f>'Works Working'!J5+'Works Working'!J17+'Works Working'!J46</f>
        <v>0</v>
      </c>
      <c r="K39" s="108">
        <f>'Works Working'!K5+'Works Working'!K17+'Works Working'!K46</f>
        <v>0</v>
      </c>
    </row>
    <row r="40" spans="1:11">
      <c r="A40" s="113" t="s">
        <v>372</v>
      </c>
      <c r="B40" s="117">
        <f t="shared" ref="B40:K40" si="10">B35-B39</f>
        <v>338.85546514128606</v>
      </c>
      <c r="C40" s="118">
        <f t="shared" si="10"/>
        <v>5.9781783297942788</v>
      </c>
      <c r="D40" s="118">
        <f t="shared" si="10"/>
        <v>7.0313123407942779</v>
      </c>
      <c r="E40" s="118">
        <f t="shared" si="10"/>
        <v>16.683027175269281</v>
      </c>
      <c r="F40" s="118">
        <f t="shared" si="10"/>
        <v>22.645423275226229</v>
      </c>
      <c r="G40" s="118">
        <f t="shared" si="10"/>
        <v>12.252755555828156</v>
      </c>
      <c r="H40" s="118">
        <f t="shared" si="10"/>
        <v>14.226989768328949</v>
      </c>
      <c r="I40" s="118">
        <f t="shared" si="10"/>
        <v>0</v>
      </c>
      <c r="J40" s="118">
        <f t="shared" si="10"/>
        <v>0</v>
      </c>
      <c r="K40" s="118">
        <f t="shared" si="10"/>
        <v>0</v>
      </c>
    </row>
  </sheetData>
  <pageMargins left="0.25" right="0.25" top="0.75" bottom="0.75" header="0.3" footer="0.3"/>
  <pageSetup paperSize="8" scale="69" fitToHeight="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pageSetUpPr fitToPage="1"/>
  </sheetPr>
  <dimension ref="A1:K40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8" sqref="M18"/>
    </sheetView>
  </sheetViews>
  <sheetFormatPr defaultColWidth="9" defaultRowHeight="12"/>
  <cols>
    <col min="1" max="1" width="23.6640625" style="99" bestFit="1" customWidth="1"/>
    <col min="2" max="2" width="8" style="111" customWidth="1"/>
    <col min="3" max="3" width="7" style="99" customWidth="1"/>
    <col min="4" max="4" width="6.83203125" style="99" customWidth="1"/>
    <col min="5" max="5" width="6.6640625" style="99" customWidth="1"/>
    <col min="6" max="6" width="7.1640625" style="99" customWidth="1"/>
    <col min="7" max="9" width="7" style="99" customWidth="1"/>
    <col min="10" max="10" width="7.1640625" style="99" customWidth="1"/>
    <col min="11" max="11" width="7.6640625" style="99" bestFit="1" customWidth="1"/>
    <col min="12" max="16384" width="9" style="99"/>
  </cols>
  <sheetData>
    <row r="1" spans="1:11">
      <c r="B1" s="100"/>
      <c r="C1" s="101"/>
      <c r="D1" s="101"/>
      <c r="E1" s="101"/>
      <c r="F1" s="101"/>
      <c r="G1" s="101"/>
      <c r="H1" s="101"/>
      <c r="I1" s="101"/>
      <c r="J1" s="101"/>
      <c r="K1" s="101"/>
    </row>
    <row r="2" spans="1:11">
      <c r="A2" s="102" t="s">
        <v>359</v>
      </c>
      <c r="B2" s="103">
        <f>'Works Working'!B2</f>
        <v>44713</v>
      </c>
      <c r="C2" s="104">
        <f>'Works Working'!C2</f>
        <v>44743</v>
      </c>
      <c r="D2" s="104">
        <f>'Works Working'!D2</f>
        <v>44774</v>
      </c>
      <c r="E2" s="104">
        <f>'Works Working'!E2</f>
        <v>44805</v>
      </c>
      <c r="F2" s="104">
        <f>'Works Working'!F2</f>
        <v>44835</v>
      </c>
      <c r="G2" s="104">
        <f>'Works Working'!G2</f>
        <v>44866</v>
      </c>
      <c r="H2" s="104">
        <f>'Works Working'!H2</f>
        <v>44896</v>
      </c>
      <c r="I2" s="104">
        <f>'Works Working'!I2</f>
        <v>44927</v>
      </c>
      <c r="J2" s="104">
        <f>'Works Working'!J2</f>
        <v>44958</v>
      </c>
      <c r="K2" s="104">
        <f>'Works Working'!K2</f>
        <v>44986</v>
      </c>
    </row>
    <row r="3" spans="1:11">
      <c r="A3" s="105" t="s">
        <v>360</v>
      </c>
      <c r="B3" s="107">
        <f>'Work Schedule'!B3</f>
        <v>46.126333073399998</v>
      </c>
      <c r="C3" s="107">
        <v>0</v>
      </c>
      <c r="D3" s="107">
        <f>'Work Schedule'!C3</f>
        <v>0</v>
      </c>
      <c r="E3" s="107">
        <f>'Work Schedule'!D3</f>
        <v>0</v>
      </c>
      <c r="F3" s="107">
        <f>'Work Schedule'!E3</f>
        <v>6.0180886133000007</v>
      </c>
      <c r="G3" s="107">
        <f>'Work Schedule'!F3</f>
        <v>6.0180886133000007</v>
      </c>
      <c r="H3" s="107">
        <f>'Work Schedule'!G3</f>
        <v>0</v>
      </c>
      <c r="I3" s="107">
        <f>'Work Schedule'!H3</f>
        <v>0</v>
      </c>
      <c r="J3" s="107">
        <f>'Work Schedule'!I3</f>
        <v>0</v>
      </c>
      <c r="K3" s="107">
        <f>'Work Schedule'!J3</f>
        <v>0</v>
      </c>
    </row>
    <row r="4" spans="1:11">
      <c r="A4" s="105" t="s">
        <v>361</v>
      </c>
      <c r="B4" s="107">
        <f>'Work Schedule'!B4</f>
        <v>30.770981367000001</v>
      </c>
      <c r="C4" s="107">
        <v>0</v>
      </c>
      <c r="D4" s="107">
        <f>'Work Schedule'!C4</f>
        <v>0</v>
      </c>
      <c r="E4" s="107">
        <f>'Work Schedule'!D4</f>
        <v>1.0531340109999991</v>
      </c>
      <c r="F4" s="107">
        <f>'Work Schedule'!E4</f>
        <v>1.0531340109999991</v>
      </c>
      <c r="G4" s="107">
        <f>'Work Schedule'!F4</f>
        <v>1.0531340109999991</v>
      </c>
      <c r="H4" s="107">
        <f>'Work Schedule'!G4</f>
        <v>0</v>
      </c>
      <c r="I4" s="107">
        <f>'Work Schedule'!H4</f>
        <v>0</v>
      </c>
      <c r="J4" s="107">
        <f>'Work Schedule'!I4</f>
        <v>0</v>
      </c>
      <c r="K4" s="107">
        <f>'Work Schedule'!J4</f>
        <v>0</v>
      </c>
    </row>
    <row r="5" spans="1:11">
      <c r="A5" s="105" t="s">
        <v>362</v>
      </c>
      <c r="B5" s="107">
        <f>'Work Schedule'!B5</f>
        <v>8.0908215576499991</v>
      </c>
      <c r="C5" s="107">
        <v>0</v>
      </c>
      <c r="D5" s="107">
        <f>'Work Schedule'!C5</f>
        <v>0</v>
      </c>
      <c r="E5" s="107">
        <f>'Work Schedule'!D5</f>
        <v>0</v>
      </c>
      <c r="F5" s="107">
        <f>'Work Schedule'!E5</f>
        <v>2.5129637211750002</v>
      </c>
      <c r="G5" s="107">
        <f>'Work Schedule'!F5</f>
        <v>2.5129637211750002</v>
      </c>
      <c r="H5" s="107">
        <f>'Work Schedule'!G5</f>
        <v>0</v>
      </c>
      <c r="I5" s="107">
        <f>'Work Schedule'!H5</f>
        <v>0</v>
      </c>
      <c r="J5" s="107">
        <f>'Work Schedule'!I5</f>
        <v>0</v>
      </c>
      <c r="K5" s="107">
        <f>'Work Schedule'!J5</f>
        <v>0</v>
      </c>
    </row>
    <row r="6" spans="1:11">
      <c r="A6" s="105" t="s">
        <v>363</v>
      </c>
      <c r="B6" s="34">
        <f>'Work Schedule'!B6</f>
        <v>9.5173500000000004</v>
      </c>
      <c r="C6" s="34">
        <v>0</v>
      </c>
      <c r="D6" s="34">
        <f>'Work Schedule'!C6</f>
        <v>0</v>
      </c>
      <c r="E6" s="34">
        <f>'Work Schedule'!D6</f>
        <v>0</v>
      </c>
      <c r="F6" s="34">
        <f>'Work Schedule'!E6</f>
        <v>1.1206624999999999</v>
      </c>
      <c r="G6" s="34">
        <f>'Work Schedule'!F6</f>
        <v>1.1206624999999999</v>
      </c>
      <c r="H6" s="34">
        <f>'Work Schedule'!G6</f>
        <v>1.1206624999999999</v>
      </c>
      <c r="I6" s="34">
        <f>'Work Schedule'!H6</f>
        <v>1.1206624999999999</v>
      </c>
      <c r="J6" s="34">
        <f>'Work Schedule'!I6</f>
        <v>0</v>
      </c>
      <c r="K6" s="34">
        <f>'Work Schedule'!J6</f>
        <v>0</v>
      </c>
    </row>
    <row r="7" spans="1:11">
      <c r="A7" s="105" t="s">
        <v>364</v>
      </c>
      <c r="B7" s="107">
        <v>14.33926983093</v>
      </c>
      <c r="C7" s="107">
        <f>'CF Working'!C6</f>
        <v>0</v>
      </c>
      <c r="D7" s="107">
        <f>'CF Working'!D6</f>
        <v>0</v>
      </c>
      <c r="E7" s="107">
        <f>'CF Working'!E6</f>
        <v>0</v>
      </c>
      <c r="F7" s="107">
        <f>'CF Working'!F6</f>
        <v>0</v>
      </c>
      <c r="G7" s="107">
        <f>'CF Working'!G6</f>
        <v>0</v>
      </c>
      <c r="H7" s="107">
        <f>'CF Working'!H6</f>
        <v>0</v>
      </c>
      <c r="I7" s="107">
        <f>'CF Working'!I6</f>
        <v>0</v>
      </c>
      <c r="J7" s="107">
        <f>'CF Working'!J6</f>
        <v>0</v>
      </c>
      <c r="K7" s="107">
        <f>'CF Working'!K6</f>
        <v>0</v>
      </c>
    </row>
    <row r="8" spans="1:11">
      <c r="A8" s="105" t="s">
        <v>365</v>
      </c>
      <c r="B8" s="34">
        <v>7.8258041508699998</v>
      </c>
      <c r="C8" s="107">
        <v>0</v>
      </c>
      <c r="D8" s="34">
        <f>'Work Schedule'!C8</f>
        <v>0</v>
      </c>
      <c r="E8" s="34">
        <f>'Work Schedule'!D8</f>
        <v>0</v>
      </c>
      <c r="F8" s="34">
        <f>'Work Schedule'!E8</f>
        <v>0</v>
      </c>
      <c r="G8" s="34">
        <f>'Work Schedule'!F8</f>
        <v>0</v>
      </c>
      <c r="H8" s="34">
        <f>'Work Schedule'!G8</f>
        <v>0</v>
      </c>
      <c r="I8" s="34">
        <f>'Work Schedule'!H8</f>
        <v>0</v>
      </c>
      <c r="J8" s="34">
        <f>'Work Schedule'!I8</f>
        <v>0</v>
      </c>
      <c r="K8" s="34">
        <f>'Work Schedule'!J8</f>
        <v>0</v>
      </c>
    </row>
    <row r="9" spans="1:11">
      <c r="A9" s="105" t="s">
        <v>366</v>
      </c>
      <c r="B9" s="34">
        <f>'CF Working'!B47</f>
        <v>262.43490516143606</v>
      </c>
      <c r="C9" s="34">
        <v>0</v>
      </c>
      <c r="D9" s="34">
        <f>'Work Schedule'!C9</f>
        <v>5.9781783297942788</v>
      </c>
      <c r="E9" s="34">
        <f>'Work Schedule'!D9</f>
        <v>5.9781783297942788</v>
      </c>
      <c r="F9" s="34">
        <f>'Work Schedule'!E9</f>
        <v>5.9781783297942788</v>
      </c>
      <c r="G9" s="34">
        <f>'Work Schedule'!F9</f>
        <v>11.940574429751228</v>
      </c>
      <c r="H9" s="34">
        <f>'Work Schedule'!G9</f>
        <v>11.132093055828156</v>
      </c>
      <c r="I9" s="34">
        <f>'Work Schedule'!H9</f>
        <v>18.03832439040923</v>
      </c>
      <c r="J9" s="34">
        <f>'Work Schedule'!I9</f>
        <v>9.9492235573247925</v>
      </c>
      <c r="K9" s="34">
        <f>'Work Schedule'!J9</f>
        <v>0</v>
      </c>
    </row>
    <row r="10" spans="1:11">
      <c r="A10" s="105" t="s">
        <v>367</v>
      </c>
      <c r="B10" s="107">
        <f>'CF Working'!B75</f>
        <v>0</v>
      </c>
      <c r="C10" s="107">
        <v>0</v>
      </c>
      <c r="D10" s="107">
        <f>'Work Schedule'!C10</f>
        <v>0.17</v>
      </c>
      <c r="E10" s="107">
        <f>'Work Schedule'!D10</f>
        <v>0.17</v>
      </c>
      <c r="F10" s="107">
        <f>'Work Schedule'!E10</f>
        <v>0.17</v>
      </c>
      <c r="G10" s="107">
        <f>'Work Schedule'!F10</f>
        <v>0.17</v>
      </c>
      <c r="H10" s="107">
        <f>'Work Schedule'!G10</f>
        <v>0.17</v>
      </c>
      <c r="I10" s="107">
        <f>'Work Schedule'!H10</f>
        <v>0.17</v>
      </c>
      <c r="J10" s="107">
        <f>'Work Schedule'!I10</f>
        <v>0.17</v>
      </c>
      <c r="K10" s="107">
        <f>'Work Schedule'!J10</f>
        <v>0</v>
      </c>
    </row>
    <row r="11" spans="1:11" ht="12.75" thickBot="1">
      <c r="A11" s="101" t="s">
        <v>54</v>
      </c>
      <c r="B11" s="109">
        <f t="shared" ref="B11:K11" si="0">SUM(B3:B10)</f>
        <v>379.10546514128606</v>
      </c>
      <c r="C11" s="109">
        <f t="shared" si="0"/>
        <v>0</v>
      </c>
      <c r="D11" s="109">
        <f t="shared" si="0"/>
        <v>6.1481783297942787</v>
      </c>
      <c r="E11" s="109">
        <f t="shared" si="0"/>
        <v>7.2013123407942778</v>
      </c>
      <c r="F11" s="109">
        <f t="shared" si="0"/>
        <v>16.853027175269283</v>
      </c>
      <c r="G11" s="109">
        <f t="shared" si="0"/>
        <v>22.81542327522623</v>
      </c>
      <c r="H11" s="109">
        <f t="shared" si="0"/>
        <v>12.422755555828155</v>
      </c>
      <c r="I11" s="109">
        <f t="shared" si="0"/>
        <v>19.328986890409233</v>
      </c>
      <c r="J11" s="109">
        <f t="shared" si="0"/>
        <v>10.119223557324792</v>
      </c>
      <c r="K11" s="109">
        <f t="shared" si="0"/>
        <v>0</v>
      </c>
    </row>
    <row r="12" spans="1:11" ht="12.75" thickTop="1">
      <c r="B12" s="100"/>
      <c r="C12" s="101"/>
      <c r="D12" s="101"/>
      <c r="E12" s="101"/>
      <c r="F12" s="101"/>
      <c r="G12" s="101"/>
      <c r="H12" s="101"/>
      <c r="I12" s="101"/>
      <c r="J12" s="101"/>
      <c r="K12" s="101"/>
    </row>
    <row r="13" spans="1:11">
      <c r="A13" s="102" t="s">
        <v>368</v>
      </c>
      <c r="B13" s="103">
        <f t="shared" ref="B13:K13" si="1">B2</f>
        <v>44713</v>
      </c>
      <c r="C13" s="103">
        <f t="shared" si="1"/>
        <v>44743</v>
      </c>
      <c r="D13" s="103">
        <f t="shared" si="1"/>
        <v>44774</v>
      </c>
      <c r="E13" s="103">
        <f t="shared" si="1"/>
        <v>44805</v>
      </c>
      <c r="F13" s="103">
        <f t="shared" si="1"/>
        <v>44835</v>
      </c>
      <c r="G13" s="103">
        <f t="shared" si="1"/>
        <v>44866</v>
      </c>
      <c r="H13" s="103">
        <f t="shared" si="1"/>
        <v>44896</v>
      </c>
      <c r="I13" s="103">
        <f t="shared" si="1"/>
        <v>44927</v>
      </c>
      <c r="J13" s="103">
        <f t="shared" si="1"/>
        <v>44958</v>
      </c>
      <c r="K13" s="103">
        <f t="shared" si="1"/>
        <v>44986</v>
      </c>
    </row>
    <row r="14" spans="1:11">
      <c r="A14" s="105" t="s">
        <v>360</v>
      </c>
      <c r="B14" s="107">
        <f>'Work Schedule'!B14</f>
        <v>48.997227995414363</v>
      </c>
      <c r="C14" s="107">
        <v>0</v>
      </c>
      <c r="D14" s="107">
        <f>'Work Schedule'!C14</f>
        <v>0</v>
      </c>
      <c r="E14" s="107">
        <f>'Work Schedule'!D14</f>
        <v>0</v>
      </c>
      <c r="F14" s="107">
        <f>'Work Schedule'!E14</f>
        <v>3.6489895022928192</v>
      </c>
      <c r="G14" s="107">
        <f>'Work Schedule'!F14</f>
        <v>3.6489895022928192</v>
      </c>
      <c r="H14" s="107">
        <f>'Work Schedule'!G14</f>
        <v>0</v>
      </c>
      <c r="I14" s="107">
        <f>'Work Schedule'!H14</f>
        <v>0</v>
      </c>
      <c r="J14" s="107">
        <f>'Work Schedule'!I14</f>
        <v>0</v>
      </c>
      <c r="K14" s="107">
        <f>'Work Schedule'!J14</f>
        <v>0</v>
      </c>
    </row>
    <row r="15" spans="1:11">
      <c r="A15" s="105" t="s">
        <v>361</v>
      </c>
      <c r="B15" s="107">
        <f>'Work Schedule'!B15</f>
        <v>39.846668053787127</v>
      </c>
      <c r="C15" s="107">
        <v>0</v>
      </c>
      <c r="D15" s="107">
        <f>'Work Schedule'!C15</f>
        <v>0</v>
      </c>
      <c r="E15" s="107">
        <f>'Work Schedule'!D15</f>
        <v>2.0242325067424951</v>
      </c>
      <c r="F15" s="107">
        <f>'Work Schedule'!E15</f>
        <v>2.0242325067424951</v>
      </c>
      <c r="G15" s="107">
        <f>'Work Schedule'!F15</f>
        <v>2.0242325067424951</v>
      </c>
      <c r="H15" s="107">
        <f>'Work Schedule'!G15</f>
        <v>0</v>
      </c>
      <c r="I15" s="107">
        <f>'Work Schedule'!H15</f>
        <v>0</v>
      </c>
      <c r="J15" s="107">
        <f>'Work Schedule'!I15</f>
        <v>0</v>
      </c>
      <c r="K15" s="107">
        <f>'Work Schedule'!J15</f>
        <v>0</v>
      </c>
    </row>
    <row r="16" spans="1:11">
      <c r="A16" s="105" t="s">
        <v>362</v>
      </c>
      <c r="B16" s="107">
        <f>'Work Schedule'!B16</f>
        <v>10.394576466885857</v>
      </c>
      <c r="C16" s="107">
        <v>0</v>
      </c>
      <c r="D16" s="107">
        <f>'Work Schedule'!C16</f>
        <v>0</v>
      </c>
      <c r="E16" s="107">
        <f>'Work Schedule'!D16</f>
        <v>0</v>
      </c>
      <c r="F16" s="107">
        <f>'Work Schedule'!E16</f>
        <v>3.392732135557071</v>
      </c>
      <c r="G16" s="107">
        <f>'Work Schedule'!F16</f>
        <v>3.392732135557071</v>
      </c>
      <c r="H16" s="107">
        <f>'Work Schedule'!G16</f>
        <v>0</v>
      </c>
      <c r="I16" s="107">
        <f>'Work Schedule'!H16</f>
        <v>0</v>
      </c>
      <c r="J16" s="107">
        <f>'Work Schedule'!I16</f>
        <v>0</v>
      </c>
      <c r="K16" s="107">
        <f>'Work Schedule'!J16</f>
        <v>0</v>
      </c>
    </row>
    <row r="17" spans="1:11">
      <c r="A17" s="105" t="s">
        <v>363</v>
      </c>
      <c r="B17" s="34">
        <f>'Work Schedule'!B17</f>
        <v>8.1275353204917575</v>
      </c>
      <c r="C17" s="34">
        <v>0</v>
      </c>
      <c r="D17" s="34">
        <f>'Work Schedule'!C17</f>
        <v>0</v>
      </c>
      <c r="E17" s="34">
        <f>'Work Schedule'!D17</f>
        <v>0</v>
      </c>
      <c r="F17" s="34">
        <f>'Work Schedule'!E17</f>
        <v>0.72258150550206046</v>
      </c>
      <c r="G17" s="34">
        <f>'Work Schedule'!F17</f>
        <v>0.72258150550206046</v>
      </c>
      <c r="H17" s="34">
        <f>'Work Schedule'!G17</f>
        <v>0.72258150550206046</v>
      </c>
      <c r="I17" s="34">
        <f>'Work Schedule'!H17</f>
        <v>0.72258150550206046</v>
      </c>
      <c r="J17" s="34">
        <f>'Work Schedule'!I17</f>
        <v>0</v>
      </c>
      <c r="K17" s="34">
        <f>'Work Schedule'!J17</f>
        <v>0</v>
      </c>
    </row>
    <row r="18" spans="1:11">
      <c r="A18" s="105" t="s">
        <v>364</v>
      </c>
      <c r="B18" s="107">
        <f>'CF Working'!B11</f>
        <v>16.388629378729998</v>
      </c>
      <c r="C18" s="107">
        <f>'CF Working'!C11</f>
        <v>0</v>
      </c>
      <c r="D18" s="107">
        <f>'CF Working'!D11</f>
        <v>0</v>
      </c>
      <c r="E18" s="107">
        <f>'CF Working'!E11</f>
        <v>0</v>
      </c>
      <c r="F18" s="107">
        <f>'CF Working'!F11</f>
        <v>0</v>
      </c>
      <c r="G18" s="107">
        <f>'CF Working'!G11</f>
        <v>0</v>
      </c>
      <c r="H18" s="107">
        <f>'CF Working'!H11</f>
        <v>0</v>
      </c>
      <c r="I18" s="107">
        <f>'CF Working'!I11</f>
        <v>0</v>
      </c>
      <c r="J18" s="107">
        <f>'CF Working'!J11</f>
        <v>0</v>
      </c>
      <c r="K18" s="107">
        <f>'CF Working'!K11</f>
        <v>0</v>
      </c>
    </row>
    <row r="19" spans="1:11">
      <c r="A19" s="105" t="s">
        <v>365</v>
      </c>
      <c r="B19" s="34">
        <f>'CF Working'!B23</f>
        <v>0</v>
      </c>
      <c r="C19" s="107">
        <v>0</v>
      </c>
      <c r="D19" s="34">
        <f>'Work Schedule'!C19</f>
        <v>0</v>
      </c>
      <c r="E19" s="34">
        <f>'Work Schedule'!D19</f>
        <v>0</v>
      </c>
      <c r="F19" s="34">
        <f>'Work Schedule'!E19</f>
        <v>0</v>
      </c>
      <c r="G19" s="34">
        <f>'Work Schedule'!F19</f>
        <v>0</v>
      </c>
      <c r="H19" s="34">
        <f>'Work Schedule'!G19</f>
        <v>0</v>
      </c>
      <c r="I19" s="34">
        <f>'Work Schedule'!H19</f>
        <v>0</v>
      </c>
      <c r="J19" s="34">
        <f>'Work Schedule'!I19</f>
        <v>0</v>
      </c>
      <c r="K19" s="34">
        <f>'Work Schedule'!J19</f>
        <v>0</v>
      </c>
    </row>
    <row r="20" spans="1:11">
      <c r="A20" s="105" t="s">
        <v>366</v>
      </c>
      <c r="B20" s="34">
        <f>'CF Working'!B69</f>
        <v>196.57653101940494</v>
      </c>
      <c r="C20" s="34">
        <f>'CF Working'!C69</f>
        <v>0</v>
      </c>
      <c r="D20" s="34">
        <f>'CF Working'!D69</f>
        <v>1.3378408337647363</v>
      </c>
      <c r="E20" s="34">
        <f>'CF Working'!E69</f>
        <v>1.4816861804447363</v>
      </c>
      <c r="F20" s="34">
        <f>'CF Working'!F69</f>
        <v>6.3383745270357341</v>
      </c>
      <c r="G20" s="34">
        <f>'CF Working'!G69</f>
        <v>8.9431067328169505</v>
      </c>
      <c r="H20" s="34">
        <f>'CF Working'!H69</f>
        <v>9.0758040893718537</v>
      </c>
      <c r="I20" s="34">
        <f>'CF Working'!I69</f>
        <v>12.206394215640822</v>
      </c>
      <c r="J20" s="34">
        <f>'CF Working'!J69</f>
        <v>8.4592301991597054</v>
      </c>
      <c r="K20" s="34">
        <f>'CF Working'!K69</f>
        <v>11.164539075891982</v>
      </c>
    </row>
    <row r="21" spans="1:11">
      <c r="A21" s="105" t="s">
        <v>367</v>
      </c>
      <c r="B21" s="107">
        <f>'CF Working'!B80</f>
        <v>0</v>
      </c>
      <c r="C21" s="107">
        <v>0</v>
      </c>
      <c r="D21" s="107">
        <f>'Work Schedule'!C21</f>
        <v>0.22</v>
      </c>
      <c r="E21" s="107">
        <f>'Work Schedule'!D21</f>
        <v>0.22</v>
      </c>
      <c r="F21" s="107">
        <f>'Work Schedule'!E21</f>
        <v>0.22</v>
      </c>
      <c r="G21" s="107">
        <f>'Work Schedule'!F21</f>
        <v>0.22</v>
      </c>
      <c r="H21" s="107">
        <f>'Work Schedule'!G21</f>
        <v>0.22</v>
      </c>
      <c r="I21" s="107">
        <f>'Work Schedule'!H21</f>
        <v>0.22</v>
      </c>
      <c r="J21" s="107">
        <f>'Work Schedule'!I21</f>
        <v>0.22</v>
      </c>
      <c r="K21" s="107">
        <f>'Work Schedule'!J21</f>
        <v>0</v>
      </c>
    </row>
    <row r="22" spans="1:11" ht="12.75" thickBot="1">
      <c r="A22" s="101" t="s">
        <v>54</v>
      </c>
      <c r="B22" s="109">
        <f t="shared" ref="B22:K22" si="2">SUM(B14:B21)</f>
        <v>320.33116823471403</v>
      </c>
      <c r="C22" s="109">
        <f t="shared" si="2"/>
        <v>0</v>
      </c>
      <c r="D22" s="109">
        <f t="shared" si="2"/>
        <v>1.5578408337647363</v>
      </c>
      <c r="E22" s="109">
        <f t="shared" si="2"/>
        <v>3.7259186871872316</v>
      </c>
      <c r="F22" s="109">
        <f t="shared" si="2"/>
        <v>16.346910177130177</v>
      </c>
      <c r="G22" s="109">
        <f t="shared" si="2"/>
        <v>18.951642382911395</v>
      </c>
      <c r="H22" s="109">
        <f t="shared" si="2"/>
        <v>10.018385594873914</v>
      </c>
      <c r="I22" s="109">
        <f t="shared" si="2"/>
        <v>13.148975721142882</v>
      </c>
      <c r="J22" s="109">
        <f t="shared" si="2"/>
        <v>8.6792301991597061</v>
      </c>
      <c r="K22" s="109">
        <f t="shared" si="2"/>
        <v>11.164539075891982</v>
      </c>
    </row>
    <row r="23" spans="1:11" ht="12.75" thickTop="1"/>
    <row r="24" spans="1:11">
      <c r="A24" s="102" t="s">
        <v>369</v>
      </c>
      <c r="B24" s="103">
        <f>B13</f>
        <v>44713</v>
      </c>
      <c r="C24" s="103">
        <f t="shared" ref="C24:K24" si="3">C13</f>
        <v>44743</v>
      </c>
      <c r="D24" s="103">
        <f t="shared" si="3"/>
        <v>44774</v>
      </c>
      <c r="E24" s="103">
        <f t="shared" si="3"/>
        <v>44805</v>
      </c>
      <c r="F24" s="103">
        <f t="shared" si="3"/>
        <v>44835</v>
      </c>
      <c r="G24" s="103">
        <f t="shared" si="3"/>
        <v>44866</v>
      </c>
      <c r="H24" s="103">
        <f t="shared" si="3"/>
        <v>44896</v>
      </c>
      <c r="I24" s="103">
        <f t="shared" si="3"/>
        <v>44927</v>
      </c>
      <c r="J24" s="103">
        <f t="shared" si="3"/>
        <v>44958</v>
      </c>
      <c r="K24" s="103">
        <f t="shared" si="3"/>
        <v>44986</v>
      </c>
    </row>
    <row r="25" spans="1:11">
      <c r="A25" s="105" t="s">
        <v>360</v>
      </c>
      <c r="B25" s="106">
        <f>B3-B14</f>
        <v>-2.8708949220143651</v>
      </c>
      <c r="C25" s="106">
        <f t="shared" ref="C25:K25" si="4">C3-C14</f>
        <v>0</v>
      </c>
      <c r="D25" s="106">
        <f t="shared" si="4"/>
        <v>0</v>
      </c>
      <c r="E25" s="106">
        <f t="shared" si="4"/>
        <v>0</v>
      </c>
      <c r="F25" s="106">
        <f t="shared" si="4"/>
        <v>2.3690991110071815</v>
      </c>
      <c r="G25" s="106">
        <f t="shared" si="4"/>
        <v>2.3690991110071815</v>
      </c>
      <c r="H25" s="106">
        <f t="shared" si="4"/>
        <v>0</v>
      </c>
      <c r="I25" s="106">
        <f t="shared" si="4"/>
        <v>0</v>
      </c>
      <c r="J25" s="106">
        <f t="shared" si="4"/>
        <v>0</v>
      </c>
      <c r="K25" s="106">
        <f t="shared" si="4"/>
        <v>0</v>
      </c>
    </row>
    <row r="26" spans="1:11">
      <c r="A26" s="105" t="s">
        <v>361</v>
      </c>
      <c r="B26" s="106">
        <f t="shared" ref="B26:K32" si="5">B4-B15</f>
        <v>-9.075686686787126</v>
      </c>
      <c r="C26" s="106">
        <f t="shared" si="5"/>
        <v>0</v>
      </c>
      <c r="D26" s="106">
        <f t="shared" si="5"/>
        <v>0</v>
      </c>
      <c r="E26" s="106">
        <f t="shared" si="5"/>
        <v>-0.97109849574249596</v>
      </c>
      <c r="F26" s="106">
        <f t="shared" si="5"/>
        <v>-0.97109849574249596</v>
      </c>
      <c r="G26" s="106">
        <f t="shared" si="5"/>
        <v>-0.97109849574249596</v>
      </c>
      <c r="H26" s="106">
        <f t="shared" si="5"/>
        <v>0</v>
      </c>
      <c r="I26" s="106">
        <f t="shared" si="5"/>
        <v>0</v>
      </c>
      <c r="J26" s="106">
        <f t="shared" si="5"/>
        <v>0</v>
      </c>
      <c r="K26" s="106">
        <f t="shared" si="5"/>
        <v>0</v>
      </c>
    </row>
    <row r="27" spans="1:11">
      <c r="A27" s="105" t="s">
        <v>362</v>
      </c>
      <c r="B27" s="106">
        <f t="shared" si="5"/>
        <v>-2.3037549092358578</v>
      </c>
      <c r="C27" s="106">
        <f t="shared" si="5"/>
        <v>0</v>
      </c>
      <c r="D27" s="106">
        <f t="shared" si="5"/>
        <v>0</v>
      </c>
      <c r="E27" s="106">
        <f t="shared" si="5"/>
        <v>0</v>
      </c>
      <c r="F27" s="106">
        <f t="shared" si="5"/>
        <v>-0.87976841438207076</v>
      </c>
      <c r="G27" s="106">
        <f t="shared" si="5"/>
        <v>-0.87976841438207076</v>
      </c>
      <c r="H27" s="106">
        <f t="shared" si="5"/>
        <v>0</v>
      </c>
      <c r="I27" s="106">
        <f t="shared" si="5"/>
        <v>0</v>
      </c>
      <c r="J27" s="106">
        <f t="shared" si="5"/>
        <v>0</v>
      </c>
      <c r="K27" s="106">
        <f t="shared" si="5"/>
        <v>0</v>
      </c>
    </row>
    <row r="28" spans="1:11">
      <c r="A28" s="105" t="s">
        <v>363</v>
      </c>
      <c r="B28" s="106">
        <f t="shared" si="5"/>
        <v>1.3898146795082429</v>
      </c>
      <c r="C28" s="106">
        <f t="shared" si="5"/>
        <v>0</v>
      </c>
      <c r="D28" s="106">
        <f t="shared" si="5"/>
        <v>0</v>
      </c>
      <c r="E28" s="106">
        <f t="shared" si="5"/>
        <v>0</v>
      </c>
      <c r="F28" s="106">
        <f t="shared" si="5"/>
        <v>0.39808099449793943</v>
      </c>
      <c r="G28" s="106">
        <f t="shared" si="5"/>
        <v>0.39808099449793943</v>
      </c>
      <c r="H28" s="106">
        <f t="shared" si="5"/>
        <v>0.39808099449793943</v>
      </c>
      <c r="I28" s="106">
        <f t="shared" si="5"/>
        <v>0.39808099449793943</v>
      </c>
      <c r="J28" s="106">
        <f t="shared" si="5"/>
        <v>0</v>
      </c>
      <c r="K28" s="106">
        <f t="shared" si="5"/>
        <v>0</v>
      </c>
    </row>
    <row r="29" spans="1:11">
      <c r="A29" s="105" t="s">
        <v>364</v>
      </c>
      <c r="B29" s="106">
        <f t="shared" si="5"/>
        <v>-2.0493595477999982</v>
      </c>
      <c r="C29" s="106">
        <f t="shared" si="5"/>
        <v>0</v>
      </c>
      <c r="D29" s="106">
        <f t="shared" si="5"/>
        <v>0</v>
      </c>
      <c r="E29" s="106">
        <f t="shared" si="5"/>
        <v>0</v>
      </c>
      <c r="F29" s="106">
        <f t="shared" si="5"/>
        <v>0</v>
      </c>
      <c r="G29" s="106">
        <f t="shared" si="5"/>
        <v>0</v>
      </c>
      <c r="H29" s="106">
        <f t="shared" si="5"/>
        <v>0</v>
      </c>
      <c r="I29" s="106">
        <f t="shared" si="5"/>
        <v>0</v>
      </c>
      <c r="J29" s="106">
        <f t="shared" si="5"/>
        <v>0</v>
      </c>
      <c r="K29" s="106">
        <f t="shared" si="5"/>
        <v>0</v>
      </c>
    </row>
    <row r="30" spans="1:11">
      <c r="A30" s="105" t="s">
        <v>365</v>
      </c>
      <c r="B30" s="106">
        <f t="shared" si="5"/>
        <v>7.8258041508699998</v>
      </c>
      <c r="C30" s="106">
        <f t="shared" si="5"/>
        <v>0</v>
      </c>
      <c r="D30" s="106">
        <f t="shared" si="5"/>
        <v>0</v>
      </c>
      <c r="E30" s="106">
        <f t="shared" si="5"/>
        <v>0</v>
      </c>
      <c r="F30" s="106">
        <f t="shared" si="5"/>
        <v>0</v>
      </c>
      <c r="G30" s="106">
        <f t="shared" si="5"/>
        <v>0</v>
      </c>
      <c r="H30" s="106">
        <f t="shared" si="5"/>
        <v>0</v>
      </c>
      <c r="I30" s="106">
        <f t="shared" si="5"/>
        <v>0</v>
      </c>
      <c r="J30" s="106">
        <f t="shared" si="5"/>
        <v>0</v>
      </c>
      <c r="K30" s="106">
        <f t="shared" si="5"/>
        <v>0</v>
      </c>
    </row>
    <row r="31" spans="1:11">
      <c r="A31" s="105" t="s">
        <v>366</v>
      </c>
      <c r="B31" s="106">
        <f t="shared" si="5"/>
        <v>65.858374142031124</v>
      </c>
      <c r="C31" s="106">
        <f t="shared" si="5"/>
        <v>0</v>
      </c>
      <c r="D31" s="106">
        <f t="shared" si="5"/>
        <v>4.6403374960295425</v>
      </c>
      <c r="E31" s="106">
        <f t="shared" si="5"/>
        <v>4.4964921493495424</v>
      </c>
      <c r="F31" s="106">
        <f t="shared" si="5"/>
        <v>-0.36019619724145535</v>
      </c>
      <c r="G31" s="106">
        <f t="shared" si="5"/>
        <v>2.9974676969342777</v>
      </c>
      <c r="H31" s="106">
        <f t="shared" si="5"/>
        <v>2.056288966456302</v>
      </c>
      <c r="I31" s="106">
        <f t="shared" si="5"/>
        <v>5.8319301747684076</v>
      </c>
      <c r="J31" s="106">
        <f t="shared" si="5"/>
        <v>1.489993358165087</v>
      </c>
      <c r="K31" s="106">
        <f t="shared" si="5"/>
        <v>-11.164539075891982</v>
      </c>
    </row>
    <row r="32" spans="1:11">
      <c r="A32" s="105" t="s">
        <v>367</v>
      </c>
      <c r="B32" s="106">
        <f t="shared" si="5"/>
        <v>0</v>
      </c>
      <c r="C32" s="106">
        <f t="shared" si="5"/>
        <v>0</v>
      </c>
      <c r="D32" s="106">
        <f t="shared" si="5"/>
        <v>-4.9999999999999989E-2</v>
      </c>
      <c r="E32" s="106">
        <f t="shared" si="5"/>
        <v>-4.9999999999999989E-2</v>
      </c>
      <c r="F32" s="106">
        <f t="shared" si="5"/>
        <v>-4.9999999999999989E-2</v>
      </c>
      <c r="G32" s="106">
        <f t="shared" si="5"/>
        <v>-4.9999999999999989E-2</v>
      </c>
      <c r="H32" s="106">
        <f t="shared" si="5"/>
        <v>-4.9999999999999989E-2</v>
      </c>
      <c r="I32" s="106">
        <f t="shared" si="5"/>
        <v>-4.9999999999999989E-2</v>
      </c>
      <c r="J32" s="106">
        <f t="shared" si="5"/>
        <v>-4.9999999999999989E-2</v>
      </c>
      <c r="K32" s="106">
        <f t="shared" si="5"/>
        <v>0</v>
      </c>
    </row>
    <row r="33" spans="1:11" ht="12.75" thickBot="1">
      <c r="A33" s="101" t="s">
        <v>54</v>
      </c>
      <c r="B33" s="109">
        <f>SUM(B25:B32)</f>
        <v>58.774296906572019</v>
      </c>
      <c r="C33" s="109">
        <f t="shared" ref="C33:K33" si="6">SUM(C25:C32)</f>
        <v>0</v>
      </c>
      <c r="D33" s="109">
        <f t="shared" si="6"/>
        <v>4.5903374960295427</v>
      </c>
      <c r="E33" s="109">
        <f t="shared" si="6"/>
        <v>3.4753936536070467</v>
      </c>
      <c r="F33" s="109">
        <f t="shared" si="6"/>
        <v>0.50611699813909894</v>
      </c>
      <c r="G33" s="109">
        <f t="shared" si="6"/>
        <v>3.863780892314832</v>
      </c>
      <c r="H33" s="109">
        <f t="shared" si="6"/>
        <v>2.4043699609542415</v>
      </c>
      <c r="I33" s="109">
        <f t="shared" si="6"/>
        <v>6.1800111692663471</v>
      </c>
      <c r="J33" s="109">
        <f t="shared" si="6"/>
        <v>1.439993358165087</v>
      </c>
      <c r="K33" s="109">
        <f t="shared" si="6"/>
        <v>-11.164539075891982</v>
      </c>
    </row>
    <row r="34" spans="1:11" ht="12.75" thickTop="1">
      <c r="A34" s="101"/>
      <c r="B34" s="112"/>
      <c r="C34" s="112"/>
      <c r="D34" s="112"/>
      <c r="E34" s="112"/>
      <c r="F34" s="112"/>
      <c r="G34" s="112"/>
      <c r="H34" s="112"/>
      <c r="I34" s="112"/>
      <c r="J34" s="112"/>
      <c r="K34" s="112"/>
    </row>
    <row r="35" spans="1:11">
      <c r="A35" s="113" t="s">
        <v>370</v>
      </c>
      <c r="B35" s="107">
        <f>B11-B10</f>
        <v>379.10546514128606</v>
      </c>
      <c r="C35" s="107">
        <f t="shared" ref="C35:K35" si="7">C11-C10</f>
        <v>0</v>
      </c>
      <c r="D35" s="107">
        <f t="shared" si="7"/>
        <v>5.9781783297942788</v>
      </c>
      <c r="E35" s="107">
        <f t="shared" si="7"/>
        <v>7.0313123407942779</v>
      </c>
      <c r="F35" s="107">
        <f t="shared" si="7"/>
        <v>16.683027175269281</v>
      </c>
      <c r="G35" s="107">
        <f t="shared" si="7"/>
        <v>22.645423275226229</v>
      </c>
      <c r="H35" s="107">
        <f t="shared" si="7"/>
        <v>12.252755555828156</v>
      </c>
      <c r="I35" s="107">
        <f t="shared" si="7"/>
        <v>19.158986890409231</v>
      </c>
      <c r="J35" s="107">
        <f t="shared" si="7"/>
        <v>9.9492235573247925</v>
      </c>
      <c r="K35" s="107">
        <f t="shared" si="7"/>
        <v>0</v>
      </c>
    </row>
    <row r="36" spans="1:11">
      <c r="A36" s="113" t="s">
        <v>371</v>
      </c>
      <c r="B36" s="106">
        <f>B22-B21</f>
        <v>320.33116823471403</v>
      </c>
      <c r="C36" s="106">
        <f t="shared" ref="C36:K36" si="8">C22-C21</f>
        <v>0</v>
      </c>
      <c r="D36" s="106">
        <f t="shared" si="8"/>
        <v>1.3378408337647363</v>
      </c>
      <c r="E36" s="106">
        <f t="shared" si="8"/>
        <v>3.5059186871872314</v>
      </c>
      <c r="F36" s="106">
        <f t="shared" si="8"/>
        <v>16.126910177130178</v>
      </c>
      <c r="G36" s="106">
        <f t="shared" si="8"/>
        <v>18.731642382911396</v>
      </c>
      <c r="H36" s="106">
        <f t="shared" si="8"/>
        <v>9.7983855948739134</v>
      </c>
      <c r="I36" s="106">
        <f t="shared" si="8"/>
        <v>12.928975721142882</v>
      </c>
      <c r="J36" s="106">
        <f t="shared" si="8"/>
        <v>8.4592301991597054</v>
      </c>
      <c r="K36" s="106">
        <f t="shared" si="8"/>
        <v>11.164539075891982</v>
      </c>
    </row>
    <row r="37" spans="1:11" ht="12.75" thickBot="1">
      <c r="A37" s="102" t="s">
        <v>54</v>
      </c>
      <c r="B37" s="114">
        <f t="shared" ref="B37:K37" si="9">B35-B36</f>
        <v>58.774296906572033</v>
      </c>
      <c r="C37" s="115">
        <f t="shared" si="9"/>
        <v>0</v>
      </c>
      <c r="D37" s="115">
        <f t="shared" si="9"/>
        <v>4.6403374960295425</v>
      </c>
      <c r="E37" s="115">
        <f t="shared" si="9"/>
        <v>3.5253936536070465</v>
      </c>
      <c r="F37" s="115">
        <f t="shared" si="9"/>
        <v>0.5561169981391032</v>
      </c>
      <c r="G37" s="115">
        <f t="shared" si="9"/>
        <v>3.9137808923148327</v>
      </c>
      <c r="H37" s="115">
        <f t="shared" si="9"/>
        <v>2.4543699609542422</v>
      </c>
      <c r="I37" s="115">
        <f t="shared" si="9"/>
        <v>6.2300111692663496</v>
      </c>
      <c r="J37" s="115">
        <f t="shared" si="9"/>
        <v>1.489993358165087</v>
      </c>
      <c r="K37" s="115">
        <f t="shared" si="9"/>
        <v>-11.164539075891982</v>
      </c>
    </row>
    <row r="38" spans="1:11" ht="12.75" thickTop="1">
      <c r="B38" s="108"/>
      <c r="C38" s="116"/>
      <c r="D38" s="116"/>
      <c r="E38" s="116"/>
      <c r="F38" s="116"/>
      <c r="G38" s="116"/>
      <c r="H38" s="116"/>
      <c r="I38" s="116"/>
      <c r="J38" s="116"/>
      <c r="K38" s="116"/>
    </row>
    <row r="39" spans="1:11">
      <c r="A39" s="113" t="s">
        <v>373</v>
      </c>
      <c r="B39" s="108">
        <f>'CF Working'!B5+'CF Working'!B17+'CF Working'!B46</f>
        <v>40.25</v>
      </c>
      <c r="C39" s="108">
        <f>'CF Working'!C5+'CF Working'!C17+'CF Working'!C46</f>
        <v>0</v>
      </c>
      <c r="D39" s="108">
        <f>'CF Working'!D5+'CF Working'!D17+'CF Working'!D46</f>
        <v>0</v>
      </c>
      <c r="E39" s="108">
        <f>'CF Working'!E5+'CF Working'!E17+'CF Working'!E46</f>
        <v>0</v>
      </c>
      <c r="F39" s="108">
        <f>'CF Working'!F5+'CF Working'!F17+'CF Working'!F46</f>
        <v>0</v>
      </c>
      <c r="G39" s="108">
        <f>'CF Working'!G5+'CF Working'!G17+'CF Working'!G46</f>
        <v>0</v>
      </c>
      <c r="H39" s="108">
        <f>'CF Working'!H5+'CF Working'!H17+'CF Working'!H46</f>
        <v>0</v>
      </c>
      <c r="I39" s="108">
        <f>'CF Working'!I5+'CF Working'!I17+'CF Working'!I46</f>
        <v>4.9319971220802827</v>
      </c>
      <c r="J39" s="108">
        <f>'CF Working'!J5+'CF Working'!J17+'CF Working'!J46</f>
        <v>9.9492235573247925</v>
      </c>
      <c r="K39" s="108">
        <f>'CF Working'!K5+'CF Working'!K17+'CF Working'!K46</f>
        <v>0</v>
      </c>
    </row>
    <row r="40" spans="1:11">
      <c r="A40" s="113" t="s">
        <v>372</v>
      </c>
      <c r="B40" s="117">
        <f t="shared" ref="B40:K40" si="10">B35-B39</f>
        <v>338.85546514128606</v>
      </c>
      <c r="C40" s="118">
        <f t="shared" si="10"/>
        <v>0</v>
      </c>
      <c r="D40" s="118">
        <f t="shared" si="10"/>
        <v>5.9781783297942788</v>
      </c>
      <c r="E40" s="118">
        <f t="shared" si="10"/>
        <v>7.0313123407942779</v>
      </c>
      <c r="F40" s="118">
        <f t="shared" si="10"/>
        <v>16.683027175269281</v>
      </c>
      <c r="G40" s="118">
        <f t="shared" si="10"/>
        <v>22.645423275226229</v>
      </c>
      <c r="H40" s="118">
        <f t="shared" si="10"/>
        <v>12.252755555828156</v>
      </c>
      <c r="I40" s="118">
        <f t="shared" si="10"/>
        <v>14.226989768328949</v>
      </c>
      <c r="J40" s="118">
        <f t="shared" si="10"/>
        <v>0</v>
      </c>
      <c r="K40" s="118">
        <f t="shared" si="10"/>
        <v>0</v>
      </c>
    </row>
  </sheetData>
  <pageMargins left="0.25" right="0.25" top="0.75" bottom="0.75" header="0.3" footer="0.3"/>
  <pageSetup paperSize="8" scale="95" fitToHeight="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M81"/>
  <sheetViews>
    <sheetView workbookViewId="0"/>
  </sheetViews>
  <sheetFormatPr defaultColWidth="9" defaultRowHeight="12"/>
  <cols>
    <col min="1" max="1" width="33.83203125" style="99" bestFit="1" customWidth="1"/>
    <col min="2" max="2" width="8" style="111" customWidth="1"/>
    <col min="3" max="3" width="7" style="99" customWidth="1"/>
    <col min="4" max="4" width="6.83203125" style="99" customWidth="1"/>
    <col min="5" max="5" width="6.6640625" style="99" customWidth="1"/>
    <col min="6" max="6" width="7.1640625" style="99" customWidth="1"/>
    <col min="7" max="9" width="7" style="99" customWidth="1"/>
    <col min="10" max="10" width="7.1640625" style="99" customWidth="1"/>
    <col min="11" max="11" width="7.1640625" style="99" bestFit="1" customWidth="1"/>
    <col min="12" max="12" width="8" style="99" customWidth="1"/>
    <col min="13" max="13" width="6.6640625" style="111" bestFit="1" customWidth="1"/>
    <col min="14" max="16384" width="9" style="99"/>
  </cols>
  <sheetData>
    <row r="1" spans="1:13">
      <c r="A1" s="101" t="s">
        <v>364</v>
      </c>
      <c r="B1" s="100"/>
      <c r="C1" s="101"/>
      <c r="D1" s="101"/>
      <c r="E1" s="101"/>
      <c r="F1" s="101"/>
      <c r="G1" s="101"/>
      <c r="H1" s="101"/>
      <c r="I1" s="101"/>
      <c r="J1" s="101"/>
      <c r="K1" s="101"/>
      <c r="L1" s="101"/>
    </row>
    <row r="2" spans="1:13">
      <c r="A2" s="101" t="s">
        <v>374</v>
      </c>
      <c r="B2" s="103">
        <f>'Works Working'!B2</f>
        <v>44713</v>
      </c>
      <c r="C2" s="103">
        <f>'Works Working'!C2</f>
        <v>44743</v>
      </c>
      <c r="D2" s="103">
        <f>'Works Working'!D2</f>
        <v>44774</v>
      </c>
      <c r="E2" s="103">
        <f>'Works Working'!E2</f>
        <v>44805</v>
      </c>
      <c r="F2" s="103">
        <f>'Works Working'!F2</f>
        <v>44835</v>
      </c>
      <c r="G2" s="103">
        <f>'Works Working'!G2</f>
        <v>44866</v>
      </c>
      <c r="H2" s="103">
        <f>'Works Working'!H2</f>
        <v>44896</v>
      </c>
      <c r="I2" s="103">
        <f>'Works Working'!I2</f>
        <v>44927</v>
      </c>
      <c r="J2" s="103">
        <f>'Works Working'!J2</f>
        <v>44958</v>
      </c>
      <c r="K2" s="103">
        <f>'Works Working'!K2</f>
        <v>44986</v>
      </c>
      <c r="L2" s="103" t="str">
        <f>'Works Working'!L2</f>
        <v>Total</v>
      </c>
    </row>
    <row r="3" spans="1:13">
      <c r="A3" s="113" t="s">
        <v>375</v>
      </c>
      <c r="B3" s="107">
        <f>'Works Working'!B3</f>
        <v>11.783325448199999</v>
      </c>
      <c r="C3" s="107">
        <v>0</v>
      </c>
      <c r="D3" s="107">
        <f>'Works Working'!C3</f>
        <v>0</v>
      </c>
      <c r="E3" s="107">
        <f>'Works Working'!D3</f>
        <v>0</v>
      </c>
      <c r="F3" s="107">
        <f>'Works Working'!E3</f>
        <v>0</v>
      </c>
      <c r="G3" s="107">
        <f>'Works Working'!F3</f>
        <v>0</v>
      </c>
      <c r="H3" s="107">
        <f>'Works Working'!G3</f>
        <v>0</v>
      </c>
      <c r="I3" s="107">
        <f>'Works Working'!H3</f>
        <v>0</v>
      </c>
      <c r="J3" s="107">
        <f>'Works Working'!I3</f>
        <v>0</v>
      </c>
      <c r="K3" s="107">
        <f>'Works Working'!J3</f>
        <v>0</v>
      </c>
      <c r="L3" s="107">
        <f>SUM(B3:K3)</f>
        <v>11.783325448199999</v>
      </c>
      <c r="M3" s="108">
        <f>L3-'Works Working'!$L3</f>
        <v>0</v>
      </c>
    </row>
    <row r="4" spans="1:13">
      <c r="A4" s="113" t="s">
        <v>376</v>
      </c>
      <c r="B4" s="107">
        <f>'Works Working'!B4</f>
        <v>3.0513512320354996</v>
      </c>
      <c r="C4" s="107">
        <v>0</v>
      </c>
      <c r="D4" s="107">
        <v>0</v>
      </c>
      <c r="E4" s="107">
        <f>'Works Working'!C4</f>
        <v>0</v>
      </c>
      <c r="F4" s="107">
        <f>'Works Working'!D4</f>
        <v>0</v>
      </c>
      <c r="G4" s="107">
        <f>'Works Working'!E4</f>
        <v>0</v>
      </c>
      <c r="H4" s="107">
        <f>'Works Working'!F4</f>
        <v>0</v>
      </c>
      <c r="I4" s="107">
        <f>'Works Working'!G4</f>
        <v>0</v>
      </c>
      <c r="J4" s="107">
        <f>'Works Working'!H4</f>
        <v>0</v>
      </c>
      <c r="K4" s="107">
        <f>'Works Working'!I4</f>
        <v>0</v>
      </c>
      <c r="L4" s="107">
        <f>SUM(B4:K4)</f>
        <v>3.0513512320354996</v>
      </c>
      <c r="M4" s="108">
        <f>L4-'Works Working'!$L4</f>
        <v>0</v>
      </c>
    </row>
    <row r="5" spans="1:13">
      <c r="A5" s="113" t="s">
        <v>377</v>
      </c>
      <c r="B5" s="107">
        <f>'Works Working'!B5</f>
        <v>0</v>
      </c>
      <c r="C5" s="107">
        <v>0</v>
      </c>
      <c r="D5" s="107">
        <f>'Works Working'!C5</f>
        <v>0</v>
      </c>
      <c r="E5" s="107">
        <f>'Works Working'!D5</f>
        <v>0</v>
      </c>
      <c r="F5" s="107">
        <f>'Works Working'!E5</f>
        <v>0</v>
      </c>
      <c r="G5" s="107">
        <f>'Works Working'!F5</f>
        <v>0</v>
      </c>
      <c r="H5" s="107">
        <f>'Works Working'!G5</f>
        <v>0</v>
      </c>
      <c r="I5" s="107">
        <f>'Works Working'!H5</f>
        <v>0</v>
      </c>
      <c r="J5" s="107">
        <f>'Works Working'!I5</f>
        <v>0</v>
      </c>
      <c r="K5" s="107">
        <f>'Works Working'!J5</f>
        <v>0</v>
      </c>
      <c r="L5" s="107">
        <f>SUM(B5:K5)</f>
        <v>0</v>
      </c>
      <c r="M5" s="108">
        <f>L5-'Works Working'!$L5</f>
        <v>0</v>
      </c>
    </row>
    <row r="6" spans="1:13" ht="12.75" thickBot="1">
      <c r="A6" s="101" t="s">
        <v>378</v>
      </c>
      <c r="B6" s="114">
        <f t="shared" ref="B6:L6" si="0">SUM(B3:B5)</f>
        <v>14.8346766802355</v>
      </c>
      <c r="C6" s="115">
        <f t="shared" si="0"/>
        <v>0</v>
      </c>
      <c r="D6" s="115">
        <f t="shared" si="0"/>
        <v>0</v>
      </c>
      <c r="E6" s="115">
        <f t="shared" si="0"/>
        <v>0</v>
      </c>
      <c r="F6" s="115">
        <f t="shared" si="0"/>
        <v>0</v>
      </c>
      <c r="G6" s="115">
        <f t="shared" si="0"/>
        <v>0</v>
      </c>
      <c r="H6" s="115">
        <f t="shared" si="0"/>
        <v>0</v>
      </c>
      <c r="I6" s="115">
        <f t="shared" si="0"/>
        <v>0</v>
      </c>
      <c r="J6" s="115">
        <f t="shared" si="0"/>
        <v>0</v>
      </c>
      <c r="K6" s="115">
        <f t="shared" si="0"/>
        <v>0</v>
      </c>
      <c r="L6" s="115">
        <f t="shared" si="0"/>
        <v>14.8346766802355</v>
      </c>
    </row>
    <row r="7" spans="1:13" ht="12.75" thickTop="1">
      <c r="A7" s="101"/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3">
      <c r="A8" s="101" t="s">
        <v>379</v>
      </c>
      <c r="B8" s="103">
        <f t="shared" ref="B8:L8" si="1">B2</f>
        <v>44713</v>
      </c>
      <c r="C8" s="104">
        <f t="shared" si="1"/>
        <v>44743</v>
      </c>
      <c r="D8" s="104">
        <f t="shared" si="1"/>
        <v>44774</v>
      </c>
      <c r="E8" s="104">
        <f t="shared" si="1"/>
        <v>44805</v>
      </c>
      <c r="F8" s="104">
        <f t="shared" si="1"/>
        <v>44835</v>
      </c>
      <c r="G8" s="104">
        <f t="shared" si="1"/>
        <v>44866</v>
      </c>
      <c r="H8" s="104">
        <f t="shared" si="1"/>
        <v>44896</v>
      </c>
      <c r="I8" s="104">
        <f t="shared" si="1"/>
        <v>44927</v>
      </c>
      <c r="J8" s="104">
        <f t="shared" si="1"/>
        <v>44958</v>
      </c>
      <c r="K8" s="104">
        <f t="shared" si="1"/>
        <v>44986</v>
      </c>
      <c r="L8" s="103" t="str">
        <f t="shared" si="1"/>
        <v>Total</v>
      </c>
    </row>
    <row r="9" spans="1:13">
      <c r="A9" s="113" t="s">
        <v>380</v>
      </c>
      <c r="B9" s="106">
        <f>'Works Working'!B9</f>
        <v>11.834578115999999</v>
      </c>
      <c r="C9" s="107">
        <v>0</v>
      </c>
      <c r="D9" s="107">
        <v>0</v>
      </c>
      <c r="E9" s="107">
        <v>0</v>
      </c>
      <c r="F9" s="107">
        <f>'Works Working'!C9</f>
        <v>0</v>
      </c>
      <c r="G9" s="107">
        <f>'Works Working'!D9</f>
        <v>0</v>
      </c>
      <c r="H9" s="107">
        <f>'Works Working'!E9</f>
        <v>0</v>
      </c>
      <c r="I9" s="107">
        <f>'Works Working'!F9</f>
        <v>0</v>
      </c>
      <c r="J9" s="107">
        <f>'Works Working'!G9</f>
        <v>0</v>
      </c>
      <c r="K9" s="107">
        <f>'Works Working'!H9</f>
        <v>0</v>
      </c>
      <c r="L9" s="107">
        <f>SUM(B9:K9)</f>
        <v>11.834578115999999</v>
      </c>
      <c r="M9" s="108">
        <f>L9-'Works Working'!$L9</f>
        <v>0</v>
      </c>
    </row>
    <row r="10" spans="1:13">
      <c r="A10" s="113" t="s">
        <v>376</v>
      </c>
      <c r="B10" s="106">
        <f>'Works Working'!B10</f>
        <v>4.5540512627299998</v>
      </c>
      <c r="C10" s="107">
        <v>0</v>
      </c>
      <c r="D10" s="107">
        <v>0</v>
      </c>
      <c r="E10" s="107">
        <f>'Works Working'!C10</f>
        <v>0</v>
      </c>
      <c r="F10" s="107">
        <f>'Works Working'!D10</f>
        <v>0</v>
      </c>
      <c r="G10" s="107">
        <f>'Works Working'!E10</f>
        <v>0</v>
      </c>
      <c r="H10" s="107">
        <f>'Works Working'!F10</f>
        <v>0</v>
      </c>
      <c r="I10" s="107">
        <f>'Works Working'!G10</f>
        <v>0</v>
      </c>
      <c r="J10" s="107">
        <f>'Works Working'!H10</f>
        <v>0</v>
      </c>
      <c r="K10" s="107">
        <f>'Works Working'!I10</f>
        <v>0</v>
      </c>
      <c r="L10" s="107">
        <f>SUM(B10:K10)</f>
        <v>4.5540512627299998</v>
      </c>
      <c r="M10" s="108">
        <f>L10-'Works Working'!$L10</f>
        <v>0</v>
      </c>
    </row>
    <row r="11" spans="1:13" ht="12.75" thickBot="1">
      <c r="A11" s="101" t="s">
        <v>378</v>
      </c>
      <c r="B11" s="114">
        <f t="shared" ref="B11:L11" si="2">SUM(B9:B10)</f>
        <v>16.388629378729998</v>
      </c>
      <c r="C11" s="115">
        <f t="shared" si="2"/>
        <v>0</v>
      </c>
      <c r="D11" s="115">
        <f t="shared" si="2"/>
        <v>0</v>
      </c>
      <c r="E11" s="115">
        <f t="shared" si="2"/>
        <v>0</v>
      </c>
      <c r="F11" s="115">
        <f t="shared" si="2"/>
        <v>0</v>
      </c>
      <c r="G11" s="115">
        <f t="shared" si="2"/>
        <v>0</v>
      </c>
      <c r="H11" s="115">
        <f t="shared" si="2"/>
        <v>0</v>
      </c>
      <c r="I11" s="115">
        <f t="shared" si="2"/>
        <v>0</v>
      </c>
      <c r="J11" s="115">
        <f t="shared" si="2"/>
        <v>0</v>
      </c>
      <c r="K11" s="115">
        <f t="shared" si="2"/>
        <v>0</v>
      </c>
      <c r="L11" s="115">
        <f t="shared" si="2"/>
        <v>16.388629378729998</v>
      </c>
    </row>
    <row r="12" spans="1:13" ht="12.75" thickTop="1">
      <c r="A12" s="101"/>
      <c r="B12" s="119"/>
      <c r="C12" s="120"/>
      <c r="D12" s="120"/>
      <c r="E12" s="120"/>
      <c r="F12" s="120"/>
      <c r="G12" s="120"/>
      <c r="H12" s="120"/>
      <c r="I12" s="120"/>
      <c r="J12" s="120"/>
      <c r="K12" s="120"/>
      <c r="L12" s="120"/>
    </row>
    <row r="13" spans="1:13">
      <c r="A13" s="101" t="s">
        <v>365</v>
      </c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3">
      <c r="A14" s="101" t="s">
        <v>374</v>
      </c>
      <c r="B14" s="103">
        <f t="shared" ref="B14:L14" si="3">B8</f>
        <v>44713</v>
      </c>
      <c r="C14" s="104">
        <f t="shared" si="3"/>
        <v>44743</v>
      </c>
      <c r="D14" s="104">
        <f t="shared" si="3"/>
        <v>44774</v>
      </c>
      <c r="E14" s="104">
        <f t="shared" si="3"/>
        <v>44805</v>
      </c>
      <c r="F14" s="104">
        <f t="shared" si="3"/>
        <v>44835</v>
      </c>
      <c r="G14" s="104">
        <f t="shared" si="3"/>
        <v>44866</v>
      </c>
      <c r="H14" s="104">
        <f t="shared" si="3"/>
        <v>44896</v>
      </c>
      <c r="I14" s="104">
        <f t="shared" si="3"/>
        <v>44927</v>
      </c>
      <c r="J14" s="104">
        <f t="shared" si="3"/>
        <v>44958</v>
      </c>
      <c r="K14" s="104">
        <f t="shared" si="3"/>
        <v>44986</v>
      </c>
      <c r="L14" s="103" t="str">
        <f t="shared" si="3"/>
        <v>Total</v>
      </c>
    </row>
    <row r="15" spans="1:13">
      <c r="A15" s="113" t="s">
        <v>375</v>
      </c>
      <c r="B15" s="106">
        <f>'Works Working'!B15</f>
        <v>5.4483628631949994</v>
      </c>
      <c r="C15" s="107">
        <v>0</v>
      </c>
      <c r="D15" s="107">
        <f>'Works Working'!C15</f>
        <v>0</v>
      </c>
      <c r="E15" s="107">
        <f>'Works Working'!D15</f>
        <v>0</v>
      </c>
      <c r="F15" s="107">
        <f>'Works Working'!E15</f>
        <v>0</v>
      </c>
      <c r="G15" s="107">
        <f>'Works Working'!F15</f>
        <v>0</v>
      </c>
      <c r="H15" s="107">
        <f>'Works Working'!G15</f>
        <v>0</v>
      </c>
      <c r="I15" s="107">
        <f>'Works Working'!H15</f>
        <v>0</v>
      </c>
      <c r="J15" s="107">
        <f>'Works Working'!I15</f>
        <v>0</v>
      </c>
      <c r="K15" s="107">
        <f>'Works Working'!J15</f>
        <v>0</v>
      </c>
      <c r="L15" s="107">
        <f>SUM(B15:K15)</f>
        <v>5.4483628631949994</v>
      </c>
      <c r="M15" s="108">
        <f>L15-'Works Working'!$L15</f>
        <v>0</v>
      </c>
    </row>
    <row r="16" spans="1:13">
      <c r="A16" s="113" t="s">
        <v>376</v>
      </c>
      <c r="B16" s="106">
        <f>'Works Working'!B16</f>
        <v>2.6892977645440719</v>
      </c>
      <c r="C16" s="107">
        <v>0</v>
      </c>
      <c r="D16" s="107">
        <f>'Works Working'!C16</f>
        <v>0</v>
      </c>
      <c r="E16" s="107">
        <f>'Works Working'!C16</f>
        <v>0</v>
      </c>
      <c r="F16" s="107">
        <f>'Works Working'!D16</f>
        <v>0</v>
      </c>
      <c r="G16" s="107">
        <f>'Works Working'!E16</f>
        <v>0</v>
      </c>
      <c r="H16" s="107">
        <f>'Works Working'!F16</f>
        <v>0</v>
      </c>
      <c r="I16" s="107">
        <f>'Works Working'!G16</f>
        <v>0</v>
      </c>
      <c r="J16" s="107">
        <f>'Works Working'!H16</f>
        <v>0</v>
      </c>
      <c r="K16" s="107">
        <f>'Works Working'!I16</f>
        <v>0</v>
      </c>
      <c r="L16" s="107">
        <f>SUM(B16:K16)</f>
        <v>2.6892977645440719</v>
      </c>
      <c r="M16" s="108">
        <f>L16-'Works Working'!$L16</f>
        <v>0</v>
      </c>
    </row>
    <row r="17" spans="1:13">
      <c r="A17" s="113" t="s">
        <v>377</v>
      </c>
      <c r="B17" s="106">
        <f>'Works Working'!B17</f>
        <v>0</v>
      </c>
      <c r="C17" s="107">
        <v>0</v>
      </c>
      <c r="D17" s="107">
        <f>'Works Working'!C17</f>
        <v>0</v>
      </c>
      <c r="E17" s="107">
        <f>'Works Working'!D17</f>
        <v>0</v>
      </c>
      <c r="F17" s="107">
        <f>'Works Working'!E17</f>
        <v>0</v>
      </c>
      <c r="G17" s="107">
        <f>'Works Working'!F17</f>
        <v>0</v>
      </c>
      <c r="H17" s="107">
        <f>'Works Working'!G17</f>
        <v>0</v>
      </c>
      <c r="I17" s="107">
        <f>'Works Working'!H17</f>
        <v>0</v>
      </c>
      <c r="J17" s="107">
        <f>'Works Working'!I17</f>
        <v>0</v>
      </c>
      <c r="K17" s="107">
        <f>'Works Working'!J17</f>
        <v>0</v>
      </c>
      <c r="L17" s="107">
        <f>SUM(B17:K17)</f>
        <v>0</v>
      </c>
      <c r="M17" s="108">
        <f>L17-'Works Working'!$L17</f>
        <v>0</v>
      </c>
    </row>
    <row r="18" spans="1:13" ht="12.75" thickBot="1">
      <c r="A18" s="101" t="s">
        <v>378</v>
      </c>
      <c r="B18" s="114">
        <f t="shared" ref="B18:L18" si="4">SUM(B15:B17)</f>
        <v>8.1376606277390717</v>
      </c>
      <c r="C18" s="115">
        <f t="shared" si="4"/>
        <v>0</v>
      </c>
      <c r="D18" s="115">
        <f t="shared" si="4"/>
        <v>0</v>
      </c>
      <c r="E18" s="115">
        <f t="shared" si="4"/>
        <v>0</v>
      </c>
      <c r="F18" s="115">
        <f t="shared" si="4"/>
        <v>0</v>
      </c>
      <c r="G18" s="115">
        <f t="shared" si="4"/>
        <v>0</v>
      </c>
      <c r="H18" s="115">
        <f t="shared" si="4"/>
        <v>0</v>
      </c>
      <c r="I18" s="115">
        <f t="shared" si="4"/>
        <v>0</v>
      </c>
      <c r="J18" s="115">
        <f t="shared" si="4"/>
        <v>0</v>
      </c>
      <c r="K18" s="115">
        <f t="shared" si="4"/>
        <v>0</v>
      </c>
      <c r="L18" s="115">
        <f t="shared" si="4"/>
        <v>8.1376606277390717</v>
      </c>
    </row>
    <row r="19" spans="1:13" ht="12.75" thickTop="1">
      <c r="A19" s="101"/>
      <c r="B19" s="119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3">
      <c r="A20" s="101" t="s">
        <v>379</v>
      </c>
      <c r="B20" s="103">
        <f t="shared" ref="B20:L20" si="5">B14</f>
        <v>44713</v>
      </c>
      <c r="C20" s="104">
        <f t="shared" si="5"/>
        <v>44743</v>
      </c>
      <c r="D20" s="104">
        <f t="shared" si="5"/>
        <v>44774</v>
      </c>
      <c r="E20" s="104">
        <f t="shared" si="5"/>
        <v>44805</v>
      </c>
      <c r="F20" s="104">
        <f t="shared" si="5"/>
        <v>44835</v>
      </c>
      <c r="G20" s="104">
        <f t="shared" si="5"/>
        <v>44866</v>
      </c>
      <c r="H20" s="104">
        <f t="shared" si="5"/>
        <v>44896</v>
      </c>
      <c r="I20" s="104">
        <f t="shared" si="5"/>
        <v>44927</v>
      </c>
      <c r="J20" s="104">
        <f t="shared" si="5"/>
        <v>44958</v>
      </c>
      <c r="K20" s="104">
        <f t="shared" si="5"/>
        <v>44986</v>
      </c>
      <c r="L20" s="103" t="str">
        <f t="shared" si="5"/>
        <v>Total</v>
      </c>
    </row>
    <row r="21" spans="1:13">
      <c r="A21" s="113" t="s">
        <v>380</v>
      </c>
      <c r="B21" s="106">
        <f>'Works Working'!B21</f>
        <v>0</v>
      </c>
      <c r="C21" s="107">
        <v>0</v>
      </c>
      <c r="D21" s="107">
        <v>0</v>
      </c>
      <c r="E21" s="107">
        <v>0</v>
      </c>
      <c r="F21" s="107">
        <f>'Works Working'!C21</f>
        <v>0</v>
      </c>
      <c r="G21" s="107">
        <f>'Works Working'!D21</f>
        <v>0</v>
      </c>
      <c r="H21" s="107">
        <f>'Works Working'!E21</f>
        <v>0</v>
      </c>
      <c r="I21" s="107">
        <f>'Works Working'!F21</f>
        <v>0</v>
      </c>
      <c r="J21" s="107">
        <f>'Works Working'!G21</f>
        <v>0</v>
      </c>
      <c r="K21" s="107">
        <f>'Works Working'!H21</f>
        <v>0</v>
      </c>
      <c r="L21" s="107">
        <f>SUM(B21:K21)</f>
        <v>0</v>
      </c>
      <c r="M21" s="108">
        <f>L21-'Works Working'!$L21</f>
        <v>0</v>
      </c>
    </row>
    <row r="22" spans="1:13">
      <c r="A22" s="113" t="s">
        <v>381</v>
      </c>
      <c r="B22" s="106">
        <f>'Works Working'!B22</f>
        <v>0</v>
      </c>
      <c r="C22" s="107">
        <v>0</v>
      </c>
      <c r="D22" s="107">
        <v>0</v>
      </c>
      <c r="E22" s="107">
        <f>'Works Working'!C22</f>
        <v>0</v>
      </c>
      <c r="F22" s="107">
        <f>'Works Working'!D22</f>
        <v>0</v>
      </c>
      <c r="G22" s="107">
        <f>'Works Working'!E22</f>
        <v>0</v>
      </c>
      <c r="H22" s="107">
        <f>'Works Working'!F22</f>
        <v>0</v>
      </c>
      <c r="I22" s="107">
        <f>'Works Working'!G22</f>
        <v>0</v>
      </c>
      <c r="J22" s="107">
        <f>'Works Working'!H22</f>
        <v>0</v>
      </c>
      <c r="K22" s="107">
        <f>'Works Working'!I22</f>
        <v>0</v>
      </c>
      <c r="L22" s="107">
        <f>SUM(B22:K22)</f>
        <v>0</v>
      </c>
      <c r="M22" s="108">
        <f>L22-'Works Working'!$L22</f>
        <v>0</v>
      </c>
    </row>
    <row r="23" spans="1:13" ht="12.75" thickBot="1">
      <c r="A23" s="101" t="s">
        <v>378</v>
      </c>
      <c r="B23" s="114">
        <f t="shared" ref="B23:L23" si="6">SUM(B21:B22)</f>
        <v>0</v>
      </c>
      <c r="C23" s="115">
        <f t="shared" si="6"/>
        <v>0</v>
      </c>
      <c r="D23" s="115">
        <f t="shared" si="6"/>
        <v>0</v>
      </c>
      <c r="E23" s="115">
        <f t="shared" si="6"/>
        <v>0</v>
      </c>
      <c r="F23" s="115">
        <f t="shared" si="6"/>
        <v>0</v>
      </c>
      <c r="G23" s="115">
        <f t="shared" si="6"/>
        <v>0</v>
      </c>
      <c r="H23" s="115">
        <f t="shared" si="6"/>
        <v>0</v>
      </c>
      <c r="I23" s="115">
        <f t="shared" si="6"/>
        <v>0</v>
      </c>
      <c r="J23" s="115">
        <f t="shared" si="6"/>
        <v>0</v>
      </c>
      <c r="K23" s="115">
        <f t="shared" si="6"/>
        <v>0</v>
      </c>
      <c r="L23" s="115">
        <f t="shared" si="6"/>
        <v>0</v>
      </c>
    </row>
    <row r="24" spans="1:13" ht="12.75" thickTop="1">
      <c r="A24" s="101"/>
      <c r="B24" s="119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13">
      <c r="A25" s="101" t="s">
        <v>366</v>
      </c>
      <c r="B25" s="100"/>
      <c r="C25" s="101"/>
      <c r="D25" s="101"/>
      <c r="E25" s="101"/>
      <c r="F25" s="101"/>
      <c r="G25" s="101"/>
      <c r="H25" s="101"/>
      <c r="I25" s="101"/>
      <c r="J25" s="101"/>
      <c r="K25" s="101"/>
      <c r="L25" s="101"/>
    </row>
    <row r="26" spans="1:13">
      <c r="A26" s="101" t="s">
        <v>374</v>
      </c>
      <c r="B26" s="103">
        <f t="shared" ref="B26:L26" si="7">B8</f>
        <v>44713</v>
      </c>
      <c r="C26" s="104">
        <f t="shared" si="7"/>
        <v>44743</v>
      </c>
      <c r="D26" s="104">
        <f t="shared" si="7"/>
        <v>44774</v>
      </c>
      <c r="E26" s="104">
        <f t="shared" si="7"/>
        <v>44805</v>
      </c>
      <c r="F26" s="104">
        <f t="shared" si="7"/>
        <v>44835</v>
      </c>
      <c r="G26" s="104">
        <f t="shared" si="7"/>
        <v>44866</v>
      </c>
      <c r="H26" s="104">
        <f t="shared" si="7"/>
        <v>44896</v>
      </c>
      <c r="I26" s="104">
        <f t="shared" si="7"/>
        <v>44927</v>
      </c>
      <c r="J26" s="104">
        <f t="shared" si="7"/>
        <v>44958</v>
      </c>
      <c r="K26" s="104">
        <f t="shared" si="7"/>
        <v>44986</v>
      </c>
      <c r="L26" s="103" t="str">
        <f t="shared" si="7"/>
        <v>Total</v>
      </c>
    </row>
    <row r="27" spans="1:13">
      <c r="A27" s="121" t="s">
        <v>382</v>
      </c>
      <c r="B27" s="106">
        <f>'Works Working'!B27</f>
        <v>17.548709968457565</v>
      </c>
      <c r="C27" s="107">
        <v>0</v>
      </c>
      <c r="D27" s="107">
        <v>0</v>
      </c>
      <c r="E27" s="107">
        <f>'Works Working'!C27</f>
        <v>0.36923980399776762</v>
      </c>
      <c r="F27" s="107">
        <f>'Works Working'!D27</f>
        <v>0.36923980399776762</v>
      </c>
      <c r="G27" s="107">
        <f>'Works Working'!E27</f>
        <v>0.36923980399776762</v>
      </c>
      <c r="H27" s="107">
        <f>'Works Working'!F27</f>
        <v>1.1003107303242952</v>
      </c>
      <c r="I27" s="107">
        <f>'Works Working'!G27</f>
        <v>1.0544610099578502</v>
      </c>
      <c r="J27" s="107">
        <f>'Works Working'!H27</f>
        <v>1.096478333310702</v>
      </c>
      <c r="K27" s="107">
        <f>'Works Working'!I27</f>
        <v>0</v>
      </c>
      <c r="L27" s="107">
        <f t="shared" ref="L27:L46" si="8">SUM(B27:K27)</f>
        <v>21.90767945404372</v>
      </c>
      <c r="M27" s="108">
        <f>L27-'Works Working'!$L27</f>
        <v>0</v>
      </c>
    </row>
    <row r="28" spans="1:13">
      <c r="A28" s="121" t="s">
        <v>383</v>
      </c>
      <c r="B28" s="106">
        <f>'Works Working'!B28</f>
        <v>61.086914071049982</v>
      </c>
      <c r="C28" s="107">
        <v>0</v>
      </c>
      <c r="D28" s="107">
        <f>'Works Working'!C28</f>
        <v>0.35627779903333323</v>
      </c>
      <c r="E28" s="107">
        <f>'Works Working'!D28</f>
        <v>0.35627779903333323</v>
      </c>
      <c r="F28" s="107">
        <f>'Works Working'!E28</f>
        <v>0.35627779903333323</v>
      </c>
      <c r="G28" s="107">
        <f>'Works Working'!F28</f>
        <v>0.70250862709999984</v>
      </c>
      <c r="H28" s="107">
        <f>'Works Working'!G28</f>
        <v>0.70250862709999984</v>
      </c>
      <c r="I28" s="107">
        <f>'Works Working'!H28</f>
        <v>0.70250862709999984</v>
      </c>
      <c r="J28" s="107">
        <f>'Works Working'!I28</f>
        <v>0</v>
      </c>
      <c r="K28" s="107">
        <f>'Works Working'!J28</f>
        <v>0</v>
      </c>
      <c r="L28" s="107">
        <f t="shared" si="8"/>
        <v>64.263273349449989</v>
      </c>
      <c r="M28" s="108">
        <f>L28-'Works Working'!$L28</f>
        <v>0</v>
      </c>
    </row>
    <row r="29" spans="1:13">
      <c r="A29" s="121" t="s">
        <v>384</v>
      </c>
      <c r="B29" s="106">
        <f>'Works Working'!B29</f>
        <v>16.284243024479593</v>
      </c>
      <c r="C29" s="107">
        <v>0</v>
      </c>
      <c r="D29" s="107">
        <v>0</v>
      </c>
      <c r="E29" s="107">
        <f>'Works Working'!C29</f>
        <v>0.36192563109877618</v>
      </c>
      <c r="F29" s="107">
        <f>'Works Working'!D29</f>
        <v>0.36192563109877618</v>
      </c>
      <c r="G29" s="107">
        <f>'Works Working'!E29</f>
        <v>0.36192563109877618</v>
      </c>
      <c r="H29" s="107">
        <f>'Works Working'!F29</f>
        <v>0.89782097426566887</v>
      </c>
      <c r="I29" s="107">
        <f>'Works Working'!G29</f>
        <v>0.61247968623694204</v>
      </c>
      <c r="J29" s="107">
        <f>'Works Working'!H29</f>
        <v>0.58543280916294771</v>
      </c>
      <c r="K29" s="107">
        <f>'Works Working'!I29</f>
        <v>0</v>
      </c>
      <c r="L29" s="107">
        <f t="shared" si="8"/>
        <v>19.465753387441488</v>
      </c>
      <c r="M29" s="108">
        <f>L29-'Works Working'!$L29</f>
        <v>0</v>
      </c>
    </row>
    <row r="30" spans="1:13">
      <c r="A30" s="121" t="s">
        <v>385</v>
      </c>
      <c r="B30" s="106">
        <f>'Works Working'!B30</f>
        <v>8.3888524671561537</v>
      </c>
      <c r="C30" s="107">
        <v>0</v>
      </c>
      <c r="D30" s="107">
        <v>0</v>
      </c>
      <c r="E30" s="107">
        <v>0</v>
      </c>
      <c r="F30" s="107">
        <f>'Works Working'!C30</f>
        <v>0.18644653723270288</v>
      </c>
      <c r="G30" s="107">
        <f>'Works Working'!D30</f>
        <v>0.18644653723270288</v>
      </c>
      <c r="H30" s="107">
        <f>'Works Working'!E30</f>
        <v>0.18644653723270288</v>
      </c>
      <c r="I30" s="107">
        <f>'Works Working'!F30</f>
        <v>0.46251383522776879</v>
      </c>
      <c r="J30" s="107">
        <f>'Works Working'!G30</f>
        <v>0.31551983836448527</v>
      </c>
      <c r="K30" s="107">
        <f>'Works Working'!H30</f>
        <v>0.30158659865970033</v>
      </c>
      <c r="L30" s="107">
        <f t="shared" si="8"/>
        <v>10.027812351106217</v>
      </c>
      <c r="M30" s="108">
        <f>L30-'Works Working'!$L30</f>
        <v>0</v>
      </c>
    </row>
    <row r="31" spans="1:13">
      <c r="A31" s="121" t="s">
        <v>386</v>
      </c>
      <c r="B31" s="106">
        <f>'Works Working'!B31</f>
        <v>35.052912534070757</v>
      </c>
      <c r="C31" s="107">
        <v>0</v>
      </c>
      <c r="D31" s="107">
        <f>'Works Working'!C31</f>
        <v>0.53922521867499995</v>
      </c>
      <c r="E31" s="107">
        <f>'Works Working'!D31</f>
        <v>0.53922521867499995</v>
      </c>
      <c r="F31" s="107">
        <f>'Works Working'!E31</f>
        <v>0.53922521867499995</v>
      </c>
      <c r="G31" s="107">
        <f>'Works Working'!F31</f>
        <v>1.6176756560249999</v>
      </c>
      <c r="H31" s="107">
        <f>'Works Working'!G31</f>
        <v>1.0738226499000001</v>
      </c>
      <c r="I31" s="107">
        <f>'Works Working'!H31</f>
        <v>1.0738226499000001</v>
      </c>
      <c r="J31" s="107">
        <f>'Works Working'!I31</f>
        <v>0</v>
      </c>
      <c r="K31" s="107">
        <f>'Works Working'!J31</f>
        <v>0</v>
      </c>
      <c r="L31" s="107">
        <f t="shared" si="8"/>
        <v>40.43590914592076</v>
      </c>
      <c r="M31" s="108">
        <f>L31-'Works Working'!$L31</f>
        <v>0</v>
      </c>
    </row>
    <row r="32" spans="1:13">
      <c r="A32" s="121" t="s">
        <v>387</v>
      </c>
      <c r="B32" s="106">
        <f>'Works Working'!B32</f>
        <v>1.3152388172879999</v>
      </c>
      <c r="C32" s="107">
        <v>0</v>
      </c>
      <c r="D32" s="107">
        <v>0</v>
      </c>
      <c r="E32" s="107">
        <f>'Works Working'!C32</f>
        <v>4.1807127999999999E-2</v>
      </c>
      <c r="F32" s="107">
        <f>'Works Working'!D32</f>
        <v>4.1807127999999999E-2</v>
      </c>
      <c r="G32" s="107">
        <f>'Works Working'!E32</f>
        <v>4.1807127999999999E-2</v>
      </c>
      <c r="H32" s="107">
        <f>'Works Working'!F32</f>
        <v>0.125421384</v>
      </c>
      <c r="I32" s="107">
        <f>'Works Working'!G32</f>
        <v>0.125421384</v>
      </c>
      <c r="J32" s="107">
        <f>'Works Working'!H32</f>
        <v>0.12818853300000002</v>
      </c>
      <c r="K32" s="107">
        <f>'Works Working'!I32</f>
        <v>0</v>
      </c>
      <c r="L32" s="107">
        <f t="shared" si="8"/>
        <v>1.8196915022880003</v>
      </c>
      <c r="M32" s="108">
        <f>L32-'Works Working'!$L32</f>
        <v>0</v>
      </c>
    </row>
    <row r="33" spans="1:13">
      <c r="A33" s="121" t="s">
        <v>388</v>
      </c>
      <c r="B33" s="106">
        <f>'Works Working'!B33</f>
        <v>0.67754726951199995</v>
      </c>
      <c r="C33" s="107">
        <v>0</v>
      </c>
      <c r="D33" s="107">
        <v>0</v>
      </c>
      <c r="E33" s="107">
        <v>0</v>
      </c>
      <c r="F33" s="107">
        <f>'Works Working'!C33</f>
        <v>2.1537005333333335E-2</v>
      </c>
      <c r="G33" s="107">
        <f>'Works Working'!D33</f>
        <v>2.1537005333333335E-2</v>
      </c>
      <c r="H33" s="107">
        <f>'Works Working'!E33</f>
        <v>2.1537005333333335E-2</v>
      </c>
      <c r="I33" s="107">
        <f>'Works Working'!F33</f>
        <v>6.4611016000000007E-2</v>
      </c>
      <c r="J33" s="107">
        <f>'Works Working'!G33</f>
        <v>6.4611016000000007E-2</v>
      </c>
      <c r="K33" s="107">
        <f>'Works Working'!H33</f>
        <v>6.6036516999999989E-2</v>
      </c>
      <c r="L33" s="107">
        <f t="shared" si="8"/>
        <v>0.93741683451199997</v>
      </c>
      <c r="M33" s="108">
        <f>L33-'Works Working'!$L33</f>
        <v>0</v>
      </c>
    </row>
    <row r="34" spans="1:13">
      <c r="A34" s="121" t="s">
        <v>389</v>
      </c>
      <c r="B34" s="106">
        <f>'Works Working'!B34</f>
        <v>1.1123894534799998</v>
      </c>
      <c r="C34" s="107">
        <v>0</v>
      </c>
      <c r="D34" s="107">
        <f>'Works Working'!C34</f>
        <v>1.8727214313738667</v>
      </c>
      <c r="E34" s="107">
        <f>'Works Working'!D34</f>
        <v>1.8727214313738667</v>
      </c>
      <c r="F34" s="107">
        <f>'Works Working'!E34</f>
        <v>1.8727214313738667</v>
      </c>
      <c r="G34" s="107">
        <f>'Works Working'!F34</f>
        <v>0.33444533405999999</v>
      </c>
      <c r="H34" s="107">
        <f>'Works Working'!G34</f>
        <v>0.28528965355007996</v>
      </c>
      <c r="I34" s="107">
        <f>'Works Working'!H34</f>
        <v>3.8456801998768002</v>
      </c>
      <c r="J34" s="107">
        <f>'Works Working'!I34</f>
        <v>0</v>
      </c>
      <c r="K34" s="107">
        <f>'Works Working'!J34</f>
        <v>0</v>
      </c>
      <c r="L34" s="107">
        <f t="shared" si="8"/>
        <v>11.19596893508848</v>
      </c>
      <c r="M34" s="108">
        <f>L34-'Works Working'!$L34</f>
        <v>0</v>
      </c>
    </row>
    <row r="35" spans="1:13">
      <c r="A35" s="121" t="s">
        <v>390</v>
      </c>
      <c r="B35" s="106">
        <f>'Works Working'!B35</f>
        <v>2.3917481088494994</v>
      </c>
      <c r="C35" s="107">
        <v>0</v>
      </c>
      <c r="D35" s="107">
        <v>0</v>
      </c>
      <c r="E35" s="107">
        <v>0</v>
      </c>
      <c r="F35" s="107">
        <f>'Works Working'!C35</f>
        <v>0.16747729749999996</v>
      </c>
      <c r="G35" s="107">
        <f>'Works Working'!D35</f>
        <v>0.16747729749999996</v>
      </c>
      <c r="H35" s="107">
        <f>'Works Working'!E35</f>
        <v>0.16747729749999996</v>
      </c>
      <c r="I35" s="107">
        <f>'Works Working'!F35</f>
        <v>0.50243189249999987</v>
      </c>
      <c r="J35" s="107">
        <f>'Works Working'!G35</f>
        <v>0.50243189249999987</v>
      </c>
      <c r="K35" s="107">
        <f>'Works Working'!H35</f>
        <v>0.50243189249999987</v>
      </c>
      <c r="L35" s="107">
        <f t="shared" si="8"/>
        <v>4.4014756788494989</v>
      </c>
      <c r="M35" s="108">
        <f>L35-'Works Working'!$L35</f>
        <v>0</v>
      </c>
    </row>
    <row r="36" spans="1:13">
      <c r="A36" s="121" t="s">
        <v>391</v>
      </c>
      <c r="B36" s="106">
        <f>'Works Working'!B36</f>
        <v>1.4763787907925494</v>
      </c>
      <c r="C36" s="107">
        <v>0</v>
      </c>
      <c r="D36" s="107">
        <v>0</v>
      </c>
      <c r="E36" s="107">
        <v>0</v>
      </c>
      <c r="F36" s="107">
        <f>'Works Working'!C36</f>
        <v>2.4341750882832844E-2</v>
      </c>
      <c r="G36" s="107">
        <f>'Works Working'!D36</f>
        <v>2.4341750882832844E-2</v>
      </c>
      <c r="H36" s="107">
        <f>'Works Working'!E36</f>
        <v>2.4341750882832844E-2</v>
      </c>
      <c r="I36" s="107">
        <f>'Works Working'!F36</f>
        <v>7.3025252648498531E-2</v>
      </c>
      <c r="J36" s="107">
        <f>'Works Working'!G36</f>
        <v>5.8420202118798822E-2</v>
      </c>
      <c r="K36" s="107">
        <f>'Works Working'!H36</f>
        <v>5.8420202118798822E-2</v>
      </c>
      <c r="L36" s="107">
        <f t="shared" si="8"/>
        <v>1.7392697003271436</v>
      </c>
      <c r="M36" s="108">
        <f>L36-'Works Working'!$L36</f>
        <v>0</v>
      </c>
    </row>
    <row r="37" spans="1:13">
      <c r="A37" s="121" t="s">
        <v>392</v>
      </c>
      <c r="B37" s="106">
        <f>'Works Working'!B37</f>
        <v>2.4726582209999997</v>
      </c>
      <c r="C37" s="107">
        <v>0</v>
      </c>
      <c r="D37" s="107">
        <v>0</v>
      </c>
      <c r="E37" s="107">
        <v>0</v>
      </c>
      <c r="F37" s="107">
        <f>'Works Working'!C37</f>
        <v>0.100628</v>
      </c>
      <c r="G37" s="107">
        <f>'Works Working'!D37</f>
        <v>0.100628</v>
      </c>
      <c r="H37" s="107">
        <f>'Works Working'!E37</f>
        <v>0.100628</v>
      </c>
      <c r="I37" s="107">
        <f>'Works Working'!F37</f>
        <v>0</v>
      </c>
      <c r="J37" s="107">
        <f>'Works Working'!G37</f>
        <v>0.30188399999999999</v>
      </c>
      <c r="K37" s="107">
        <f>'Works Working'!H37</f>
        <v>0</v>
      </c>
      <c r="L37" s="107">
        <f t="shared" si="8"/>
        <v>3.0764262209999993</v>
      </c>
      <c r="M37" s="108">
        <f>L37-'Works Working'!$L37</f>
        <v>0</v>
      </c>
    </row>
    <row r="38" spans="1:13">
      <c r="A38" s="121" t="s">
        <v>393</v>
      </c>
      <c r="B38" s="106">
        <f>'Works Working'!B38</f>
        <v>4.2868829114999993</v>
      </c>
      <c r="C38" s="107">
        <v>0</v>
      </c>
      <c r="D38" s="107">
        <f>'Works Working'!C38</f>
        <v>1.4878709999999998E-2</v>
      </c>
      <c r="E38" s="107">
        <f>'Works Working'!D38</f>
        <v>1.4878709999999998E-2</v>
      </c>
      <c r="F38" s="107">
        <f>'Works Working'!E38</f>
        <v>1.4878709999999998E-2</v>
      </c>
      <c r="G38" s="107">
        <f>'Works Working'!F38</f>
        <v>0</v>
      </c>
      <c r="H38" s="107">
        <f>'Works Working'!G38</f>
        <v>1.5364236999999999E-2</v>
      </c>
      <c r="I38" s="107">
        <f>'Works Working'!H38</f>
        <v>0.1453107726</v>
      </c>
      <c r="J38" s="107">
        <f>'Works Working'!I38</f>
        <v>0</v>
      </c>
      <c r="K38" s="107">
        <f>'Works Working'!J38</f>
        <v>0</v>
      </c>
      <c r="L38" s="107">
        <f t="shared" si="8"/>
        <v>4.4921940510999985</v>
      </c>
      <c r="M38" s="108">
        <f>L38-'Works Working'!$L38</f>
        <v>0</v>
      </c>
    </row>
    <row r="39" spans="1:13">
      <c r="A39" s="121" t="s">
        <v>394</v>
      </c>
      <c r="B39" s="106">
        <f>'Works Working'!B39</f>
        <v>1.3318370660999999</v>
      </c>
      <c r="C39" s="107">
        <v>0</v>
      </c>
      <c r="D39" s="107">
        <v>0</v>
      </c>
      <c r="E39" s="107">
        <v>0</v>
      </c>
      <c r="F39" s="107">
        <f>'Works Working'!C39</f>
        <v>3.6955943400000003E-2</v>
      </c>
      <c r="G39" s="107">
        <f>'Works Working'!D39</f>
        <v>3.6955943400000003E-2</v>
      </c>
      <c r="H39" s="107">
        <f>'Works Working'!E39</f>
        <v>3.6955943400000003E-2</v>
      </c>
      <c r="I39" s="107">
        <f>'Works Working'!F39</f>
        <v>0.15577201020000001</v>
      </c>
      <c r="J39" s="107">
        <f>'Works Working'!G39</f>
        <v>0.14718845580000001</v>
      </c>
      <c r="K39" s="107">
        <f>'Works Working'!H39</f>
        <v>0.15757936350000004</v>
      </c>
      <c r="L39" s="107">
        <f t="shared" si="8"/>
        <v>1.9032447257999998</v>
      </c>
      <c r="M39" s="108">
        <f>L39-'Works Working'!$L39</f>
        <v>0</v>
      </c>
    </row>
    <row r="40" spans="1:13">
      <c r="A40" s="121" t="s">
        <v>395</v>
      </c>
      <c r="B40" s="106">
        <f>'Works Working'!B40</f>
        <v>1.1203218789</v>
      </c>
      <c r="C40" s="107">
        <v>0</v>
      </c>
      <c r="D40" s="107">
        <f>'Works Working'!C40</f>
        <v>0</v>
      </c>
      <c r="E40" s="107">
        <f>'Works Working'!D40</f>
        <v>0</v>
      </c>
      <c r="F40" s="107">
        <f>'Works Working'!E40</f>
        <v>0</v>
      </c>
      <c r="G40" s="107">
        <f>'Works Working'!F40</f>
        <v>0</v>
      </c>
      <c r="H40" s="107">
        <f>'Works Working'!G40</f>
        <v>0</v>
      </c>
      <c r="I40" s="107">
        <f>'Works Working'!H40</f>
        <v>0</v>
      </c>
      <c r="J40" s="107">
        <f>'Works Working'!I40</f>
        <v>0</v>
      </c>
      <c r="K40" s="107">
        <f>'Works Working'!J40</f>
        <v>0</v>
      </c>
      <c r="L40" s="107">
        <f t="shared" si="8"/>
        <v>1.1203218789</v>
      </c>
      <c r="M40" s="108">
        <f>L40-'Works Working'!$L40</f>
        <v>0</v>
      </c>
    </row>
    <row r="41" spans="1:13">
      <c r="A41" s="121" t="s">
        <v>396</v>
      </c>
      <c r="B41" s="106">
        <f>'Works Working'!B41</f>
        <v>0.19266203159999998</v>
      </c>
      <c r="C41" s="107">
        <v>0</v>
      </c>
      <c r="D41" s="107">
        <v>0</v>
      </c>
      <c r="E41" s="107">
        <v>0</v>
      </c>
      <c r="F41" s="107">
        <f>'Works Working'!C41</f>
        <v>3.3520356599999995E-2</v>
      </c>
      <c r="G41" s="107">
        <f>'Works Working'!D41</f>
        <v>3.3520356599999995E-2</v>
      </c>
      <c r="H41" s="107">
        <f>'Works Working'!E41</f>
        <v>3.3520356599999995E-2</v>
      </c>
      <c r="I41" s="107">
        <f>'Works Working'!F41</f>
        <v>9.7182167400000005E-2</v>
      </c>
      <c r="J41" s="107">
        <f>'Works Working'!G41</f>
        <v>6.5834853299999996E-2</v>
      </c>
      <c r="K41" s="107">
        <f>'Works Working'!H41</f>
        <v>2.3897825999999994E-2</v>
      </c>
      <c r="L41" s="107">
        <f t="shared" si="8"/>
        <v>0.48013794809999999</v>
      </c>
      <c r="M41" s="108">
        <f>L41-'Works Working'!$L41</f>
        <v>0</v>
      </c>
    </row>
    <row r="42" spans="1:13">
      <c r="A42" s="121" t="s">
        <v>397</v>
      </c>
      <c r="B42" s="106">
        <f>'Works Working'!B42</f>
        <v>19.971733696199998</v>
      </c>
      <c r="C42" s="107">
        <v>0</v>
      </c>
      <c r="D42" s="107">
        <f>'Works Working'!C42</f>
        <v>0.68143999999999982</v>
      </c>
      <c r="E42" s="107">
        <f>'Works Working'!D42</f>
        <v>0.68143999999999982</v>
      </c>
      <c r="F42" s="107">
        <f>'Works Working'!E42</f>
        <v>0.68143999999999982</v>
      </c>
      <c r="G42" s="107">
        <f>'Works Working'!F42</f>
        <v>2.0443199999999995</v>
      </c>
      <c r="H42" s="107">
        <f>'Works Working'!G42</f>
        <v>2.0443199999999995</v>
      </c>
      <c r="I42" s="107">
        <f>'Works Working'!H42</f>
        <v>1.5332399999999997</v>
      </c>
      <c r="J42" s="107">
        <f>'Works Working'!I42</f>
        <v>0</v>
      </c>
      <c r="K42" s="107">
        <f>'Works Working'!J42</f>
        <v>0</v>
      </c>
      <c r="L42" s="107">
        <f t="shared" si="8"/>
        <v>27.63793369619999</v>
      </c>
      <c r="M42" s="108">
        <f>L42-'Works Working'!$L42</f>
        <v>0</v>
      </c>
    </row>
    <row r="43" spans="1:13">
      <c r="A43" s="121" t="s">
        <v>398</v>
      </c>
      <c r="B43" s="106">
        <f>'Works Working'!B43</f>
        <v>10.747027642800003</v>
      </c>
      <c r="C43" s="107">
        <v>0</v>
      </c>
      <c r="D43" s="107">
        <v>0</v>
      </c>
      <c r="E43" s="107">
        <f>'Works Working'!C43</f>
        <v>0.45429333333333338</v>
      </c>
      <c r="F43" s="107">
        <f>'Works Working'!D43</f>
        <v>0.45429333333333338</v>
      </c>
      <c r="G43" s="107">
        <f>'Works Working'!E43</f>
        <v>0.45429333333333338</v>
      </c>
      <c r="H43" s="107">
        <f>'Works Working'!F43</f>
        <v>1.3628800000000001</v>
      </c>
      <c r="I43" s="107">
        <f>'Works Working'!G43</f>
        <v>1.3628800000000001</v>
      </c>
      <c r="J43" s="107">
        <f>'Works Working'!H43</f>
        <v>1.02216</v>
      </c>
      <c r="K43" s="107">
        <f>'Works Working'!I43</f>
        <v>0</v>
      </c>
      <c r="L43" s="107">
        <f t="shared" si="8"/>
        <v>15.857827642800006</v>
      </c>
      <c r="M43" s="108">
        <f>L43-'Works Working'!$L43</f>
        <v>0</v>
      </c>
    </row>
    <row r="44" spans="1:13">
      <c r="A44" s="121" t="s">
        <v>399</v>
      </c>
      <c r="B44" s="106">
        <f>'Works Working'!B44</f>
        <v>23.716711696999997</v>
      </c>
      <c r="C44" s="107">
        <v>0</v>
      </c>
      <c r="D44" s="107">
        <v>0</v>
      </c>
      <c r="E44" s="107">
        <f>'Works Working'!C44</f>
        <v>8.4422799999999978E-2</v>
      </c>
      <c r="F44" s="107">
        <f>'Works Working'!D44</f>
        <v>8.4422799999999978E-2</v>
      </c>
      <c r="G44" s="107">
        <f>'Works Working'!E44</f>
        <v>8.4422799999999978E-2</v>
      </c>
      <c r="H44" s="107">
        <f>'Works Working'!F44</f>
        <v>0.5065367999999999</v>
      </c>
      <c r="I44" s="107">
        <f>'Works Working'!G44</f>
        <v>0.5065367999999999</v>
      </c>
      <c r="J44" s="107">
        <f>'Works Working'!H44</f>
        <v>0.40370982959999996</v>
      </c>
      <c r="K44" s="107">
        <f>'Works Working'!I44</f>
        <v>0</v>
      </c>
      <c r="L44" s="107">
        <f t="shared" si="8"/>
        <v>25.386763526599992</v>
      </c>
      <c r="M44" s="108">
        <f>L44-'Works Working'!$L44</f>
        <v>0</v>
      </c>
    </row>
    <row r="45" spans="1:13">
      <c r="A45" s="121" t="s">
        <v>400</v>
      </c>
      <c r="B45" s="106">
        <f>'Works Working'!B45</f>
        <v>13.0101355112</v>
      </c>
      <c r="C45" s="107">
        <v>0</v>
      </c>
      <c r="D45" s="107">
        <v>0</v>
      </c>
      <c r="E45" s="107">
        <f>'Works Working'!C45</f>
        <v>0.63103958333333332</v>
      </c>
      <c r="F45" s="107">
        <f>'Works Working'!D45</f>
        <v>0.63103958333333332</v>
      </c>
      <c r="G45" s="107">
        <f>'Works Working'!E45</f>
        <v>0.63103958333333332</v>
      </c>
      <c r="H45" s="107">
        <f>'Works Working'!F45</f>
        <v>1.89311875</v>
      </c>
      <c r="I45" s="107">
        <f>'Works Working'!G45</f>
        <v>1.89311875</v>
      </c>
      <c r="J45" s="107">
        <f>'Works Working'!H45</f>
        <v>1.4598431140000001</v>
      </c>
      <c r="K45" s="107">
        <f>'Works Working'!I45</f>
        <v>0</v>
      </c>
      <c r="L45" s="107">
        <f t="shared" si="8"/>
        <v>20.149334875200001</v>
      </c>
      <c r="M45" s="108">
        <f>L45-'Works Working'!$L45</f>
        <v>0</v>
      </c>
    </row>
    <row r="46" spans="1:13">
      <c r="A46" s="121" t="s">
        <v>401</v>
      </c>
      <c r="B46" s="106">
        <f>'Works Working'!B46</f>
        <v>40.25</v>
      </c>
      <c r="C46" s="107">
        <v>0</v>
      </c>
      <c r="D46" s="107">
        <f>'Works Working'!C46</f>
        <v>0</v>
      </c>
      <c r="E46" s="107">
        <f>'Works Working'!D46</f>
        <v>0</v>
      </c>
      <c r="F46" s="107">
        <f>'Works Working'!E46</f>
        <v>0</v>
      </c>
      <c r="G46" s="107">
        <f>'Works Working'!F46</f>
        <v>0</v>
      </c>
      <c r="H46" s="107">
        <f>'Works Working'!G46</f>
        <v>0</v>
      </c>
      <c r="I46" s="107">
        <f>'Works Working'!H46</f>
        <v>4.9319971220802827</v>
      </c>
      <c r="J46" s="107">
        <f>'Works Working'!I46</f>
        <v>9.9492235573247925</v>
      </c>
      <c r="K46" s="107">
        <f>'Works Working'!J46</f>
        <v>0</v>
      </c>
      <c r="L46" s="107">
        <f t="shared" si="8"/>
        <v>55.131220679405075</v>
      </c>
      <c r="M46" s="108">
        <f>L46-'Works Working'!$L46</f>
        <v>0</v>
      </c>
    </row>
    <row r="47" spans="1:13" ht="12.75" thickBot="1">
      <c r="A47" s="102" t="s">
        <v>54</v>
      </c>
      <c r="B47" s="114">
        <f t="shared" ref="B47:L47" si="9">SUM(B27:B46)</f>
        <v>262.43490516143606</v>
      </c>
      <c r="C47" s="115">
        <f t="shared" si="9"/>
        <v>0</v>
      </c>
      <c r="D47" s="115">
        <f t="shared" si="9"/>
        <v>3.4645431590821998</v>
      </c>
      <c r="E47" s="115">
        <f t="shared" si="9"/>
        <v>5.4072714388454095</v>
      </c>
      <c r="F47" s="115">
        <f t="shared" si="9"/>
        <v>5.9781783297942788</v>
      </c>
      <c r="G47" s="115">
        <f t="shared" si="9"/>
        <v>7.2125847878970788</v>
      </c>
      <c r="H47" s="115">
        <f t="shared" si="9"/>
        <v>10.578300697088912</v>
      </c>
      <c r="I47" s="115">
        <f t="shared" si="9"/>
        <v>19.14299317572814</v>
      </c>
      <c r="J47" s="115">
        <f t="shared" si="9"/>
        <v>16.100926434481728</v>
      </c>
      <c r="K47" s="115">
        <f t="shared" si="9"/>
        <v>1.109952399778499</v>
      </c>
      <c r="L47" s="115">
        <f t="shared" si="9"/>
        <v>331.42965558413238</v>
      </c>
      <c r="M47" s="108"/>
    </row>
    <row r="48" spans="1:13" ht="12.75" thickTop="1">
      <c r="A48" s="102"/>
      <c r="B48" s="119"/>
      <c r="C48" s="120"/>
      <c r="D48" s="120"/>
      <c r="E48" s="120"/>
      <c r="F48" s="120"/>
      <c r="G48" s="120"/>
      <c r="H48" s="120"/>
      <c r="I48" s="120"/>
      <c r="J48" s="120"/>
      <c r="K48" s="120"/>
      <c r="L48" s="120"/>
    </row>
    <row r="49" spans="1:13">
      <c r="A49" s="101" t="s">
        <v>379</v>
      </c>
      <c r="B49" s="103">
        <f t="shared" ref="B49:K49" si="10">B26</f>
        <v>44713</v>
      </c>
      <c r="C49" s="104">
        <f t="shared" si="10"/>
        <v>44743</v>
      </c>
      <c r="D49" s="104">
        <f t="shared" si="10"/>
        <v>44774</v>
      </c>
      <c r="E49" s="104">
        <f t="shared" si="10"/>
        <v>44805</v>
      </c>
      <c r="F49" s="104">
        <f t="shared" si="10"/>
        <v>44835</v>
      </c>
      <c r="G49" s="104">
        <f t="shared" si="10"/>
        <v>44866</v>
      </c>
      <c r="H49" s="104">
        <f t="shared" si="10"/>
        <v>44896</v>
      </c>
      <c r="I49" s="104">
        <f t="shared" si="10"/>
        <v>44927</v>
      </c>
      <c r="J49" s="104">
        <f t="shared" si="10"/>
        <v>44958</v>
      </c>
      <c r="K49" s="104">
        <f t="shared" si="10"/>
        <v>44986</v>
      </c>
      <c r="L49" s="103" t="str">
        <f>L26</f>
        <v>Total</v>
      </c>
    </row>
    <row r="50" spans="1:13">
      <c r="A50" s="121" t="s">
        <v>402</v>
      </c>
      <c r="B50" s="106">
        <f>'Works Working'!B50</f>
        <v>24.873184592147545</v>
      </c>
      <c r="C50" s="107">
        <v>0</v>
      </c>
      <c r="D50" s="107">
        <v>0</v>
      </c>
      <c r="E50" s="107">
        <v>0</v>
      </c>
      <c r="F50" s="107">
        <f>'Works Working'!C50</f>
        <v>0.62816774338049075</v>
      </c>
      <c r="G50" s="107">
        <f>'Works Working'!D50</f>
        <v>0.62816774338049075</v>
      </c>
      <c r="H50" s="107">
        <f>'Works Working'!E50</f>
        <v>0.62816774338049075</v>
      </c>
      <c r="I50" s="107">
        <f>'Works Working'!F50</f>
        <v>1.8950700861028977</v>
      </c>
      <c r="J50" s="107">
        <f>'Works Working'!G50</f>
        <v>1.8176602874095669</v>
      </c>
      <c r="K50" s="107">
        <f>'Works Working'!H50</f>
        <v>1.8973758237351623</v>
      </c>
      <c r="L50" s="107">
        <f t="shared" ref="L50:L68" si="11">SUM(B50:K50)</f>
        <v>32.367794019536646</v>
      </c>
      <c r="M50" s="108">
        <f>L50-'Works Working'!$L50</f>
        <v>0</v>
      </c>
    </row>
    <row r="51" spans="1:13">
      <c r="A51" s="121" t="s">
        <v>403</v>
      </c>
      <c r="B51" s="106">
        <f>'Works Working'!B51</f>
        <v>58.359440434809407</v>
      </c>
      <c r="C51" s="107">
        <v>0</v>
      </c>
      <c r="D51" s="107">
        <v>0</v>
      </c>
      <c r="E51" s="107">
        <v>0</v>
      </c>
      <c r="F51" s="107">
        <f>'Works Working'!C51</f>
        <v>0.37670203389830509</v>
      </c>
      <c r="G51" s="107">
        <f>'Works Working'!D51</f>
        <v>0.37670203389830509</v>
      </c>
      <c r="H51" s="107">
        <f>'Works Working'!E51</f>
        <v>0.37670203389830509</v>
      </c>
      <c r="I51" s="107">
        <f>'Works Working'!F51</f>
        <v>0.75378610169491522</v>
      </c>
      <c r="J51" s="107">
        <f>'Works Working'!G51</f>
        <v>0.75378610169491522</v>
      </c>
      <c r="K51" s="107">
        <f>'Works Working'!H51</f>
        <v>0.75378610169491522</v>
      </c>
      <c r="L51" s="107">
        <f t="shared" si="11"/>
        <v>61.750904841589062</v>
      </c>
      <c r="M51" s="108">
        <f>L51-'Works Working'!$L51</f>
        <v>0</v>
      </c>
    </row>
    <row r="52" spans="1:13">
      <c r="A52" s="121" t="s">
        <v>404</v>
      </c>
      <c r="B52" s="106">
        <f>'Works Working'!B52</f>
        <v>3.9624000020989998</v>
      </c>
      <c r="C52" s="107">
        <v>0</v>
      </c>
      <c r="D52" s="107">
        <f>'Works Working'!C52</f>
        <v>0.10546368940800004</v>
      </c>
      <c r="E52" s="107">
        <f>'Works Working'!D52</f>
        <v>0.10546368940800004</v>
      </c>
      <c r="F52" s="107">
        <f>'Works Working'!E52</f>
        <v>0.10546368940800004</v>
      </c>
      <c r="G52" s="107">
        <f>'Works Working'!F52</f>
        <v>0.26189404164000002</v>
      </c>
      <c r="H52" s="107">
        <f>'Works Working'!G52</f>
        <v>0.16130239004879995</v>
      </c>
      <c r="I52" s="107">
        <f>'Works Working'!H52</f>
        <v>0.15942673343520009</v>
      </c>
      <c r="J52" s="107">
        <f>'Works Working'!I52</f>
        <v>0</v>
      </c>
      <c r="K52" s="107">
        <f>'Works Working'!J52</f>
        <v>0</v>
      </c>
      <c r="L52" s="107">
        <f t="shared" si="11"/>
        <v>4.8614142354470005</v>
      </c>
      <c r="M52" s="108">
        <f>L52-'Works Working'!$L52</f>
        <v>0</v>
      </c>
    </row>
    <row r="53" spans="1:13">
      <c r="A53" s="121" t="s">
        <v>405</v>
      </c>
      <c r="B53" s="106">
        <f>'Works Working'!B53</f>
        <v>2.0412363647176663</v>
      </c>
      <c r="C53" s="107">
        <v>0</v>
      </c>
      <c r="D53" s="107">
        <f>'Works Working'!C53</f>
        <v>5.4329779392000017E-2</v>
      </c>
      <c r="E53" s="107">
        <f>'Works Working'!D53</f>
        <v>5.4329779392000017E-2</v>
      </c>
      <c r="F53" s="107">
        <f>'Works Working'!E53</f>
        <v>5.4329779392000017E-2</v>
      </c>
      <c r="G53" s="107">
        <f>'Works Working'!F53</f>
        <v>0.13491511235999998</v>
      </c>
      <c r="H53" s="107">
        <f>'Works Working'!G53</f>
        <v>8.3095170631199977E-2</v>
      </c>
      <c r="I53" s="107">
        <f>'Works Working'!H53</f>
        <v>8.2128923284800051E-2</v>
      </c>
      <c r="J53" s="107">
        <f>'Works Working'!I53</f>
        <v>0</v>
      </c>
      <c r="K53" s="107">
        <f>'Works Working'!J53</f>
        <v>0</v>
      </c>
      <c r="L53" s="107">
        <f t="shared" si="11"/>
        <v>2.504364909169666</v>
      </c>
      <c r="M53" s="108">
        <f>L53-'Works Working'!$L53</f>
        <v>0</v>
      </c>
    </row>
    <row r="54" spans="1:13">
      <c r="A54" s="121" t="s">
        <v>406</v>
      </c>
      <c r="B54" s="106">
        <f>'Works Working'!B54</f>
        <v>32.545418598877845</v>
      </c>
      <c r="C54" s="107">
        <v>0</v>
      </c>
      <c r="D54" s="107">
        <v>0</v>
      </c>
      <c r="E54" s="107">
        <v>0</v>
      </c>
      <c r="F54" s="107">
        <f>'Works Working'!C54</f>
        <v>0.58480898510331869</v>
      </c>
      <c r="G54" s="107">
        <f>'Works Working'!D54</f>
        <v>0.58480898510331869</v>
      </c>
      <c r="H54" s="107">
        <f>'Works Working'!E54</f>
        <v>0.58480898510331869</v>
      </c>
      <c r="I54" s="107">
        <f>'Works Working'!F54</f>
        <v>1.7544269553099561</v>
      </c>
      <c r="J54" s="107">
        <f>'Works Working'!G54</f>
        <v>1.1832112016111096</v>
      </c>
      <c r="K54" s="107">
        <f>'Works Working'!H54</f>
        <v>1.1832112016111096</v>
      </c>
      <c r="L54" s="107">
        <f t="shared" si="11"/>
        <v>38.420694912719981</v>
      </c>
      <c r="M54" s="108">
        <f>L54-'Works Working'!$L54</f>
        <v>0</v>
      </c>
    </row>
    <row r="55" spans="1:13">
      <c r="A55" s="121" t="s">
        <v>407</v>
      </c>
      <c r="B55" s="106">
        <f>'Works Working'!B55</f>
        <v>3.5018879676000001</v>
      </c>
      <c r="C55" s="107">
        <v>0</v>
      </c>
      <c r="D55" s="107">
        <f>'Works Working'!C55</f>
        <v>7.7616000000000018E-2</v>
      </c>
      <c r="E55" s="107">
        <f>'Works Working'!D55</f>
        <v>7.7616000000000018E-2</v>
      </c>
      <c r="F55" s="107">
        <f>'Works Working'!E55</f>
        <v>7.7616000000000018E-2</v>
      </c>
      <c r="G55" s="107">
        <f>'Works Working'!F55</f>
        <v>0.23284800000000005</v>
      </c>
      <c r="H55" s="107">
        <f>'Works Working'!G55</f>
        <v>0.23284800000000005</v>
      </c>
      <c r="I55" s="107">
        <f>'Works Working'!H55</f>
        <v>0.23284800000000005</v>
      </c>
      <c r="J55" s="107">
        <f>'Works Working'!I55</f>
        <v>0</v>
      </c>
      <c r="K55" s="107">
        <f>'Works Working'!J55</f>
        <v>0</v>
      </c>
      <c r="L55" s="107">
        <f t="shared" si="11"/>
        <v>4.4332799675999999</v>
      </c>
      <c r="M55" s="108">
        <f>L55-'Works Working'!$L55</f>
        <v>0</v>
      </c>
    </row>
    <row r="56" spans="1:13">
      <c r="A56" s="121" t="s">
        <v>408</v>
      </c>
      <c r="B56" s="106">
        <f>'Works Working'!B56</f>
        <v>1.8040028923999998</v>
      </c>
      <c r="C56" s="107">
        <v>0</v>
      </c>
      <c r="D56" s="107">
        <v>0</v>
      </c>
      <c r="E56" s="107">
        <f>'Works Working'!C56</f>
        <v>3.9983999999999999E-2</v>
      </c>
      <c r="F56" s="107">
        <f>'Works Working'!D56</f>
        <v>3.9983999999999999E-2</v>
      </c>
      <c r="G56" s="107">
        <f>'Works Working'!E56</f>
        <v>3.9983999999999999E-2</v>
      </c>
      <c r="H56" s="107">
        <f>'Works Working'!F56</f>
        <v>0.11995200000000002</v>
      </c>
      <c r="I56" s="107">
        <f>'Works Working'!G56</f>
        <v>0.11995200000000002</v>
      </c>
      <c r="J56" s="107">
        <f>'Works Working'!H56</f>
        <v>0.11995200000000002</v>
      </c>
      <c r="K56" s="107">
        <f>'Works Working'!I56</f>
        <v>0</v>
      </c>
      <c r="L56" s="107">
        <f t="shared" si="11"/>
        <v>2.2838108924</v>
      </c>
      <c r="M56" s="108">
        <f>L56-'Works Working'!$L56</f>
        <v>0</v>
      </c>
    </row>
    <row r="57" spans="1:13">
      <c r="A57" s="121" t="s">
        <v>409</v>
      </c>
      <c r="B57" s="106">
        <f>'Works Working'!B57</f>
        <v>1.1569158900000001</v>
      </c>
      <c r="C57" s="107">
        <v>0</v>
      </c>
      <c r="D57" s="107">
        <v>0</v>
      </c>
      <c r="E57" s="107">
        <v>0</v>
      </c>
      <c r="F57" s="107">
        <f>'Works Working'!C57</f>
        <v>2.0551089887354879</v>
      </c>
      <c r="G57" s="107">
        <f>'Works Working'!D57</f>
        <v>2.0551089887354879</v>
      </c>
      <c r="H57" s="107">
        <f>'Works Working'!E57</f>
        <v>2.0551089887354879</v>
      </c>
      <c r="I57" s="107">
        <f>'Works Working'!F57</f>
        <v>0.68667162723532815</v>
      </c>
      <c r="J57" s="107">
        <f>'Works Working'!G57</f>
        <v>0.57630217649356796</v>
      </c>
      <c r="K57" s="107">
        <f>'Works Working'!H57</f>
        <v>4.305724145065728</v>
      </c>
      <c r="L57" s="107">
        <f t="shared" si="11"/>
        <v>12.890940805001089</v>
      </c>
      <c r="M57" s="108">
        <f>L57-'Works Working'!$L57</f>
        <v>0</v>
      </c>
    </row>
    <row r="58" spans="1:13">
      <c r="A58" s="121" t="s">
        <v>390</v>
      </c>
      <c r="B58" s="106">
        <f>'Works Working'!B58</f>
        <v>1.7454974999999999</v>
      </c>
      <c r="C58" s="107">
        <v>0</v>
      </c>
      <c r="D58" s="107">
        <v>0</v>
      </c>
      <c r="E58" s="107">
        <v>0</v>
      </c>
      <c r="F58" s="107">
        <f>'Works Working'!C58</f>
        <v>0.1504104</v>
      </c>
      <c r="G58" s="107">
        <f>'Works Working'!D58</f>
        <v>0.1504104</v>
      </c>
      <c r="H58" s="107">
        <f>'Works Working'!E58</f>
        <v>0.1504104</v>
      </c>
      <c r="I58" s="107">
        <f>'Works Working'!F58</f>
        <v>0.45123120000000005</v>
      </c>
      <c r="J58" s="107">
        <f>'Works Working'!G58</f>
        <v>0.45123120000000005</v>
      </c>
      <c r="K58" s="107">
        <f>'Works Working'!H58</f>
        <v>0.45123120000000005</v>
      </c>
      <c r="L58" s="107">
        <f t="shared" si="11"/>
        <v>3.5504223000000001</v>
      </c>
      <c r="M58" s="108">
        <f>L58-'Works Working'!$L58</f>
        <v>0</v>
      </c>
    </row>
    <row r="59" spans="1:13">
      <c r="A59" s="121" t="s">
        <v>391</v>
      </c>
      <c r="B59" s="106">
        <f>'Works Working'!B59</f>
        <v>1.5237395990383527</v>
      </c>
      <c r="C59" s="107">
        <v>0</v>
      </c>
      <c r="D59" s="107">
        <v>0</v>
      </c>
      <c r="E59" s="107">
        <v>0</v>
      </c>
      <c r="F59" s="107">
        <f>'Works Working'!C59</f>
        <v>9.0510688479394336E-2</v>
      </c>
      <c r="G59" s="107">
        <f>'Works Working'!D59</f>
        <v>9.0510688479394336E-2</v>
      </c>
      <c r="H59" s="107">
        <f>'Works Working'!E59</f>
        <v>9.0510688479394336E-2</v>
      </c>
      <c r="I59" s="107">
        <f>'Works Working'!F59</f>
        <v>0.27153206543818309</v>
      </c>
      <c r="J59" s="107">
        <f>'Works Working'!G59</f>
        <v>0.21722565235054644</v>
      </c>
      <c r="K59" s="107">
        <f>'Works Working'!H59</f>
        <v>0.21722565235054644</v>
      </c>
      <c r="L59" s="107">
        <f t="shared" si="11"/>
        <v>2.5012550346158116</v>
      </c>
      <c r="M59" s="108">
        <f>L59-'Works Working'!$L59</f>
        <v>0</v>
      </c>
    </row>
    <row r="60" spans="1:13">
      <c r="A60" s="121" t="s">
        <v>392</v>
      </c>
      <c r="B60" s="106">
        <f>'Works Working'!B60</f>
        <v>1.1038549999999998</v>
      </c>
      <c r="C60" s="107">
        <v>0</v>
      </c>
      <c r="D60" s="107">
        <v>0</v>
      </c>
      <c r="E60" s="107">
        <v>0</v>
      </c>
      <c r="F60" s="107">
        <f>'Works Working'!C60</f>
        <v>4.7040000000000005E-2</v>
      </c>
      <c r="G60" s="107">
        <f>'Works Working'!D60</f>
        <v>4.7040000000000005E-2</v>
      </c>
      <c r="H60" s="107">
        <f>'Works Working'!E60</f>
        <v>4.7040000000000005E-2</v>
      </c>
      <c r="I60" s="107">
        <f>'Works Working'!F60</f>
        <v>0</v>
      </c>
      <c r="J60" s="107">
        <f>'Works Working'!G60</f>
        <v>0.14112000000000002</v>
      </c>
      <c r="K60" s="107">
        <f>'Works Working'!H60</f>
        <v>0</v>
      </c>
      <c r="L60" s="107">
        <f t="shared" si="11"/>
        <v>1.3860949999999996</v>
      </c>
      <c r="M60" s="108">
        <f>L60-'Works Working'!$L60</f>
        <v>0</v>
      </c>
    </row>
    <row r="61" spans="1:13">
      <c r="A61" s="121" t="s">
        <v>410</v>
      </c>
      <c r="B61" s="106">
        <f>'Works Working'!B61</f>
        <v>3.4182859999449997</v>
      </c>
      <c r="C61" s="107">
        <v>0</v>
      </c>
      <c r="D61" s="107">
        <v>0</v>
      </c>
      <c r="E61" s="107">
        <v>0</v>
      </c>
      <c r="F61" s="107">
        <f>'Works Working'!C61</f>
        <v>9.7955069940000011E-3</v>
      </c>
      <c r="G61" s="107">
        <f>'Works Working'!D61</f>
        <v>9.7955069940000011E-3</v>
      </c>
      <c r="H61" s="107">
        <f>'Works Working'!E61</f>
        <v>9.7955069940000011E-3</v>
      </c>
      <c r="I61" s="107">
        <f>'Works Working'!F61</f>
        <v>0</v>
      </c>
      <c r="J61" s="107">
        <f>'Works Working'!G61</f>
        <v>3.5261889599999999E-2</v>
      </c>
      <c r="K61" s="107">
        <f>'Works Working'!H61</f>
        <v>0.11057759143452001</v>
      </c>
      <c r="L61" s="107">
        <f t="shared" si="11"/>
        <v>3.5935120019615203</v>
      </c>
      <c r="M61" s="108">
        <f>L61-'Works Working'!$L61</f>
        <v>0</v>
      </c>
    </row>
    <row r="62" spans="1:13">
      <c r="A62" s="121" t="s">
        <v>411</v>
      </c>
      <c r="B62" s="106">
        <f>'Works Working'!B62</f>
        <v>0.37336784606675</v>
      </c>
      <c r="C62" s="107">
        <v>0</v>
      </c>
      <c r="D62" s="107">
        <f>'Works Working'!C62</f>
        <v>9.6651984347520016E-3</v>
      </c>
      <c r="E62" s="107">
        <f>'Works Working'!D62</f>
        <v>9.6651984347520016E-3</v>
      </c>
      <c r="F62" s="107">
        <f>'Works Working'!E62</f>
        <v>9.6651984347520016E-3</v>
      </c>
      <c r="G62" s="107">
        <f>'Works Working'!F62</f>
        <v>4.0617385956E-2</v>
      </c>
      <c r="H62" s="107">
        <f>'Works Working'!G62</f>
        <v>4.1222855310902994E-2</v>
      </c>
      <c r="I62" s="107">
        <f>'Works Working'!H62</f>
        <v>3.9417141090915001E-2</v>
      </c>
      <c r="J62" s="107">
        <f>'Works Working'!I62</f>
        <v>0</v>
      </c>
      <c r="K62" s="107">
        <f>'Works Working'!J62</f>
        <v>0</v>
      </c>
      <c r="L62" s="107">
        <f t="shared" si="11"/>
        <v>0.52362082372882401</v>
      </c>
      <c r="M62" s="108">
        <f>L62-'Works Working'!$L62</f>
        <v>0</v>
      </c>
    </row>
    <row r="63" spans="1:13">
      <c r="A63" s="121" t="s">
        <v>412</v>
      </c>
      <c r="B63" s="106">
        <f>'Works Working'!B63</f>
        <v>2.0775796</v>
      </c>
      <c r="C63" s="107">
        <v>0</v>
      </c>
      <c r="D63" s="107">
        <v>0</v>
      </c>
      <c r="E63" s="107">
        <v>0</v>
      </c>
      <c r="F63" s="107">
        <f>'Works Working'!C63</f>
        <v>0</v>
      </c>
      <c r="G63" s="107">
        <f>'Works Working'!D63</f>
        <v>0</v>
      </c>
      <c r="H63" s="107">
        <f>'Works Working'!E63</f>
        <v>0</v>
      </c>
      <c r="I63" s="107">
        <f>'Works Working'!F63</f>
        <v>0</v>
      </c>
      <c r="J63" s="107">
        <f>'Works Working'!G63</f>
        <v>0</v>
      </c>
      <c r="K63" s="107">
        <f>'Works Working'!H63</f>
        <v>0</v>
      </c>
      <c r="L63" s="107">
        <f t="shared" si="11"/>
        <v>2.0775796</v>
      </c>
      <c r="M63" s="108">
        <f>L63-'Works Working'!$L63</f>
        <v>0</v>
      </c>
    </row>
    <row r="64" spans="1:13">
      <c r="A64" s="113" t="s">
        <v>413</v>
      </c>
      <c r="B64" s="106">
        <f>'Works Working'!B64</f>
        <v>0.121169625</v>
      </c>
      <c r="C64" s="107">
        <v>0</v>
      </c>
      <c r="D64" s="107">
        <v>0</v>
      </c>
      <c r="E64" s="107">
        <f>'Works Working'!C64</f>
        <v>2.5461346680000004E-2</v>
      </c>
      <c r="F64" s="107">
        <f>'Works Working'!D64</f>
        <v>2.5461346680000004E-2</v>
      </c>
      <c r="G64" s="107">
        <f>'Works Working'!E64</f>
        <v>2.5461346680000004E-2</v>
      </c>
      <c r="H64" s="107">
        <f>'Works Working'!F64</f>
        <v>7.3196827200000009E-2</v>
      </c>
      <c r="I64" s="107">
        <f>'Works Working'!G64</f>
        <v>5.3201005200000005E-2</v>
      </c>
      <c r="J64" s="107">
        <f>'Works Working'!H64</f>
        <v>2.1207690000000001E-2</v>
      </c>
      <c r="K64" s="107">
        <f>'Works Working'!I64</f>
        <v>0</v>
      </c>
      <c r="L64" s="107">
        <f t="shared" si="11"/>
        <v>0.34515918744000001</v>
      </c>
      <c r="M64" s="108">
        <f>L64-'Works Working'!$L64</f>
        <v>0</v>
      </c>
    </row>
    <row r="65" spans="1:13">
      <c r="A65" s="121" t="s">
        <v>414</v>
      </c>
      <c r="B65" s="106">
        <f>'Works Working'!B65</f>
        <v>20.925869299999999</v>
      </c>
      <c r="C65" s="107">
        <v>0</v>
      </c>
      <c r="D65" s="107">
        <v>0</v>
      </c>
      <c r="E65" s="107">
        <v>0</v>
      </c>
      <c r="F65" s="107">
        <f>'Works Working'!C65</f>
        <v>0.83966400000000008</v>
      </c>
      <c r="G65" s="107">
        <f>'Works Working'!D65</f>
        <v>0.83966400000000008</v>
      </c>
      <c r="H65" s="107">
        <f>'Works Working'!E65</f>
        <v>0.83966400000000008</v>
      </c>
      <c r="I65" s="107">
        <f>'Works Working'!F65</f>
        <v>2.5189920000000003</v>
      </c>
      <c r="J65" s="107">
        <f>'Works Working'!G65</f>
        <v>2.5189920000000003</v>
      </c>
      <c r="K65" s="107">
        <f>'Works Working'!H65</f>
        <v>1.8892440000000004</v>
      </c>
      <c r="L65" s="107">
        <f t="shared" si="11"/>
        <v>30.372089299999999</v>
      </c>
      <c r="M65" s="108">
        <f>L65-'Works Working'!$L65</f>
        <v>0</v>
      </c>
    </row>
    <row r="66" spans="1:13">
      <c r="A66" s="121" t="s">
        <v>398</v>
      </c>
      <c r="B66" s="106">
        <f>'Works Working'!B66</f>
        <v>1.5770599999999999</v>
      </c>
      <c r="C66" s="107">
        <v>0</v>
      </c>
      <c r="D66" s="107">
        <v>0</v>
      </c>
      <c r="E66" s="107">
        <f>'Works Working'!C66</f>
        <v>7.8400000000000011E-2</v>
      </c>
      <c r="F66" s="107">
        <f>'Works Working'!D66</f>
        <v>7.8400000000000011E-2</v>
      </c>
      <c r="G66" s="107">
        <f>'Works Working'!E66</f>
        <v>7.8400000000000011E-2</v>
      </c>
      <c r="H66" s="107">
        <f>'Works Working'!F66</f>
        <v>0.23520000000000005</v>
      </c>
      <c r="I66" s="107">
        <f>'Works Working'!G66</f>
        <v>0.23520000000000005</v>
      </c>
      <c r="J66" s="107">
        <f>'Works Working'!H66</f>
        <v>0.17640000000000003</v>
      </c>
      <c r="K66" s="107">
        <f>'Works Working'!I66</f>
        <v>0</v>
      </c>
      <c r="L66" s="107">
        <f t="shared" si="11"/>
        <v>2.45906</v>
      </c>
      <c r="M66" s="108">
        <f>L66-'Works Working'!$L66</f>
        <v>0</v>
      </c>
    </row>
    <row r="67" spans="1:13">
      <c r="A67" s="121" t="s">
        <v>415</v>
      </c>
      <c r="B67" s="106">
        <f>'Works Working'!B67</f>
        <v>17.792101330959188</v>
      </c>
      <c r="C67" s="107">
        <v>0</v>
      </c>
      <c r="D67" s="107">
        <v>0</v>
      </c>
      <c r="E67" s="107">
        <v>0</v>
      </c>
      <c r="F67" s="107">
        <f>'Works Working'!C67</f>
        <v>7.4480000000000018E-2</v>
      </c>
      <c r="G67" s="107">
        <f>'Works Working'!D67</f>
        <v>7.4480000000000018E-2</v>
      </c>
      <c r="H67" s="107">
        <f>'Works Working'!E67</f>
        <v>7.4480000000000018E-2</v>
      </c>
      <c r="I67" s="107">
        <f>'Works Working'!F67</f>
        <v>0.44688000000000005</v>
      </c>
      <c r="J67" s="107">
        <f>'Works Working'!G67</f>
        <v>0.44688000000000005</v>
      </c>
      <c r="K67" s="107">
        <f>'Works Working'!H67</f>
        <v>0.35616336000000004</v>
      </c>
      <c r="L67" s="107">
        <f t="shared" si="11"/>
        <v>19.265464690959192</v>
      </c>
      <c r="M67" s="108">
        <f>L67-'Works Working'!$L67</f>
        <v>0</v>
      </c>
    </row>
    <row r="68" spans="1:13">
      <c r="A68" s="121" t="s">
        <v>416</v>
      </c>
      <c r="B68" s="106">
        <f>'Works Working'!B68</f>
        <v>17.673518475744224</v>
      </c>
      <c r="C68" s="107">
        <v>0</v>
      </c>
      <c r="D68" s="107">
        <f>'Works Working'!C68</f>
        <v>1.0907661665299841</v>
      </c>
      <c r="E68" s="107">
        <f>'Works Working'!D68</f>
        <v>1.0907661665299841</v>
      </c>
      <c r="F68" s="107">
        <f>'Works Working'!E68</f>
        <v>1.0907661665299841</v>
      </c>
      <c r="G68" s="107">
        <f>'Works Working'!F68</f>
        <v>3.2722984995899531</v>
      </c>
      <c r="H68" s="107">
        <f>'Works Working'!G68</f>
        <v>3.2722984995899531</v>
      </c>
      <c r="I68" s="107">
        <f>'Works Working'!H68</f>
        <v>2.5056303768486252</v>
      </c>
      <c r="J68" s="107">
        <f>'Works Working'!I68</f>
        <v>0</v>
      </c>
      <c r="K68" s="107">
        <f>'Works Working'!J68</f>
        <v>0</v>
      </c>
      <c r="L68" s="107">
        <f t="shared" si="11"/>
        <v>29.996044351362713</v>
      </c>
      <c r="M68" s="108">
        <f>L68-'Works Working'!$L68</f>
        <v>0</v>
      </c>
    </row>
    <row r="69" spans="1:13" ht="12.75" thickBot="1">
      <c r="A69" s="102" t="s">
        <v>54</v>
      </c>
      <c r="B69" s="114">
        <f t="shared" ref="B69:L69" si="12">SUM(B50:B68)</f>
        <v>196.57653101940494</v>
      </c>
      <c r="C69" s="115">
        <f t="shared" si="12"/>
        <v>0</v>
      </c>
      <c r="D69" s="115">
        <f t="shared" si="12"/>
        <v>1.3378408337647363</v>
      </c>
      <c r="E69" s="115">
        <f t="shared" si="12"/>
        <v>1.4816861804447363</v>
      </c>
      <c r="F69" s="115">
        <f t="shared" si="12"/>
        <v>6.3383745270357341</v>
      </c>
      <c r="G69" s="115">
        <f t="shared" si="12"/>
        <v>8.9431067328169505</v>
      </c>
      <c r="H69" s="115">
        <f t="shared" si="12"/>
        <v>9.0758040893718537</v>
      </c>
      <c r="I69" s="115">
        <f t="shared" si="12"/>
        <v>12.206394215640822</v>
      </c>
      <c r="J69" s="115">
        <f t="shared" si="12"/>
        <v>8.4592301991597054</v>
      </c>
      <c r="K69" s="115">
        <f t="shared" si="12"/>
        <v>11.164539075891982</v>
      </c>
      <c r="L69" s="115">
        <f t="shared" si="12"/>
        <v>255.58350687353155</v>
      </c>
    </row>
    <row r="70" spans="1:13" ht="12.75" thickTop="1">
      <c r="B70" s="108"/>
      <c r="C70" s="116"/>
      <c r="D70" s="116"/>
      <c r="E70" s="116"/>
    </row>
    <row r="71" spans="1:13">
      <c r="A71" s="101" t="s">
        <v>417</v>
      </c>
      <c r="B71" s="100"/>
      <c r="C71" s="101"/>
      <c r="D71" s="101"/>
      <c r="E71" s="101"/>
      <c r="F71" s="101"/>
      <c r="G71" s="101"/>
      <c r="H71" s="101"/>
      <c r="I71" s="101"/>
      <c r="J71" s="101"/>
      <c r="K71" s="101"/>
      <c r="L71" s="101"/>
    </row>
    <row r="72" spans="1:13">
      <c r="A72" s="102" t="s">
        <v>359</v>
      </c>
      <c r="B72" s="103">
        <f t="shared" ref="B72:K72" si="13">B49</f>
        <v>44713</v>
      </c>
      <c r="C72" s="104">
        <f t="shared" si="13"/>
        <v>44743</v>
      </c>
      <c r="D72" s="104">
        <f t="shared" si="13"/>
        <v>44774</v>
      </c>
      <c r="E72" s="104">
        <f t="shared" si="13"/>
        <v>44805</v>
      </c>
      <c r="F72" s="104">
        <f t="shared" si="13"/>
        <v>44835</v>
      </c>
      <c r="G72" s="104">
        <f t="shared" si="13"/>
        <v>44866</v>
      </c>
      <c r="H72" s="104">
        <f t="shared" si="13"/>
        <v>44896</v>
      </c>
      <c r="I72" s="104">
        <f t="shared" si="13"/>
        <v>44927</v>
      </c>
      <c r="J72" s="104">
        <f t="shared" si="13"/>
        <v>44958</v>
      </c>
      <c r="K72" s="104">
        <f t="shared" si="13"/>
        <v>44986</v>
      </c>
      <c r="L72" s="100" t="s">
        <v>54</v>
      </c>
    </row>
    <row r="73" spans="1:13">
      <c r="A73" s="121" t="s">
        <v>418</v>
      </c>
      <c r="B73" s="106">
        <f>'Works Working'!B73</f>
        <v>0</v>
      </c>
      <c r="C73" s="107">
        <v>0</v>
      </c>
      <c r="D73" s="107">
        <v>0</v>
      </c>
      <c r="E73" s="107">
        <f>'Works Working'!C73</f>
        <v>0.17</v>
      </c>
      <c r="F73" s="107">
        <f>'Works Working'!D73</f>
        <v>0.17</v>
      </c>
      <c r="G73" s="107">
        <f>'Works Working'!E73</f>
        <v>0.17</v>
      </c>
      <c r="H73" s="107">
        <f>'Works Working'!F73</f>
        <v>0.17</v>
      </c>
      <c r="I73" s="107">
        <f>'Works Working'!G73</f>
        <v>0.17</v>
      </c>
      <c r="J73" s="107">
        <f>'Works Working'!H73</f>
        <v>0.17</v>
      </c>
      <c r="K73" s="107">
        <f>'Works Working'!I73</f>
        <v>0.17</v>
      </c>
      <c r="L73" s="107">
        <f>SUM(B73:K73)</f>
        <v>1.19</v>
      </c>
      <c r="M73" s="108">
        <f>L73-'Works Working'!$L73</f>
        <v>0</v>
      </c>
    </row>
    <row r="74" spans="1:13">
      <c r="A74" s="121" t="s">
        <v>419</v>
      </c>
      <c r="B74" s="106">
        <f>'Works Working'!B74</f>
        <v>0</v>
      </c>
      <c r="C74" s="107">
        <v>0</v>
      </c>
      <c r="D74" s="107">
        <v>0</v>
      </c>
      <c r="E74" s="107">
        <f>'Works Working'!C74</f>
        <v>0</v>
      </c>
      <c r="F74" s="107">
        <f>'Works Working'!D74</f>
        <v>0</v>
      </c>
      <c r="G74" s="107">
        <f>'Works Working'!E74</f>
        <v>0</v>
      </c>
      <c r="H74" s="107">
        <f>'Works Working'!F74</f>
        <v>0</v>
      </c>
      <c r="I74" s="107">
        <f>'Works Working'!G74</f>
        <v>0</v>
      </c>
      <c r="J74" s="107">
        <f>'Works Working'!H74</f>
        <v>0</v>
      </c>
      <c r="K74" s="107">
        <f>'Works Working'!I74</f>
        <v>0</v>
      </c>
      <c r="L74" s="107">
        <f>SUM(B74:K74)</f>
        <v>0</v>
      </c>
      <c r="M74" s="108">
        <f>L74-'Works Working'!$L74</f>
        <v>0</v>
      </c>
    </row>
    <row r="75" spans="1:13" ht="12.75" thickBot="1">
      <c r="A75" s="102" t="s">
        <v>54</v>
      </c>
      <c r="B75" s="114">
        <f t="shared" ref="B75:L75" si="14">SUM(B73:B74)</f>
        <v>0</v>
      </c>
      <c r="C75" s="115">
        <f t="shared" si="14"/>
        <v>0</v>
      </c>
      <c r="D75" s="115">
        <f t="shared" si="14"/>
        <v>0</v>
      </c>
      <c r="E75" s="115">
        <f t="shared" si="14"/>
        <v>0.17</v>
      </c>
      <c r="F75" s="115">
        <f t="shared" si="14"/>
        <v>0.17</v>
      </c>
      <c r="G75" s="115">
        <f t="shared" si="14"/>
        <v>0.17</v>
      </c>
      <c r="H75" s="115">
        <f t="shared" si="14"/>
        <v>0.17</v>
      </c>
      <c r="I75" s="115">
        <f t="shared" si="14"/>
        <v>0.17</v>
      </c>
      <c r="J75" s="115">
        <f t="shared" si="14"/>
        <v>0.17</v>
      </c>
      <c r="K75" s="115">
        <f t="shared" si="14"/>
        <v>0.17</v>
      </c>
      <c r="L75" s="115">
        <f t="shared" si="14"/>
        <v>1.19</v>
      </c>
    </row>
    <row r="76" spans="1:13" ht="12.75" thickTop="1">
      <c r="A76" s="102"/>
      <c r="B76" s="119"/>
      <c r="C76" s="120"/>
      <c r="D76" s="120"/>
      <c r="E76" s="120"/>
      <c r="F76" s="120"/>
      <c r="G76" s="120"/>
      <c r="H76" s="120"/>
      <c r="I76" s="120"/>
      <c r="J76" s="120"/>
      <c r="K76" s="120"/>
      <c r="L76" s="120"/>
    </row>
    <row r="77" spans="1:13">
      <c r="A77" s="102" t="s">
        <v>368</v>
      </c>
      <c r="B77" s="103">
        <f t="shared" ref="B77:L77" si="15">B72</f>
        <v>44713</v>
      </c>
      <c r="C77" s="104">
        <f t="shared" si="15"/>
        <v>44743</v>
      </c>
      <c r="D77" s="104">
        <f t="shared" si="15"/>
        <v>44774</v>
      </c>
      <c r="E77" s="104">
        <f t="shared" si="15"/>
        <v>44805</v>
      </c>
      <c r="F77" s="104">
        <f t="shared" si="15"/>
        <v>44835</v>
      </c>
      <c r="G77" s="104">
        <f t="shared" si="15"/>
        <v>44866</v>
      </c>
      <c r="H77" s="104">
        <f t="shared" si="15"/>
        <v>44896</v>
      </c>
      <c r="I77" s="104">
        <f t="shared" si="15"/>
        <v>44927</v>
      </c>
      <c r="J77" s="104">
        <f t="shared" si="15"/>
        <v>44958</v>
      </c>
      <c r="K77" s="104">
        <f t="shared" si="15"/>
        <v>44986</v>
      </c>
      <c r="L77" s="103" t="str">
        <f t="shared" si="15"/>
        <v>Total</v>
      </c>
    </row>
    <row r="78" spans="1:13">
      <c r="A78" s="121" t="s">
        <v>418</v>
      </c>
      <c r="B78" s="106">
        <v>0</v>
      </c>
      <c r="C78" s="107">
        <v>0</v>
      </c>
      <c r="D78" s="107">
        <v>0</v>
      </c>
      <c r="E78" s="107">
        <f>'Works Working'!C78</f>
        <v>0.22</v>
      </c>
      <c r="F78" s="107">
        <f>'Works Working'!D78</f>
        <v>0.22</v>
      </c>
      <c r="G78" s="107">
        <f>'Works Working'!E78</f>
        <v>0.22</v>
      </c>
      <c r="H78" s="107">
        <f>'Works Working'!F78</f>
        <v>0.22</v>
      </c>
      <c r="I78" s="107">
        <f>'Works Working'!G78</f>
        <v>0.22</v>
      </c>
      <c r="J78" s="107">
        <f>'Works Working'!H78</f>
        <v>0.22</v>
      </c>
      <c r="K78" s="107">
        <f>'Works Working'!I78</f>
        <v>0.22</v>
      </c>
      <c r="L78" s="107">
        <f>SUM(B78:K78)</f>
        <v>1.54</v>
      </c>
      <c r="M78" s="108">
        <f>L78-'Works Working'!$L78</f>
        <v>0</v>
      </c>
    </row>
    <row r="79" spans="1:13">
      <c r="A79" s="121" t="s">
        <v>419</v>
      </c>
      <c r="B79" s="106">
        <v>0</v>
      </c>
      <c r="C79" s="107">
        <v>0</v>
      </c>
      <c r="D79" s="107">
        <v>0</v>
      </c>
      <c r="E79" s="107">
        <f>'Works Working'!C79</f>
        <v>0</v>
      </c>
      <c r="F79" s="107">
        <f>'Works Working'!D79</f>
        <v>0</v>
      </c>
      <c r="G79" s="107">
        <f>'Works Working'!E79</f>
        <v>0</v>
      </c>
      <c r="H79" s="107">
        <f>'Works Working'!F79</f>
        <v>0</v>
      </c>
      <c r="I79" s="107">
        <f>'Works Working'!G79</f>
        <v>0</v>
      </c>
      <c r="J79" s="107">
        <f>'Works Working'!H79</f>
        <v>0</v>
      </c>
      <c r="K79" s="107">
        <f>'Works Working'!I79</f>
        <v>0</v>
      </c>
      <c r="L79" s="107">
        <f>SUM(B79:K79)</f>
        <v>0</v>
      </c>
      <c r="M79" s="108">
        <f>L79-'Works Working'!$L79</f>
        <v>0</v>
      </c>
    </row>
    <row r="80" spans="1:13" ht="12.75" thickBot="1">
      <c r="A80" s="102" t="s">
        <v>54</v>
      </c>
      <c r="B80" s="114">
        <f t="shared" ref="B80:L80" si="16">SUM(B78:B79)</f>
        <v>0</v>
      </c>
      <c r="C80" s="115">
        <f t="shared" si="16"/>
        <v>0</v>
      </c>
      <c r="D80" s="115">
        <f t="shared" si="16"/>
        <v>0</v>
      </c>
      <c r="E80" s="115">
        <f t="shared" si="16"/>
        <v>0.22</v>
      </c>
      <c r="F80" s="115">
        <f t="shared" si="16"/>
        <v>0.22</v>
      </c>
      <c r="G80" s="115">
        <f t="shared" si="16"/>
        <v>0.22</v>
      </c>
      <c r="H80" s="115">
        <f t="shared" si="16"/>
        <v>0.22</v>
      </c>
      <c r="I80" s="115">
        <f t="shared" si="16"/>
        <v>0.22</v>
      </c>
      <c r="J80" s="115">
        <f t="shared" si="16"/>
        <v>0.22</v>
      </c>
      <c r="K80" s="115">
        <f t="shared" si="16"/>
        <v>0.22</v>
      </c>
      <c r="L80" s="115">
        <f t="shared" si="16"/>
        <v>1.54</v>
      </c>
    </row>
    <row r="81" ht="12.75" thickTop="1"/>
  </sheetData>
  <pageMargins left="0.7" right="0.7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pageSetUpPr fitToPage="1"/>
  </sheetPr>
  <dimension ref="A1:M81"/>
  <sheetViews>
    <sheetView workbookViewId="0">
      <pane xSplit="1" topLeftCell="B1" activePane="topRight" state="frozen"/>
      <selection pane="topRight"/>
    </sheetView>
  </sheetViews>
  <sheetFormatPr defaultColWidth="9" defaultRowHeight="12"/>
  <cols>
    <col min="1" max="1" width="33.1640625" style="99" bestFit="1" customWidth="1"/>
    <col min="2" max="2" width="8" style="111" bestFit="1" customWidth="1"/>
    <col min="3" max="11" width="7" style="99" customWidth="1"/>
    <col min="12" max="12" width="8.1640625" style="99" bestFit="1" customWidth="1"/>
    <col min="13" max="16384" width="9" style="99"/>
  </cols>
  <sheetData>
    <row r="1" spans="1:12">
      <c r="A1" s="101" t="s">
        <v>364</v>
      </c>
      <c r="B1" s="122">
        <v>27.5</v>
      </c>
      <c r="C1" s="43">
        <f>B1</f>
        <v>27.5</v>
      </c>
      <c r="D1" s="43">
        <f t="shared" ref="D1:K1" si="0">C1</f>
        <v>27.5</v>
      </c>
      <c r="E1" s="43">
        <f t="shared" si="0"/>
        <v>27.5</v>
      </c>
      <c r="F1" s="43">
        <f t="shared" si="0"/>
        <v>27.5</v>
      </c>
      <c r="G1" s="43">
        <f t="shared" si="0"/>
        <v>27.5</v>
      </c>
      <c r="H1" s="43">
        <f t="shared" si="0"/>
        <v>27.5</v>
      </c>
      <c r="I1" s="43">
        <f t="shared" si="0"/>
        <v>27.5</v>
      </c>
      <c r="J1" s="43">
        <f t="shared" si="0"/>
        <v>27.5</v>
      </c>
      <c r="K1" s="43">
        <f t="shared" si="0"/>
        <v>27.5</v>
      </c>
      <c r="L1" s="101"/>
    </row>
    <row r="2" spans="1:12">
      <c r="A2" s="102" t="s">
        <v>359</v>
      </c>
      <c r="B2" s="103">
        <v>44713</v>
      </c>
      <c r="C2" s="103">
        <v>44743</v>
      </c>
      <c r="D2" s="103">
        <v>44774</v>
      </c>
      <c r="E2" s="103">
        <v>44805</v>
      </c>
      <c r="F2" s="103">
        <v>44835</v>
      </c>
      <c r="G2" s="103">
        <v>44866</v>
      </c>
      <c r="H2" s="103">
        <v>44896</v>
      </c>
      <c r="I2" s="103">
        <v>44927</v>
      </c>
      <c r="J2" s="103">
        <v>44958</v>
      </c>
      <c r="K2" s="103">
        <v>44986</v>
      </c>
      <c r="L2" s="100" t="s">
        <v>54</v>
      </c>
    </row>
    <row r="3" spans="1:12">
      <c r="A3" s="123" t="s">
        <v>268</v>
      </c>
      <c r="B3" s="108">
        <v>11.783325448199999</v>
      </c>
      <c r="C3" s="108">
        <v>0</v>
      </c>
      <c r="D3" s="108">
        <v>0</v>
      </c>
      <c r="E3" s="108">
        <v>0</v>
      </c>
      <c r="F3" s="108">
        <v>0</v>
      </c>
      <c r="G3" s="108">
        <v>0</v>
      </c>
      <c r="H3" s="108">
        <v>0</v>
      </c>
      <c r="I3" s="108">
        <v>0</v>
      </c>
      <c r="J3" s="108">
        <v>0</v>
      </c>
      <c r="K3" s="108">
        <v>0</v>
      </c>
      <c r="L3" s="116">
        <f>SUM(B3:K3)</f>
        <v>11.783325448199999</v>
      </c>
    </row>
    <row r="4" spans="1:12">
      <c r="A4" s="123" t="s">
        <v>420</v>
      </c>
      <c r="B4" s="108">
        <v>3.0513512320354996</v>
      </c>
      <c r="C4" s="116">
        <v>0</v>
      </c>
      <c r="D4" s="116">
        <v>0</v>
      </c>
      <c r="E4" s="116">
        <v>0</v>
      </c>
      <c r="F4" s="116">
        <v>0</v>
      </c>
      <c r="G4" s="116">
        <v>0</v>
      </c>
      <c r="H4" s="116">
        <v>0</v>
      </c>
      <c r="I4" s="116">
        <v>0</v>
      </c>
      <c r="J4" s="116">
        <v>0</v>
      </c>
      <c r="K4" s="116">
        <v>0</v>
      </c>
      <c r="L4" s="116">
        <f>SUM(B4:K4)</f>
        <v>3.0513512320354996</v>
      </c>
    </row>
    <row r="5" spans="1:12">
      <c r="A5" s="123" t="s">
        <v>421</v>
      </c>
      <c r="B5" s="116">
        <v>0</v>
      </c>
      <c r="C5" s="116">
        <v>0</v>
      </c>
      <c r="D5" s="116">
        <v>0</v>
      </c>
      <c r="E5" s="116">
        <v>0</v>
      </c>
      <c r="F5" s="116">
        <v>0</v>
      </c>
      <c r="G5" s="116">
        <v>0</v>
      </c>
      <c r="H5" s="116">
        <v>0</v>
      </c>
      <c r="I5" s="116">
        <v>0</v>
      </c>
      <c r="J5" s="116">
        <v>0</v>
      </c>
      <c r="K5" s="116">
        <v>0</v>
      </c>
      <c r="L5" s="116">
        <f>SUM(B5:K5)</f>
        <v>0</v>
      </c>
    </row>
    <row r="6" spans="1:12" ht="12.75" thickBot="1">
      <c r="A6" s="102" t="s">
        <v>54</v>
      </c>
      <c r="B6" s="114">
        <f t="shared" ref="B6:L6" si="1">SUM(B3:B5)</f>
        <v>14.8346766802355</v>
      </c>
      <c r="C6" s="115">
        <f t="shared" si="1"/>
        <v>0</v>
      </c>
      <c r="D6" s="115">
        <f t="shared" si="1"/>
        <v>0</v>
      </c>
      <c r="E6" s="115">
        <f t="shared" si="1"/>
        <v>0</v>
      </c>
      <c r="F6" s="115">
        <f t="shared" si="1"/>
        <v>0</v>
      </c>
      <c r="G6" s="115">
        <f t="shared" si="1"/>
        <v>0</v>
      </c>
      <c r="H6" s="115">
        <f t="shared" si="1"/>
        <v>0</v>
      </c>
      <c r="I6" s="115">
        <f t="shared" si="1"/>
        <v>0</v>
      </c>
      <c r="J6" s="115">
        <f t="shared" si="1"/>
        <v>0</v>
      </c>
      <c r="K6" s="115">
        <f t="shared" si="1"/>
        <v>0</v>
      </c>
      <c r="L6" s="115">
        <f t="shared" si="1"/>
        <v>14.8346766802355</v>
      </c>
    </row>
    <row r="7" spans="1:12" ht="12.75" thickTop="1">
      <c r="A7" s="102"/>
      <c r="B7" s="119"/>
      <c r="C7" s="120"/>
      <c r="D7" s="120"/>
      <c r="E7" s="120"/>
      <c r="F7" s="120"/>
      <c r="G7" s="120"/>
      <c r="H7" s="120"/>
      <c r="I7" s="120"/>
      <c r="J7" s="120"/>
      <c r="K7" s="120"/>
      <c r="L7" s="120"/>
    </row>
    <row r="8" spans="1:12">
      <c r="A8" s="102" t="s">
        <v>368</v>
      </c>
      <c r="B8" s="103">
        <f t="shared" ref="B8:L8" si="2">B2</f>
        <v>44713</v>
      </c>
      <c r="C8" s="104">
        <f t="shared" si="2"/>
        <v>44743</v>
      </c>
      <c r="D8" s="104">
        <f t="shared" si="2"/>
        <v>44774</v>
      </c>
      <c r="E8" s="104">
        <f t="shared" si="2"/>
        <v>44805</v>
      </c>
      <c r="F8" s="104">
        <f t="shared" si="2"/>
        <v>44835</v>
      </c>
      <c r="G8" s="104">
        <f t="shared" si="2"/>
        <v>44866</v>
      </c>
      <c r="H8" s="104">
        <f t="shared" si="2"/>
        <v>44896</v>
      </c>
      <c r="I8" s="104">
        <f t="shared" si="2"/>
        <v>44927</v>
      </c>
      <c r="J8" s="104">
        <f t="shared" si="2"/>
        <v>44958</v>
      </c>
      <c r="K8" s="104">
        <f t="shared" si="2"/>
        <v>44986</v>
      </c>
      <c r="L8" s="103" t="str">
        <f t="shared" si="2"/>
        <v>Total</v>
      </c>
    </row>
    <row r="9" spans="1:12">
      <c r="A9" s="123" t="s">
        <v>268</v>
      </c>
      <c r="B9" s="124">
        <v>11.834578115999999</v>
      </c>
      <c r="C9" s="124">
        <v>0</v>
      </c>
      <c r="D9" s="124">
        <v>0</v>
      </c>
      <c r="E9" s="124">
        <v>0</v>
      </c>
      <c r="F9" s="124">
        <v>0</v>
      </c>
      <c r="G9" s="124">
        <v>0</v>
      </c>
      <c r="H9" s="124">
        <v>0</v>
      </c>
      <c r="I9" s="124">
        <v>0</v>
      </c>
      <c r="J9" s="124">
        <v>0</v>
      </c>
      <c r="K9" s="124">
        <v>0</v>
      </c>
      <c r="L9" s="116">
        <f>SUM(B9:K9)</f>
        <v>11.834578115999999</v>
      </c>
    </row>
    <row r="10" spans="1:12">
      <c r="A10" s="121" t="s">
        <v>420</v>
      </c>
      <c r="B10" s="124">
        <v>4.5540512627299998</v>
      </c>
      <c r="C10" s="124">
        <v>0</v>
      </c>
      <c r="D10" s="124">
        <v>0</v>
      </c>
      <c r="E10" s="124">
        <v>0</v>
      </c>
      <c r="F10" s="124">
        <v>0</v>
      </c>
      <c r="G10" s="124">
        <v>0</v>
      </c>
      <c r="H10" s="124">
        <v>0</v>
      </c>
      <c r="I10" s="124">
        <v>0</v>
      </c>
      <c r="J10" s="124">
        <v>0</v>
      </c>
      <c r="K10" s="124">
        <v>0</v>
      </c>
      <c r="L10" s="116">
        <f>SUM(B10:K10)</f>
        <v>4.5540512627299998</v>
      </c>
    </row>
    <row r="11" spans="1:12" ht="12.75" thickBot="1">
      <c r="A11" s="102" t="s">
        <v>54</v>
      </c>
      <c r="B11" s="114">
        <f t="shared" ref="B11:L11" si="3">SUM(B9:B10)</f>
        <v>16.388629378729998</v>
      </c>
      <c r="C11" s="115">
        <f t="shared" si="3"/>
        <v>0</v>
      </c>
      <c r="D11" s="115">
        <f t="shared" si="3"/>
        <v>0</v>
      </c>
      <c r="E11" s="115">
        <f t="shared" si="3"/>
        <v>0</v>
      </c>
      <c r="F11" s="115">
        <f t="shared" si="3"/>
        <v>0</v>
      </c>
      <c r="G11" s="115">
        <f t="shared" si="3"/>
        <v>0</v>
      </c>
      <c r="H11" s="115">
        <f t="shared" si="3"/>
        <v>0</v>
      </c>
      <c r="I11" s="115">
        <f t="shared" si="3"/>
        <v>0</v>
      </c>
      <c r="J11" s="115">
        <f t="shared" si="3"/>
        <v>0</v>
      </c>
      <c r="K11" s="115">
        <f t="shared" si="3"/>
        <v>0</v>
      </c>
      <c r="L11" s="115">
        <f t="shared" si="3"/>
        <v>16.388629378729998</v>
      </c>
    </row>
    <row r="12" spans="1:12" ht="12.75" thickTop="1">
      <c r="B12" s="69"/>
      <c r="C12" s="34"/>
      <c r="D12" s="34"/>
      <c r="E12" s="34"/>
      <c r="F12" s="34"/>
      <c r="G12" s="34"/>
      <c r="H12" s="34"/>
      <c r="I12" s="34"/>
      <c r="J12" s="34"/>
      <c r="K12" s="34"/>
      <c r="L12" s="116"/>
    </row>
    <row r="13" spans="1:12">
      <c r="A13" s="101" t="s">
        <v>365</v>
      </c>
      <c r="B13" s="100"/>
      <c r="C13" s="101"/>
      <c r="D13" s="101"/>
      <c r="E13" s="101"/>
      <c r="F13" s="101"/>
      <c r="G13" s="101"/>
      <c r="H13" s="101"/>
      <c r="I13" s="101"/>
      <c r="J13" s="101"/>
      <c r="K13" s="101"/>
      <c r="L13" s="101"/>
    </row>
    <row r="14" spans="1:12">
      <c r="A14" s="102" t="s">
        <v>359</v>
      </c>
      <c r="B14" s="103">
        <f t="shared" ref="B14:L14" si="4">B8</f>
        <v>44713</v>
      </c>
      <c r="C14" s="104">
        <f t="shared" si="4"/>
        <v>44743</v>
      </c>
      <c r="D14" s="104">
        <f t="shared" si="4"/>
        <v>44774</v>
      </c>
      <c r="E14" s="104">
        <f t="shared" si="4"/>
        <v>44805</v>
      </c>
      <c r="F14" s="104">
        <f t="shared" si="4"/>
        <v>44835</v>
      </c>
      <c r="G14" s="104">
        <f t="shared" si="4"/>
        <v>44866</v>
      </c>
      <c r="H14" s="104">
        <f t="shared" si="4"/>
        <v>44896</v>
      </c>
      <c r="I14" s="104">
        <f t="shared" si="4"/>
        <v>44927</v>
      </c>
      <c r="J14" s="104">
        <f t="shared" si="4"/>
        <v>44958</v>
      </c>
      <c r="K14" s="104">
        <f t="shared" si="4"/>
        <v>44986</v>
      </c>
      <c r="L14" s="103" t="str">
        <f t="shared" si="4"/>
        <v>Total</v>
      </c>
    </row>
    <row r="15" spans="1:12">
      <c r="A15" s="123" t="s">
        <v>268</v>
      </c>
      <c r="B15" s="108">
        <v>5.4483628631949994</v>
      </c>
      <c r="C15" s="108">
        <v>0</v>
      </c>
      <c r="D15" s="108">
        <v>0</v>
      </c>
      <c r="E15" s="108">
        <v>0</v>
      </c>
      <c r="F15" s="108">
        <v>0</v>
      </c>
      <c r="G15" s="108">
        <v>0</v>
      </c>
      <c r="H15" s="108">
        <v>0</v>
      </c>
      <c r="I15" s="108">
        <v>0</v>
      </c>
      <c r="J15" s="108">
        <v>0</v>
      </c>
      <c r="K15" s="108">
        <v>0</v>
      </c>
      <c r="L15" s="116">
        <f>SUM(B15:K15)</f>
        <v>5.4483628631949994</v>
      </c>
    </row>
    <row r="16" spans="1:12">
      <c r="A16" s="123" t="s">
        <v>420</v>
      </c>
      <c r="B16" s="108">
        <v>2.6892977645440719</v>
      </c>
      <c r="C16" s="108">
        <v>0</v>
      </c>
      <c r="D16" s="108">
        <v>0</v>
      </c>
      <c r="E16" s="108">
        <v>0</v>
      </c>
      <c r="F16" s="108">
        <v>0</v>
      </c>
      <c r="G16" s="108">
        <v>0</v>
      </c>
      <c r="H16" s="108">
        <v>0</v>
      </c>
      <c r="I16" s="108">
        <v>0</v>
      </c>
      <c r="J16" s="108">
        <v>0</v>
      </c>
      <c r="K16" s="108">
        <v>0</v>
      </c>
      <c r="L16" s="116">
        <f>SUM(B16:K16)</f>
        <v>2.6892977645440719</v>
      </c>
    </row>
    <row r="17" spans="1:13">
      <c r="A17" s="123" t="s">
        <v>421</v>
      </c>
      <c r="B17" s="116">
        <v>0</v>
      </c>
      <c r="C17" s="116">
        <v>0</v>
      </c>
      <c r="D17" s="116">
        <v>0</v>
      </c>
      <c r="E17" s="116">
        <v>0</v>
      </c>
      <c r="F17" s="116">
        <v>0</v>
      </c>
      <c r="G17" s="116">
        <v>0</v>
      </c>
      <c r="H17" s="116">
        <v>0</v>
      </c>
      <c r="I17" s="116">
        <v>0</v>
      </c>
      <c r="J17" s="116">
        <v>0</v>
      </c>
      <c r="K17" s="116">
        <v>0</v>
      </c>
      <c r="L17" s="116">
        <f>SUM(B17:K17)</f>
        <v>0</v>
      </c>
    </row>
    <row r="18" spans="1:13" ht="12.75" thickBot="1">
      <c r="A18" s="102" t="s">
        <v>54</v>
      </c>
      <c r="B18" s="114">
        <f t="shared" ref="B18:L18" si="5">SUM(B15:B17)</f>
        <v>8.1376606277390717</v>
      </c>
      <c r="C18" s="115">
        <f t="shared" si="5"/>
        <v>0</v>
      </c>
      <c r="D18" s="115">
        <f t="shared" si="5"/>
        <v>0</v>
      </c>
      <c r="E18" s="115">
        <f t="shared" si="5"/>
        <v>0</v>
      </c>
      <c r="F18" s="115">
        <f t="shared" si="5"/>
        <v>0</v>
      </c>
      <c r="G18" s="115">
        <f t="shared" si="5"/>
        <v>0</v>
      </c>
      <c r="H18" s="115">
        <f t="shared" si="5"/>
        <v>0</v>
      </c>
      <c r="I18" s="115">
        <f t="shared" si="5"/>
        <v>0</v>
      </c>
      <c r="J18" s="115">
        <f t="shared" si="5"/>
        <v>0</v>
      </c>
      <c r="K18" s="115">
        <f t="shared" si="5"/>
        <v>0</v>
      </c>
      <c r="L18" s="115">
        <f t="shared" si="5"/>
        <v>8.1376606277390717</v>
      </c>
    </row>
    <row r="19" spans="1:13" ht="12.75" thickTop="1">
      <c r="A19" s="102"/>
      <c r="B19" s="119"/>
      <c r="C19" s="120"/>
      <c r="D19" s="120"/>
      <c r="E19" s="120"/>
      <c r="F19" s="120"/>
      <c r="G19" s="120"/>
      <c r="H19" s="120"/>
      <c r="I19" s="120"/>
      <c r="J19" s="120"/>
      <c r="K19" s="120"/>
      <c r="L19" s="120"/>
    </row>
    <row r="20" spans="1:13">
      <c r="A20" s="102" t="s">
        <v>368</v>
      </c>
      <c r="B20" s="103">
        <f t="shared" ref="B20:L20" si="6">B14</f>
        <v>44713</v>
      </c>
      <c r="C20" s="104">
        <f t="shared" si="6"/>
        <v>44743</v>
      </c>
      <c r="D20" s="104">
        <f t="shared" si="6"/>
        <v>44774</v>
      </c>
      <c r="E20" s="104">
        <f t="shared" si="6"/>
        <v>44805</v>
      </c>
      <c r="F20" s="104">
        <f t="shared" si="6"/>
        <v>44835</v>
      </c>
      <c r="G20" s="104">
        <f t="shared" si="6"/>
        <v>44866</v>
      </c>
      <c r="H20" s="104">
        <f t="shared" si="6"/>
        <v>44896</v>
      </c>
      <c r="I20" s="104">
        <f t="shared" si="6"/>
        <v>44927</v>
      </c>
      <c r="J20" s="104">
        <f t="shared" si="6"/>
        <v>44958</v>
      </c>
      <c r="K20" s="104">
        <f t="shared" si="6"/>
        <v>44986</v>
      </c>
      <c r="L20" s="103" t="str">
        <f t="shared" si="6"/>
        <v>Total</v>
      </c>
    </row>
    <row r="21" spans="1:13">
      <c r="A21" s="123" t="s">
        <v>268</v>
      </c>
      <c r="B21" s="108">
        <v>0</v>
      </c>
      <c r="C21" s="108">
        <v>0</v>
      </c>
      <c r="D21" s="108">
        <v>0</v>
      </c>
      <c r="E21" s="108">
        <v>0</v>
      </c>
      <c r="F21" s="108">
        <v>0</v>
      </c>
      <c r="G21" s="108">
        <v>0</v>
      </c>
      <c r="H21" s="108">
        <v>0</v>
      </c>
      <c r="I21" s="108">
        <v>0</v>
      </c>
      <c r="J21" s="108">
        <v>0</v>
      </c>
      <c r="K21" s="108">
        <v>0</v>
      </c>
      <c r="L21" s="116">
        <f>SUM(B21:K21)</f>
        <v>0</v>
      </c>
    </row>
    <row r="22" spans="1:13">
      <c r="A22" s="121" t="s">
        <v>420</v>
      </c>
      <c r="B22" s="108">
        <v>0</v>
      </c>
      <c r="C22" s="108">
        <v>0</v>
      </c>
      <c r="D22" s="108">
        <v>0</v>
      </c>
      <c r="E22" s="108">
        <v>0</v>
      </c>
      <c r="F22" s="108">
        <v>0</v>
      </c>
      <c r="G22" s="108">
        <v>0</v>
      </c>
      <c r="H22" s="108">
        <v>0</v>
      </c>
      <c r="I22" s="108">
        <v>0</v>
      </c>
      <c r="J22" s="108">
        <v>0</v>
      </c>
      <c r="K22" s="108">
        <v>0</v>
      </c>
      <c r="L22" s="116">
        <f>SUM(B22:K22)</f>
        <v>0</v>
      </c>
    </row>
    <row r="23" spans="1:13" ht="12.75" thickBot="1">
      <c r="A23" s="102" t="s">
        <v>54</v>
      </c>
      <c r="B23" s="114">
        <f t="shared" ref="B23:L23" si="7">SUM(B21:B22)</f>
        <v>0</v>
      </c>
      <c r="C23" s="115">
        <f t="shared" si="7"/>
        <v>0</v>
      </c>
      <c r="D23" s="115">
        <f t="shared" si="7"/>
        <v>0</v>
      </c>
      <c r="E23" s="115">
        <f t="shared" si="7"/>
        <v>0</v>
      </c>
      <c r="F23" s="115">
        <f t="shared" si="7"/>
        <v>0</v>
      </c>
      <c r="G23" s="115">
        <f t="shared" si="7"/>
        <v>0</v>
      </c>
      <c r="H23" s="115">
        <f t="shared" si="7"/>
        <v>0</v>
      </c>
      <c r="I23" s="115">
        <f t="shared" si="7"/>
        <v>0</v>
      </c>
      <c r="J23" s="115">
        <f t="shared" si="7"/>
        <v>0</v>
      </c>
      <c r="K23" s="115">
        <f t="shared" si="7"/>
        <v>0</v>
      </c>
      <c r="L23" s="115">
        <f t="shared" si="7"/>
        <v>0</v>
      </c>
    </row>
    <row r="24" spans="1:13" ht="12.75" thickTop="1">
      <c r="B24" s="108"/>
      <c r="C24" s="116"/>
      <c r="D24" s="116"/>
      <c r="E24" s="116"/>
      <c r="F24" s="116"/>
      <c r="G24" s="116"/>
      <c r="H24" s="116"/>
      <c r="I24" s="116"/>
      <c r="J24" s="116"/>
      <c r="K24" s="116"/>
      <c r="L24" s="116"/>
    </row>
    <row r="25" spans="1:13">
      <c r="A25" s="101" t="s">
        <v>366</v>
      </c>
      <c r="B25" s="100"/>
      <c r="C25" s="101"/>
      <c r="D25" s="101"/>
      <c r="E25" s="101"/>
      <c r="F25" s="101"/>
      <c r="G25" s="101"/>
      <c r="H25" s="101"/>
      <c r="I25" s="101"/>
      <c r="J25" s="101"/>
      <c r="K25" s="101"/>
      <c r="L25" s="101"/>
    </row>
    <row r="26" spans="1:13">
      <c r="A26" s="102" t="s">
        <v>359</v>
      </c>
      <c r="B26" s="103">
        <f t="shared" ref="B26:L26" si="8">B8</f>
        <v>44713</v>
      </c>
      <c r="C26" s="104">
        <f t="shared" si="8"/>
        <v>44743</v>
      </c>
      <c r="D26" s="104">
        <f t="shared" si="8"/>
        <v>44774</v>
      </c>
      <c r="E26" s="104">
        <f t="shared" si="8"/>
        <v>44805</v>
      </c>
      <c r="F26" s="104">
        <f t="shared" si="8"/>
        <v>44835</v>
      </c>
      <c r="G26" s="104">
        <f t="shared" si="8"/>
        <v>44866</v>
      </c>
      <c r="H26" s="104">
        <f t="shared" si="8"/>
        <v>44896</v>
      </c>
      <c r="I26" s="104">
        <f t="shared" si="8"/>
        <v>44927</v>
      </c>
      <c r="J26" s="104">
        <f t="shared" si="8"/>
        <v>44958</v>
      </c>
      <c r="K26" s="104">
        <f t="shared" si="8"/>
        <v>44986</v>
      </c>
      <c r="L26" s="103" t="str">
        <f t="shared" si="8"/>
        <v>Total</v>
      </c>
    </row>
    <row r="27" spans="1:13">
      <c r="A27" s="123" t="s">
        <v>422</v>
      </c>
      <c r="B27" s="108">
        <v>17.548709968457565</v>
      </c>
      <c r="C27" s="108">
        <v>0.36923980399776762</v>
      </c>
      <c r="D27" s="108">
        <v>0.36923980399776762</v>
      </c>
      <c r="E27" s="108">
        <v>0.36923980399776762</v>
      </c>
      <c r="F27" s="108">
        <v>1.1003107303242952</v>
      </c>
      <c r="G27" s="108">
        <v>1.0544610099578502</v>
      </c>
      <c r="H27" s="108">
        <v>1.096478333310702</v>
      </c>
      <c r="I27" s="108">
        <v>0</v>
      </c>
      <c r="J27" s="108">
        <v>0</v>
      </c>
      <c r="K27" s="108">
        <v>0</v>
      </c>
      <c r="L27" s="116">
        <f t="shared" ref="L27:L46" si="9">SUM(B27:K27)</f>
        <v>21.90767945404372</v>
      </c>
      <c r="M27" s="116"/>
    </row>
    <row r="28" spans="1:13">
      <c r="A28" s="121" t="s">
        <v>423</v>
      </c>
      <c r="B28" s="108">
        <v>61.086914071049982</v>
      </c>
      <c r="C28" s="108">
        <v>0.35627779903333323</v>
      </c>
      <c r="D28" s="108">
        <v>0.35627779903333323</v>
      </c>
      <c r="E28" s="108">
        <v>0.35627779903333323</v>
      </c>
      <c r="F28" s="108">
        <v>0.70250862709999984</v>
      </c>
      <c r="G28" s="108">
        <v>0.70250862709999984</v>
      </c>
      <c r="H28" s="108">
        <v>0.70250862709999984</v>
      </c>
      <c r="I28" s="108">
        <v>0</v>
      </c>
      <c r="J28" s="108">
        <v>0</v>
      </c>
      <c r="K28" s="108">
        <v>0</v>
      </c>
      <c r="L28" s="116">
        <f t="shared" si="9"/>
        <v>64.263273349449989</v>
      </c>
      <c r="M28" s="116"/>
    </row>
    <row r="29" spans="1:13">
      <c r="A29" s="121" t="s">
        <v>424</v>
      </c>
      <c r="B29" s="108">
        <v>16.284243024479593</v>
      </c>
      <c r="C29" s="108">
        <v>0.36192563109877618</v>
      </c>
      <c r="D29" s="108">
        <v>0.36192563109877618</v>
      </c>
      <c r="E29" s="108">
        <v>0.36192563109877618</v>
      </c>
      <c r="F29" s="108">
        <v>0.89782097426566887</v>
      </c>
      <c r="G29" s="108">
        <v>0.61247968623694204</v>
      </c>
      <c r="H29" s="108">
        <v>0.58543280916294771</v>
      </c>
      <c r="I29" s="108">
        <v>0</v>
      </c>
      <c r="J29" s="108">
        <v>0</v>
      </c>
      <c r="K29" s="108">
        <v>0</v>
      </c>
      <c r="L29" s="116">
        <f t="shared" si="9"/>
        <v>19.465753387441488</v>
      </c>
      <c r="M29" s="116"/>
    </row>
    <row r="30" spans="1:13">
      <c r="A30" s="121" t="s">
        <v>425</v>
      </c>
      <c r="B30" s="108">
        <v>8.3888524671561537</v>
      </c>
      <c r="C30" s="108">
        <v>0.18644653723270288</v>
      </c>
      <c r="D30" s="108">
        <v>0.18644653723270288</v>
      </c>
      <c r="E30" s="108">
        <v>0.18644653723270288</v>
      </c>
      <c r="F30" s="108">
        <v>0.46251383522776879</v>
      </c>
      <c r="G30" s="108">
        <v>0.31551983836448527</v>
      </c>
      <c r="H30" s="108">
        <v>0.30158659865970033</v>
      </c>
      <c r="I30" s="108">
        <v>0</v>
      </c>
      <c r="J30" s="108">
        <v>0</v>
      </c>
      <c r="K30" s="108">
        <v>0</v>
      </c>
      <c r="L30" s="116">
        <f t="shared" si="9"/>
        <v>10.027812351106217</v>
      </c>
      <c r="M30" s="116"/>
    </row>
    <row r="31" spans="1:13">
      <c r="A31" s="121" t="s">
        <v>426</v>
      </c>
      <c r="B31" s="108">
        <v>35.052912534070757</v>
      </c>
      <c r="C31" s="108">
        <v>0.53922521867499995</v>
      </c>
      <c r="D31" s="108">
        <v>0.53922521867499995</v>
      </c>
      <c r="E31" s="108">
        <v>0.53922521867499995</v>
      </c>
      <c r="F31" s="108">
        <v>1.6176756560249999</v>
      </c>
      <c r="G31" s="108">
        <v>1.0738226499000001</v>
      </c>
      <c r="H31" s="108">
        <v>1.0738226499000001</v>
      </c>
      <c r="I31" s="108">
        <v>0</v>
      </c>
      <c r="J31" s="108">
        <v>0</v>
      </c>
      <c r="K31" s="108">
        <v>0</v>
      </c>
      <c r="L31" s="116">
        <f t="shared" si="9"/>
        <v>40.43590914592076</v>
      </c>
      <c r="M31" s="116"/>
    </row>
    <row r="32" spans="1:13">
      <c r="A32" s="121" t="s">
        <v>427</v>
      </c>
      <c r="B32" s="108">
        <v>1.3152388172879999</v>
      </c>
      <c r="C32" s="108">
        <v>4.1807127999999999E-2</v>
      </c>
      <c r="D32" s="108">
        <v>4.1807127999999999E-2</v>
      </c>
      <c r="E32" s="108">
        <v>4.1807127999999999E-2</v>
      </c>
      <c r="F32" s="108">
        <v>0.125421384</v>
      </c>
      <c r="G32" s="108">
        <v>0.125421384</v>
      </c>
      <c r="H32" s="108">
        <v>0.12818853300000002</v>
      </c>
      <c r="I32" s="108">
        <v>0</v>
      </c>
      <c r="J32" s="108">
        <v>0</v>
      </c>
      <c r="K32" s="108">
        <v>0</v>
      </c>
      <c r="L32" s="116">
        <f t="shared" si="9"/>
        <v>1.8196915022880003</v>
      </c>
      <c r="M32" s="116"/>
    </row>
    <row r="33" spans="1:13">
      <c r="A33" s="121" t="s">
        <v>428</v>
      </c>
      <c r="B33" s="108">
        <v>0.67754726951199995</v>
      </c>
      <c r="C33" s="108">
        <v>2.1537005333333335E-2</v>
      </c>
      <c r="D33" s="108">
        <v>2.1537005333333335E-2</v>
      </c>
      <c r="E33" s="108">
        <v>2.1537005333333335E-2</v>
      </c>
      <c r="F33" s="108">
        <v>6.4611016000000007E-2</v>
      </c>
      <c r="G33" s="108">
        <v>6.4611016000000007E-2</v>
      </c>
      <c r="H33" s="108">
        <v>6.6036516999999989E-2</v>
      </c>
      <c r="I33" s="108">
        <v>0</v>
      </c>
      <c r="J33" s="108">
        <v>0</v>
      </c>
      <c r="K33" s="108">
        <v>0</v>
      </c>
      <c r="L33" s="116">
        <f t="shared" si="9"/>
        <v>0.93741683451199997</v>
      </c>
      <c r="M33" s="116"/>
    </row>
    <row r="34" spans="1:13">
      <c r="A34" s="121" t="s">
        <v>429</v>
      </c>
      <c r="B34" s="108">
        <v>1.1123894534799998</v>
      </c>
      <c r="C34" s="108">
        <v>1.8727214313738667</v>
      </c>
      <c r="D34" s="108">
        <v>1.8727214313738667</v>
      </c>
      <c r="E34" s="108">
        <v>1.8727214313738667</v>
      </c>
      <c r="F34" s="108">
        <v>0.33444533405999999</v>
      </c>
      <c r="G34" s="108">
        <v>0.28528965355007996</v>
      </c>
      <c r="H34" s="108">
        <v>3.8456801998768002</v>
      </c>
      <c r="I34" s="108">
        <v>0</v>
      </c>
      <c r="J34" s="108">
        <v>0</v>
      </c>
      <c r="K34" s="108">
        <v>0</v>
      </c>
      <c r="L34" s="116">
        <f t="shared" si="9"/>
        <v>11.19596893508848</v>
      </c>
      <c r="M34" s="116"/>
    </row>
    <row r="35" spans="1:13">
      <c r="A35" s="121" t="s">
        <v>430</v>
      </c>
      <c r="B35" s="108">
        <v>2.3917481088494994</v>
      </c>
      <c r="C35" s="108">
        <v>0.16747729749999996</v>
      </c>
      <c r="D35" s="108">
        <v>0.16747729749999996</v>
      </c>
      <c r="E35" s="108">
        <v>0.16747729749999996</v>
      </c>
      <c r="F35" s="108">
        <v>0.50243189249999987</v>
      </c>
      <c r="G35" s="108">
        <v>0.50243189249999987</v>
      </c>
      <c r="H35" s="108">
        <v>0.50243189249999987</v>
      </c>
      <c r="I35" s="108">
        <v>0</v>
      </c>
      <c r="J35" s="108">
        <v>0</v>
      </c>
      <c r="K35" s="108">
        <v>0</v>
      </c>
      <c r="L35" s="116">
        <f t="shared" si="9"/>
        <v>4.4014756788494989</v>
      </c>
      <c r="M35" s="116"/>
    </row>
    <row r="36" spans="1:13">
      <c r="A36" s="121" t="s">
        <v>431</v>
      </c>
      <c r="B36" s="108">
        <v>1.4763787907925494</v>
      </c>
      <c r="C36" s="108">
        <v>2.4341750882832844E-2</v>
      </c>
      <c r="D36" s="108">
        <v>2.4341750882832844E-2</v>
      </c>
      <c r="E36" s="108">
        <v>2.4341750882832844E-2</v>
      </c>
      <c r="F36" s="108">
        <v>7.3025252648498531E-2</v>
      </c>
      <c r="G36" s="108">
        <v>5.8420202118798822E-2</v>
      </c>
      <c r="H36" s="108">
        <v>5.8420202118798822E-2</v>
      </c>
      <c r="I36" s="108">
        <v>0</v>
      </c>
      <c r="J36" s="108">
        <v>0</v>
      </c>
      <c r="K36" s="108">
        <v>0</v>
      </c>
      <c r="L36" s="116">
        <f t="shared" si="9"/>
        <v>1.7392697003271436</v>
      </c>
      <c r="M36" s="116"/>
    </row>
    <row r="37" spans="1:13">
      <c r="A37" s="123" t="s">
        <v>432</v>
      </c>
      <c r="B37" s="108">
        <v>2.4726582209999997</v>
      </c>
      <c r="C37" s="108">
        <v>0.100628</v>
      </c>
      <c r="D37" s="108">
        <v>0.100628</v>
      </c>
      <c r="E37" s="108">
        <v>0.100628</v>
      </c>
      <c r="F37" s="108">
        <v>0</v>
      </c>
      <c r="G37" s="108">
        <v>0.30188399999999999</v>
      </c>
      <c r="H37" s="108">
        <v>0</v>
      </c>
      <c r="I37" s="108">
        <v>0</v>
      </c>
      <c r="J37" s="108">
        <v>0</v>
      </c>
      <c r="K37" s="108">
        <v>0</v>
      </c>
      <c r="L37" s="116">
        <f t="shared" si="9"/>
        <v>3.0764262209999993</v>
      </c>
      <c r="M37" s="116"/>
    </row>
    <row r="38" spans="1:13">
      <c r="A38" s="123" t="s">
        <v>433</v>
      </c>
      <c r="B38" s="108">
        <v>4.2868829114999993</v>
      </c>
      <c r="C38" s="108">
        <v>1.4878709999999998E-2</v>
      </c>
      <c r="D38" s="108">
        <v>1.4878709999999998E-2</v>
      </c>
      <c r="E38" s="108">
        <v>1.4878709999999998E-2</v>
      </c>
      <c r="F38" s="108">
        <v>0</v>
      </c>
      <c r="G38" s="108">
        <v>1.5364236999999999E-2</v>
      </c>
      <c r="H38" s="108">
        <v>0.1453107726</v>
      </c>
      <c r="I38" s="108">
        <v>0</v>
      </c>
      <c r="J38" s="108">
        <v>0</v>
      </c>
      <c r="K38" s="108">
        <v>0</v>
      </c>
      <c r="L38" s="116">
        <f t="shared" si="9"/>
        <v>4.4921940510999985</v>
      </c>
      <c r="M38" s="116"/>
    </row>
    <row r="39" spans="1:13">
      <c r="A39" s="123" t="s">
        <v>434</v>
      </c>
      <c r="B39" s="108">
        <v>1.3318370660999999</v>
      </c>
      <c r="C39" s="108">
        <v>3.6955943400000003E-2</v>
      </c>
      <c r="D39" s="108">
        <v>3.6955943400000003E-2</v>
      </c>
      <c r="E39" s="108">
        <v>3.6955943400000003E-2</v>
      </c>
      <c r="F39" s="108">
        <v>0.15577201020000001</v>
      </c>
      <c r="G39" s="108">
        <v>0.14718845580000001</v>
      </c>
      <c r="H39" s="108">
        <v>0.15757936350000004</v>
      </c>
      <c r="I39" s="108">
        <v>0</v>
      </c>
      <c r="J39" s="108">
        <v>0</v>
      </c>
      <c r="K39" s="108">
        <v>0</v>
      </c>
      <c r="L39" s="116">
        <f t="shared" si="9"/>
        <v>1.9032447257999998</v>
      </c>
      <c r="M39" s="116"/>
    </row>
    <row r="40" spans="1:13">
      <c r="A40" s="125" t="s">
        <v>435</v>
      </c>
      <c r="B40" s="108">
        <v>1.1203218789</v>
      </c>
      <c r="C40" s="108">
        <v>0</v>
      </c>
      <c r="D40" s="108">
        <v>0</v>
      </c>
      <c r="E40" s="108">
        <v>0</v>
      </c>
      <c r="F40" s="108">
        <v>0</v>
      </c>
      <c r="G40" s="108">
        <v>0</v>
      </c>
      <c r="H40" s="108">
        <v>0</v>
      </c>
      <c r="I40" s="108">
        <v>0</v>
      </c>
      <c r="J40" s="108">
        <v>0</v>
      </c>
      <c r="K40" s="108">
        <v>0</v>
      </c>
      <c r="L40" s="116">
        <f t="shared" si="9"/>
        <v>1.1203218789</v>
      </c>
      <c r="M40" s="116"/>
    </row>
    <row r="41" spans="1:13">
      <c r="A41" s="123" t="s">
        <v>436</v>
      </c>
      <c r="B41" s="108">
        <v>0.19266203159999998</v>
      </c>
      <c r="C41" s="108">
        <v>3.3520356599999995E-2</v>
      </c>
      <c r="D41" s="108">
        <v>3.3520356599999995E-2</v>
      </c>
      <c r="E41" s="108">
        <v>3.3520356599999995E-2</v>
      </c>
      <c r="F41" s="108">
        <v>9.7182167400000005E-2</v>
      </c>
      <c r="G41" s="108">
        <v>6.5834853299999996E-2</v>
      </c>
      <c r="H41" s="108">
        <v>2.3897825999999994E-2</v>
      </c>
      <c r="I41" s="108">
        <v>0</v>
      </c>
      <c r="J41" s="108">
        <v>0</v>
      </c>
      <c r="K41" s="108">
        <v>0</v>
      </c>
      <c r="L41" s="116">
        <f t="shared" si="9"/>
        <v>0.48013794809999999</v>
      </c>
      <c r="M41" s="116"/>
    </row>
    <row r="42" spans="1:13">
      <c r="A42" s="123" t="s">
        <v>437</v>
      </c>
      <c r="B42" s="108">
        <v>19.971733696199998</v>
      </c>
      <c r="C42" s="108">
        <v>0.68143999999999982</v>
      </c>
      <c r="D42" s="108">
        <v>0.68143999999999982</v>
      </c>
      <c r="E42" s="108">
        <v>0.68143999999999982</v>
      </c>
      <c r="F42" s="108">
        <v>2.0443199999999995</v>
      </c>
      <c r="G42" s="108">
        <v>2.0443199999999995</v>
      </c>
      <c r="H42" s="108">
        <v>1.5332399999999997</v>
      </c>
      <c r="I42" s="108">
        <v>0</v>
      </c>
      <c r="J42" s="108">
        <v>0</v>
      </c>
      <c r="K42" s="108">
        <v>0</v>
      </c>
      <c r="L42" s="116">
        <f t="shared" si="9"/>
        <v>27.63793369619999</v>
      </c>
      <c r="M42" s="116"/>
    </row>
    <row r="43" spans="1:13">
      <c r="A43" s="123" t="s">
        <v>438</v>
      </c>
      <c r="B43" s="108">
        <v>10.747027642800003</v>
      </c>
      <c r="C43" s="108">
        <v>0.45429333333333338</v>
      </c>
      <c r="D43" s="108">
        <v>0.45429333333333338</v>
      </c>
      <c r="E43" s="108">
        <v>0.45429333333333338</v>
      </c>
      <c r="F43" s="108">
        <v>1.3628800000000001</v>
      </c>
      <c r="G43" s="108">
        <v>1.3628800000000001</v>
      </c>
      <c r="H43" s="108">
        <v>1.02216</v>
      </c>
      <c r="I43" s="108">
        <v>0</v>
      </c>
      <c r="J43" s="108">
        <v>0</v>
      </c>
      <c r="K43" s="108">
        <v>0</v>
      </c>
      <c r="L43" s="116">
        <f t="shared" si="9"/>
        <v>15.857827642800006</v>
      </c>
      <c r="M43" s="116"/>
    </row>
    <row r="44" spans="1:13">
      <c r="A44" s="123" t="s">
        <v>439</v>
      </c>
      <c r="B44" s="108">
        <v>23.716711696999997</v>
      </c>
      <c r="C44" s="108">
        <v>8.4422799999999978E-2</v>
      </c>
      <c r="D44" s="108">
        <v>8.4422799999999978E-2</v>
      </c>
      <c r="E44" s="108">
        <v>8.4422799999999978E-2</v>
      </c>
      <c r="F44" s="108">
        <v>0.5065367999999999</v>
      </c>
      <c r="G44" s="108">
        <v>0.5065367999999999</v>
      </c>
      <c r="H44" s="108">
        <v>0.40370982959999996</v>
      </c>
      <c r="I44" s="108">
        <v>0</v>
      </c>
      <c r="J44" s="108">
        <v>0</v>
      </c>
      <c r="K44" s="108">
        <v>0</v>
      </c>
      <c r="L44" s="116">
        <f t="shared" si="9"/>
        <v>25.386763526599992</v>
      </c>
      <c r="M44" s="116"/>
    </row>
    <row r="45" spans="1:13">
      <c r="A45" s="125" t="s">
        <v>440</v>
      </c>
      <c r="B45" s="108">
        <v>13.0101355112</v>
      </c>
      <c r="C45" s="108">
        <v>0.63103958333333332</v>
      </c>
      <c r="D45" s="108">
        <v>0.63103958333333332</v>
      </c>
      <c r="E45" s="108">
        <v>0.63103958333333332</v>
      </c>
      <c r="F45" s="108">
        <v>1.89311875</v>
      </c>
      <c r="G45" s="108">
        <v>1.89311875</v>
      </c>
      <c r="H45" s="108">
        <v>1.4598431140000001</v>
      </c>
      <c r="I45" s="108">
        <v>0</v>
      </c>
      <c r="J45" s="108">
        <v>0</v>
      </c>
      <c r="K45" s="108">
        <v>0</v>
      </c>
      <c r="L45" s="116">
        <f t="shared" si="9"/>
        <v>20.149334875200001</v>
      </c>
      <c r="M45" s="116"/>
    </row>
    <row r="46" spans="1:13">
      <c r="A46" s="123" t="s">
        <v>193</v>
      </c>
      <c r="B46" s="116">
        <v>40.25</v>
      </c>
      <c r="C46" s="116">
        <v>0</v>
      </c>
      <c r="D46" s="116">
        <v>0</v>
      </c>
      <c r="E46" s="116">
        <v>0</v>
      </c>
      <c r="F46" s="116">
        <v>0</v>
      </c>
      <c r="G46" s="116">
        <v>0</v>
      </c>
      <c r="H46" s="116">
        <f>SUM(C27:E45)*+E1%</f>
        <v>4.9319971220802827</v>
      </c>
      <c r="I46" s="108">
        <f>SUM(F27:H45)*+J1%</f>
        <v>9.9492235573247925</v>
      </c>
      <c r="J46" s="108">
        <v>0</v>
      </c>
      <c r="K46" s="108">
        <v>0</v>
      </c>
      <c r="L46" s="116">
        <f t="shared" si="9"/>
        <v>55.131220679405075</v>
      </c>
      <c r="M46" s="116"/>
    </row>
    <row r="47" spans="1:13" ht="12.75" thickBot="1">
      <c r="A47" s="102" t="s">
        <v>54</v>
      </c>
      <c r="B47" s="114">
        <f t="shared" ref="B47:L47" si="10">SUM(B27:B46)</f>
        <v>262.43490516143606</v>
      </c>
      <c r="C47" s="115">
        <f t="shared" si="10"/>
        <v>5.9781783297942788</v>
      </c>
      <c r="D47" s="115">
        <f t="shared" si="10"/>
        <v>5.9781783297942788</v>
      </c>
      <c r="E47" s="115">
        <f t="shared" si="10"/>
        <v>5.9781783297942788</v>
      </c>
      <c r="F47" s="115">
        <f t="shared" si="10"/>
        <v>11.940574429751228</v>
      </c>
      <c r="G47" s="115">
        <f t="shared" si="10"/>
        <v>11.132093055828156</v>
      </c>
      <c r="H47" s="115">
        <f t="shared" si="10"/>
        <v>18.03832439040923</v>
      </c>
      <c r="I47" s="115">
        <f t="shared" si="10"/>
        <v>9.9492235573247925</v>
      </c>
      <c r="J47" s="115">
        <f t="shared" si="10"/>
        <v>0</v>
      </c>
      <c r="K47" s="115">
        <f t="shared" si="10"/>
        <v>0</v>
      </c>
      <c r="L47" s="115">
        <f t="shared" si="10"/>
        <v>331.42965558413238</v>
      </c>
    </row>
    <row r="48" spans="1:13" ht="12.75" thickTop="1">
      <c r="A48" s="121"/>
      <c r="B48" s="108"/>
      <c r="C48" s="116"/>
      <c r="D48" s="116"/>
      <c r="E48" s="116"/>
      <c r="F48" s="116"/>
      <c r="G48" s="116"/>
      <c r="H48" s="116"/>
      <c r="I48" s="116"/>
      <c r="J48" s="116"/>
      <c r="K48" s="116"/>
      <c r="L48" s="120"/>
    </row>
    <row r="49" spans="1:13">
      <c r="A49" s="102" t="s">
        <v>368</v>
      </c>
      <c r="B49" s="103">
        <f t="shared" ref="B49:L49" si="11">B26</f>
        <v>44713</v>
      </c>
      <c r="C49" s="104">
        <f t="shared" si="11"/>
        <v>44743</v>
      </c>
      <c r="D49" s="104">
        <f t="shared" si="11"/>
        <v>44774</v>
      </c>
      <c r="E49" s="104">
        <f t="shared" si="11"/>
        <v>44805</v>
      </c>
      <c r="F49" s="104">
        <f t="shared" si="11"/>
        <v>44835</v>
      </c>
      <c r="G49" s="104">
        <f t="shared" si="11"/>
        <v>44866</v>
      </c>
      <c r="H49" s="104">
        <f t="shared" si="11"/>
        <v>44896</v>
      </c>
      <c r="I49" s="104">
        <f t="shared" si="11"/>
        <v>44927</v>
      </c>
      <c r="J49" s="104">
        <f t="shared" si="11"/>
        <v>44958</v>
      </c>
      <c r="K49" s="104">
        <f t="shared" si="11"/>
        <v>44986</v>
      </c>
      <c r="L49" s="103" t="str">
        <f t="shared" si="11"/>
        <v>Total</v>
      </c>
    </row>
    <row r="50" spans="1:13">
      <c r="A50" s="123" t="str">
        <f t="shared" ref="A50:A68" si="12">A27</f>
        <v>Pipe Line Civil Work</v>
      </c>
      <c r="B50" s="108">
        <v>24.873184592147545</v>
      </c>
      <c r="C50" s="199">
        <v>0.62816774338049075</v>
      </c>
      <c r="D50" s="199">
        <v>0.62816774338049075</v>
      </c>
      <c r="E50" s="199">
        <v>0.62816774338049075</v>
      </c>
      <c r="F50" s="199">
        <v>1.8950700861028977</v>
      </c>
      <c r="G50" s="199">
        <v>1.8176602874095669</v>
      </c>
      <c r="H50" s="199">
        <v>1.8973758237351623</v>
      </c>
      <c r="I50" s="108">
        <v>0</v>
      </c>
      <c r="J50" s="108">
        <v>0</v>
      </c>
      <c r="K50" s="108">
        <v>0</v>
      </c>
      <c r="L50" s="116">
        <f t="shared" ref="L50:L68" si="13">SUM(B50:K50)</f>
        <v>32.367794019536646</v>
      </c>
      <c r="M50" s="116"/>
    </row>
    <row r="51" spans="1:13">
      <c r="A51" s="123" t="str">
        <f t="shared" si="12"/>
        <v>DI Pipe Procurement</v>
      </c>
      <c r="B51" s="108">
        <v>58.359440434809407</v>
      </c>
      <c r="C51" s="199">
        <v>0.37670203389830509</v>
      </c>
      <c r="D51" s="199">
        <v>0.37670203389830509</v>
      </c>
      <c r="E51" s="199">
        <v>0.37670203389830509</v>
      </c>
      <c r="F51" s="199">
        <v>0.75378610169491522</v>
      </c>
      <c r="G51" s="199">
        <v>0.75378610169491522</v>
      </c>
      <c r="H51" s="199">
        <v>0.75378610169491522</v>
      </c>
      <c r="I51" s="108">
        <v>0</v>
      </c>
      <c r="J51" s="108">
        <v>0</v>
      </c>
      <c r="K51" s="108">
        <v>0</v>
      </c>
      <c r="L51" s="116">
        <f t="shared" si="13"/>
        <v>61.750904841589062</v>
      </c>
      <c r="M51" s="116"/>
    </row>
    <row r="52" spans="1:13">
      <c r="A52" s="123" t="str">
        <f t="shared" si="12"/>
        <v>DI Pipe Work(66%)</v>
      </c>
      <c r="B52" s="108">
        <v>3.9624000020989998</v>
      </c>
      <c r="C52" s="199">
        <v>0.10546368940800004</v>
      </c>
      <c r="D52" s="199">
        <v>0.10546368940800004</v>
      </c>
      <c r="E52" s="199">
        <v>0.10546368940800004</v>
      </c>
      <c r="F52" s="199">
        <v>0.26189404164000002</v>
      </c>
      <c r="G52" s="199">
        <v>0.16130239004879995</v>
      </c>
      <c r="H52" s="199">
        <v>0.15942673343520009</v>
      </c>
      <c r="I52" s="108">
        <v>0</v>
      </c>
      <c r="J52" s="108">
        <v>0</v>
      </c>
      <c r="K52" s="108">
        <v>0</v>
      </c>
      <c r="L52" s="116">
        <f t="shared" si="13"/>
        <v>4.8614142354470005</v>
      </c>
      <c r="M52" s="116"/>
    </row>
    <row r="53" spans="1:13">
      <c r="A53" s="123" t="str">
        <f t="shared" si="12"/>
        <v>DI Pipe Work(34%)</v>
      </c>
      <c r="B53" s="108">
        <v>2.0412363647176663</v>
      </c>
      <c r="C53" s="199">
        <v>5.4329779392000017E-2</v>
      </c>
      <c r="D53" s="199">
        <v>5.4329779392000017E-2</v>
      </c>
      <c r="E53" s="199">
        <v>5.4329779392000017E-2</v>
      </c>
      <c r="F53" s="199">
        <v>0.13491511235999998</v>
      </c>
      <c r="G53" s="199">
        <v>8.3095170631199977E-2</v>
      </c>
      <c r="H53" s="199">
        <v>8.2128923284800051E-2</v>
      </c>
      <c r="I53" s="108">
        <v>0</v>
      </c>
      <c r="J53" s="108">
        <v>0</v>
      </c>
      <c r="K53" s="108">
        <v>0</v>
      </c>
      <c r="L53" s="116">
        <f t="shared" si="13"/>
        <v>2.504364909169666</v>
      </c>
      <c r="M53" s="116"/>
    </row>
    <row r="54" spans="1:13">
      <c r="A54" s="123" t="str">
        <f t="shared" si="12"/>
        <v>HDPE Pipe Procurement(100%)</v>
      </c>
      <c r="B54" s="108">
        <v>32.545418598877845</v>
      </c>
      <c r="C54" s="199">
        <v>0.58480898510331869</v>
      </c>
      <c r="D54" s="199">
        <v>0.58480898510331869</v>
      </c>
      <c r="E54" s="199">
        <v>0.58480898510331869</v>
      </c>
      <c r="F54" s="199">
        <v>1.7544269553099561</v>
      </c>
      <c r="G54" s="199">
        <v>1.1832112016111096</v>
      </c>
      <c r="H54" s="199">
        <v>1.1832112016111096</v>
      </c>
      <c r="I54" s="108">
        <v>0</v>
      </c>
      <c r="J54" s="108">
        <v>0</v>
      </c>
      <c r="K54" s="108">
        <v>0</v>
      </c>
      <c r="L54" s="116">
        <f t="shared" si="13"/>
        <v>38.420694912719981</v>
      </c>
      <c r="M54" s="116"/>
    </row>
    <row r="55" spans="1:13">
      <c r="A55" s="123" t="str">
        <f t="shared" si="12"/>
        <v>HDPE Pipe Work (66%)</v>
      </c>
      <c r="B55" s="108">
        <v>3.5018879676000001</v>
      </c>
      <c r="C55" s="199">
        <v>7.7616000000000018E-2</v>
      </c>
      <c r="D55" s="199">
        <v>7.7616000000000018E-2</v>
      </c>
      <c r="E55" s="199">
        <v>7.7616000000000018E-2</v>
      </c>
      <c r="F55" s="199">
        <v>0.23284800000000005</v>
      </c>
      <c r="G55" s="199">
        <v>0.23284800000000005</v>
      </c>
      <c r="H55" s="199">
        <v>0.23284800000000005</v>
      </c>
      <c r="I55" s="108">
        <v>0</v>
      </c>
      <c r="J55" s="108">
        <v>0</v>
      </c>
      <c r="K55" s="108">
        <v>0</v>
      </c>
      <c r="L55" s="116">
        <f t="shared" si="13"/>
        <v>4.4332799675999999</v>
      </c>
      <c r="M55" s="116"/>
    </row>
    <row r="56" spans="1:13">
      <c r="A56" s="123" t="str">
        <f t="shared" si="12"/>
        <v>HDPE Pipe Work (34%)</v>
      </c>
      <c r="B56" s="108">
        <v>1.8040028923999998</v>
      </c>
      <c r="C56" s="199">
        <v>3.9983999999999999E-2</v>
      </c>
      <c r="D56" s="199">
        <v>3.9983999999999999E-2</v>
      </c>
      <c r="E56" s="199">
        <v>3.9983999999999999E-2</v>
      </c>
      <c r="F56" s="199">
        <v>0.11995200000000002</v>
      </c>
      <c r="G56" s="199">
        <v>0.11995200000000002</v>
      </c>
      <c r="H56" s="199">
        <v>0.11995200000000002</v>
      </c>
      <c r="I56" s="108">
        <v>0</v>
      </c>
      <c r="J56" s="108">
        <v>0</v>
      </c>
      <c r="K56" s="108">
        <v>0</v>
      </c>
      <c r="L56" s="116">
        <f t="shared" si="13"/>
        <v>2.2838108924</v>
      </c>
      <c r="M56" s="116"/>
    </row>
    <row r="57" spans="1:13">
      <c r="A57" s="123" t="str">
        <f t="shared" si="12"/>
        <v>MS Pipe Procurement</v>
      </c>
      <c r="B57" s="108">
        <v>1.1569158900000001</v>
      </c>
      <c r="C57" s="199">
        <v>2.0551089887354879</v>
      </c>
      <c r="D57" s="199">
        <v>2.0551089887354879</v>
      </c>
      <c r="E57" s="199">
        <v>2.0551089887354879</v>
      </c>
      <c r="F57" s="199">
        <v>0.68667162723532815</v>
      </c>
      <c r="G57" s="199">
        <v>0.57630217649356796</v>
      </c>
      <c r="H57" s="199">
        <v>4.305724145065728</v>
      </c>
      <c r="I57" s="108">
        <v>0</v>
      </c>
      <c r="J57" s="108">
        <v>0</v>
      </c>
      <c r="K57" s="108">
        <v>0</v>
      </c>
      <c r="L57" s="116">
        <f t="shared" si="13"/>
        <v>12.890940805001089</v>
      </c>
      <c r="M57" s="116"/>
    </row>
    <row r="58" spans="1:13">
      <c r="A58" s="123" t="str">
        <f t="shared" si="12"/>
        <v>DI Fitting Procurement</v>
      </c>
      <c r="B58" s="108">
        <v>1.7454974999999999</v>
      </c>
      <c r="C58" s="199">
        <v>0.1504104</v>
      </c>
      <c r="D58" s="199">
        <v>0.1504104</v>
      </c>
      <c r="E58" s="199">
        <v>0.1504104</v>
      </c>
      <c r="F58" s="199">
        <v>0.45123120000000005</v>
      </c>
      <c r="G58" s="199">
        <v>0.45123120000000005</v>
      </c>
      <c r="H58" s="199">
        <v>0.45123120000000005</v>
      </c>
      <c r="I58" s="108">
        <v>0</v>
      </c>
      <c r="J58" s="108">
        <v>0</v>
      </c>
      <c r="K58" s="108">
        <v>0</v>
      </c>
      <c r="L58" s="116">
        <f t="shared" si="13"/>
        <v>3.5504223000000001</v>
      </c>
      <c r="M58" s="116"/>
    </row>
    <row r="59" spans="1:13">
      <c r="A59" s="123" t="str">
        <f t="shared" si="12"/>
        <v>HDPE Fitting Procurement</v>
      </c>
      <c r="B59" s="108">
        <v>1.5237395990383527</v>
      </c>
      <c r="C59" s="199">
        <v>9.0510688479394336E-2</v>
      </c>
      <c r="D59" s="199">
        <v>9.0510688479394336E-2</v>
      </c>
      <c r="E59" s="199">
        <v>9.0510688479394336E-2</v>
      </c>
      <c r="F59" s="199">
        <v>0.27153206543818309</v>
      </c>
      <c r="G59" s="199">
        <v>0.21722565235054644</v>
      </c>
      <c r="H59" s="199">
        <v>0.21722565235054644</v>
      </c>
      <c r="I59" s="108">
        <v>0</v>
      </c>
      <c r="J59" s="108">
        <v>0</v>
      </c>
      <c r="K59" s="108">
        <v>0</v>
      </c>
      <c r="L59" s="116">
        <f t="shared" si="13"/>
        <v>2.5012550346158116</v>
      </c>
      <c r="M59" s="116"/>
    </row>
    <row r="60" spans="1:13">
      <c r="A60" s="123" t="str">
        <f t="shared" si="12"/>
        <v>Trenchless</v>
      </c>
      <c r="B60" s="108">
        <v>1.1038549999999998</v>
      </c>
      <c r="C60" s="199">
        <v>4.7040000000000005E-2</v>
      </c>
      <c r="D60" s="199">
        <v>4.7040000000000005E-2</v>
      </c>
      <c r="E60" s="199">
        <v>4.7040000000000005E-2</v>
      </c>
      <c r="F60" s="199">
        <v>0</v>
      </c>
      <c r="G60" s="199">
        <v>0.14112000000000002</v>
      </c>
      <c r="H60" s="199">
        <v>0</v>
      </c>
      <c r="I60" s="108">
        <v>0</v>
      </c>
      <c r="J60" s="108">
        <v>0</v>
      </c>
      <c r="K60" s="108">
        <v>0</v>
      </c>
      <c r="L60" s="116">
        <f t="shared" si="13"/>
        <v>1.3860949999999996</v>
      </c>
      <c r="M60" s="116"/>
    </row>
    <row r="61" spans="1:13">
      <c r="A61" s="123" t="str">
        <f t="shared" si="12"/>
        <v>Valve Procurement</v>
      </c>
      <c r="B61" s="108">
        <v>3.4182859999449997</v>
      </c>
      <c r="C61" s="199">
        <v>9.7955069940000011E-3</v>
      </c>
      <c r="D61" s="199">
        <v>9.7955069940000011E-3</v>
      </c>
      <c r="E61" s="199">
        <v>9.7955069940000011E-3</v>
      </c>
      <c r="F61" s="199">
        <v>0</v>
      </c>
      <c r="G61" s="199">
        <v>3.5261889599999999E-2</v>
      </c>
      <c r="H61" s="199">
        <v>0.11057759143452001</v>
      </c>
      <c r="I61" s="108">
        <v>0</v>
      </c>
      <c r="J61" s="108">
        <v>0</v>
      </c>
      <c r="K61" s="108">
        <v>0</v>
      </c>
      <c r="L61" s="116">
        <f t="shared" si="13"/>
        <v>3.5935120019615203</v>
      </c>
      <c r="M61" s="116"/>
    </row>
    <row r="62" spans="1:13">
      <c r="A62" s="123" t="str">
        <f t="shared" si="12"/>
        <v>Valve Works</v>
      </c>
      <c r="B62" s="108">
        <v>0.37336784606675</v>
      </c>
      <c r="C62" s="199">
        <v>9.6651984347520016E-3</v>
      </c>
      <c r="D62" s="199">
        <v>9.6651984347520016E-3</v>
      </c>
      <c r="E62" s="199">
        <v>9.6651984347520016E-3</v>
      </c>
      <c r="F62" s="199">
        <v>4.0617385956E-2</v>
      </c>
      <c r="G62" s="199">
        <v>4.1222855310902994E-2</v>
      </c>
      <c r="H62" s="199">
        <v>3.9417141090915001E-2</v>
      </c>
      <c r="I62" s="108">
        <v>0</v>
      </c>
      <c r="J62" s="108">
        <v>0</v>
      </c>
      <c r="K62" s="108">
        <v>0</v>
      </c>
      <c r="L62" s="116">
        <f t="shared" si="13"/>
        <v>0.52362082372882401</v>
      </c>
      <c r="M62" s="116"/>
    </row>
    <row r="63" spans="1:13">
      <c r="A63" s="123" t="str">
        <f t="shared" si="12"/>
        <v>Flow Meter Procurement</v>
      </c>
      <c r="B63" s="108">
        <v>2.0775796</v>
      </c>
      <c r="C63" s="199">
        <v>0</v>
      </c>
      <c r="D63" s="199">
        <v>0</v>
      </c>
      <c r="E63" s="199">
        <v>0</v>
      </c>
      <c r="F63" s="199">
        <v>0</v>
      </c>
      <c r="G63" s="199">
        <v>0</v>
      </c>
      <c r="H63" s="199">
        <v>0</v>
      </c>
      <c r="I63" s="108">
        <v>0</v>
      </c>
      <c r="J63" s="108">
        <v>0</v>
      </c>
      <c r="K63" s="108">
        <v>0</v>
      </c>
      <c r="L63" s="116">
        <f t="shared" si="13"/>
        <v>2.0775796</v>
      </c>
      <c r="M63" s="116"/>
    </row>
    <row r="64" spans="1:13">
      <c r="A64" s="123" t="str">
        <f t="shared" si="12"/>
        <v>Flow Meter Work</v>
      </c>
      <c r="B64" s="108">
        <v>0.121169625</v>
      </c>
      <c r="C64" s="199">
        <v>2.5461346680000004E-2</v>
      </c>
      <c r="D64" s="199">
        <v>2.5461346680000004E-2</v>
      </c>
      <c r="E64" s="199">
        <v>2.5461346680000004E-2</v>
      </c>
      <c r="F64" s="199">
        <v>7.3196827200000009E-2</v>
      </c>
      <c r="G64" s="199">
        <v>5.3201005200000005E-2</v>
      </c>
      <c r="H64" s="199">
        <v>2.1207690000000001E-2</v>
      </c>
      <c r="I64" s="108">
        <v>0</v>
      </c>
      <c r="J64" s="108">
        <v>0</v>
      </c>
      <c r="K64" s="108">
        <v>0</v>
      </c>
      <c r="L64" s="116">
        <f t="shared" si="13"/>
        <v>0.34515918744000001</v>
      </c>
      <c r="M64" s="116"/>
    </row>
    <row r="65" spans="1:13">
      <c r="A65" s="123" t="str">
        <f t="shared" si="12"/>
        <v>Water Meter Procurement</v>
      </c>
      <c r="B65" s="108">
        <v>20.925869299999999</v>
      </c>
      <c r="C65" s="199">
        <v>0.83966400000000008</v>
      </c>
      <c r="D65" s="199">
        <v>0.83966400000000008</v>
      </c>
      <c r="E65" s="199">
        <v>0.83966400000000008</v>
      </c>
      <c r="F65" s="199">
        <v>2.5189920000000003</v>
      </c>
      <c r="G65" s="199">
        <v>2.5189920000000003</v>
      </c>
      <c r="H65" s="199">
        <v>1.8892440000000004</v>
      </c>
      <c r="I65" s="108">
        <v>0</v>
      </c>
      <c r="J65" s="108">
        <v>0</v>
      </c>
      <c r="K65" s="108">
        <v>0</v>
      </c>
      <c r="L65" s="116">
        <f t="shared" si="13"/>
        <v>30.372089299999999</v>
      </c>
      <c r="M65" s="116"/>
    </row>
    <row r="66" spans="1:13">
      <c r="A66" s="123" t="str">
        <f t="shared" si="12"/>
        <v>Water Meter Work</v>
      </c>
      <c r="B66" s="108">
        <v>1.5770599999999999</v>
      </c>
      <c r="C66" s="199">
        <v>7.8400000000000011E-2</v>
      </c>
      <c r="D66" s="199">
        <v>7.8400000000000011E-2</v>
      </c>
      <c r="E66" s="199">
        <v>7.8400000000000011E-2</v>
      </c>
      <c r="F66" s="199">
        <v>0.23520000000000005</v>
      </c>
      <c r="G66" s="199">
        <v>0.23520000000000005</v>
      </c>
      <c r="H66" s="199">
        <v>0.17640000000000003</v>
      </c>
      <c r="I66" s="108">
        <v>0</v>
      </c>
      <c r="J66" s="108">
        <v>0</v>
      </c>
      <c r="K66" s="108">
        <v>0</v>
      </c>
      <c r="L66" s="116">
        <f t="shared" si="13"/>
        <v>2.45906</v>
      </c>
      <c r="M66" s="116"/>
    </row>
    <row r="67" spans="1:13">
      <c r="A67" s="123" t="str">
        <f t="shared" si="12"/>
        <v>HSC Procurement</v>
      </c>
      <c r="B67" s="108">
        <v>17.792101330959188</v>
      </c>
      <c r="C67" s="199">
        <v>7.4480000000000018E-2</v>
      </c>
      <c r="D67" s="199">
        <v>7.4480000000000018E-2</v>
      </c>
      <c r="E67" s="199">
        <v>7.4480000000000018E-2</v>
      </c>
      <c r="F67" s="199">
        <v>0.44688000000000005</v>
      </c>
      <c r="G67" s="199">
        <v>0.44688000000000005</v>
      </c>
      <c r="H67" s="199">
        <v>0.35616336000000004</v>
      </c>
      <c r="I67" s="108">
        <v>0</v>
      </c>
      <c r="J67" s="108">
        <v>0</v>
      </c>
      <c r="K67" s="108">
        <v>0</v>
      </c>
      <c r="L67" s="116">
        <f t="shared" si="13"/>
        <v>19.265464690959192</v>
      </c>
      <c r="M67" s="116"/>
    </row>
    <row r="68" spans="1:13">
      <c r="A68" s="123" t="str">
        <f t="shared" si="12"/>
        <v>HSC Work</v>
      </c>
      <c r="B68" s="108">
        <v>17.673518475744224</v>
      </c>
      <c r="C68" s="199">
        <v>1.0907661665299841</v>
      </c>
      <c r="D68" s="199">
        <v>1.0907661665299841</v>
      </c>
      <c r="E68" s="199">
        <v>1.0907661665299841</v>
      </c>
      <c r="F68" s="199">
        <v>3.2722984995899531</v>
      </c>
      <c r="G68" s="199">
        <v>3.2722984995899531</v>
      </c>
      <c r="H68" s="199">
        <v>2.5056303768486252</v>
      </c>
      <c r="I68" s="108">
        <v>0</v>
      </c>
      <c r="J68" s="108">
        <v>0</v>
      </c>
      <c r="K68" s="108">
        <v>0</v>
      </c>
      <c r="L68" s="116">
        <f t="shared" si="13"/>
        <v>29.996044351362713</v>
      </c>
      <c r="M68" s="116"/>
    </row>
    <row r="69" spans="1:13" ht="12.75" thickBot="1">
      <c r="A69" s="102" t="s">
        <v>54</v>
      </c>
      <c r="B69" s="114">
        <f t="shared" ref="B69:L69" si="14">SUM(B50:B68)</f>
        <v>196.57653101940494</v>
      </c>
      <c r="C69" s="115">
        <f t="shared" si="14"/>
        <v>6.3383745270357341</v>
      </c>
      <c r="D69" s="115">
        <f t="shared" si="14"/>
        <v>6.3383745270357341</v>
      </c>
      <c r="E69" s="115">
        <f t="shared" si="14"/>
        <v>6.3383745270357341</v>
      </c>
      <c r="F69" s="115">
        <f t="shared" si="14"/>
        <v>13.149511902527234</v>
      </c>
      <c r="G69" s="115">
        <f t="shared" si="14"/>
        <v>12.340790429940562</v>
      </c>
      <c r="H69" s="115">
        <f t="shared" si="14"/>
        <v>14.501549940551522</v>
      </c>
      <c r="I69" s="115">
        <f t="shared" si="14"/>
        <v>0</v>
      </c>
      <c r="J69" s="115">
        <f t="shared" si="14"/>
        <v>0</v>
      </c>
      <c r="K69" s="115">
        <f t="shared" si="14"/>
        <v>0</v>
      </c>
      <c r="L69" s="115">
        <f t="shared" si="14"/>
        <v>255.58350687353155</v>
      </c>
    </row>
    <row r="70" spans="1:13" ht="12.75" thickTop="1">
      <c r="B70" s="108"/>
      <c r="C70" s="116"/>
      <c r="D70" s="116"/>
      <c r="E70" s="116"/>
      <c r="F70" s="116"/>
      <c r="G70" s="116"/>
      <c r="H70" s="116"/>
      <c r="I70" s="116"/>
      <c r="J70" s="116"/>
      <c r="K70" s="116"/>
      <c r="L70" s="126"/>
    </row>
    <row r="71" spans="1:13">
      <c r="A71" s="101" t="s">
        <v>417</v>
      </c>
      <c r="B71" s="100"/>
      <c r="C71" s="101"/>
      <c r="D71" s="101"/>
      <c r="E71" s="101"/>
      <c r="F71" s="101"/>
      <c r="G71" s="101"/>
      <c r="H71" s="101"/>
      <c r="I71" s="101"/>
      <c r="J71" s="101"/>
      <c r="K71" s="101"/>
      <c r="L71" s="101"/>
    </row>
    <row r="72" spans="1:13">
      <c r="A72" s="102" t="s">
        <v>359</v>
      </c>
      <c r="B72" s="103">
        <f t="shared" ref="B72:K72" si="15">B49</f>
        <v>44713</v>
      </c>
      <c r="C72" s="104">
        <f t="shared" si="15"/>
        <v>44743</v>
      </c>
      <c r="D72" s="104">
        <f t="shared" si="15"/>
        <v>44774</v>
      </c>
      <c r="E72" s="104">
        <f t="shared" si="15"/>
        <v>44805</v>
      </c>
      <c r="F72" s="104">
        <f t="shared" si="15"/>
        <v>44835</v>
      </c>
      <c r="G72" s="104">
        <f t="shared" si="15"/>
        <v>44866</v>
      </c>
      <c r="H72" s="104">
        <f t="shared" si="15"/>
        <v>44896</v>
      </c>
      <c r="I72" s="104">
        <f t="shared" si="15"/>
        <v>44927</v>
      </c>
      <c r="J72" s="104">
        <f t="shared" si="15"/>
        <v>44958</v>
      </c>
      <c r="K72" s="104">
        <f t="shared" si="15"/>
        <v>44986</v>
      </c>
      <c r="L72" s="100" t="s">
        <v>54</v>
      </c>
    </row>
    <row r="73" spans="1:13">
      <c r="A73" s="121" t="s">
        <v>441</v>
      </c>
      <c r="B73" s="108">
        <v>0</v>
      </c>
      <c r="C73" s="108">
        <v>0.17</v>
      </c>
      <c r="D73" s="108">
        <v>0.17</v>
      </c>
      <c r="E73" s="108">
        <v>0.17</v>
      </c>
      <c r="F73" s="108">
        <v>0.17</v>
      </c>
      <c r="G73" s="108">
        <v>0.17</v>
      </c>
      <c r="H73" s="108">
        <v>0.17</v>
      </c>
      <c r="I73" s="108">
        <v>0.17</v>
      </c>
      <c r="J73" s="108">
        <v>0</v>
      </c>
      <c r="K73" s="108">
        <v>0</v>
      </c>
      <c r="L73" s="116">
        <f>SUM(B73:K73)</f>
        <v>1.19</v>
      </c>
    </row>
    <row r="74" spans="1:13" s="127" customFormat="1">
      <c r="A74" s="121" t="s">
        <v>442</v>
      </c>
      <c r="B74" s="116">
        <v>0</v>
      </c>
      <c r="C74" s="116">
        <v>0</v>
      </c>
      <c r="D74" s="116">
        <v>0</v>
      </c>
      <c r="E74" s="116">
        <v>0</v>
      </c>
      <c r="F74" s="116">
        <v>0</v>
      </c>
      <c r="G74" s="116">
        <v>0</v>
      </c>
      <c r="H74" s="116">
        <v>0</v>
      </c>
      <c r="I74" s="116">
        <v>0</v>
      </c>
      <c r="J74" s="116">
        <v>0</v>
      </c>
      <c r="K74" s="116">
        <v>0</v>
      </c>
      <c r="L74" s="116">
        <f>SUM(B74:K74)</f>
        <v>0</v>
      </c>
    </row>
    <row r="75" spans="1:13" ht="12.75" thickBot="1">
      <c r="A75" s="102" t="s">
        <v>54</v>
      </c>
      <c r="B75" s="114">
        <f t="shared" ref="B75:L75" si="16">SUM(B73:B74)</f>
        <v>0</v>
      </c>
      <c r="C75" s="115">
        <f t="shared" si="16"/>
        <v>0.17</v>
      </c>
      <c r="D75" s="115">
        <f t="shared" si="16"/>
        <v>0.17</v>
      </c>
      <c r="E75" s="115">
        <f t="shared" si="16"/>
        <v>0.17</v>
      </c>
      <c r="F75" s="115">
        <f t="shared" si="16"/>
        <v>0.17</v>
      </c>
      <c r="G75" s="115">
        <f t="shared" si="16"/>
        <v>0.17</v>
      </c>
      <c r="H75" s="115">
        <f t="shared" si="16"/>
        <v>0.17</v>
      </c>
      <c r="I75" s="115">
        <f t="shared" si="16"/>
        <v>0.17</v>
      </c>
      <c r="J75" s="115">
        <f t="shared" si="16"/>
        <v>0</v>
      </c>
      <c r="K75" s="115">
        <f t="shared" si="16"/>
        <v>0</v>
      </c>
      <c r="L75" s="115">
        <f t="shared" si="16"/>
        <v>1.19</v>
      </c>
    </row>
    <row r="76" spans="1:13" ht="12.75" thickTop="1">
      <c r="A76" s="121"/>
      <c r="B76" s="108"/>
      <c r="C76" s="116"/>
      <c r="D76" s="116"/>
      <c r="E76" s="116"/>
      <c r="F76" s="116"/>
      <c r="G76" s="116"/>
      <c r="H76" s="116"/>
      <c r="I76" s="116"/>
      <c r="J76" s="116"/>
      <c r="K76" s="116"/>
      <c r="L76" s="120"/>
    </row>
    <row r="77" spans="1:13">
      <c r="A77" s="102" t="s">
        <v>368</v>
      </c>
      <c r="B77" s="103">
        <f t="shared" ref="B77:L77" si="17">B72</f>
        <v>44713</v>
      </c>
      <c r="C77" s="104">
        <f t="shared" si="17"/>
        <v>44743</v>
      </c>
      <c r="D77" s="104">
        <f t="shared" si="17"/>
        <v>44774</v>
      </c>
      <c r="E77" s="104">
        <f t="shared" si="17"/>
        <v>44805</v>
      </c>
      <c r="F77" s="104">
        <f t="shared" si="17"/>
        <v>44835</v>
      </c>
      <c r="G77" s="104">
        <f t="shared" si="17"/>
        <v>44866</v>
      </c>
      <c r="H77" s="104">
        <f t="shared" si="17"/>
        <v>44896</v>
      </c>
      <c r="I77" s="104">
        <f t="shared" si="17"/>
        <v>44927</v>
      </c>
      <c r="J77" s="104">
        <f t="shared" si="17"/>
        <v>44958</v>
      </c>
      <c r="K77" s="104">
        <f t="shared" si="17"/>
        <v>44986</v>
      </c>
      <c r="L77" s="103" t="str">
        <f t="shared" si="17"/>
        <v>Total</v>
      </c>
    </row>
    <row r="78" spans="1:13">
      <c r="A78" s="121" t="s">
        <v>441</v>
      </c>
      <c r="B78" s="108">
        <v>0</v>
      </c>
      <c r="C78" s="108">
        <v>0.22</v>
      </c>
      <c r="D78" s="108">
        <v>0.22</v>
      </c>
      <c r="E78" s="108">
        <v>0.22</v>
      </c>
      <c r="F78" s="108">
        <v>0.22</v>
      </c>
      <c r="G78" s="108">
        <v>0.22</v>
      </c>
      <c r="H78" s="108">
        <v>0.22</v>
      </c>
      <c r="I78" s="108">
        <v>0.22</v>
      </c>
      <c r="J78" s="108">
        <v>0</v>
      </c>
      <c r="K78" s="108">
        <v>0</v>
      </c>
      <c r="L78" s="116">
        <f>SUM(B78:K78)</f>
        <v>1.54</v>
      </c>
    </row>
    <row r="79" spans="1:13">
      <c r="A79" s="121" t="s">
        <v>442</v>
      </c>
      <c r="B79" s="108">
        <v>0</v>
      </c>
      <c r="C79" s="108">
        <v>0</v>
      </c>
      <c r="D79" s="108">
        <v>0</v>
      </c>
      <c r="E79" s="108">
        <v>0</v>
      </c>
      <c r="F79" s="108">
        <v>0</v>
      </c>
      <c r="G79" s="108">
        <v>0</v>
      </c>
      <c r="H79" s="108">
        <v>0</v>
      </c>
      <c r="I79" s="108">
        <v>0</v>
      </c>
      <c r="J79" s="108">
        <v>0</v>
      </c>
      <c r="K79" s="108">
        <v>0</v>
      </c>
      <c r="L79" s="116">
        <f>SUM(B79:K79)</f>
        <v>0</v>
      </c>
    </row>
    <row r="80" spans="1:13" ht="12.75" thickBot="1">
      <c r="A80" s="102" t="s">
        <v>54</v>
      </c>
      <c r="B80" s="114">
        <f t="shared" ref="B80:L80" si="18">SUM(B78:B79)</f>
        <v>0</v>
      </c>
      <c r="C80" s="115">
        <f t="shared" si="18"/>
        <v>0.22</v>
      </c>
      <c r="D80" s="115">
        <f t="shared" si="18"/>
        <v>0.22</v>
      </c>
      <c r="E80" s="115">
        <f t="shared" si="18"/>
        <v>0.22</v>
      </c>
      <c r="F80" s="115">
        <f t="shared" si="18"/>
        <v>0.22</v>
      </c>
      <c r="G80" s="115">
        <f t="shared" si="18"/>
        <v>0.22</v>
      </c>
      <c r="H80" s="115">
        <f t="shared" si="18"/>
        <v>0.22</v>
      </c>
      <c r="I80" s="115">
        <f t="shared" si="18"/>
        <v>0.22</v>
      </c>
      <c r="J80" s="115">
        <f t="shared" si="18"/>
        <v>0</v>
      </c>
      <c r="K80" s="115">
        <f t="shared" si="18"/>
        <v>0</v>
      </c>
      <c r="L80" s="115">
        <f t="shared" si="18"/>
        <v>1.54</v>
      </c>
    </row>
    <row r="81" ht="12.75" thickTop="1"/>
  </sheetData>
  <pageMargins left="0.7" right="0.7" top="0.75" bottom="0.75" header="0.3" footer="0.3"/>
  <pageSetup scale="33" fitToHeight="2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C2394E-B366-4E02-BCA0-FE98B18735A7}">
  <dimension ref="A1:N17"/>
  <sheetViews>
    <sheetView workbookViewId="0">
      <pane xSplit="6" topLeftCell="G1" activePane="topRight" state="frozen"/>
      <selection pane="topRight"/>
    </sheetView>
  </sheetViews>
  <sheetFormatPr defaultColWidth="9" defaultRowHeight="12"/>
  <cols>
    <col min="3" max="3" width="33.33203125" customWidth="1"/>
    <col min="4" max="4" width="6" customWidth="1"/>
    <col min="5" max="5" width="12" style="157" customWidth="1"/>
    <col min="6" max="6" width="13" style="157" customWidth="1"/>
    <col min="7" max="7" width="7.1640625" customWidth="1"/>
    <col min="8" max="13" width="12" style="157" bestFit="1" customWidth="1"/>
    <col min="14" max="14" width="13" bestFit="1" customWidth="1"/>
  </cols>
  <sheetData>
    <row r="1" spans="1:14">
      <c r="A1" s="169" t="s">
        <v>555</v>
      </c>
      <c r="B1" s="169" t="s">
        <v>555</v>
      </c>
      <c r="C1" s="204" t="s">
        <v>359</v>
      </c>
      <c r="D1" s="177" t="s">
        <v>589</v>
      </c>
      <c r="E1" s="203" t="s">
        <v>540</v>
      </c>
      <c r="F1" s="203" t="s">
        <v>588</v>
      </c>
      <c r="G1" s="172"/>
      <c r="H1" s="172" t="s">
        <v>591</v>
      </c>
      <c r="I1" s="172">
        <v>44743</v>
      </c>
      <c r="J1" s="172">
        <v>44774</v>
      </c>
      <c r="K1" s="172">
        <v>44805</v>
      </c>
      <c r="L1" s="172">
        <v>44835</v>
      </c>
      <c r="M1" s="172">
        <v>44866</v>
      </c>
    </row>
    <row r="2" spans="1:14" s="30" customFormat="1">
      <c r="A2" s="40" t="s">
        <v>584</v>
      </c>
      <c r="B2" s="40" t="s">
        <v>583</v>
      </c>
      <c r="C2" t="s">
        <v>587</v>
      </c>
      <c r="D2" s="30">
        <v>1</v>
      </c>
      <c r="E2" s="170">
        <v>63000000</v>
      </c>
      <c r="F2" s="170">
        <v>63000000</v>
      </c>
      <c r="H2" s="170">
        <v>53002500</v>
      </c>
      <c r="I2" s="170">
        <v>0</v>
      </c>
      <c r="J2" s="170">
        <v>0</v>
      </c>
      <c r="K2" s="170">
        <v>0</v>
      </c>
      <c r="L2" s="168">
        <v>2498750</v>
      </c>
      <c r="M2" s="168">
        <v>2498750</v>
      </c>
      <c r="N2"/>
    </row>
    <row r="3" spans="1:14" s="30" customFormat="1">
      <c r="A3" s="40" t="s">
        <v>584</v>
      </c>
      <c r="B3" s="40" t="s">
        <v>583</v>
      </c>
      <c r="C3" t="s">
        <v>586</v>
      </c>
      <c r="D3" s="30">
        <v>1</v>
      </c>
      <c r="E3" s="170">
        <v>18200000</v>
      </c>
      <c r="F3" s="170">
        <v>18200000</v>
      </c>
      <c r="H3" s="170">
        <v>16788000</v>
      </c>
      <c r="I3" s="170">
        <v>0</v>
      </c>
      <c r="J3" s="170">
        <v>0</v>
      </c>
      <c r="K3" s="170">
        <v>0</v>
      </c>
      <c r="L3" s="168">
        <v>3361000</v>
      </c>
      <c r="M3" s="168">
        <v>3361000</v>
      </c>
      <c r="N3"/>
    </row>
    <row r="4" spans="1:14" s="30" customFormat="1">
      <c r="A4" s="40" t="s">
        <v>584</v>
      </c>
      <c r="B4" s="40" t="s">
        <v>583</v>
      </c>
      <c r="C4" t="s">
        <v>585</v>
      </c>
      <c r="D4" s="30">
        <v>1</v>
      </c>
      <c r="E4" s="170">
        <v>35000000</v>
      </c>
      <c r="F4" s="170">
        <v>35000000</v>
      </c>
      <c r="H4" s="170">
        <v>27117500</v>
      </c>
      <c r="I4" s="170">
        <v>0</v>
      </c>
      <c r="J4" s="170">
        <v>0</v>
      </c>
      <c r="K4" s="170">
        <v>0</v>
      </c>
      <c r="L4" s="168">
        <v>5073250</v>
      </c>
      <c r="M4" s="168">
        <v>5073250</v>
      </c>
      <c r="N4"/>
    </row>
    <row r="5" spans="1:14" s="30" customFormat="1">
      <c r="A5" s="40" t="s">
        <v>584</v>
      </c>
      <c r="B5" s="40" t="s">
        <v>583</v>
      </c>
      <c r="C5" t="s">
        <v>582</v>
      </c>
      <c r="D5" s="30">
        <v>1</v>
      </c>
      <c r="E5" s="170">
        <v>23800000</v>
      </c>
      <c r="F5" s="170">
        <v>23800000</v>
      </c>
      <c r="H5" s="170">
        <v>0</v>
      </c>
      <c r="I5" s="170">
        <v>0</v>
      </c>
      <c r="J5" s="170">
        <v>0</v>
      </c>
      <c r="K5" s="170">
        <v>0</v>
      </c>
      <c r="L5" s="168" t="s">
        <v>590</v>
      </c>
      <c r="M5" s="168">
        <f>F5</f>
        <v>23800000</v>
      </c>
      <c r="N5"/>
    </row>
    <row r="6" spans="1:14" s="30" customFormat="1" ht="12.75" thickBot="1">
      <c r="A6" s="40"/>
      <c r="B6" s="40"/>
      <c r="C6"/>
      <c r="E6" s="202" t="s">
        <v>54</v>
      </c>
      <c r="F6" s="76">
        <f>SUM(F2:F5)</f>
        <v>140000000</v>
      </c>
      <c r="H6" s="76">
        <f t="shared" ref="H6:M6" si="0">SUM(H2:H5)</f>
        <v>96908000</v>
      </c>
      <c r="I6" s="76">
        <f t="shared" si="0"/>
        <v>0</v>
      </c>
      <c r="J6" s="76">
        <f t="shared" si="0"/>
        <v>0</v>
      </c>
      <c r="K6" s="76">
        <f t="shared" si="0"/>
        <v>0</v>
      </c>
      <c r="L6" s="76">
        <f t="shared" si="0"/>
        <v>10933000</v>
      </c>
      <c r="M6" s="76">
        <f t="shared" si="0"/>
        <v>34733000</v>
      </c>
    </row>
    <row r="7" spans="1:14" s="30" customFormat="1" ht="12.75" thickTop="1">
      <c r="A7" s="40"/>
      <c r="B7" s="40"/>
      <c r="C7"/>
      <c r="E7" s="170"/>
      <c r="F7" s="205"/>
      <c r="H7" s="170"/>
      <c r="I7" s="170"/>
      <c r="J7" s="170"/>
      <c r="K7" s="170"/>
      <c r="L7" s="170"/>
      <c r="M7" s="170"/>
    </row>
    <row r="8" spans="1:14">
      <c r="A8" s="169" t="s">
        <v>555</v>
      </c>
      <c r="B8" s="169" t="s">
        <v>555</v>
      </c>
      <c r="C8" s="204" t="s">
        <v>368</v>
      </c>
      <c r="D8" s="177" t="s">
        <v>589</v>
      </c>
      <c r="E8" s="203" t="s">
        <v>540</v>
      </c>
      <c r="F8" s="203" t="s">
        <v>588</v>
      </c>
      <c r="G8" s="172"/>
      <c r="H8" s="172" t="str">
        <f t="shared" ref="H8:M9" si="1">H1</f>
        <v>Current</v>
      </c>
      <c r="I8" s="172">
        <f t="shared" si="1"/>
        <v>44743</v>
      </c>
      <c r="J8" s="172">
        <f t="shared" si="1"/>
        <v>44774</v>
      </c>
      <c r="K8" s="172">
        <f t="shared" si="1"/>
        <v>44805</v>
      </c>
      <c r="L8" s="172">
        <f t="shared" si="1"/>
        <v>44835</v>
      </c>
      <c r="M8" s="172">
        <f t="shared" si="1"/>
        <v>44866</v>
      </c>
    </row>
    <row r="9" spans="1:14" s="30" customFormat="1">
      <c r="A9" s="40" t="s">
        <v>584</v>
      </c>
      <c r="B9" s="40" t="s">
        <v>583</v>
      </c>
      <c r="C9" t="s">
        <v>587</v>
      </c>
      <c r="D9" s="30">
        <v>1</v>
      </c>
      <c r="E9" s="170">
        <v>66315285</v>
      </c>
      <c r="F9" s="170">
        <f>E9</f>
        <v>66315285</v>
      </c>
      <c r="H9" s="170">
        <f t="shared" si="1"/>
        <v>53002500</v>
      </c>
      <c r="I9" s="170">
        <f t="shared" si="1"/>
        <v>0</v>
      </c>
      <c r="J9" s="170">
        <f t="shared" si="1"/>
        <v>0</v>
      </c>
      <c r="K9" s="170">
        <f t="shared" si="1"/>
        <v>0</v>
      </c>
      <c r="L9" s="170">
        <f t="shared" si="1"/>
        <v>2498750</v>
      </c>
      <c r="M9" s="170">
        <f t="shared" si="1"/>
        <v>2498750</v>
      </c>
    </row>
    <row r="10" spans="1:14" s="30" customFormat="1">
      <c r="A10" s="40" t="s">
        <v>584</v>
      </c>
      <c r="B10" s="40" t="s">
        <v>583</v>
      </c>
      <c r="C10" t="s">
        <v>586</v>
      </c>
      <c r="D10" s="30">
        <v>1</v>
      </c>
      <c r="E10" s="170">
        <v>13863328.424999999</v>
      </c>
      <c r="F10" s="170">
        <f>E10</f>
        <v>13863328.424999999</v>
      </c>
      <c r="H10" s="170">
        <f t="shared" ref="H10:M10" si="2">H3</f>
        <v>16788000</v>
      </c>
      <c r="I10" s="170">
        <f t="shared" si="2"/>
        <v>0</v>
      </c>
      <c r="J10" s="170">
        <f t="shared" si="2"/>
        <v>0</v>
      </c>
      <c r="K10" s="170">
        <f t="shared" si="2"/>
        <v>0</v>
      </c>
      <c r="L10" s="170">
        <f t="shared" si="2"/>
        <v>3361000</v>
      </c>
      <c r="M10" s="170">
        <f t="shared" si="2"/>
        <v>3361000</v>
      </c>
    </row>
    <row r="11" spans="1:14" s="30" customFormat="1">
      <c r="A11" s="40" t="s">
        <v>584</v>
      </c>
      <c r="B11" s="40" t="s">
        <v>583</v>
      </c>
      <c r="C11" t="s">
        <v>585</v>
      </c>
      <c r="D11" s="30">
        <v>1</v>
      </c>
      <c r="E11" s="170">
        <v>15000000</v>
      </c>
      <c r="F11" s="170">
        <f>E11</f>
        <v>15000000</v>
      </c>
      <c r="H11" s="170">
        <f t="shared" ref="H11:M11" si="3">H4</f>
        <v>27117500</v>
      </c>
      <c r="I11" s="170">
        <f t="shared" si="3"/>
        <v>0</v>
      </c>
      <c r="J11" s="170">
        <f t="shared" si="3"/>
        <v>0</v>
      </c>
      <c r="K11" s="170">
        <f t="shared" si="3"/>
        <v>0</v>
      </c>
      <c r="L11" s="170">
        <f t="shared" si="3"/>
        <v>5073250</v>
      </c>
      <c r="M11" s="170">
        <f t="shared" si="3"/>
        <v>5073250</v>
      </c>
    </row>
    <row r="12" spans="1:14" s="30" customFormat="1">
      <c r="A12" s="40" t="s">
        <v>584</v>
      </c>
      <c r="B12" s="40" t="s">
        <v>583</v>
      </c>
      <c r="C12" t="s">
        <v>582</v>
      </c>
      <c r="D12" s="30">
        <v>1</v>
      </c>
      <c r="E12" s="170">
        <v>15000000</v>
      </c>
      <c r="F12" s="170">
        <f>E12</f>
        <v>15000000</v>
      </c>
      <c r="H12" s="170">
        <f t="shared" ref="H12:M12" si="4">H5</f>
        <v>0</v>
      </c>
      <c r="I12" s="170">
        <f t="shared" si="4"/>
        <v>0</v>
      </c>
      <c r="J12" s="170">
        <f t="shared" si="4"/>
        <v>0</v>
      </c>
      <c r="K12" s="170">
        <f t="shared" si="4"/>
        <v>0</v>
      </c>
      <c r="L12" s="170" t="str">
        <f t="shared" si="4"/>
        <v>-</v>
      </c>
      <c r="M12" s="170">
        <f t="shared" si="4"/>
        <v>23800000</v>
      </c>
    </row>
    <row r="13" spans="1:14" s="30" customFormat="1" ht="12.75" thickBot="1">
      <c r="A13" s="40"/>
      <c r="B13" s="40"/>
      <c r="C13"/>
      <c r="E13" s="202" t="s">
        <v>54</v>
      </c>
      <c r="F13" s="76">
        <f>SUM(F9:F12)</f>
        <v>110178613.425</v>
      </c>
      <c r="H13" s="76">
        <f t="shared" ref="H13:M13" si="5">SUM(H9:H12)</f>
        <v>96908000</v>
      </c>
      <c r="I13" s="76">
        <f t="shared" si="5"/>
        <v>0</v>
      </c>
      <c r="J13" s="76">
        <f t="shared" si="5"/>
        <v>0</v>
      </c>
      <c r="K13" s="76">
        <f t="shared" si="5"/>
        <v>0</v>
      </c>
      <c r="L13" s="76">
        <f t="shared" si="5"/>
        <v>10933000</v>
      </c>
      <c r="M13" s="76">
        <f t="shared" si="5"/>
        <v>34733000</v>
      </c>
    </row>
    <row r="14" spans="1:14" s="30" customFormat="1" ht="12.75" thickTop="1">
      <c r="A14" s="40"/>
      <c r="B14" s="40"/>
      <c r="C14"/>
      <c r="E14" s="170"/>
      <c r="F14" s="170">
        <f>F6-F13</f>
        <v>29821386.575000003</v>
      </c>
      <c r="H14" s="170"/>
      <c r="I14" s="170"/>
      <c r="J14" s="170"/>
      <c r="K14" s="170"/>
      <c r="L14" s="170"/>
      <c r="M14" s="170"/>
    </row>
    <row r="15" spans="1:14">
      <c r="C15" t="s">
        <v>581</v>
      </c>
    </row>
    <row r="16" spans="1:14">
      <c r="C16" t="s">
        <v>580</v>
      </c>
    </row>
    <row r="17" spans="3:3">
      <c r="C17" t="s">
        <v>579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35"/>
  <sheetViews>
    <sheetView tabSelected="1" topLeftCell="A22" zoomScaleNormal="100" workbookViewId="0">
      <selection activeCell="L46" sqref="L45:L46"/>
    </sheetView>
  </sheetViews>
  <sheetFormatPr defaultRowHeight="12"/>
  <cols>
    <col min="1" max="1" width="33.33203125" bestFit="1" customWidth="1"/>
    <col min="2" max="17" width="7.83203125" customWidth="1"/>
  </cols>
  <sheetData>
    <row r="1" spans="1:18" hidden="1">
      <c r="Q1" s="6" t="s">
        <v>20</v>
      </c>
    </row>
    <row r="2" spans="1:18" hidden="1">
      <c r="A2" s="7" t="s">
        <v>126</v>
      </c>
      <c r="B2" s="16" t="s">
        <v>38</v>
      </c>
      <c r="C2" s="16" t="s">
        <v>39</v>
      </c>
      <c r="D2" s="16" t="s">
        <v>40</v>
      </c>
      <c r="E2" s="16" t="s">
        <v>41</v>
      </c>
      <c r="F2" s="16" t="s">
        <v>42</v>
      </c>
      <c r="G2" s="16" t="s">
        <v>43</v>
      </c>
      <c r="H2" s="16" t="s">
        <v>44</v>
      </c>
      <c r="I2" s="16" t="s">
        <v>45</v>
      </c>
      <c r="J2" s="16" t="s">
        <v>46</v>
      </c>
      <c r="K2" s="16" t="s">
        <v>47</v>
      </c>
      <c r="L2" s="16" t="s">
        <v>48</v>
      </c>
      <c r="M2" s="16" t="s">
        <v>49</v>
      </c>
      <c r="N2" s="16" t="s">
        <v>50</v>
      </c>
      <c r="O2" s="16" t="s">
        <v>51</v>
      </c>
      <c r="P2" s="16" t="s">
        <v>52</v>
      </c>
      <c r="Q2" s="16" t="s">
        <v>53</v>
      </c>
    </row>
    <row r="3" spans="1:18" hidden="1">
      <c r="A3" t="s">
        <v>563</v>
      </c>
      <c r="B3" s="11" t="e">
        <f>PL!#REF!+PL!B18</f>
        <v>#REF!</v>
      </c>
      <c r="C3" s="11" t="e">
        <f>PL!#REF!+PL!C18</f>
        <v>#REF!</v>
      </c>
      <c r="D3" s="11" t="e">
        <f>PL!#REF!+PL!D18</f>
        <v>#REF!</v>
      </c>
      <c r="E3" s="11" t="e">
        <f>PL!#REF!+PL!E18</f>
        <v>#REF!</v>
      </c>
      <c r="F3" s="11" t="e">
        <f>PL!#REF!+PL!F18</f>
        <v>#REF!</v>
      </c>
      <c r="G3" s="11" t="e">
        <f>PL!#REF!+PL!G18</f>
        <v>#REF!</v>
      </c>
      <c r="H3" s="11" t="e">
        <f>PL!#REF!+PL!H18</f>
        <v>#REF!</v>
      </c>
      <c r="I3" s="11" t="e">
        <f>PL!#REF!+PL!I18</f>
        <v>#REF!</v>
      </c>
      <c r="J3" s="11" t="e">
        <f>PL!#REF!+PL!J18</f>
        <v>#REF!</v>
      </c>
      <c r="K3" s="11" t="e">
        <f>PL!#REF!+PL!K18</f>
        <v>#REF!</v>
      </c>
      <c r="L3" s="11" t="e">
        <f>PL!#REF!+PL!L18</f>
        <v>#REF!</v>
      </c>
      <c r="M3" s="11" t="e">
        <f>PL!#REF!+PL!M18</f>
        <v>#REF!</v>
      </c>
      <c r="N3" s="11" t="e">
        <f>PL!#REF!+PL!N18</f>
        <v>#REF!</v>
      </c>
      <c r="O3" s="11" t="e">
        <f>PL!#REF!+PL!O18</f>
        <v>#REF!</v>
      </c>
      <c r="P3" s="11" t="e">
        <f>PL!#REF!+PL!P18</f>
        <v>#REF!</v>
      </c>
      <c r="Q3" s="11" t="e">
        <f>PL!#REF!+PL!Q18</f>
        <v>#REF!</v>
      </c>
    </row>
    <row r="4" spans="1:18" hidden="1">
      <c r="A4" t="s">
        <v>203</v>
      </c>
      <c r="B4" s="30">
        <v>42</v>
      </c>
      <c r="C4" s="30">
        <v>0</v>
      </c>
      <c r="D4" s="30">
        <v>19.5</v>
      </c>
      <c r="E4" s="9">
        <v>0</v>
      </c>
      <c r="F4" s="9">
        <v>0</v>
      </c>
      <c r="G4" s="9">
        <v>0</v>
      </c>
      <c r="H4" s="9">
        <v>0</v>
      </c>
      <c r="I4" s="9">
        <v>0</v>
      </c>
      <c r="J4" s="9">
        <v>0</v>
      </c>
      <c r="K4" s="9">
        <v>0</v>
      </c>
      <c r="L4" s="9">
        <v>0</v>
      </c>
      <c r="M4" s="9">
        <v>0</v>
      </c>
      <c r="N4" s="9">
        <v>0</v>
      </c>
      <c r="O4" s="9">
        <v>0</v>
      </c>
      <c r="P4" s="9">
        <v>0</v>
      </c>
      <c r="Q4" s="9">
        <v>0</v>
      </c>
    </row>
    <row r="5" spans="1:18" hidden="1">
      <c r="A5" t="s">
        <v>564</v>
      </c>
      <c r="B5" s="11">
        <v>18.100000000000001</v>
      </c>
      <c r="C5" s="11" t="e">
        <f>BS!#REF!-BS!#REF!</f>
        <v>#REF!</v>
      </c>
      <c r="D5" s="11" t="e">
        <f>BS!#REF!-BS!#REF!</f>
        <v>#REF!</v>
      </c>
      <c r="E5" s="11" t="e">
        <f>BS!#REF!-BS!#REF!</f>
        <v>#REF!</v>
      </c>
      <c r="F5" s="11" t="e">
        <f>BS!#REF!-BS!#REF!</f>
        <v>#REF!</v>
      </c>
      <c r="G5" s="11" t="e">
        <f>BS!#REF!-BS!#REF!</f>
        <v>#REF!</v>
      </c>
      <c r="H5" s="11" t="e">
        <f>BS!#REF!-BS!#REF!</f>
        <v>#REF!</v>
      </c>
      <c r="I5" s="11" t="e">
        <f>BS!I6-BS!#REF!</f>
        <v>#REF!</v>
      </c>
      <c r="J5" s="11" t="e">
        <f>184.4-SUM(B5:I5)</f>
        <v>#REF!</v>
      </c>
      <c r="K5" s="11">
        <v>0</v>
      </c>
      <c r="L5" s="11">
        <v>0</v>
      </c>
      <c r="M5" s="11">
        <v>0</v>
      </c>
      <c r="N5" s="11">
        <v>0</v>
      </c>
      <c r="O5" s="11">
        <v>0</v>
      </c>
      <c r="P5" s="11">
        <v>0</v>
      </c>
      <c r="Q5" s="11">
        <v>0</v>
      </c>
    </row>
    <row r="6" spans="1:18" hidden="1">
      <c r="A6" t="s">
        <v>89</v>
      </c>
      <c r="B6" s="11" t="e">
        <f>BS!#REF!</f>
        <v>#REF!</v>
      </c>
      <c r="C6" s="11" t="e">
        <f>BS!#REF!-BS!#REF!</f>
        <v>#REF!</v>
      </c>
      <c r="D6" s="11" t="e">
        <f>BS!#REF!-BS!#REF!</f>
        <v>#REF!</v>
      </c>
      <c r="E6" s="11" t="e">
        <f>BS!#REF!-BS!#REF!</f>
        <v>#REF!</v>
      </c>
      <c r="F6" s="11" t="e">
        <f>BS!#REF!-BS!#REF!</f>
        <v>#REF!</v>
      </c>
      <c r="G6" s="11" t="e">
        <f>BS!#REF!-BS!#REF!</f>
        <v>#REF!</v>
      </c>
      <c r="H6" s="11" t="e">
        <f>BS!#REF!-BS!#REF!</f>
        <v>#REF!</v>
      </c>
      <c r="I6" s="11" t="e">
        <f>BS!I7-BS!#REF!</f>
        <v>#REF!</v>
      </c>
      <c r="J6" s="11">
        <f>BS!J7-BS!I7</f>
        <v>0</v>
      </c>
      <c r="K6" s="11">
        <f>BS!K7-BS!J7</f>
        <v>-19</v>
      </c>
      <c r="L6" s="11">
        <f>BS!L7-BS!K7</f>
        <v>0</v>
      </c>
      <c r="M6" s="11">
        <f>BS!M7-BS!L7</f>
        <v>0</v>
      </c>
      <c r="N6" s="11">
        <f>BS!N7-BS!M7</f>
        <v>0</v>
      </c>
      <c r="O6" s="11">
        <f>BS!O7-BS!N7</f>
        <v>0</v>
      </c>
      <c r="P6" s="11">
        <f>BS!P7-BS!O7</f>
        <v>0</v>
      </c>
      <c r="Q6" s="11">
        <f>BS!Q7-BS!P7</f>
        <v>0</v>
      </c>
    </row>
    <row r="7" spans="1:18" hidden="1">
      <c r="A7" t="s">
        <v>90</v>
      </c>
      <c r="B7" s="11" t="e">
        <f>BS!#REF!</f>
        <v>#REF!</v>
      </c>
      <c r="C7" s="11" t="e">
        <f>BS!#REF!-BS!#REF!</f>
        <v>#REF!</v>
      </c>
      <c r="D7" s="11" t="e">
        <f>BS!#REF!-BS!#REF!</f>
        <v>#REF!</v>
      </c>
      <c r="E7" s="11" t="e">
        <f>BS!#REF!-BS!#REF!</f>
        <v>#REF!</v>
      </c>
      <c r="F7" s="11" t="e">
        <f>BS!#REF!-BS!#REF!</f>
        <v>#REF!</v>
      </c>
      <c r="G7" s="11" t="e">
        <f>BS!#REF!-BS!#REF!</f>
        <v>#REF!</v>
      </c>
      <c r="H7" s="11" t="e">
        <f>BS!#REF!-BS!#REF!</f>
        <v>#REF!</v>
      </c>
      <c r="I7" s="11" t="e">
        <f>BS!I8-BS!#REF!</f>
        <v>#REF!</v>
      </c>
      <c r="J7" s="11">
        <f>BS!J8-BS!I8</f>
        <v>-30</v>
      </c>
      <c r="K7" s="11">
        <f>BS!K8-BS!J8</f>
        <v>0</v>
      </c>
      <c r="L7" s="11">
        <f>BS!L8-BS!K8</f>
        <v>0</v>
      </c>
      <c r="M7" s="11">
        <f>BS!M8-BS!L8</f>
        <v>0</v>
      </c>
      <c r="N7" s="11">
        <f>BS!N8-BS!M8</f>
        <v>0</v>
      </c>
      <c r="O7" s="11">
        <f>BS!O8-BS!N8</f>
        <v>0</v>
      </c>
      <c r="P7" s="11">
        <f>BS!P8-BS!O8</f>
        <v>0</v>
      </c>
      <c r="Q7" s="11">
        <f>BS!Q8-BS!P8</f>
        <v>0</v>
      </c>
    </row>
    <row r="8" spans="1:18" hidden="1">
      <c r="A8" t="s">
        <v>565</v>
      </c>
      <c r="B8" s="30" t="e">
        <f>BS!#REF!</f>
        <v>#REF!</v>
      </c>
      <c r="C8" s="30" t="e">
        <f>BS!#REF!-BS!#REF!</f>
        <v>#REF!</v>
      </c>
      <c r="D8" s="30" t="e">
        <f>BS!#REF!-BS!#REF!</f>
        <v>#REF!</v>
      </c>
      <c r="E8" s="30" t="e">
        <f>BS!#REF!-BS!#REF!</f>
        <v>#REF!</v>
      </c>
      <c r="F8" s="30" t="e">
        <f>BS!#REF!-BS!#REF!</f>
        <v>#REF!</v>
      </c>
      <c r="G8" s="30" t="e">
        <f>BS!#REF!-BS!#REF!</f>
        <v>#REF!</v>
      </c>
      <c r="H8" s="30" t="e">
        <f>BS!#REF!-BS!#REF!</f>
        <v>#REF!</v>
      </c>
      <c r="I8" s="30" t="e">
        <f>BS!I13-BS!#REF!</f>
        <v>#REF!</v>
      </c>
      <c r="J8" s="30">
        <f>BS!J13-BS!I13</f>
        <v>-2.9</v>
      </c>
      <c r="K8" s="30">
        <f>BS!K13-BS!J13</f>
        <v>0</v>
      </c>
      <c r="L8" s="30">
        <f>BS!L13-BS!K13</f>
        <v>0</v>
      </c>
      <c r="M8" s="30">
        <f>BS!M13-BS!L13</f>
        <v>0</v>
      </c>
      <c r="N8" s="30">
        <f>BS!N13-BS!M13</f>
        <v>0</v>
      </c>
      <c r="O8" s="30">
        <f>BS!O13-BS!N13</f>
        <v>0</v>
      </c>
      <c r="P8" s="30">
        <f>BS!P13-BS!O13</f>
        <v>0</v>
      </c>
      <c r="Q8" s="30">
        <f>BS!Q13-BS!P13</f>
        <v>0</v>
      </c>
    </row>
    <row r="9" spans="1:18" ht="12.75" hidden="1" thickBot="1">
      <c r="A9" s="7" t="s">
        <v>172</v>
      </c>
      <c r="B9" s="10" t="e">
        <f t="shared" ref="B9:Q9" si="0">SUM(B3:B8)</f>
        <v>#REF!</v>
      </c>
      <c r="C9" s="10" t="e">
        <f t="shared" si="0"/>
        <v>#REF!</v>
      </c>
      <c r="D9" s="10" t="e">
        <f t="shared" si="0"/>
        <v>#REF!</v>
      </c>
      <c r="E9" s="10" t="e">
        <f t="shared" si="0"/>
        <v>#REF!</v>
      </c>
      <c r="F9" s="10" t="e">
        <f t="shared" si="0"/>
        <v>#REF!</v>
      </c>
      <c r="G9" s="10" t="e">
        <f t="shared" si="0"/>
        <v>#REF!</v>
      </c>
      <c r="H9" s="10" t="e">
        <f t="shared" si="0"/>
        <v>#REF!</v>
      </c>
      <c r="I9" s="10" t="e">
        <f t="shared" si="0"/>
        <v>#REF!</v>
      </c>
      <c r="J9" s="10" t="e">
        <f t="shared" si="0"/>
        <v>#REF!</v>
      </c>
      <c r="K9" s="10" t="e">
        <f t="shared" si="0"/>
        <v>#REF!</v>
      </c>
      <c r="L9" s="10" t="e">
        <f t="shared" si="0"/>
        <v>#REF!</v>
      </c>
      <c r="M9" s="10" t="e">
        <f t="shared" si="0"/>
        <v>#REF!</v>
      </c>
      <c r="N9" s="10" t="e">
        <f t="shared" si="0"/>
        <v>#REF!</v>
      </c>
      <c r="O9" s="10" t="e">
        <f t="shared" si="0"/>
        <v>#REF!</v>
      </c>
      <c r="P9" s="10" t="e">
        <f t="shared" si="0"/>
        <v>#REF!</v>
      </c>
      <c r="Q9" s="10" t="e">
        <f t="shared" si="0"/>
        <v>#REF!</v>
      </c>
      <c r="R9" s="200"/>
    </row>
    <row r="10" spans="1:18" hidden="1">
      <c r="D10" s="11"/>
      <c r="E10" s="11"/>
      <c r="F10" s="11"/>
      <c r="G10" s="11"/>
      <c r="H10" s="11"/>
      <c r="I10" s="11"/>
      <c r="J10" s="11"/>
    </row>
    <row r="11" spans="1:18" hidden="1">
      <c r="A11" s="7" t="s">
        <v>134</v>
      </c>
      <c r="B11" s="16" t="str">
        <f t="shared" ref="B11:Q11" si="1">B2</f>
        <v>2013-14</v>
      </c>
      <c r="C11" s="16" t="str">
        <f t="shared" si="1"/>
        <v>2014-15</v>
      </c>
      <c r="D11" s="16" t="str">
        <f t="shared" si="1"/>
        <v>2015-16</v>
      </c>
      <c r="E11" s="16" t="str">
        <f t="shared" si="1"/>
        <v>2016-17</v>
      </c>
      <c r="F11" s="16" t="str">
        <f t="shared" si="1"/>
        <v>2017-18</v>
      </c>
      <c r="G11" s="16" t="str">
        <f t="shared" si="1"/>
        <v>2018-19</v>
      </c>
      <c r="H11" s="16" t="str">
        <f t="shared" si="1"/>
        <v>2019-20</v>
      </c>
      <c r="I11" s="16" t="str">
        <f t="shared" si="1"/>
        <v>2020-21</v>
      </c>
      <c r="J11" s="16" t="str">
        <f t="shared" si="1"/>
        <v>2021-22</v>
      </c>
      <c r="K11" s="16" t="str">
        <f t="shared" si="1"/>
        <v>2022-23</v>
      </c>
      <c r="L11" s="16" t="str">
        <f t="shared" si="1"/>
        <v>2023-24</v>
      </c>
      <c r="M11" s="16" t="str">
        <f t="shared" si="1"/>
        <v>2024-25</v>
      </c>
      <c r="N11" s="16" t="str">
        <f t="shared" si="1"/>
        <v>2025-26</v>
      </c>
      <c r="O11" s="16" t="str">
        <f t="shared" si="1"/>
        <v>2026-27</v>
      </c>
      <c r="P11" s="16" t="str">
        <f t="shared" si="1"/>
        <v>2027-28</v>
      </c>
      <c r="Q11" s="16" t="str">
        <f t="shared" si="1"/>
        <v>2028-29</v>
      </c>
    </row>
    <row r="12" spans="1:18" hidden="1">
      <c r="A12" t="s">
        <v>149</v>
      </c>
      <c r="B12" s="11" t="e">
        <f>BS!#REF!</f>
        <v>#REF!</v>
      </c>
      <c r="C12" s="11" t="e">
        <f>BS!#REF!-BS!#REF!</f>
        <v>#REF!</v>
      </c>
      <c r="D12" s="11" t="e">
        <f>BS!#REF!-BS!#REF!</f>
        <v>#REF!</v>
      </c>
      <c r="E12" s="11" t="e">
        <f>BS!#REF!-BS!#REF!</f>
        <v>#REF!</v>
      </c>
      <c r="F12" s="11" t="e">
        <f>BS!#REF!-BS!#REF!</f>
        <v>#REF!</v>
      </c>
      <c r="G12" s="11" t="e">
        <f>BS!#REF!-BS!#REF!</f>
        <v>#REF!</v>
      </c>
      <c r="H12" s="11" t="e">
        <f>BS!#REF!-BS!#REF!</f>
        <v>#REF!</v>
      </c>
      <c r="I12" s="11" t="e">
        <f>BS!I17-BS!#REF!</f>
        <v>#REF!</v>
      </c>
      <c r="J12" s="11">
        <f>BS!J17-BS!I17</f>
        <v>33.285697786252001</v>
      </c>
      <c r="K12" s="11">
        <f>BS!K17-BS!J17</f>
        <v>42.613962060103688</v>
      </c>
      <c r="L12" s="11">
        <f>BS!L17-BS!K17</f>
        <v>-0.53714393772565927</v>
      </c>
      <c r="M12" s="11">
        <f>BS!M17-BS!L17</f>
        <v>0.48000000000024556</v>
      </c>
      <c r="N12" s="11">
        <f>BS!N17-BS!M17</f>
        <v>0.48000000000024556</v>
      </c>
      <c r="O12" s="11">
        <f>BS!O17-BS!N17</f>
        <v>0.48000000000024556</v>
      </c>
      <c r="P12" s="11">
        <f>BS!P17-BS!O17</f>
        <v>0.48000000000024556</v>
      </c>
      <c r="Q12" s="11">
        <f>BS!Q17-BS!P17</f>
        <v>0.24000000000012278</v>
      </c>
    </row>
    <row r="13" spans="1:18" hidden="1">
      <c r="A13" t="s">
        <v>566</v>
      </c>
      <c r="B13" s="11" t="e">
        <f>-BS!#REF!</f>
        <v>#REF!</v>
      </c>
      <c r="C13" s="11" t="e">
        <f>-BS!#REF!</f>
        <v>#REF!</v>
      </c>
      <c r="D13" s="11" t="e">
        <f>-BS!#REF!</f>
        <v>#REF!</v>
      </c>
      <c r="E13" s="11" t="e">
        <f>-BS!#REF!</f>
        <v>#REF!</v>
      </c>
      <c r="F13" s="11" t="e">
        <f>-BS!#REF!</f>
        <v>#REF!</v>
      </c>
      <c r="G13" s="11" t="e">
        <f>-BS!#REF!</f>
        <v>#REF!</v>
      </c>
      <c r="H13" s="11" t="e">
        <f>-BS!#REF!</f>
        <v>#REF!</v>
      </c>
      <c r="I13" s="11">
        <f>-BS!I36</f>
        <v>0</v>
      </c>
      <c r="J13" s="11">
        <f>-BS!J36</f>
        <v>0</v>
      </c>
      <c r="K13" s="11">
        <f>-BS!K36</f>
        <v>0</v>
      </c>
      <c r="L13" s="11">
        <f>-BS!L36</f>
        <v>0</v>
      </c>
      <c r="M13" s="11">
        <f>-BS!M36</f>
        <v>0</v>
      </c>
      <c r="N13" s="11">
        <f>-BS!N36</f>
        <v>0</v>
      </c>
      <c r="O13" s="11">
        <f>-BS!O36</f>
        <v>0</v>
      </c>
      <c r="P13" s="11">
        <f>-BS!P36</f>
        <v>0</v>
      </c>
      <c r="Q13" s="11">
        <f>-BS!Q36</f>
        <v>0</v>
      </c>
    </row>
    <row r="14" spans="1:18" hidden="1">
      <c r="A14" t="s">
        <v>17</v>
      </c>
      <c r="B14" s="11">
        <v>0</v>
      </c>
      <c r="C14" s="11">
        <v>0</v>
      </c>
      <c r="D14" s="11">
        <v>0</v>
      </c>
      <c r="E14" s="11">
        <v>0</v>
      </c>
      <c r="F14" s="11">
        <v>0</v>
      </c>
      <c r="G14" s="11">
        <v>0</v>
      </c>
      <c r="H14" s="11">
        <v>0</v>
      </c>
      <c r="I14" s="11">
        <v>0</v>
      </c>
      <c r="J14" s="11" t="e">
        <f>-(BS!J6-BS!I6)+J5</f>
        <v>#REF!</v>
      </c>
      <c r="K14" s="11">
        <f>-(BS!K6-BS!J6)</f>
        <v>61.355500000000006</v>
      </c>
      <c r="L14" s="11">
        <f>-(BS!L6-BS!K6)</f>
        <v>1.4690449999999942</v>
      </c>
      <c r="M14" s="11">
        <f>-(BS!M6-BS!L6)</f>
        <v>19.097585000000038</v>
      </c>
      <c r="N14" s="11">
        <f>-(BS!N6-BS!M6)</f>
        <v>24.606503750000016</v>
      </c>
      <c r="O14" s="11">
        <f>-(BS!O6-BS!N6)</f>
        <v>27.911855000000003</v>
      </c>
      <c r="P14" s="11">
        <f>-(BS!P6-BS!O6)</f>
        <v>45.540394999999997</v>
      </c>
      <c r="Q14" s="11">
        <f>-(BS!Q6-BS!P6)</f>
        <v>28.279116249999937</v>
      </c>
    </row>
    <row r="15" spans="1:18" ht="12.75" hidden="1" thickBot="1">
      <c r="A15" s="7" t="s">
        <v>169</v>
      </c>
      <c r="B15" s="10" t="e">
        <f t="shared" ref="B15:Q15" si="2">SUM(B12:B14)</f>
        <v>#REF!</v>
      </c>
      <c r="C15" s="10" t="e">
        <f t="shared" si="2"/>
        <v>#REF!</v>
      </c>
      <c r="D15" s="10" t="e">
        <f t="shared" si="2"/>
        <v>#REF!</v>
      </c>
      <c r="E15" s="10" t="e">
        <f t="shared" si="2"/>
        <v>#REF!</v>
      </c>
      <c r="F15" s="10" t="e">
        <f t="shared" si="2"/>
        <v>#REF!</v>
      </c>
      <c r="G15" s="10" t="e">
        <f t="shared" si="2"/>
        <v>#REF!</v>
      </c>
      <c r="H15" s="10" t="e">
        <f t="shared" si="2"/>
        <v>#REF!</v>
      </c>
      <c r="I15" s="10" t="e">
        <f t="shared" si="2"/>
        <v>#REF!</v>
      </c>
      <c r="J15" s="10" t="e">
        <f t="shared" si="2"/>
        <v>#REF!</v>
      </c>
      <c r="K15" s="10">
        <f t="shared" si="2"/>
        <v>103.96946206010369</v>
      </c>
      <c r="L15" s="10">
        <f t="shared" si="2"/>
        <v>0.93190106227433489</v>
      </c>
      <c r="M15" s="10">
        <f t="shared" si="2"/>
        <v>19.577585000000283</v>
      </c>
      <c r="N15" s="10">
        <f t="shared" si="2"/>
        <v>25.086503750000261</v>
      </c>
      <c r="O15" s="10">
        <f t="shared" si="2"/>
        <v>28.391855000000248</v>
      </c>
      <c r="P15" s="10">
        <f t="shared" si="2"/>
        <v>46.020395000000242</v>
      </c>
      <c r="Q15" s="10">
        <f t="shared" si="2"/>
        <v>28.51911625000006</v>
      </c>
    </row>
    <row r="16" spans="1:18" hidden="1">
      <c r="A16" s="7" t="s">
        <v>135</v>
      </c>
      <c r="B16" s="11" t="e">
        <f t="shared" ref="B16:Q16" si="3">+B9-B15</f>
        <v>#REF!</v>
      </c>
      <c r="C16" s="11" t="e">
        <f t="shared" si="3"/>
        <v>#REF!</v>
      </c>
      <c r="D16" s="11" t="e">
        <f t="shared" si="3"/>
        <v>#REF!</v>
      </c>
      <c r="E16" s="11" t="e">
        <f t="shared" si="3"/>
        <v>#REF!</v>
      </c>
      <c r="F16" s="11" t="e">
        <f t="shared" si="3"/>
        <v>#REF!</v>
      </c>
      <c r="G16" s="11" t="e">
        <f t="shared" si="3"/>
        <v>#REF!</v>
      </c>
      <c r="H16" s="11" t="e">
        <f t="shared" si="3"/>
        <v>#REF!</v>
      </c>
      <c r="I16" s="11" t="e">
        <f t="shared" si="3"/>
        <v>#REF!</v>
      </c>
      <c r="J16" s="11" t="e">
        <f t="shared" si="3"/>
        <v>#REF!</v>
      </c>
      <c r="K16" s="11" t="e">
        <f t="shared" si="3"/>
        <v>#REF!</v>
      </c>
      <c r="L16" s="11" t="e">
        <f t="shared" si="3"/>
        <v>#REF!</v>
      </c>
      <c r="M16" s="11" t="e">
        <f t="shared" si="3"/>
        <v>#REF!</v>
      </c>
      <c r="N16" s="11" t="e">
        <f t="shared" si="3"/>
        <v>#REF!</v>
      </c>
      <c r="O16" s="11" t="e">
        <f t="shared" si="3"/>
        <v>#REF!</v>
      </c>
      <c r="P16" s="11" t="e">
        <f t="shared" si="3"/>
        <v>#REF!</v>
      </c>
      <c r="Q16" s="11" t="e">
        <f t="shared" si="3"/>
        <v>#REF!</v>
      </c>
    </row>
    <row r="17" spans="1:19" hidden="1">
      <c r="A17" s="7" t="s">
        <v>138</v>
      </c>
      <c r="B17" s="30">
        <v>0</v>
      </c>
      <c r="C17" s="11" t="e">
        <f t="shared" ref="C17:Q17" si="4">B18</f>
        <v>#REF!</v>
      </c>
      <c r="D17" s="11" t="e">
        <f t="shared" si="4"/>
        <v>#REF!</v>
      </c>
      <c r="E17" s="11" t="e">
        <f t="shared" si="4"/>
        <v>#REF!</v>
      </c>
      <c r="F17" s="11" t="e">
        <f t="shared" si="4"/>
        <v>#REF!</v>
      </c>
      <c r="G17" s="11" t="e">
        <f t="shared" si="4"/>
        <v>#REF!</v>
      </c>
      <c r="H17" s="11" t="e">
        <f t="shared" si="4"/>
        <v>#REF!</v>
      </c>
      <c r="I17" s="11" t="e">
        <f t="shared" si="4"/>
        <v>#REF!</v>
      </c>
      <c r="J17" s="11" t="e">
        <f t="shared" si="4"/>
        <v>#REF!</v>
      </c>
      <c r="K17" s="11" t="e">
        <f t="shared" si="4"/>
        <v>#REF!</v>
      </c>
      <c r="L17" s="11" t="e">
        <f t="shared" si="4"/>
        <v>#REF!</v>
      </c>
      <c r="M17" s="11" t="e">
        <f t="shared" si="4"/>
        <v>#REF!</v>
      </c>
      <c r="N17" s="11" t="e">
        <f t="shared" si="4"/>
        <v>#REF!</v>
      </c>
      <c r="O17" s="11" t="e">
        <f t="shared" si="4"/>
        <v>#REF!</v>
      </c>
      <c r="P17" s="11" t="e">
        <f t="shared" si="4"/>
        <v>#REF!</v>
      </c>
      <c r="Q17" s="11" t="e">
        <f t="shared" si="4"/>
        <v>#REF!</v>
      </c>
      <c r="R17" s="178"/>
      <c r="S17" s="178"/>
    </row>
    <row r="18" spans="1:19" hidden="1">
      <c r="A18" s="7" t="s">
        <v>139</v>
      </c>
      <c r="B18" s="11" t="e">
        <f t="shared" ref="B18:Q18" si="5">SUM(B16:B17)</f>
        <v>#REF!</v>
      </c>
      <c r="C18" s="11" t="e">
        <f t="shared" si="5"/>
        <v>#REF!</v>
      </c>
      <c r="D18" s="11" t="e">
        <f t="shared" si="5"/>
        <v>#REF!</v>
      </c>
      <c r="E18" s="11" t="e">
        <f t="shared" si="5"/>
        <v>#REF!</v>
      </c>
      <c r="F18" s="11" t="e">
        <f t="shared" si="5"/>
        <v>#REF!</v>
      </c>
      <c r="G18" s="11" t="e">
        <f t="shared" si="5"/>
        <v>#REF!</v>
      </c>
      <c r="H18" s="11" t="e">
        <f t="shared" si="5"/>
        <v>#REF!</v>
      </c>
      <c r="I18" s="11" t="e">
        <f t="shared" si="5"/>
        <v>#REF!</v>
      </c>
      <c r="J18" s="11" t="e">
        <f t="shared" si="5"/>
        <v>#REF!</v>
      </c>
      <c r="K18" s="11" t="e">
        <f t="shared" si="5"/>
        <v>#REF!</v>
      </c>
      <c r="L18" s="11" t="e">
        <f t="shared" si="5"/>
        <v>#REF!</v>
      </c>
      <c r="M18" s="11" t="e">
        <f t="shared" si="5"/>
        <v>#REF!</v>
      </c>
      <c r="N18" s="11" t="e">
        <f t="shared" si="5"/>
        <v>#REF!</v>
      </c>
      <c r="O18" s="11" t="e">
        <f t="shared" si="5"/>
        <v>#REF!</v>
      </c>
      <c r="P18" s="11" t="e">
        <f t="shared" si="5"/>
        <v>#REF!</v>
      </c>
      <c r="Q18" s="11" t="e">
        <f t="shared" si="5"/>
        <v>#REF!</v>
      </c>
      <c r="R18" s="178"/>
      <c r="S18" s="178"/>
    </row>
    <row r="19" spans="1:19" hidden="1">
      <c r="A19" s="7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78"/>
      <c r="S19" s="178"/>
    </row>
    <row r="20" spans="1:19" hidden="1"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</row>
    <row r="21" spans="1:19">
      <c r="A21" s="7" t="s">
        <v>567</v>
      </c>
    </row>
    <row r="22" spans="1:19">
      <c r="A22" s="7" t="s">
        <v>37</v>
      </c>
      <c r="B22" s="16" t="str">
        <f t="shared" ref="B22:Q22" si="6">B11</f>
        <v>2013-14</v>
      </c>
      <c r="C22" s="16" t="str">
        <f t="shared" si="6"/>
        <v>2014-15</v>
      </c>
      <c r="D22" s="16" t="str">
        <f t="shared" si="6"/>
        <v>2015-16</v>
      </c>
      <c r="E22" s="16" t="str">
        <f t="shared" si="6"/>
        <v>2016-17</v>
      </c>
      <c r="F22" s="16" t="str">
        <f t="shared" si="6"/>
        <v>2017-18</v>
      </c>
      <c r="G22" s="16" t="str">
        <f t="shared" si="6"/>
        <v>2018-19</v>
      </c>
      <c r="H22" s="16" t="str">
        <f t="shared" si="6"/>
        <v>2019-20</v>
      </c>
      <c r="I22" s="16" t="str">
        <f t="shared" si="6"/>
        <v>2020-21</v>
      </c>
      <c r="J22" s="16" t="str">
        <f t="shared" si="6"/>
        <v>2021-22</v>
      </c>
      <c r="K22" s="16" t="str">
        <f t="shared" si="6"/>
        <v>2022-23</v>
      </c>
      <c r="L22" s="16" t="str">
        <f t="shared" si="6"/>
        <v>2023-24</v>
      </c>
      <c r="M22" s="16" t="str">
        <f t="shared" si="6"/>
        <v>2024-25</v>
      </c>
      <c r="N22" s="16" t="str">
        <f t="shared" si="6"/>
        <v>2025-26</v>
      </c>
      <c r="O22" s="16" t="str">
        <f t="shared" si="6"/>
        <v>2026-27</v>
      </c>
      <c r="P22" s="16" t="str">
        <f t="shared" si="6"/>
        <v>2027-28</v>
      </c>
      <c r="Q22" s="16" t="str">
        <f t="shared" si="6"/>
        <v>2028-29</v>
      </c>
    </row>
    <row r="23" spans="1:19">
      <c r="A23" t="s">
        <v>563</v>
      </c>
      <c r="B23" s="11">
        <f>PL!B25+PL!B21</f>
        <v>-2.8291523156181797</v>
      </c>
      <c r="C23" s="11">
        <f>PL!C25+PL!C21</f>
        <v>-0.17056637075291281</v>
      </c>
      <c r="D23" s="11">
        <f>PL!D25+PL!D21</f>
        <v>1.1466213279999968</v>
      </c>
      <c r="E23" s="11">
        <f>PL!E25+PL!E21</f>
        <v>0.85451640488329272</v>
      </c>
      <c r="F23" s="11">
        <f>PL!F25+PL!F21</f>
        <v>0.79690000000000283</v>
      </c>
      <c r="G23" s="11">
        <f>PL!G25+PL!G21</f>
        <v>0.77559999999999818</v>
      </c>
      <c r="H23" s="11">
        <f>PL!H25+PL!H21</f>
        <v>0.15999999999999481</v>
      </c>
      <c r="I23" s="11">
        <f>PL!I25+PL!I21</f>
        <v>-42.74</v>
      </c>
      <c r="J23" s="11">
        <f>PL!J25+PL!J21</f>
        <v>-35.708768000000006</v>
      </c>
      <c r="K23" s="11">
        <f>PL!K25+PL!K21+16.06</f>
        <v>123.80242928187219</v>
      </c>
      <c r="L23" s="11">
        <f>PL!L25+PL!L21</f>
        <v>1.4649214181567274</v>
      </c>
      <c r="M23" s="11">
        <f>PL!M25+PL!M21</f>
        <v>18.93026808722837</v>
      </c>
      <c r="N23" s="11">
        <f>PL!N25+PL!N21</f>
        <v>24.747790331367241</v>
      </c>
      <c r="O23" s="11">
        <f>PL!O25+PL!O21</f>
        <v>25.597487027868667</v>
      </c>
      <c r="P23" s="11">
        <f>PL!P25+PL!P21</f>
        <v>42.843683548899214</v>
      </c>
      <c r="Q23" s="11">
        <f>PL!Q25+PL!Q21</f>
        <v>27.68546605449864</v>
      </c>
    </row>
    <row r="24" spans="1:19">
      <c r="A24" t="s">
        <v>568</v>
      </c>
      <c r="B24" s="11">
        <f>SUM(PL!B22:B22)</f>
        <v>7.7491099999999993E-2</v>
      </c>
      <c r="C24" s="11">
        <f>SUM(PL!C22:C22)</f>
        <v>0.2278715</v>
      </c>
      <c r="D24" s="11">
        <f>SUM(PL!D22:D22)</f>
        <v>0.23861950000000001</v>
      </c>
      <c r="E24" s="11">
        <f>SUM(PL!E22:E22)</f>
        <v>0.25939272000000002</v>
      </c>
      <c r="F24" s="11">
        <f>SUM(PL!F22:F22)</f>
        <v>0.26590000000000003</v>
      </c>
      <c r="G24" s="11">
        <f>SUM(PL!G22:G22)</f>
        <v>0.5544</v>
      </c>
      <c r="H24" s="11">
        <f>SUM(PL!H22:H22)</f>
        <v>1.33</v>
      </c>
      <c r="I24" s="11">
        <f>SUM(PL!I22:I22)</f>
        <v>42.41</v>
      </c>
      <c r="J24" s="11">
        <f>SUM(PL!J22:J22)</f>
        <v>47.42</v>
      </c>
      <c r="K24" s="11">
        <f>SUM(PL!K22:K22)-16.06</f>
        <v>4.8701525875848048</v>
      </c>
      <c r="L24" s="11">
        <f>SUM(PL!L22:L22)</f>
        <v>15.547902046218519</v>
      </c>
      <c r="M24" s="11">
        <f>SUM(PL!M22:M22)</f>
        <v>14.536445532786459</v>
      </c>
      <c r="N24" s="11">
        <f>SUM(PL!N22:N22)</f>
        <v>12.231491747369153</v>
      </c>
      <c r="O24" s="11">
        <f>SUM(PL!O22:O22)</f>
        <v>9.420809705235822</v>
      </c>
      <c r="P24" s="11">
        <f>SUM(PL!P22:P22)</f>
        <v>5.8029075610365153</v>
      </c>
      <c r="Q24" s="11">
        <f>SUM(PL!Q22:Q22)</f>
        <v>0.87854075365412954</v>
      </c>
    </row>
    <row r="25" spans="1:19" ht="12.75" thickBot="1">
      <c r="A25" s="7" t="s">
        <v>569</v>
      </c>
      <c r="B25" s="10">
        <f t="shared" ref="B25:Q25" si="7">SUM(B23:B24)</f>
        <v>-2.7516612156181797</v>
      </c>
      <c r="C25" s="10">
        <f t="shared" si="7"/>
        <v>5.7305129247087194E-2</v>
      </c>
      <c r="D25" s="10">
        <f t="shared" si="7"/>
        <v>1.3852408279999968</v>
      </c>
      <c r="E25" s="10">
        <f t="shared" si="7"/>
        <v>1.1139091248832926</v>
      </c>
      <c r="F25" s="10">
        <f t="shared" si="7"/>
        <v>1.0628000000000029</v>
      </c>
      <c r="G25" s="10">
        <f t="shared" si="7"/>
        <v>1.3299999999999983</v>
      </c>
      <c r="H25" s="10">
        <f t="shared" si="7"/>
        <v>1.4899999999999949</v>
      </c>
      <c r="I25" s="10">
        <f t="shared" si="7"/>
        <v>-0.3300000000000054</v>
      </c>
      <c r="J25" s="10">
        <f t="shared" si="7"/>
        <v>11.711231999999995</v>
      </c>
      <c r="K25" s="10">
        <f t="shared" si="7"/>
        <v>128.67258186945699</v>
      </c>
      <c r="L25" s="10">
        <f t="shared" si="7"/>
        <v>17.012823464375245</v>
      </c>
      <c r="M25" s="10">
        <f t="shared" si="7"/>
        <v>33.466713620014829</v>
      </c>
      <c r="N25" s="10">
        <f t="shared" si="7"/>
        <v>36.979282078736396</v>
      </c>
      <c r="O25" s="10">
        <f t="shared" si="7"/>
        <v>35.018296733104492</v>
      </c>
      <c r="P25" s="10">
        <f t="shared" si="7"/>
        <v>48.646591109935727</v>
      </c>
      <c r="Q25" s="10">
        <f t="shared" si="7"/>
        <v>28.564006808152769</v>
      </c>
    </row>
    <row r="26" spans="1:19" ht="12.75" thickTop="1"/>
    <row r="27" spans="1:19">
      <c r="A27" s="7" t="s">
        <v>37</v>
      </c>
      <c r="B27" s="16" t="str">
        <f t="shared" ref="B27:Q27" si="8">B22</f>
        <v>2013-14</v>
      </c>
      <c r="C27" s="16" t="str">
        <f t="shared" si="8"/>
        <v>2014-15</v>
      </c>
      <c r="D27" s="16" t="str">
        <f t="shared" si="8"/>
        <v>2015-16</v>
      </c>
      <c r="E27" s="16" t="str">
        <f t="shared" si="8"/>
        <v>2016-17</v>
      </c>
      <c r="F27" s="16" t="str">
        <f t="shared" si="8"/>
        <v>2017-18</v>
      </c>
      <c r="G27" s="16" t="str">
        <f t="shared" si="8"/>
        <v>2018-19</v>
      </c>
      <c r="H27" s="16" t="str">
        <f t="shared" si="8"/>
        <v>2019-20</v>
      </c>
      <c r="I27" s="16" t="str">
        <f t="shared" si="8"/>
        <v>2020-21</v>
      </c>
      <c r="J27" s="16" t="str">
        <f t="shared" si="8"/>
        <v>2021-22</v>
      </c>
      <c r="K27" s="16" t="str">
        <f t="shared" si="8"/>
        <v>2022-23</v>
      </c>
      <c r="L27" s="16" t="str">
        <f t="shared" si="8"/>
        <v>2023-24</v>
      </c>
      <c r="M27" s="16" t="str">
        <f t="shared" si="8"/>
        <v>2024-25</v>
      </c>
      <c r="N27" s="16" t="str">
        <f t="shared" si="8"/>
        <v>2025-26</v>
      </c>
      <c r="O27" s="16" t="str">
        <f t="shared" si="8"/>
        <v>2026-27</v>
      </c>
      <c r="P27" s="16" t="str">
        <f t="shared" si="8"/>
        <v>2027-28</v>
      </c>
      <c r="Q27" s="16" t="str">
        <f t="shared" si="8"/>
        <v>2028-29</v>
      </c>
    </row>
    <row r="28" spans="1:19">
      <c r="A28" t="s">
        <v>570</v>
      </c>
      <c r="B28" s="11">
        <f t="shared" ref="B28:I28" si="9">B14</f>
        <v>0</v>
      </c>
      <c r="C28" s="11">
        <f t="shared" si="9"/>
        <v>0</v>
      </c>
      <c r="D28" s="11">
        <f t="shared" si="9"/>
        <v>0</v>
      </c>
      <c r="E28" s="11">
        <f t="shared" si="9"/>
        <v>0</v>
      </c>
      <c r="F28" s="11">
        <f t="shared" si="9"/>
        <v>0</v>
      </c>
      <c r="G28" s="11">
        <f t="shared" si="9"/>
        <v>0</v>
      </c>
      <c r="H28" s="11">
        <f t="shared" si="9"/>
        <v>0</v>
      </c>
      <c r="I28" s="11">
        <f t="shared" si="9"/>
        <v>0</v>
      </c>
      <c r="J28" s="11">
        <v>0</v>
      </c>
      <c r="K28" s="11">
        <v>0</v>
      </c>
      <c r="L28" s="11">
        <f>SUM(BS!K6:K6)-SUM(BS!L6:L6)</f>
        <v>1.4690449999999942</v>
      </c>
      <c r="M28" s="11">
        <f>SUM(BS!L6:L6)-SUM(BS!M6:M6)</f>
        <v>19.097585000000038</v>
      </c>
      <c r="N28" s="11">
        <f>SUM(BS!M6:M6)-SUM(BS!N6:N6)</f>
        <v>24.606503750000016</v>
      </c>
      <c r="O28" s="11">
        <f>SUM(BS!N6:N6)-SUM(BS!O6:O6)</f>
        <v>27.911855000000003</v>
      </c>
      <c r="P28" s="11">
        <f>SUM(BS!O6:O6)-SUM(BS!P6:P6)</f>
        <v>45.540394999999997</v>
      </c>
      <c r="Q28" s="11">
        <f>SUM(BS!P6:P6)-SUM(BS!Q6:Q6)</f>
        <v>28.279116249999937</v>
      </c>
    </row>
    <row r="29" spans="1:19">
      <c r="A29" t="s">
        <v>66</v>
      </c>
      <c r="B29" s="11">
        <f t="shared" ref="B29:Q29" si="10">B24</f>
        <v>7.7491099999999993E-2</v>
      </c>
      <c r="C29" s="11">
        <f t="shared" si="10"/>
        <v>0.2278715</v>
      </c>
      <c r="D29" s="11">
        <f t="shared" si="10"/>
        <v>0.23861950000000001</v>
      </c>
      <c r="E29" s="11">
        <f t="shared" si="10"/>
        <v>0.25939272000000002</v>
      </c>
      <c r="F29" s="11">
        <f t="shared" si="10"/>
        <v>0.26590000000000003</v>
      </c>
      <c r="G29" s="11">
        <f t="shared" si="10"/>
        <v>0.5544</v>
      </c>
      <c r="H29" s="11">
        <f t="shared" si="10"/>
        <v>1.33</v>
      </c>
      <c r="I29" s="11">
        <f t="shared" si="10"/>
        <v>42.41</v>
      </c>
      <c r="J29" s="11">
        <f t="shared" si="10"/>
        <v>47.42</v>
      </c>
      <c r="K29" s="11">
        <f t="shared" si="10"/>
        <v>4.8701525875848048</v>
      </c>
      <c r="L29" s="11">
        <f t="shared" si="10"/>
        <v>15.547902046218519</v>
      </c>
      <c r="M29" s="11">
        <f t="shared" si="10"/>
        <v>14.536445532786459</v>
      </c>
      <c r="N29" s="11">
        <f t="shared" si="10"/>
        <v>12.231491747369153</v>
      </c>
      <c r="O29" s="11">
        <f t="shared" si="10"/>
        <v>9.420809705235822</v>
      </c>
      <c r="P29" s="11">
        <f t="shared" si="10"/>
        <v>5.8029075610365153</v>
      </c>
      <c r="Q29" s="11">
        <f t="shared" si="10"/>
        <v>0.87854075365412954</v>
      </c>
    </row>
    <row r="30" spans="1:19" ht="12.75" thickBot="1">
      <c r="A30" s="7" t="s">
        <v>571</v>
      </c>
      <c r="B30" s="10">
        <f t="shared" ref="B30:Q30" si="11">SUM(B28:B29)</f>
        <v>7.7491099999999993E-2</v>
      </c>
      <c r="C30" s="10">
        <f t="shared" si="11"/>
        <v>0.2278715</v>
      </c>
      <c r="D30" s="10">
        <f t="shared" si="11"/>
        <v>0.23861950000000001</v>
      </c>
      <c r="E30" s="10">
        <f t="shared" si="11"/>
        <v>0.25939272000000002</v>
      </c>
      <c r="F30" s="10">
        <f t="shared" si="11"/>
        <v>0.26590000000000003</v>
      </c>
      <c r="G30" s="10">
        <f t="shared" si="11"/>
        <v>0.5544</v>
      </c>
      <c r="H30" s="10">
        <f t="shared" si="11"/>
        <v>1.33</v>
      </c>
      <c r="I30" s="10">
        <f t="shared" si="11"/>
        <v>42.41</v>
      </c>
      <c r="J30" s="10">
        <f t="shared" si="11"/>
        <v>47.42</v>
      </c>
      <c r="K30" s="10">
        <f t="shared" si="11"/>
        <v>4.8701525875848048</v>
      </c>
      <c r="L30" s="10">
        <f t="shared" si="11"/>
        <v>17.016947046218512</v>
      </c>
      <c r="M30" s="10">
        <f t="shared" si="11"/>
        <v>33.634030532786497</v>
      </c>
      <c r="N30" s="10">
        <f t="shared" si="11"/>
        <v>36.837995497369171</v>
      </c>
      <c r="O30" s="10">
        <f t="shared" si="11"/>
        <v>37.332664705235828</v>
      </c>
      <c r="P30" s="10">
        <f t="shared" si="11"/>
        <v>51.343302561036509</v>
      </c>
      <c r="Q30" s="10">
        <f t="shared" si="11"/>
        <v>29.157657003654066</v>
      </c>
    </row>
    <row r="31" spans="1:19" ht="12.75" thickTop="1">
      <c r="A31" s="7" t="s">
        <v>572</v>
      </c>
      <c r="B31" s="9"/>
      <c r="C31" s="9"/>
      <c r="D31" s="9"/>
      <c r="E31" s="9"/>
      <c r="F31" s="9"/>
      <c r="G31" s="9"/>
      <c r="H31" s="9"/>
      <c r="I31" s="9"/>
      <c r="J31" s="9"/>
      <c r="K31" s="9"/>
      <c r="L31" s="260">
        <f>(L25/L30)</f>
        <v>0.9997576779294155</v>
      </c>
      <c r="M31" s="260">
        <f>(M25/M30)</f>
        <v>0.99502536835100486</v>
      </c>
      <c r="N31" s="260">
        <f>(N25/N30)</f>
        <v>1.0038353493304846</v>
      </c>
      <c r="O31" s="260">
        <f>(O25/O30)</f>
        <v>0.9380068904696548</v>
      </c>
      <c r="P31" s="260">
        <f>IF(P28&lt;=0,0,(P25/P30))</f>
        <v>0.94747686033840628</v>
      </c>
      <c r="Q31" s="260">
        <f>IF(Q28&lt;=0,0,(Q25/Q30))</f>
        <v>0.97963998974859678</v>
      </c>
    </row>
    <row r="32" spans="1:19">
      <c r="A32" s="7" t="s">
        <v>573</v>
      </c>
      <c r="B32" s="261">
        <f>SUM(L25:Q25)/SUM(L30:Q30)</f>
        <v>0.97255595046619636</v>
      </c>
      <c r="D32" s="11"/>
    </row>
    <row r="33" spans="1:15">
      <c r="A33" s="54"/>
      <c r="B33" s="11"/>
      <c r="C33" s="11"/>
      <c r="D33" s="11"/>
      <c r="G33" s="9"/>
      <c r="H33" s="9"/>
      <c r="I33" s="9"/>
      <c r="J33" s="9"/>
      <c r="K33" s="9"/>
      <c r="L33" s="9"/>
      <c r="M33" s="9"/>
      <c r="N33" s="9"/>
      <c r="O33" s="9"/>
    </row>
    <row r="34" spans="1:15">
      <c r="A34" s="7"/>
      <c r="B34" s="11"/>
      <c r="C34" s="11"/>
      <c r="D34" s="11"/>
    </row>
    <row r="35" spans="1:15">
      <c r="A35" s="7"/>
      <c r="B35" s="11"/>
      <c r="C35" s="11"/>
      <c r="D35" s="11"/>
    </row>
  </sheetData>
  <autoFilter ref="A2:Q16" xr:uid="{00000000-0009-0000-0000-000007000000}"/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99B64-53FD-4AAA-AE00-93ECB8FBD92D}">
  <dimension ref="A1:N33"/>
  <sheetViews>
    <sheetView zoomScaleNormal="100" workbookViewId="0">
      <pane xSplit="6" ySplit="1" topLeftCell="G2" activePane="bottomRight" state="frozen"/>
      <selection pane="topRight"/>
      <selection pane="bottomLeft"/>
      <selection pane="bottomRight"/>
    </sheetView>
  </sheetViews>
  <sheetFormatPr defaultColWidth="9" defaultRowHeight="12"/>
  <cols>
    <col min="1" max="2" width="6.1640625" customWidth="1"/>
    <col min="3" max="3" width="46.1640625" customWidth="1"/>
    <col min="4" max="4" width="6" customWidth="1"/>
    <col min="5" max="5" width="12" style="157" bestFit="1" customWidth="1"/>
    <col min="6" max="6" width="13" style="157" bestFit="1" customWidth="1"/>
    <col min="7" max="7" width="7.1640625" customWidth="1"/>
    <col min="8" max="8" width="13" style="157" bestFit="1" customWidth="1"/>
    <col min="9" max="9" width="10.5" style="157" bestFit="1" customWidth="1"/>
    <col min="10" max="14" width="12" style="157" bestFit="1" customWidth="1"/>
    <col min="15" max="15" width="12" bestFit="1" customWidth="1"/>
  </cols>
  <sheetData>
    <row r="1" spans="1:14">
      <c r="A1" s="169" t="s">
        <v>555</v>
      </c>
      <c r="B1" s="169" t="s">
        <v>555</v>
      </c>
      <c r="C1" s="204" t="s">
        <v>359</v>
      </c>
      <c r="D1" s="177" t="s">
        <v>589</v>
      </c>
      <c r="E1" s="203" t="s">
        <v>540</v>
      </c>
      <c r="F1" s="203" t="s">
        <v>588</v>
      </c>
      <c r="G1" s="172"/>
      <c r="H1" s="172" t="s">
        <v>591</v>
      </c>
      <c r="I1" s="172">
        <v>44743</v>
      </c>
      <c r="J1" s="172">
        <v>44774</v>
      </c>
      <c r="K1" s="172">
        <v>44805</v>
      </c>
      <c r="L1" s="172">
        <v>44835</v>
      </c>
      <c r="M1" s="172">
        <v>44866</v>
      </c>
      <c r="N1" s="172">
        <v>44896</v>
      </c>
    </row>
    <row r="2" spans="1:14" s="30" customFormat="1">
      <c r="A2" s="40" t="s">
        <v>602</v>
      </c>
      <c r="B2" s="40" t="s">
        <v>600</v>
      </c>
      <c r="C2" t="s">
        <v>554</v>
      </c>
      <c r="D2" s="30">
        <v>1</v>
      </c>
      <c r="E2" s="170">
        <v>570180.81000000006</v>
      </c>
      <c r="F2" s="170">
        <f t="shared" ref="F2:F13" si="0">D2*E2</f>
        <v>570180.81000000006</v>
      </c>
      <c r="H2" s="170">
        <v>560158</v>
      </c>
      <c r="I2" s="93">
        <v>0</v>
      </c>
      <c r="J2" s="93">
        <v>0</v>
      </c>
      <c r="K2" s="93">
        <v>0</v>
      </c>
      <c r="L2" s="93">
        <v>0</v>
      </c>
      <c r="M2" s="93">
        <v>0</v>
      </c>
      <c r="N2" s="93">
        <v>0</v>
      </c>
    </row>
    <row r="3" spans="1:14" s="30" customFormat="1">
      <c r="A3" s="40" t="s">
        <v>601</v>
      </c>
      <c r="B3" s="40" t="s">
        <v>600</v>
      </c>
      <c r="C3" t="s">
        <v>553</v>
      </c>
      <c r="D3" s="30">
        <v>1</v>
      </c>
      <c r="E3" s="170">
        <v>324059.53999999998</v>
      </c>
      <c r="F3" s="170">
        <f t="shared" si="0"/>
        <v>324059.53999999998</v>
      </c>
      <c r="H3" s="170">
        <v>0</v>
      </c>
      <c r="I3" s="93">
        <v>0</v>
      </c>
      <c r="J3" s="93">
        <v>0</v>
      </c>
      <c r="K3" s="93">
        <v>443902.45799999998</v>
      </c>
      <c r="L3" s="93">
        <v>0</v>
      </c>
      <c r="M3" s="93">
        <v>295934.97200000001</v>
      </c>
      <c r="N3" s="93">
        <v>0</v>
      </c>
    </row>
    <row r="4" spans="1:14" s="30" customFormat="1">
      <c r="A4" s="40" t="s">
        <v>598</v>
      </c>
      <c r="B4" s="40" t="s">
        <v>600</v>
      </c>
      <c r="C4" t="s">
        <v>551</v>
      </c>
      <c r="D4" s="30">
        <v>1</v>
      </c>
      <c r="E4" s="170">
        <v>6922188.6900000004</v>
      </c>
      <c r="F4" s="170">
        <f t="shared" si="0"/>
        <v>6922188.6900000004</v>
      </c>
      <c r="H4" s="170">
        <v>3392690</v>
      </c>
      <c r="I4" s="93">
        <v>0</v>
      </c>
      <c r="J4" s="93">
        <v>0</v>
      </c>
      <c r="K4" s="93">
        <v>3905484.2399999993</v>
      </c>
      <c r="L4" s="93">
        <v>0</v>
      </c>
      <c r="M4" s="93">
        <v>2603656.1599999997</v>
      </c>
      <c r="N4" s="93">
        <v>0</v>
      </c>
    </row>
    <row r="5" spans="1:14" s="30" customFormat="1">
      <c r="A5" s="40" t="s">
        <v>597</v>
      </c>
      <c r="B5" s="40" t="s">
        <v>600</v>
      </c>
      <c r="C5" t="s">
        <v>549</v>
      </c>
      <c r="D5" s="30">
        <v>1</v>
      </c>
      <c r="E5" s="170">
        <v>11189597.960000001</v>
      </c>
      <c r="F5" s="170">
        <f t="shared" si="0"/>
        <v>11189597.960000001</v>
      </c>
      <c r="H5" s="170">
        <v>7447672</v>
      </c>
      <c r="I5" s="93">
        <v>0</v>
      </c>
      <c r="J5" s="93">
        <v>2071790.4</v>
      </c>
      <c r="K5" s="93">
        <v>0</v>
      </c>
      <c r="L5" s="93">
        <v>0</v>
      </c>
      <c r="M5" s="93">
        <v>0</v>
      </c>
      <c r="N5" s="93">
        <v>4287161.5999999996</v>
      </c>
    </row>
    <row r="6" spans="1:14" s="30" customFormat="1">
      <c r="A6" s="40" t="s">
        <v>602</v>
      </c>
      <c r="B6" s="40" t="s">
        <v>599</v>
      </c>
      <c r="C6" t="s">
        <v>554</v>
      </c>
      <c r="D6" s="30">
        <v>1</v>
      </c>
      <c r="E6" s="170">
        <v>1301738.97</v>
      </c>
      <c r="F6" s="170">
        <f t="shared" si="0"/>
        <v>1301738.97</v>
      </c>
      <c r="H6" s="170">
        <v>1278858</v>
      </c>
      <c r="I6" s="93">
        <v>0</v>
      </c>
      <c r="J6" s="93">
        <v>0</v>
      </c>
      <c r="K6" s="93">
        <v>0</v>
      </c>
      <c r="L6" s="93">
        <v>0</v>
      </c>
      <c r="M6" s="93">
        <v>0</v>
      </c>
      <c r="N6" s="93">
        <v>0</v>
      </c>
    </row>
    <row r="7" spans="1:14" s="30" customFormat="1">
      <c r="A7" s="40" t="s">
        <v>601</v>
      </c>
      <c r="B7" s="40" t="s">
        <v>599</v>
      </c>
      <c r="C7" t="s">
        <v>553</v>
      </c>
      <c r="D7" s="30">
        <v>1</v>
      </c>
      <c r="E7" s="170">
        <v>739837.43</v>
      </c>
      <c r="F7" s="170">
        <f t="shared" si="0"/>
        <v>739837.43</v>
      </c>
      <c r="H7" s="170">
        <v>0</v>
      </c>
      <c r="I7" s="93">
        <v>0</v>
      </c>
      <c r="J7" s="93">
        <v>0</v>
      </c>
      <c r="K7" s="93">
        <v>0</v>
      </c>
      <c r="L7" s="93">
        <v>0</v>
      </c>
      <c r="M7" s="93">
        <v>0</v>
      </c>
      <c r="N7" s="93">
        <v>388871.44799999997</v>
      </c>
    </row>
    <row r="8" spans="1:14" s="30" customFormat="1">
      <c r="A8" s="40" t="s">
        <v>598</v>
      </c>
      <c r="B8" s="40" t="s">
        <v>599</v>
      </c>
      <c r="C8" t="s">
        <v>551</v>
      </c>
      <c r="D8" s="30">
        <v>1</v>
      </c>
      <c r="E8" s="170">
        <v>14802770.359999999</v>
      </c>
      <c r="F8" s="170">
        <f t="shared" si="0"/>
        <v>14802770.359999999</v>
      </c>
      <c r="H8" s="170">
        <v>7006214.4000000004</v>
      </c>
      <c r="I8" s="93">
        <v>0</v>
      </c>
      <c r="J8" s="93">
        <v>0</v>
      </c>
      <c r="K8" s="93">
        <v>2823596</v>
      </c>
      <c r="L8" s="93">
        <v>0</v>
      </c>
      <c r="M8" s="93">
        <v>1411799.6</v>
      </c>
      <c r="N8" s="93">
        <v>0</v>
      </c>
    </row>
    <row r="9" spans="1:14" s="30" customFormat="1">
      <c r="A9" s="40" t="s">
        <v>597</v>
      </c>
      <c r="B9" s="40" t="s">
        <v>599</v>
      </c>
      <c r="C9" t="s">
        <v>549</v>
      </c>
      <c r="D9" s="30">
        <v>1</v>
      </c>
      <c r="E9" s="170">
        <v>26546952.239999998</v>
      </c>
      <c r="F9" s="170">
        <f t="shared" si="0"/>
        <v>26546952.239999998</v>
      </c>
      <c r="H9" s="170">
        <v>19953000</v>
      </c>
      <c r="I9" s="93">
        <v>0</v>
      </c>
      <c r="J9" s="93">
        <v>0</v>
      </c>
      <c r="K9" s="93">
        <v>0</v>
      </c>
      <c r="L9" s="93">
        <f>748385.2*4</f>
        <v>2993540.8</v>
      </c>
      <c r="M9" s="93">
        <v>0</v>
      </c>
      <c r="N9" s="93">
        <f>748385.2*2</f>
        <v>1496770.4</v>
      </c>
    </row>
    <row r="10" spans="1:14" s="30" customFormat="1">
      <c r="A10" s="40" t="s">
        <v>602</v>
      </c>
      <c r="B10" s="40" t="s">
        <v>596</v>
      </c>
      <c r="C10" t="s">
        <v>554</v>
      </c>
      <c r="D10" s="30">
        <v>1</v>
      </c>
      <c r="E10" s="170">
        <v>2063104.92</v>
      </c>
      <c r="F10" s="170">
        <f t="shared" si="0"/>
        <v>2063104.92</v>
      </c>
      <c r="H10" s="170">
        <v>1621472.2320000003</v>
      </c>
      <c r="I10" s="93">
        <v>0</v>
      </c>
      <c r="J10" s="93">
        <v>0</v>
      </c>
      <c r="K10" s="93">
        <v>0</v>
      </c>
      <c r="L10" s="93">
        <v>0</v>
      </c>
      <c r="M10" s="93">
        <v>0</v>
      </c>
      <c r="N10" s="93">
        <f>81073.6117*6</f>
        <v>486441.67019999993</v>
      </c>
    </row>
    <row r="11" spans="1:14" s="30" customFormat="1">
      <c r="A11" s="40" t="s">
        <v>601</v>
      </c>
      <c r="B11" s="40" t="s">
        <v>596</v>
      </c>
      <c r="C11" t="s">
        <v>553</v>
      </c>
      <c r="D11" s="30">
        <v>1</v>
      </c>
      <c r="E11" s="170">
        <v>1172556.3700000001</v>
      </c>
      <c r="F11" s="170">
        <f t="shared" si="0"/>
        <v>1172556.3700000001</v>
      </c>
      <c r="H11" s="170">
        <v>799126.21774999995</v>
      </c>
      <c r="I11" s="93">
        <v>0</v>
      </c>
      <c r="J11" s="93">
        <v>0</v>
      </c>
      <c r="K11" s="93">
        <f>74686.03*3</f>
        <v>224058.09</v>
      </c>
      <c r="L11" s="93">
        <v>0</v>
      </c>
      <c r="M11" s="93">
        <v>0</v>
      </c>
      <c r="N11" s="93">
        <f>74686.03*3</f>
        <v>224058.09</v>
      </c>
    </row>
    <row r="12" spans="1:14" s="30" customFormat="1">
      <c r="A12" s="40" t="s">
        <v>598</v>
      </c>
      <c r="B12" s="40" t="s">
        <v>596</v>
      </c>
      <c r="C12" t="s">
        <v>551</v>
      </c>
      <c r="D12" s="30">
        <v>1</v>
      </c>
      <c r="E12" s="170">
        <v>27146038.789999999</v>
      </c>
      <c r="F12" s="170">
        <f t="shared" si="0"/>
        <v>27146038.789999999</v>
      </c>
      <c r="H12" s="170">
        <v>19539555.879999999</v>
      </c>
      <c r="I12" s="93">
        <v>0</v>
      </c>
      <c r="J12" s="93">
        <v>0</v>
      </c>
      <c r="K12" s="93">
        <f>1397856.582*4</f>
        <v>5591426.3279999997</v>
      </c>
      <c r="L12" s="93">
        <v>0</v>
      </c>
      <c r="M12" s="93">
        <v>0</v>
      </c>
      <c r="N12" s="93">
        <f>1397856.582*2</f>
        <v>2795713.1639999999</v>
      </c>
    </row>
    <row r="13" spans="1:14" s="30" customFormat="1">
      <c r="A13" s="40" t="s">
        <v>597</v>
      </c>
      <c r="B13" s="40" t="s">
        <v>596</v>
      </c>
      <c r="C13" t="s">
        <v>549</v>
      </c>
      <c r="D13" s="30">
        <v>1</v>
      </c>
      <c r="E13" s="170">
        <v>38388463.920000002</v>
      </c>
      <c r="F13" s="170">
        <f t="shared" si="0"/>
        <v>38388463.920000002</v>
      </c>
      <c r="H13" s="170">
        <v>32594577.996800002</v>
      </c>
      <c r="I13" s="93">
        <v>0</v>
      </c>
      <c r="J13" s="93">
        <v>0</v>
      </c>
      <c r="K13" s="93">
        <v>0</v>
      </c>
      <c r="L13" s="93">
        <f>1096777.18464*4</f>
        <v>4387108.7385600004</v>
      </c>
      <c r="M13" s="93">
        <v>0</v>
      </c>
      <c r="N13" s="93">
        <f>1096777.18464*2</f>
        <v>2193554.3692800002</v>
      </c>
    </row>
    <row r="14" spans="1:14" s="30" customFormat="1" ht="12.75" thickBot="1">
      <c r="A14" s="40"/>
      <c r="B14" s="40"/>
      <c r="C14"/>
      <c r="E14" s="202" t="s">
        <v>54</v>
      </c>
      <c r="F14" s="76">
        <f>SUM(F2:F13)</f>
        <v>131167490</v>
      </c>
      <c r="H14" s="76">
        <f t="shared" ref="H14:M14" si="1">SUM(H2:H13)</f>
        <v>94193324.726549998</v>
      </c>
      <c r="I14" s="76">
        <f t="shared" si="1"/>
        <v>0</v>
      </c>
      <c r="J14" s="76">
        <f t="shared" si="1"/>
        <v>2071790.4</v>
      </c>
      <c r="K14" s="76">
        <f t="shared" si="1"/>
        <v>12988467.115999999</v>
      </c>
      <c r="L14" s="76">
        <f t="shared" si="1"/>
        <v>7380649.5385600002</v>
      </c>
      <c r="M14" s="76">
        <f t="shared" si="1"/>
        <v>4311390.7319999998</v>
      </c>
      <c r="N14" s="76">
        <f>SUM(N2:N13)</f>
        <v>11872570.741479997</v>
      </c>
    </row>
    <row r="15" spans="1:14" s="30" customFormat="1" ht="12.75" thickTop="1">
      <c r="A15" s="40"/>
      <c r="B15" s="40"/>
      <c r="C15"/>
      <c r="E15" s="170"/>
      <c r="F15" s="205"/>
      <c r="H15" s="170"/>
      <c r="I15" s="170"/>
      <c r="J15" s="170"/>
      <c r="K15" s="170"/>
      <c r="L15" s="170"/>
      <c r="M15" s="170"/>
      <c r="N15" s="170"/>
    </row>
    <row r="16" spans="1:14">
      <c r="A16" s="169" t="s">
        <v>555</v>
      </c>
      <c r="B16" s="169" t="s">
        <v>555</v>
      </c>
      <c r="C16" s="204" t="s">
        <v>368</v>
      </c>
      <c r="D16" s="177" t="s">
        <v>589</v>
      </c>
      <c r="E16" s="203" t="s">
        <v>540</v>
      </c>
      <c r="F16" s="203" t="s">
        <v>588</v>
      </c>
      <c r="G16" s="172"/>
      <c r="H16" s="172" t="s">
        <v>591</v>
      </c>
      <c r="I16" s="172">
        <v>44743</v>
      </c>
      <c r="J16" s="172">
        <v>44774</v>
      </c>
      <c r="K16" s="172">
        <v>44805</v>
      </c>
      <c r="L16" s="172">
        <v>44835</v>
      </c>
      <c r="M16" s="172">
        <v>44866</v>
      </c>
      <c r="N16" s="172">
        <v>44866</v>
      </c>
    </row>
    <row r="17" spans="1:14" s="30" customFormat="1">
      <c r="A17" s="40" t="s">
        <v>602</v>
      </c>
      <c r="B17" s="40" t="s">
        <v>600</v>
      </c>
      <c r="C17" t="s">
        <v>554</v>
      </c>
      <c r="D17" s="30">
        <v>1</v>
      </c>
      <c r="E17" s="170">
        <v>2323851</v>
      </c>
      <c r="F17" s="170">
        <f t="shared" ref="F17:F28" si="2">D17*E17</f>
        <v>2323851</v>
      </c>
      <c r="H17" s="170">
        <f t="shared" ref="H17:H28" si="3">H2</f>
        <v>560158</v>
      </c>
      <c r="I17" s="170">
        <f t="shared" ref="I17:N28" si="4">((I2))*1.6</f>
        <v>0</v>
      </c>
      <c r="J17" s="170">
        <f t="shared" si="4"/>
        <v>0</v>
      </c>
      <c r="K17" s="170">
        <f t="shared" si="4"/>
        <v>0</v>
      </c>
      <c r="L17" s="170">
        <f t="shared" si="4"/>
        <v>0</v>
      </c>
      <c r="M17" s="170">
        <f t="shared" si="4"/>
        <v>0</v>
      </c>
      <c r="N17" s="170">
        <f t="shared" si="4"/>
        <v>0</v>
      </c>
    </row>
    <row r="18" spans="1:14" s="30" customFormat="1">
      <c r="A18" s="40" t="s">
        <v>601</v>
      </c>
      <c r="B18" s="40" t="s">
        <v>600</v>
      </c>
      <c r="C18" t="s">
        <v>553</v>
      </c>
      <c r="D18" s="30">
        <v>1</v>
      </c>
      <c r="E18" s="170">
        <v>2082500</v>
      </c>
      <c r="F18" s="170">
        <f t="shared" si="2"/>
        <v>2082500</v>
      </c>
      <c r="H18" s="170">
        <f t="shared" si="3"/>
        <v>0</v>
      </c>
      <c r="I18" s="170">
        <f t="shared" si="4"/>
        <v>0</v>
      </c>
      <c r="J18" s="170">
        <f t="shared" si="4"/>
        <v>0</v>
      </c>
      <c r="K18" s="170">
        <f t="shared" si="4"/>
        <v>710243.93280000007</v>
      </c>
      <c r="L18" s="170">
        <f t="shared" si="4"/>
        <v>0</v>
      </c>
      <c r="M18" s="170">
        <f t="shared" si="4"/>
        <v>473495.95520000003</v>
      </c>
      <c r="N18" s="170">
        <f t="shared" si="4"/>
        <v>0</v>
      </c>
    </row>
    <row r="19" spans="1:14" s="30" customFormat="1">
      <c r="A19" s="40" t="s">
        <v>602</v>
      </c>
      <c r="B19" s="40" t="s">
        <v>599</v>
      </c>
      <c r="C19" t="s">
        <v>554</v>
      </c>
      <c r="D19" s="30">
        <v>1</v>
      </c>
      <c r="E19" s="170">
        <v>2323851</v>
      </c>
      <c r="F19" s="170">
        <f t="shared" si="2"/>
        <v>2323851</v>
      </c>
      <c r="H19" s="170">
        <f t="shared" si="3"/>
        <v>3392690</v>
      </c>
      <c r="I19" s="170">
        <f t="shared" si="4"/>
        <v>0</v>
      </c>
      <c r="J19" s="170">
        <f t="shared" si="4"/>
        <v>0</v>
      </c>
      <c r="K19" s="170">
        <f t="shared" si="4"/>
        <v>6248774.7839999991</v>
      </c>
      <c r="L19" s="170">
        <f t="shared" si="4"/>
        <v>0</v>
      </c>
      <c r="M19" s="170">
        <f t="shared" si="4"/>
        <v>4165849.8559999997</v>
      </c>
      <c r="N19" s="170">
        <f t="shared" si="4"/>
        <v>0</v>
      </c>
    </row>
    <row r="20" spans="1:14" s="30" customFormat="1">
      <c r="A20" s="40" t="s">
        <v>601</v>
      </c>
      <c r="B20" s="40" t="s">
        <v>599</v>
      </c>
      <c r="C20" t="s">
        <v>553</v>
      </c>
      <c r="D20" s="30">
        <v>1</v>
      </c>
      <c r="E20" s="170">
        <v>2912500</v>
      </c>
      <c r="F20" s="170">
        <f t="shared" si="2"/>
        <v>2912500</v>
      </c>
      <c r="H20" s="170">
        <f t="shared" si="3"/>
        <v>7447672</v>
      </c>
      <c r="I20" s="170">
        <f t="shared" si="4"/>
        <v>0</v>
      </c>
      <c r="J20" s="170">
        <f t="shared" si="4"/>
        <v>3314864.64</v>
      </c>
      <c r="K20" s="170">
        <f t="shared" si="4"/>
        <v>0</v>
      </c>
      <c r="L20" s="170">
        <f t="shared" si="4"/>
        <v>0</v>
      </c>
      <c r="M20" s="170">
        <f t="shared" si="4"/>
        <v>0</v>
      </c>
      <c r="N20" s="170">
        <f t="shared" si="4"/>
        <v>6859458.5599999996</v>
      </c>
    </row>
    <row r="21" spans="1:14" s="30" customFormat="1">
      <c r="A21" s="40" t="s">
        <v>602</v>
      </c>
      <c r="B21" s="40" t="s">
        <v>596</v>
      </c>
      <c r="C21" t="s">
        <v>554</v>
      </c>
      <c r="D21" s="30">
        <v>1</v>
      </c>
      <c r="E21" s="170">
        <v>2187480.9899999998</v>
      </c>
      <c r="F21" s="170">
        <f t="shared" si="2"/>
        <v>2187480.9899999998</v>
      </c>
      <c r="H21" s="170">
        <f t="shared" si="3"/>
        <v>1278858</v>
      </c>
      <c r="I21" s="170">
        <f t="shared" si="4"/>
        <v>0</v>
      </c>
      <c r="J21" s="170">
        <f t="shared" si="4"/>
        <v>0</v>
      </c>
      <c r="K21" s="170">
        <f t="shared" si="4"/>
        <v>0</v>
      </c>
      <c r="L21" s="170">
        <f t="shared" si="4"/>
        <v>0</v>
      </c>
      <c r="M21" s="170">
        <f t="shared" si="4"/>
        <v>0</v>
      </c>
      <c r="N21" s="170">
        <f t="shared" si="4"/>
        <v>0</v>
      </c>
    </row>
    <row r="22" spans="1:14" s="30" customFormat="1">
      <c r="A22" s="40" t="s">
        <v>601</v>
      </c>
      <c r="B22" s="40" t="s">
        <v>596</v>
      </c>
      <c r="C22" t="s">
        <v>553</v>
      </c>
      <c r="D22" s="30">
        <v>1</v>
      </c>
      <c r="E22" s="170">
        <v>1458320.66</v>
      </c>
      <c r="F22" s="170">
        <f t="shared" si="2"/>
        <v>1458320.66</v>
      </c>
      <c r="H22" s="170">
        <f t="shared" si="3"/>
        <v>0</v>
      </c>
      <c r="I22" s="170">
        <f t="shared" si="4"/>
        <v>0</v>
      </c>
      <c r="J22" s="170">
        <f t="shared" si="4"/>
        <v>0</v>
      </c>
      <c r="K22" s="170">
        <f t="shared" si="4"/>
        <v>0</v>
      </c>
      <c r="L22" s="170">
        <f t="shared" si="4"/>
        <v>0</v>
      </c>
      <c r="M22" s="170">
        <f t="shared" si="4"/>
        <v>0</v>
      </c>
      <c r="N22" s="170">
        <f t="shared" si="4"/>
        <v>622194.31680000003</v>
      </c>
    </row>
    <row r="23" spans="1:14" s="30" customFormat="1">
      <c r="A23" s="40" t="s">
        <v>598</v>
      </c>
      <c r="B23" s="40" t="s">
        <v>600</v>
      </c>
      <c r="C23" t="s">
        <v>551</v>
      </c>
      <c r="D23" s="30">
        <v>1</v>
      </c>
      <c r="E23" s="170">
        <v>9708929.282050807</v>
      </c>
      <c r="F23" s="170">
        <f t="shared" si="2"/>
        <v>9708929.282050807</v>
      </c>
      <c r="H23" s="170">
        <f t="shared" si="3"/>
        <v>7006214.4000000004</v>
      </c>
      <c r="I23" s="170">
        <f t="shared" si="4"/>
        <v>0</v>
      </c>
      <c r="J23" s="170">
        <f t="shared" si="4"/>
        <v>0</v>
      </c>
      <c r="K23" s="170">
        <f t="shared" si="4"/>
        <v>4517753.6000000006</v>
      </c>
      <c r="L23" s="170">
        <f t="shared" si="4"/>
        <v>0</v>
      </c>
      <c r="M23" s="170">
        <f t="shared" si="4"/>
        <v>2258879.3600000003</v>
      </c>
      <c r="N23" s="170">
        <f t="shared" si="4"/>
        <v>0</v>
      </c>
    </row>
    <row r="24" spans="1:14" s="30" customFormat="1">
      <c r="A24" s="40" t="s">
        <v>597</v>
      </c>
      <c r="B24" s="40" t="s">
        <v>600</v>
      </c>
      <c r="C24" t="s">
        <v>549</v>
      </c>
      <c r="D24" s="30">
        <v>1</v>
      </c>
      <c r="E24" s="170">
        <v>26975428.263721749</v>
      </c>
      <c r="F24" s="170">
        <f t="shared" si="2"/>
        <v>26975428.263721749</v>
      </c>
      <c r="H24" s="170">
        <f t="shared" si="3"/>
        <v>19953000</v>
      </c>
      <c r="I24" s="170">
        <f t="shared" si="4"/>
        <v>0</v>
      </c>
      <c r="J24" s="170">
        <f t="shared" si="4"/>
        <v>0</v>
      </c>
      <c r="K24" s="170">
        <f t="shared" si="4"/>
        <v>0</v>
      </c>
      <c r="L24" s="170">
        <f t="shared" si="4"/>
        <v>4789665.28</v>
      </c>
      <c r="M24" s="170">
        <f t="shared" si="4"/>
        <v>0</v>
      </c>
      <c r="N24" s="170">
        <f t="shared" si="4"/>
        <v>2394832.64</v>
      </c>
    </row>
    <row r="25" spans="1:14" s="30" customFormat="1">
      <c r="A25" s="40" t="s">
        <v>598</v>
      </c>
      <c r="B25" s="40" t="s">
        <v>599</v>
      </c>
      <c r="C25" t="s">
        <v>551</v>
      </c>
      <c r="D25" s="30">
        <v>1</v>
      </c>
      <c r="E25" s="170">
        <v>16699696.553134661</v>
      </c>
      <c r="F25" s="170">
        <f t="shared" si="2"/>
        <v>16699696.553134661</v>
      </c>
      <c r="H25" s="170">
        <f t="shared" si="3"/>
        <v>1621472.2320000003</v>
      </c>
      <c r="I25" s="170">
        <f t="shared" si="4"/>
        <v>0</v>
      </c>
      <c r="J25" s="170">
        <f t="shared" si="4"/>
        <v>0</v>
      </c>
      <c r="K25" s="170">
        <f t="shared" si="4"/>
        <v>0</v>
      </c>
      <c r="L25" s="170">
        <f t="shared" si="4"/>
        <v>0</v>
      </c>
      <c r="M25" s="170">
        <f t="shared" si="4"/>
        <v>0</v>
      </c>
      <c r="N25" s="170">
        <f t="shared" si="4"/>
        <v>778306.6723199999</v>
      </c>
    </row>
    <row r="26" spans="1:14" s="30" customFormat="1">
      <c r="A26" s="40" t="s">
        <v>597</v>
      </c>
      <c r="B26" s="40" t="s">
        <v>599</v>
      </c>
      <c r="C26" t="s">
        <v>549</v>
      </c>
      <c r="D26" s="30">
        <v>1</v>
      </c>
      <c r="E26" s="170">
        <v>35857618.281092785</v>
      </c>
      <c r="F26" s="170">
        <f t="shared" si="2"/>
        <v>35857618.281092785</v>
      </c>
      <c r="H26" s="170">
        <f t="shared" si="3"/>
        <v>799126.21774999995</v>
      </c>
      <c r="I26" s="170">
        <f t="shared" si="4"/>
        <v>0</v>
      </c>
      <c r="J26" s="170">
        <f t="shared" si="4"/>
        <v>0</v>
      </c>
      <c r="K26" s="170">
        <f t="shared" si="4"/>
        <v>358492.94400000002</v>
      </c>
      <c r="L26" s="170">
        <f t="shared" si="4"/>
        <v>0</v>
      </c>
      <c r="M26" s="170">
        <f t="shared" si="4"/>
        <v>0</v>
      </c>
      <c r="N26" s="170">
        <f t="shared" si="4"/>
        <v>358492.94400000002</v>
      </c>
    </row>
    <row r="27" spans="1:14" s="30" customFormat="1">
      <c r="A27" s="40" t="s">
        <v>598</v>
      </c>
      <c r="B27" s="40" t="s">
        <v>596</v>
      </c>
      <c r="C27" t="s">
        <v>551</v>
      </c>
      <c r="D27" s="30">
        <v>1</v>
      </c>
      <c r="E27" s="170">
        <v>27708092.539999999</v>
      </c>
      <c r="F27" s="170">
        <f t="shared" si="2"/>
        <v>27708092.539999999</v>
      </c>
      <c r="H27" s="170">
        <f t="shared" si="3"/>
        <v>19539555.879999999</v>
      </c>
      <c r="I27" s="170">
        <f t="shared" si="4"/>
        <v>0</v>
      </c>
      <c r="J27" s="170">
        <f t="shared" si="4"/>
        <v>0</v>
      </c>
      <c r="K27" s="170">
        <f t="shared" si="4"/>
        <v>8946282.1248000003</v>
      </c>
      <c r="L27" s="170">
        <f t="shared" si="4"/>
        <v>0</v>
      </c>
      <c r="M27" s="170">
        <f t="shared" si="4"/>
        <v>0</v>
      </c>
      <c r="N27" s="170">
        <f t="shared" si="4"/>
        <v>4473141.0624000002</v>
      </c>
    </row>
    <row r="28" spans="1:14" s="30" customFormat="1">
      <c r="A28" s="40" t="s">
        <v>597</v>
      </c>
      <c r="B28" s="40" t="s">
        <v>596</v>
      </c>
      <c r="C28" t="s">
        <v>549</v>
      </c>
      <c r="D28" s="30">
        <v>1</v>
      </c>
      <c r="E28" s="170">
        <v>41562138.809999995</v>
      </c>
      <c r="F28" s="170">
        <f t="shared" si="2"/>
        <v>41562138.809999995</v>
      </c>
      <c r="H28" s="170">
        <f t="shared" si="3"/>
        <v>32594577.996800002</v>
      </c>
      <c r="I28" s="170">
        <f t="shared" si="4"/>
        <v>0</v>
      </c>
      <c r="J28" s="170">
        <f t="shared" si="4"/>
        <v>0</v>
      </c>
      <c r="K28" s="170">
        <f t="shared" si="4"/>
        <v>0</v>
      </c>
      <c r="L28" s="170">
        <f t="shared" si="4"/>
        <v>7019373.9816960013</v>
      </c>
      <c r="M28" s="170">
        <f t="shared" si="4"/>
        <v>0</v>
      </c>
      <c r="N28" s="170">
        <f t="shared" si="4"/>
        <v>3509686.9908480006</v>
      </c>
    </row>
    <row r="29" spans="1:14" s="30" customFormat="1" ht="12.75" thickBot="1">
      <c r="A29" s="40"/>
      <c r="B29" s="40"/>
      <c r="C29"/>
      <c r="E29" s="202" t="s">
        <v>54</v>
      </c>
      <c r="F29" s="76">
        <f>SUM(F17:F28)</f>
        <v>171800407.38</v>
      </c>
      <c r="H29" s="76">
        <f t="shared" ref="H29:M29" si="5">SUM(H17:H28)</f>
        <v>94193324.726549998</v>
      </c>
      <c r="I29" s="76">
        <f t="shared" si="5"/>
        <v>0</v>
      </c>
      <c r="J29" s="76">
        <f t="shared" si="5"/>
        <v>3314864.64</v>
      </c>
      <c r="K29" s="76">
        <f t="shared" si="5"/>
        <v>20781547.385600001</v>
      </c>
      <c r="L29" s="76">
        <f t="shared" si="5"/>
        <v>11809039.261696002</v>
      </c>
      <c r="M29" s="76">
        <f t="shared" si="5"/>
        <v>6898225.1711999997</v>
      </c>
      <c r="N29" s="76">
        <f>SUM(N17:N28)</f>
        <v>18996113.186368</v>
      </c>
    </row>
    <row r="30" spans="1:14" s="30" customFormat="1" ht="12.75" thickTop="1">
      <c r="A30" s="40"/>
      <c r="B30" s="40"/>
      <c r="C30"/>
      <c r="E30" s="170"/>
      <c r="F30" s="170">
        <f>F14-F29</f>
        <v>-40632917.379999995</v>
      </c>
      <c r="H30" s="170"/>
      <c r="I30" s="170"/>
      <c r="J30" s="170"/>
      <c r="K30" s="170"/>
      <c r="L30" s="170"/>
      <c r="M30" s="170"/>
      <c r="N30" s="170"/>
    </row>
    <row r="31" spans="1:14" s="30" customFormat="1">
      <c r="A31" s="40" t="s">
        <v>595</v>
      </c>
      <c r="B31" s="40" t="s">
        <v>594</v>
      </c>
      <c r="C31"/>
      <c r="E31" s="170"/>
      <c r="F31" s="170"/>
      <c r="H31" s="170"/>
      <c r="I31" s="170"/>
      <c r="J31" s="170"/>
      <c r="K31" s="170"/>
      <c r="L31" s="170"/>
      <c r="M31" s="170"/>
      <c r="N31" s="170"/>
    </row>
    <row r="32" spans="1:14" s="30" customFormat="1">
      <c r="A32" s="40" t="s">
        <v>593</v>
      </c>
      <c r="B32" s="40" t="s">
        <v>552</v>
      </c>
      <c r="C32"/>
      <c r="E32" s="170"/>
      <c r="F32" s="170"/>
      <c r="H32" s="170"/>
      <c r="I32" s="170"/>
      <c r="J32" s="170"/>
      <c r="K32" s="170"/>
      <c r="L32" s="170"/>
      <c r="M32" s="170"/>
      <c r="N32" s="170"/>
    </row>
    <row r="33" spans="1:14" s="30" customFormat="1">
      <c r="A33" s="40" t="s">
        <v>592</v>
      </c>
      <c r="B33" s="40" t="s">
        <v>550</v>
      </c>
      <c r="C33"/>
      <c r="E33" s="170"/>
      <c r="F33" s="170"/>
      <c r="H33" s="170"/>
      <c r="I33" s="170"/>
      <c r="J33" s="170"/>
      <c r="K33" s="170"/>
      <c r="L33" s="170"/>
      <c r="M33" s="170"/>
      <c r="N33" s="170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AAF17-54E2-4188-B519-58CDD02F2B45}">
  <dimension ref="A1:P28"/>
  <sheetViews>
    <sheetView zoomScaleNormal="100" workbookViewId="0">
      <pane xSplit="7" ySplit="1" topLeftCell="H2" activePane="bottomRight" state="frozen"/>
      <selection pane="topRight"/>
      <selection pane="bottomLeft"/>
      <selection pane="bottomRight"/>
    </sheetView>
  </sheetViews>
  <sheetFormatPr defaultColWidth="9" defaultRowHeight="12"/>
  <cols>
    <col min="1" max="2" width="9" style="171"/>
    <col min="3" max="3" width="46.1640625" style="171" customWidth="1"/>
    <col min="4" max="4" width="9.33203125" style="174" customWidth="1"/>
    <col min="5" max="5" width="6" style="171" customWidth="1"/>
    <col min="6" max="7" width="13" style="173" bestFit="1" customWidth="1"/>
    <col min="8" max="8" width="7.5" style="171" customWidth="1"/>
    <col min="9" max="9" width="13" style="173" customWidth="1"/>
    <col min="10" max="10" width="12" style="173" bestFit="1" customWidth="1"/>
    <col min="11" max="11" width="10.5" style="173" bestFit="1" customWidth="1"/>
    <col min="12" max="16" width="12" style="173" bestFit="1" customWidth="1"/>
    <col min="17" max="17" width="14.6640625" style="171" bestFit="1" customWidth="1"/>
    <col min="18" max="16384" width="9" style="171"/>
  </cols>
  <sheetData>
    <row r="1" spans="1:16">
      <c r="A1" s="169" t="s">
        <v>555</v>
      </c>
      <c r="B1" s="169" t="s">
        <v>555</v>
      </c>
      <c r="C1" s="204" t="s">
        <v>359</v>
      </c>
      <c r="D1" s="177" t="s">
        <v>559</v>
      </c>
      <c r="E1" s="177" t="s">
        <v>589</v>
      </c>
      <c r="F1" s="203" t="s">
        <v>540</v>
      </c>
      <c r="G1" s="203" t="s">
        <v>588</v>
      </c>
      <c r="H1" s="172"/>
      <c r="I1" s="172" t="s">
        <v>591</v>
      </c>
      <c r="J1" s="172">
        <v>44743</v>
      </c>
      <c r="K1" s="172">
        <v>44774</v>
      </c>
      <c r="L1" s="172">
        <v>44805</v>
      </c>
      <c r="M1" s="172">
        <v>44835</v>
      </c>
      <c r="N1" s="172">
        <v>44866</v>
      </c>
      <c r="O1" s="172">
        <v>44896</v>
      </c>
      <c r="P1" s="172">
        <v>44927</v>
      </c>
    </row>
    <row r="2" spans="1:16" s="175" customFormat="1">
      <c r="A2" s="174" t="s">
        <v>602</v>
      </c>
      <c r="B2" s="174" t="s">
        <v>603</v>
      </c>
      <c r="C2" s="171" t="s">
        <v>561</v>
      </c>
      <c r="D2" s="174" t="s">
        <v>557</v>
      </c>
      <c r="E2" s="175">
        <v>1</v>
      </c>
      <c r="F2" s="168">
        <v>5506099.2000000002</v>
      </c>
      <c r="G2" s="168">
        <f>E2*F2</f>
        <v>5506099.2000000002</v>
      </c>
      <c r="I2" s="168">
        <v>5093142.5</v>
      </c>
      <c r="J2" s="168">
        <v>0</v>
      </c>
      <c r="K2" s="168">
        <v>0</v>
      </c>
      <c r="L2" s="168">
        <f>82591.41*3</f>
        <v>247774.23</v>
      </c>
      <c r="M2" s="168">
        <v>0</v>
      </c>
      <c r="N2" s="168">
        <v>0</v>
      </c>
      <c r="O2" s="168">
        <v>0</v>
      </c>
      <c r="P2" s="168">
        <f>82591.41*3</f>
        <v>247774.23</v>
      </c>
    </row>
    <row r="3" spans="1:16" s="175" customFormat="1">
      <c r="A3" s="174" t="s">
        <v>602</v>
      </c>
      <c r="B3" s="174" t="s">
        <v>603</v>
      </c>
      <c r="C3" s="171" t="s">
        <v>605</v>
      </c>
      <c r="D3" s="174" t="s">
        <v>557</v>
      </c>
      <c r="E3" s="175">
        <v>1</v>
      </c>
      <c r="F3" s="168">
        <v>1514832.48</v>
      </c>
      <c r="G3" s="168">
        <f>E3*F3</f>
        <v>1514832.48</v>
      </c>
      <c r="I3" s="168">
        <v>1514832.4799999997</v>
      </c>
      <c r="J3" s="168">
        <v>0</v>
      </c>
      <c r="K3" s="168">
        <v>0</v>
      </c>
      <c r="L3" s="168">
        <v>0</v>
      </c>
      <c r="M3" s="168">
        <v>0</v>
      </c>
      <c r="N3" s="168">
        <v>0</v>
      </c>
      <c r="O3" s="168">
        <v>0</v>
      </c>
      <c r="P3" s="168">
        <v>0</v>
      </c>
    </row>
    <row r="4" spans="1:16" s="175" customFormat="1">
      <c r="A4" s="174" t="s">
        <v>601</v>
      </c>
      <c r="B4" s="174" t="s">
        <v>603</v>
      </c>
      <c r="C4" s="171" t="s">
        <v>556</v>
      </c>
      <c r="D4" s="174" t="s">
        <v>557</v>
      </c>
      <c r="E4" s="175">
        <v>1</v>
      </c>
      <c r="F4" s="168">
        <f>148030540.8</f>
        <v>148030540.80000001</v>
      </c>
      <c r="G4" s="168">
        <f>E4*F4</f>
        <v>148030540.80000001</v>
      </c>
      <c r="I4" s="168">
        <v>175187642.37108594</v>
      </c>
      <c r="J4" s="168">
        <v>0</v>
      </c>
      <c r="K4" s="168">
        <f>1079914.45600001*2</f>
        <v>2159828.91200002</v>
      </c>
      <c r="L4" s="168">
        <v>5000000</v>
      </c>
      <c r="M4" s="168">
        <v>3379914.45600001</v>
      </c>
      <c r="N4" s="168">
        <v>8379914.4560000096</v>
      </c>
      <c r="O4" s="168">
        <v>5000000</v>
      </c>
      <c r="P4" s="168">
        <v>7439743.3679999597</v>
      </c>
    </row>
    <row r="5" spans="1:16" s="175" customFormat="1">
      <c r="A5" s="174" t="s">
        <v>604</v>
      </c>
      <c r="B5" s="174" t="s">
        <v>603</v>
      </c>
      <c r="C5" s="171" t="s">
        <v>558</v>
      </c>
      <c r="D5" s="174" t="s">
        <v>557</v>
      </c>
      <c r="E5" s="175">
        <v>1</v>
      </c>
      <c r="F5" s="168">
        <v>30000000</v>
      </c>
      <c r="G5" s="168">
        <f>E5*F5</f>
        <v>30000000</v>
      </c>
      <c r="I5" s="168">
        <v>30000000</v>
      </c>
      <c r="J5" s="168">
        <v>0</v>
      </c>
      <c r="K5" s="168">
        <v>0</v>
      </c>
      <c r="L5" s="168">
        <v>0</v>
      </c>
      <c r="M5" s="168">
        <v>0</v>
      </c>
      <c r="N5" s="168">
        <v>0</v>
      </c>
      <c r="O5" s="168">
        <v>0</v>
      </c>
      <c r="P5" s="168">
        <v>0</v>
      </c>
    </row>
    <row r="6" spans="1:16" s="175" customFormat="1">
      <c r="A6" s="174" t="s">
        <v>598</v>
      </c>
      <c r="B6" s="174" t="s">
        <v>603</v>
      </c>
      <c r="C6" s="171" t="s">
        <v>551</v>
      </c>
      <c r="D6" s="174" t="s">
        <v>557</v>
      </c>
      <c r="E6" s="175">
        <v>1</v>
      </c>
      <c r="F6" s="168">
        <v>19158958.879999999</v>
      </c>
      <c r="G6" s="168">
        <f t="shared" ref="G6:G12" si="0">E6*F6</f>
        <v>19158958.879999999</v>
      </c>
      <c r="I6" s="168">
        <v>15058062.992000001</v>
      </c>
      <c r="J6" s="168">
        <v>0</v>
      </c>
      <c r="K6" s="168">
        <v>0</v>
      </c>
      <c r="L6" s="168">
        <f>511000*3</f>
        <v>1533000</v>
      </c>
      <c r="M6" s="168">
        <v>0</v>
      </c>
      <c r="N6" s="168">
        <v>0</v>
      </c>
      <c r="O6" s="168">
        <f>511000*4</f>
        <v>2044000</v>
      </c>
      <c r="P6" s="168">
        <v>0</v>
      </c>
    </row>
    <row r="7" spans="1:16" s="175" customFormat="1">
      <c r="A7" s="174" t="s">
        <v>597</v>
      </c>
      <c r="B7" s="174" t="s">
        <v>603</v>
      </c>
      <c r="C7" s="171" t="s">
        <v>549</v>
      </c>
      <c r="D7" s="174" t="s">
        <v>557</v>
      </c>
      <c r="E7" s="175">
        <v>1</v>
      </c>
      <c r="F7" s="168">
        <v>29820624.640000001</v>
      </c>
      <c r="G7" s="168">
        <f t="shared" si="0"/>
        <v>29820624.640000001</v>
      </c>
      <c r="I7" s="168">
        <v>23347000</v>
      </c>
      <c r="J7" s="168">
        <v>0</v>
      </c>
      <c r="K7" s="168">
        <v>0</v>
      </c>
      <c r="L7" s="168">
        <v>0</v>
      </c>
      <c r="M7" s="168">
        <f>733324.928*4</f>
        <v>2933299.7119999998</v>
      </c>
      <c r="N7" s="168">
        <v>0</v>
      </c>
      <c r="O7" s="168">
        <v>0</v>
      </c>
      <c r="P7" s="168">
        <f>733324.928*3</f>
        <v>2199974.784</v>
      </c>
    </row>
    <row r="8" spans="1:16" s="175" customFormat="1">
      <c r="A8" s="174" t="s">
        <v>602</v>
      </c>
      <c r="B8" s="174" t="s">
        <v>603</v>
      </c>
      <c r="C8" s="171" t="s">
        <v>561</v>
      </c>
      <c r="D8" s="174" t="s">
        <v>552</v>
      </c>
      <c r="E8" s="175">
        <v>1</v>
      </c>
      <c r="F8" s="168">
        <v>7079498.8799999999</v>
      </c>
      <c r="G8" s="168">
        <f t="shared" si="0"/>
        <v>7079498.8799999999</v>
      </c>
      <c r="I8" s="168">
        <v>6130846.1339999996</v>
      </c>
      <c r="J8" s="168">
        <v>0</v>
      </c>
      <c r="K8" s="168">
        <v>0</v>
      </c>
      <c r="L8" s="168">
        <v>0</v>
      </c>
      <c r="M8" s="168">
        <f>189730.568*4</f>
        <v>758922.272</v>
      </c>
      <c r="N8" s="168">
        <v>0</v>
      </c>
      <c r="O8" s="168">
        <v>0</v>
      </c>
      <c r="P8" s="168">
        <f>189730.568*3</f>
        <v>569191.70400000003</v>
      </c>
    </row>
    <row r="9" spans="1:16" s="175" customFormat="1">
      <c r="A9" s="174" t="s">
        <v>602</v>
      </c>
      <c r="B9" s="174" t="s">
        <v>603</v>
      </c>
      <c r="C9" s="171" t="s">
        <v>605</v>
      </c>
      <c r="D9" s="174" t="s">
        <v>552</v>
      </c>
      <c r="E9" s="175">
        <v>1</v>
      </c>
      <c r="F9" s="168">
        <v>1893322.5299999998</v>
      </c>
      <c r="G9" s="168">
        <f t="shared" si="0"/>
        <v>1893322.5299999998</v>
      </c>
      <c r="I9" s="168">
        <v>1893323</v>
      </c>
      <c r="J9" s="168">
        <v>0</v>
      </c>
      <c r="K9" s="168">
        <v>0</v>
      </c>
      <c r="L9" s="168">
        <v>0</v>
      </c>
      <c r="M9" s="168">
        <v>0</v>
      </c>
      <c r="N9" s="168">
        <v>0</v>
      </c>
      <c r="O9" s="168">
        <v>0</v>
      </c>
      <c r="P9" s="168">
        <v>0</v>
      </c>
    </row>
    <row r="10" spans="1:16" s="175" customFormat="1">
      <c r="A10" s="174" t="s">
        <v>601</v>
      </c>
      <c r="B10" s="174" t="s">
        <v>603</v>
      </c>
      <c r="C10" s="171" t="s">
        <v>556</v>
      </c>
      <c r="D10" s="174" t="s">
        <v>552</v>
      </c>
      <c r="E10" s="175">
        <v>1</v>
      </c>
      <c r="F10" s="168">
        <f>228903797.12</f>
        <v>228903797.12</v>
      </c>
      <c r="G10" s="168">
        <f t="shared" si="0"/>
        <v>228903797.12</v>
      </c>
      <c r="I10" s="168">
        <v>203026113.866</v>
      </c>
      <c r="J10" s="168">
        <v>0</v>
      </c>
      <c r="K10" s="168">
        <v>4688922.8140000002</v>
      </c>
      <c r="L10" s="168">
        <v>5000000</v>
      </c>
      <c r="M10" s="168">
        <f>4688922.814*3-5000000</f>
        <v>9066768.4420000017</v>
      </c>
      <c r="N10" s="168">
        <v>5000000</v>
      </c>
      <c r="O10" s="168">
        <v>6000000</v>
      </c>
      <c r="P10" s="168">
        <f>4688922.814*3</f>
        <v>14066768.442000002</v>
      </c>
    </row>
    <row r="11" spans="1:16" s="175" customFormat="1">
      <c r="A11" s="174" t="s">
        <v>598</v>
      </c>
      <c r="B11" s="174" t="s">
        <v>603</v>
      </c>
      <c r="C11" s="171" t="s">
        <v>551</v>
      </c>
      <c r="D11" s="174" t="s">
        <v>552</v>
      </c>
      <c r="E11" s="175">
        <v>1</v>
      </c>
      <c r="F11" s="168">
        <v>31818351.279999997</v>
      </c>
      <c r="G11" s="168">
        <f t="shared" si="0"/>
        <v>31818351.279999997</v>
      </c>
      <c r="I11" s="168">
        <v>28570351.279999997</v>
      </c>
      <c r="J11" s="168">
        <v>0</v>
      </c>
      <c r="K11" s="168">
        <v>0</v>
      </c>
      <c r="L11" s="168">
        <f>649599.944*4</f>
        <v>2598399.7760000001</v>
      </c>
      <c r="M11" s="168">
        <v>0</v>
      </c>
      <c r="N11" s="168">
        <v>0</v>
      </c>
      <c r="O11" s="168">
        <v>0</v>
      </c>
      <c r="P11" s="168">
        <f>649599.944*3</f>
        <v>1948799.8319999999</v>
      </c>
    </row>
    <row r="12" spans="1:16" s="175" customFormat="1">
      <c r="A12" s="174" t="s">
        <v>597</v>
      </c>
      <c r="B12" s="174" t="s">
        <v>603</v>
      </c>
      <c r="C12" s="171" t="s">
        <v>549</v>
      </c>
      <c r="D12" s="174" t="s">
        <v>552</v>
      </c>
      <c r="E12" s="175">
        <v>1</v>
      </c>
      <c r="F12" s="168">
        <v>29399077.189999998</v>
      </c>
      <c r="G12" s="168">
        <f t="shared" si="0"/>
        <v>29399077.189999998</v>
      </c>
      <c r="I12" s="168">
        <v>24886000</v>
      </c>
      <c r="J12" s="168">
        <v>0</v>
      </c>
      <c r="K12" s="168">
        <v>0</v>
      </c>
      <c r="L12" s="168">
        <v>0</v>
      </c>
      <c r="M12" s="168">
        <f>756615.4*4</f>
        <v>3026461.6</v>
      </c>
      <c r="N12" s="168">
        <v>0</v>
      </c>
      <c r="O12" s="168">
        <v>0</v>
      </c>
      <c r="P12" s="168">
        <f>756615.4*3</f>
        <v>2269846.2000000002</v>
      </c>
    </row>
    <row r="13" spans="1:16" s="175" customFormat="1" ht="12.75" thickBot="1">
      <c r="A13" s="174"/>
      <c r="B13" s="174"/>
      <c r="C13" s="171"/>
      <c r="D13" s="174"/>
      <c r="F13" s="206" t="s">
        <v>54</v>
      </c>
      <c r="G13" s="176">
        <f>SUM(G2:G12)</f>
        <v>533125102.99999994</v>
      </c>
      <c r="I13" s="176">
        <f t="shared" ref="I13:N13" si="1">SUM(I2:I12)</f>
        <v>514707314.62308592</v>
      </c>
      <c r="J13" s="176">
        <f t="shared" si="1"/>
        <v>0</v>
      </c>
      <c r="K13" s="176">
        <f t="shared" si="1"/>
        <v>6848751.7260000203</v>
      </c>
      <c r="L13" s="176">
        <f t="shared" si="1"/>
        <v>14379174.006000001</v>
      </c>
      <c r="M13" s="176">
        <f t="shared" si="1"/>
        <v>19165366.482000012</v>
      </c>
      <c r="N13" s="176">
        <f t="shared" si="1"/>
        <v>13379914.45600001</v>
      </c>
      <c r="O13" s="176">
        <f>SUM(O2:O12)</f>
        <v>13044000</v>
      </c>
      <c r="P13" s="176">
        <f>SUM(P2:P12)</f>
        <v>28742098.559999958</v>
      </c>
    </row>
    <row r="14" spans="1:16" s="175" customFormat="1" ht="12.75" thickTop="1">
      <c r="A14" s="174"/>
      <c r="B14" s="174"/>
      <c r="C14" s="171"/>
      <c r="D14" s="174"/>
      <c r="F14" s="168"/>
      <c r="G14" s="207"/>
      <c r="I14" s="168"/>
      <c r="J14" s="168"/>
      <c r="K14" s="168"/>
      <c r="L14" s="168"/>
      <c r="M14" s="168"/>
      <c r="N14" s="168"/>
      <c r="O14" s="168"/>
      <c r="P14" s="168"/>
    </row>
    <row r="15" spans="1:16">
      <c r="A15" s="169" t="s">
        <v>555</v>
      </c>
      <c r="B15" s="169" t="s">
        <v>555</v>
      </c>
      <c r="C15" s="204" t="s">
        <v>368</v>
      </c>
      <c r="D15" s="177" t="s">
        <v>559</v>
      </c>
      <c r="E15" s="177" t="s">
        <v>589</v>
      </c>
      <c r="F15" s="203" t="s">
        <v>540</v>
      </c>
      <c r="G15" s="203" t="s">
        <v>588</v>
      </c>
      <c r="H15" s="172"/>
      <c r="I15" s="172" t="str">
        <f t="shared" ref="I15:P15" si="2">I1</f>
        <v>Current</v>
      </c>
      <c r="J15" s="172">
        <f t="shared" si="2"/>
        <v>44743</v>
      </c>
      <c r="K15" s="172">
        <f t="shared" si="2"/>
        <v>44774</v>
      </c>
      <c r="L15" s="172">
        <f t="shared" si="2"/>
        <v>44805</v>
      </c>
      <c r="M15" s="172">
        <f t="shared" si="2"/>
        <v>44835</v>
      </c>
      <c r="N15" s="172">
        <f t="shared" si="2"/>
        <v>44866</v>
      </c>
      <c r="O15" s="172">
        <f t="shared" si="2"/>
        <v>44896</v>
      </c>
      <c r="P15" s="172">
        <f t="shared" si="2"/>
        <v>44927</v>
      </c>
    </row>
    <row r="16" spans="1:16" s="175" customFormat="1">
      <c r="A16" s="174" t="s">
        <v>602</v>
      </c>
      <c r="B16" s="174" t="s">
        <v>603</v>
      </c>
      <c r="C16" s="171" t="str">
        <f>C2</f>
        <v>Design &amp; Survey - Civil</v>
      </c>
      <c r="D16" s="174" t="s">
        <v>557</v>
      </c>
      <c r="E16" s="175">
        <v>1</v>
      </c>
      <c r="F16" s="168"/>
      <c r="G16" s="168"/>
      <c r="I16" s="168">
        <f>I2</f>
        <v>5093142.5</v>
      </c>
      <c r="J16" s="168">
        <f>J2</f>
        <v>0</v>
      </c>
      <c r="K16" s="168">
        <f t="shared" ref="K16:P16" si="3">K2</f>
        <v>0</v>
      </c>
      <c r="L16" s="168">
        <f t="shared" si="3"/>
        <v>247774.23</v>
      </c>
      <c r="M16" s="168">
        <f t="shared" si="3"/>
        <v>0</v>
      </c>
      <c r="N16" s="168">
        <f t="shared" si="3"/>
        <v>0</v>
      </c>
      <c r="O16" s="168">
        <f t="shared" si="3"/>
        <v>0</v>
      </c>
      <c r="P16" s="168">
        <f t="shared" si="3"/>
        <v>247774.23</v>
      </c>
    </row>
    <row r="17" spans="1:16" s="175" customFormat="1">
      <c r="A17" s="174" t="s">
        <v>601</v>
      </c>
      <c r="B17" s="174" t="s">
        <v>603</v>
      </c>
      <c r="C17" s="171" t="str">
        <f t="shared" ref="C17:C26" si="4">C3</f>
        <v>Design &amp; Survey- E&amp;M</v>
      </c>
      <c r="D17" s="174" t="s">
        <v>557</v>
      </c>
      <c r="E17" s="175">
        <v>1</v>
      </c>
      <c r="F17" s="168"/>
      <c r="G17" s="168"/>
      <c r="I17" s="168">
        <f t="shared" ref="I17:P17" si="5">I3</f>
        <v>1514832.4799999997</v>
      </c>
      <c r="J17" s="168">
        <f t="shared" si="5"/>
        <v>0</v>
      </c>
      <c r="K17" s="168">
        <f t="shared" si="5"/>
        <v>0</v>
      </c>
      <c r="L17" s="168">
        <f t="shared" si="5"/>
        <v>0</v>
      </c>
      <c r="M17" s="168">
        <f t="shared" si="5"/>
        <v>0</v>
      </c>
      <c r="N17" s="168">
        <f t="shared" si="5"/>
        <v>0</v>
      </c>
      <c r="O17" s="168">
        <f t="shared" si="5"/>
        <v>0</v>
      </c>
      <c r="P17" s="168">
        <f t="shared" si="5"/>
        <v>0</v>
      </c>
    </row>
    <row r="18" spans="1:16" s="175" customFormat="1">
      <c r="A18" s="174" t="s">
        <v>604</v>
      </c>
      <c r="B18" s="174" t="s">
        <v>603</v>
      </c>
      <c r="C18" s="171" t="str">
        <f t="shared" si="4"/>
        <v>Civil-Works Construction Of NEW Facitlities</v>
      </c>
      <c r="D18" s="174" t="s">
        <v>557</v>
      </c>
      <c r="E18" s="175">
        <v>1</v>
      </c>
      <c r="F18" s="168"/>
      <c r="G18" s="168"/>
      <c r="I18" s="168">
        <f>I4</f>
        <v>175187642.37108594</v>
      </c>
      <c r="J18" s="168">
        <v>5035692.0071428604</v>
      </c>
      <c r="K18" s="168">
        <v>4035692.00714286</v>
      </c>
      <c r="L18" s="168">
        <v>3535692.00714286</v>
      </c>
      <c r="M18" s="168">
        <v>5535692.0071428604</v>
      </c>
      <c r="N18" s="168">
        <v>4035692.00714286</v>
      </c>
      <c r="O18" s="168">
        <v>5035692.0071428604</v>
      </c>
      <c r="P18" s="168">
        <v>4535692.0071428586</v>
      </c>
    </row>
    <row r="19" spans="1:16" s="175" customFormat="1">
      <c r="A19" s="174" t="s">
        <v>598</v>
      </c>
      <c r="B19" s="174" t="s">
        <v>603</v>
      </c>
      <c r="C19" s="171" t="str">
        <f t="shared" si="4"/>
        <v>Soil Improvement</v>
      </c>
      <c r="D19" s="174" t="s">
        <v>557</v>
      </c>
      <c r="E19" s="175">
        <v>1</v>
      </c>
      <c r="F19" s="168"/>
      <c r="G19" s="168"/>
      <c r="I19" s="168">
        <f t="shared" ref="I19:I26" si="6">I6</f>
        <v>15058062.992000001</v>
      </c>
      <c r="J19" s="168">
        <f t="shared" ref="J19:P19" si="7">J5</f>
        <v>0</v>
      </c>
      <c r="K19" s="168">
        <f t="shared" si="7"/>
        <v>0</v>
      </c>
      <c r="L19" s="168">
        <f t="shared" si="7"/>
        <v>0</v>
      </c>
      <c r="M19" s="168">
        <f t="shared" si="7"/>
        <v>0</v>
      </c>
      <c r="N19" s="168">
        <f t="shared" si="7"/>
        <v>0</v>
      </c>
      <c r="O19" s="168">
        <f t="shared" si="7"/>
        <v>0</v>
      </c>
      <c r="P19" s="168">
        <f t="shared" si="7"/>
        <v>0</v>
      </c>
    </row>
    <row r="20" spans="1:16" s="175" customFormat="1">
      <c r="A20" s="174" t="s">
        <v>597</v>
      </c>
      <c r="B20" s="174" t="s">
        <v>603</v>
      </c>
      <c r="C20" s="171" t="str">
        <f t="shared" si="4"/>
        <v>Mechanical work</v>
      </c>
      <c r="D20" s="174" t="s">
        <v>557</v>
      </c>
      <c r="E20" s="175">
        <v>1</v>
      </c>
      <c r="F20" s="168"/>
      <c r="G20" s="168"/>
      <c r="I20" s="168">
        <f t="shared" si="6"/>
        <v>23347000</v>
      </c>
      <c r="J20" s="168">
        <f t="shared" ref="J20:P20" si="8">J6</f>
        <v>0</v>
      </c>
      <c r="K20" s="168">
        <f t="shared" si="8"/>
        <v>0</v>
      </c>
      <c r="L20" s="168">
        <f t="shared" si="8"/>
        <v>1533000</v>
      </c>
      <c r="M20" s="168">
        <f t="shared" si="8"/>
        <v>0</v>
      </c>
      <c r="N20" s="168">
        <f t="shared" si="8"/>
        <v>0</v>
      </c>
      <c r="O20" s="168">
        <f t="shared" si="8"/>
        <v>2044000</v>
      </c>
      <c r="P20" s="168">
        <f t="shared" si="8"/>
        <v>0</v>
      </c>
    </row>
    <row r="21" spans="1:16" s="175" customFormat="1">
      <c r="A21" s="174" t="s">
        <v>602</v>
      </c>
      <c r="B21" s="174" t="s">
        <v>603</v>
      </c>
      <c r="C21" s="171" t="str">
        <f t="shared" si="4"/>
        <v>Electrical work</v>
      </c>
      <c r="D21" s="174" t="s">
        <v>552</v>
      </c>
      <c r="E21" s="175">
        <v>1</v>
      </c>
      <c r="F21" s="168"/>
      <c r="G21" s="168"/>
      <c r="I21" s="168">
        <f t="shared" si="6"/>
        <v>6130846.1339999996</v>
      </c>
      <c r="J21" s="168">
        <f t="shared" ref="J21:P21" si="9">J7</f>
        <v>0</v>
      </c>
      <c r="K21" s="168">
        <f t="shared" si="9"/>
        <v>0</v>
      </c>
      <c r="L21" s="168">
        <f t="shared" si="9"/>
        <v>0</v>
      </c>
      <c r="M21" s="168">
        <f t="shared" si="9"/>
        <v>2933299.7119999998</v>
      </c>
      <c r="N21" s="168">
        <f t="shared" si="9"/>
        <v>0</v>
      </c>
      <c r="O21" s="168">
        <f t="shared" si="9"/>
        <v>0</v>
      </c>
      <c r="P21" s="168">
        <f t="shared" si="9"/>
        <v>2199974.784</v>
      </c>
    </row>
    <row r="22" spans="1:16" s="175" customFormat="1">
      <c r="A22" s="174" t="s">
        <v>601</v>
      </c>
      <c r="B22" s="174" t="s">
        <v>603</v>
      </c>
      <c r="C22" s="171" t="str">
        <f t="shared" si="4"/>
        <v>Design &amp; Survey - Civil</v>
      </c>
      <c r="D22" s="174" t="s">
        <v>552</v>
      </c>
      <c r="E22" s="175">
        <v>1</v>
      </c>
      <c r="F22" s="168"/>
      <c r="G22" s="168"/>
      <c r="I22" s="168">
        <f t="shared" si="6"/>
        <v>1893323</v>
      </c>
      <c r="J22" s="168">
        <f t="shared" ref="J22:P22" si="10">J8</f>
        <v>0</v>
      </c>
      <c r="K22" s="168">
        <f t="shared" si="10"/>
        <v>0</v>
      </c>
      <c r="L22" s="168">
        <f t="shared" si="10"/>
        <v>0</v>
      </c>
      <c r="M22" s="168">
        <f t="shared" si="10"/>
        <v>758922.272</v>
      </c>
      <c r="N22" s="168">
        <f t="shared" si="10"/>
        <v>0</v>
      </c>
      <c r="O22" s="168">
        <f t="shared" si="10"/>
        <v>0</v>
      </c>
      <c r="P22" s="168">
        <f t="shared" si="10"/>
        <v>569191.70400000003</v>
      </c>
    </row>
    <row r="23" spans="1:16" s="175" customFormat="1">
      <c r="A23" s="174" t="s">
        <v>598</v>
      </c>
      <c r="B23" s="174" t="s">
        <v>603</v>
      </c>
      <c r="C23" s="171" t="str">
        <f t="shared" si="4"/>
        <v>Design &amp; Survey- E&amp;M</v>
      </c>
      <c r="D23" s="174" t="s">
        <v>552</v>
      </c>
      <c r="E23" s="175">
        <v>1</v>
      </c>
      <c r="F23" s="168"/>
      <c r="G23" s="168"/>
      <c r="I23" s="168">
        <f t="shared" si="6"/>
        <v>203026113.866</v>
      </c>
      <c r="J23" s="168">
        <f t="shared" ref="J23:P23" si="11">J9</f>
        <v>0</v>
      </c>
      <c r="K23" s="168">
        <f t="shared" si="11"/>
        <v>0</v>
      </c>
      <c r="L23" s="168">
        <f t="shared" si="11"/>
        <v>0</v>
      </c>
      <c r="M23" s="168">
        <f t="shared" si="11"/>
        <v>0</v>
      </c>
      <c r="N23" s="168">
        <f t="shared" si="11"/>
        <v>0</v>
      </c>
      <c r="O23" s="168">
        <f t="shared" si="11"/>
        <v>0</v>
      </c>
      <c r="P23" s="168">
        <f t="shared" si="11"/>
        <v>0</v>
      </c>
    </row>
    <row r="24" spans="1:16" s="175" customFormat="1">
      <c r="A24" s="174" t="s">
        <v>597</v>
      </c>
      <c r="B24" s="174" t="s">
        <v>603</v>
      </c>
      <c r="C24" s="171" t="str">
        <f t="shared" si="4"/>
        <v>Civil-Works Construction Of NEW Facitlities</v>
      </c>
      <c r="D24" s="174" t="s">
        <v>552</v>
      </c>
      <c r="E24" s="175">
        <v>1</v>
      </c>
      <c r="F24" s="168"/>
      <c r="G24" s="168"/>
      <c r="I24" s="168">
        <f t="shared" si="6"/>
        <v>28570351.279999997</v>
      </c>
      <c r="J24" s="168">
        <v>6298672.5857142899</v>
      </c>
      <c r="K24" s="168">
        <v>5298672.5857142899</v>
      </c>
      <c r="L24" s="168">
        <v>3298672.5857142899</v>
      </c>
      <c r="M24" s="168">
        <v>3298672.5857142899</v>
      </c>
      <c r="N24" s="168">
        <v>19298672.585714199</v>
      </c>
      <c r="O24" s="168">
        <v>19298672.585714199</v>
      </c>
      <c r="P24" s="168">
        <v>8298672.5857142899</v>
      </c>
    </row>
    <row r="25" spans="1:16" s="175" customFormat="1">
      <c r="A25" s="174" t="s">
        <v>597</v>
      </c>
      <c r="B25" s="174" t="s">
        <v>603</v>
      </c>
      <c r="C25" s="171" t="str">
        <f t="shared" si="4"/>
        <v>Mechanical work</v>
      </c>
      <c r="D25" s="174" t="s">
        <v>552</v>
      </c>
      <c r="E25" s="175">
        <v>1</v>
      </c>
      <c r="F25" s="168"/>
      <c r="G25" s="168"/>
      <c r="I25" s="168">
        <f t="shared" si="6"/>
        <v>24886000</v>
      </c>
      <c r="J25" s="168">
        <f t="shared" ref="J25:P25" si="12">J11</f>
        <v>0</v>
      </c>
      <c r="K25" s="168">
        <f t="shared" si="12"/>
        <v>0</v>
      </c>
      <c r="L25" s="168">
        <f t="shared" si="12"/>
        <v>2598399.7760000001</v>
      </c>
      <c r="M25" s="168">
        <f t="shared" si="12"/>
        <v>0</v>
      </c>
      <c r="N25" s="168">
        <f t="shared" si="12"/>
        <v>0</v>
      </c>
      <c r="O25" s="168">
        <f t="shared" si="12"/>
        <v>0</v>
      </c>
      <c r="P25" s="168">
        <f t="shared" si="12"/>
        <v>1948799.8319999999</v>
      </c>
    </row>
    <row r="26" spans="1:16" s="175" customFormat="1">
      <c r="A26" s="174" t="s">
        <v>597</v>
      </c>
      <c r="B26" s="174" t="s">
        <v>603</v>
      </c>
      <c r="C26" s="171" t="str">
        <f t="shared" si="4"/>
        <v>Electrical work</v>
      </c>
      <c r="D26" s="174" t="s">
        <v>552</v>
      </c>
      <c r="E26" s="175">
        <v>1</v>
      </c>
      <c r="F26" s="168"/>
      <c r="G26" s="168"/>
      <c r="I26" s="168">
        <f t="shared" si="6"/>
        <v>514707314.62308592</v>
      </c>
      <c r="J26" s="168">
        <f t="shared" ref="J26:P26" si="13">J12</f>
        <v>0</v>
      </c>
      <c r="K26" s="168">
        <f t="shared" si="13"/>
        <v>0</v>
      </c>
      <c r="L26" s="168">
        <f t="shared" si="13"/>
        <v>0</v>
      </c>
      <c r="M26" s="168">
        <f t="shared" si="13"/>
        <v>3026461.6</v>
      </c>
      <c r="N26" s="168">
        <f t="shared" si="13"/>
        <v>0</v>
      </c>
      <c r="O26" s="168">
        <f t="shared" si="13"/>
        <v>0</v>
      </c>
      <c r="P26" s="168">
        <f t="shared" si="13"/>
        <v>2269846.2000000002</v>
      </c>
    </row>
    <row r="27" spans="1:16" s="175" customFormat="1" ht="12.75" thickBot="1">
      <c r="A27" s="174"/>
      <c r="B27" s="174"/>
      <c r="C27" s="171"/>
      <c r="D27" s="174"/>
      <c r="F27" s="206" t="s">
        <v>54</v>
      </c>
      <c r="G27" s="176">
        <f>SUM(G16:G24)</f>
        <v>0</v>
      </c>
      <c r="I27" s="176">
        <f t="shared" ref="I27:N27" si="14">SUM(I16:I24)</f>
        <v>459821314.62308592</v>
      </c>
      <c r="J27" s="176">
        <f t="shared" si="14"/>
        <v>11334364.59285715</v>
      </c>
      <c r="K27" s="176">
        <f t="shared" si="14"/>
        <v>9334364.5928571504</v>
      </c>
      <c r="L27" s="176">
        <f t="shared" si="14"/>
        <v>8615138.8228571489</v>
      </c>
      <c r="M27" s="176">
        <f t="shared" si="14"/>
        <v>12526586.57685715</v>
      </c>
      <c r="N27" s="176">
        <f t="shared" si="14"/>
        <v>23334364.592857059</v>
      </c>
      <c r="O27" s="176">
        <f>SUM(O16:O24)</f>
        <v>26378364.592857059</v>
      </c>
      <c r="P27" s="176">
        <f>SUM(P16:P24)</f>
        <v>15851305.310857149</v>
      </c>
    </row>
    <row r="28" spans="1:16" s="175" customFormat="1" ht="12.75" thickTop="1">
      <c r="A28" s="174"/>
      <c r="B28" s="174"/>
      <c r="C28" s="171"/>
      <c r="D28" s="174"/>
      <c r="F28" s="168">
        <f>F19*80%*1.125+F19*20%</f>
        <v>0</v>
      </c>
      <c r="G28" s="168">
        <f>G13-G27</f>
        <v>533125102.99999994</v>
      </c>
      <c r="I28" s="168"/>
      <c r="J28" s="168"/>
      <c r="K28" s="168"/>
      <c r="L28" s="168"/>
      <c r="M28" s="168"/>
      <c r="N28" s="168"/>
      <c r="O28" s="168"/>
      <c r="P28" s="168"/>
    </row>
  </sheetData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1E4C74-C333-4416-87CE-7063756AB2DB}">
  <dimension ref="A1:P20"/>
  <sheetViews>
    <sheetView zoomScaleNormal="100" workbookViewId="0">
      <pane xSplit="6" ySplit="1" topLeftCell="H2" activePane="bottomRight" state="frozen"/>
      <selection pane="topRight"/>
      <selection pane="bottomLeft"/>
      <selection pane="bottomRight"/>
    </sheetView>
  </sheetViews>
  <sheetFormatPr defaultColWidth="9" defaultRowHeight="12"/>
  <cols>
    <col min="1" max="2" width="9" style="171"/>
    <col min="3" max="3" width="46.1640625" style="171" customWidth="1"/>
    <col min="4" max="4" width="6" style="171" customWidth="1"/>
    <col min="5" max="5" width="13" style="171" customWidth="1"/>
    <col min="6" max="6" width="13.83203125" style="171" customWidth="1"/>
    <col min="7" max="7" width="7" style="171" customWidth="1"/>
    <col min="8" max="8" width="13" style="171" customWidth="1"/>
    <col min="9" max="11" width="10.5" style="171" bestFit="1" customWidth="1"/>
    <col min="12" max="16" width="12" style="171" bestFit="1" customWidth="1"/>
    <col min="17" max="16384" width="9" style="171"/>
  </cols>
  <sheetData>
    <row r="1" spans="1:16">
      <c r="A1" s="169" t="s">
        <v>555</v>
      </c>
      <c r="B1" s="169" t="s">
        <v>555</v>
      </c>
      <c r="C1" s="204" t="s">
        <v>359</v>
      </c>
      <c r="D1" s="177" t="s">
        <v>589</v>
      </c>
      <c r="E1" s="177" t="s">
        <v>540</v>
      </c>
      <c r="F1" s="177" t="s">
        <v>588</v>
      </c>
      <c r="G1" s="172"/>
      <c r="H1" s="172" t="s">
        <v>591</v>
      </c>
      <c r="I1" s="172">
        <v>44743</v>
      </c>
      <c r="J1" s="172">
        <v>44774</v>
      </c>
      <c r="K1" s="172">
        <v>44805</v>
      </c>
      <c r="L1" s="172">
        <v>44835</v>
      </c>
      <c r="M1" s="172">
        <v>44866</v>
      </c>
      <c r="N1" s="172">
        <v>44896</v>
      </c>
      <c r="O1" s="172">
        <v>44927</v>
      </c>
      <c r="P1" s="172">
        <v>44958</v>
      </c>
    </row>
    <row r="2" spans="1:16" s="175" customFormat="1">
      <c r="A2" s="174" t="s">
        <v>602</v>
      </c>
      <c r="B2" s="174" t="s">
        <v>606</v>
      </c>
      <c r="C2" s="171" t="s">
        <v>561</v>
      </c>
      <c r="D2" s="175">
        <v>1</v>
      </c>
      <c r="E2" s="168">
        <v>3121121.6999999997</v>
      </c>
      <c r="F2" s="168">
        <f t="shared" ref="F2:F7" si="0">D2*E2</f>
        <v>3121121.6999999997</v>
      </c>
      <c r="H2" s="168">
        <v>2840221.02</v>
      </c>
      <c r="I2" s="168">
        <v>0</v>
      </c>
      <c r="J2" s="168">
        <v>0</v>
      </c>
      <c r="K2" s="168">
        <v>0</v>
      </c>
      <c r="L2" s="168">
        <v>0</v>
      </c>
      <c r="M2" s="168">
        <v>280900.98</v>
      </c>
      <c r="N2" s="168">
        <v>0</v>
      </c>
      <c r="O2" s="168">
        <v>0</v>
      </c>
      <c r="P2" s="168">
        <v>0</v>
      </c>
    </row>
    <row r="3" spans="1:16" s="175" customFormat="1">
      <c r="A3" s="174" t="s">
        <v>602</v>
      </c>
      <c r="B3" s="174" t="s">
        <v>606</v>
      </c>
      <c r="C3" s="171" t="s">
        <v>560</v>
      </c>
      <c r="D3" s="175">
        <v>1</v>
      </c>
      <c r="E3" s="168">
        <v>6789943.3199999994</v>
      </c>
      <c r="F3" s="168">
        <f t="shared" si="0"/>
        <v>6789943.3199999994</v>
      </c>
      <c r="G3" s="208"/>
      <c r="H3" s="168">
        <v>6789942.9999999953</v>
      </c>
      <c r="I3" s="168">
        <v>0</v>
      </c>
      <c r="J3" s="168">
        <v>0</v>
      </c>
      <c r="K3" s="168">
        <v>0</v>
      </c>
      <c r="L3" s="168">
        <v>0</v>
      </c>
      <c r="M3" s="168">
        <v>0</v>
      </c>
      <c r="N3" s="168">
        <v>0</v>
      </c>
      <c r="O3" s="168">
        <v>0</v>
      </c>
      <c r="P3" s="168">
        <v>0</v>
      </c>
    </row>
    <row r="4" spans="1:16" s="175" customFormat="1">
      <c r="A4" s="174" t="s">
        <v>601</v>
      </c>
      <c r="B4" s="174" t="s">
        <v>606</v>
      </c>
      <c r="C4" s="171" t="s">
        <v>553</v>
      </c>
      <c r="D4" s="175">
        <v>1</v>
      </c>
      <c r="E4" s="168">
        <v>25064129.73</v>
      </c>
      <c r="F4" s="168">
        <f t="shared" si="0"/>
        <v>25064129.73</v>
      </c>
      <c r="G4" s="209"/>
      <c r="H4" s="168">
        <v>18484653.034123488</v>
      </c>
      <c r="I4" s="168">
        <v>0</v>
      </c>
      <c r="J4" s="168">
        <v>0</v>
      </c>
      <c r="K4" s="168">
        <v>1030168.46043999</v>
      </c>
      <c r="L4" s="168">
        <v>1530168.46043999</v>
      </c>
      <c r="M4" s="168">
        <v>1590505.38132002</v>
      </c>
      <c r="N4" s="168">
        <v>0</v>
      </c>
      <c r="O4" s="168">
        <v>0</v>
      </c>
      <c r="P4" s="168">
        <v>0</v>
      </c>
    </row>
    <row r="5" spans="1:16" s="175" customFormat="1">
      <c r="A5" s="174" t="s">
        <v>601</v>
      </c>
      <c r="B5" s="174" t="s">
        <v>606</v>
      </c>
      <c r="C5" s="171" t="s">
        <v>556</v>
      </c>
      <c r="D5" s="175">
        <v>1</v>
      </c>
      <c r="E5" s="168">
        <v>75852138.569999993</v>
      </c>
      <c r="F5" s="168">
        <f t="shared" si="0"/>
        <v>75852138.569999993</v>
      </c>
      <c r="G5" s="208"/>
      <c r="H5" s="168">
        <v>72449957.779040515</v>
      </c>
      <c r="I5" s="168">
        <v>0</v>
      </c>
      <c r="J5" s="168">
        <v>0</v>
      </c>
      <c r="K5" s="168">
        <v>4093261.8480000002</v>
      </c>
      <c r="L5" s="168">
        <v>5093261.8480000002</v>
      </c>
      <c r="M5" s="168">
        <v>5093261.8480000002</v>
      </c>
      <c r="N5" s="168">
        <v>5093261.8480000002</v>
      </c>
      <c r="O5" s="168">
        <v>9093261.84799999</v>
      </c>
      <c r="P5" s="168">
        <v>0</v>
      </c>
    </row>
    <row r="6" spans="1:16" s="175" customFormat="1">
      <c r="A6" s="174" t="s">
        <v>598</v>
      </c>
      <c r="B6" s="174" t="s">
        <v>606</v>
      </c>
      <c r="C6" s="171" t="s">
        <v>551</v>
      </c>
      <c r="D6" s="175">
        <v>1</v>
      </c>
      <c r="E6" s="168">
        <v>117586244.03999999</v>
      </c>
      <c r="F6" s="168">
        <f t="shared" si="0"/>
        <v>117586244.03999999</v>
      </c>
      <c r="H6" s="168">
        <v>112189144</v>
      </c>
      <c r="I6" s="168">
        <v>0</v>
      </c>
      <c r="J6" s="168">
        <v>0</v>
      </c>
      <c r="K6" s="168">
        <v>880420.20000001485</v>
      </c>
      <c r="L6" s="168">
        <v>0</v>
      </c>
      <c r="M6" s="168">
        <v>1980420.20000001</v>
      </c>
      <c r="N6" s="168">
        <v>0</v>
      </c>
      <c r="O6" s="168">
        <v>1541260.6000000499</v>
      </c>
      <c r="P6" s="168">
        <v>0</v>
      </c>
    </row>
    <row r="7" spans="1:16" s="175" customFormat="1">
      <c r="A7" s="174" t="s">
        <v>597</v>
      </c>
      <c r="B7" s="174" t="s">
        <v>606</v>
      </c>
      <c r="C7" s="171" t="s">
        <v>549</v>
      </c>
      <c r="D7" s="175">
        <v>1</v>
      </c>
      <c r="E7" s="168">
        <v>101955256.64</v>
      </c>
      <c r="F7" s="168">
        <f t="shared" si="0"/>
        <v>101955256.64</v>
      </c>
      <c r="G7" s="208"/>
      <c r="H7" s="168">
        <f>89674276+6444227.8</f>
        <v>96118503.799999997</v>
      </c>
      <c r="I7" s="168">
        <v>0</v>
      </c>
      <c r="J7" s="168">
        <v>0</v>
      </c>
      <c r="K7" s="168">
        <v>1508267.8396000087</v>
      </c>
      <c r="L7" s="168">
        <v>0</v>
      </c>
      <c r="M7" s="168">
        <v>4508267.8396000098</v>
      </c>
      <c r="N7" s="168">
        <v>0</v>
      </c>
      <c r="O7" s="168">
        <v>1524803.51880002</v>
      </c>
      <c r="P7" s="168">
        <v>0</v>
      </c>
    </row>
    <row r="8" spans="1:16" s="175" customFormat="1" ht="12.75" thickBot="1">
      <c r="A8" s="174"/>
      <c r="B8" s="174"/>
      <c r="C8" s="171"/>
      <c r="E8" s="206" t="s">
        <v>54</v>
      </c>
      <c r="F8" s="176">
        <f>SUM(F2:F7)</f>
        <v>330368834</v>
      </c>
      <c r="H8" s="176">
        <f t="shared" ref="H8:M8" si="1">SUM(H2:H7)</f>
        <v>308872422.63316399</v>
      </c>
      <c r="I8" s="176">
        <f t="shared" si="1"/>
        <v>0</v>
      </c>
      <c r="J8" s="176">
        <f t="shared" si="1"/>
        <v>0</v>
      </c>
      <c r="K8" s="176">
        <f t="shared" si="1"/>
        <v>7512118.3480400145</v>
      </c>
      <c r="L8" s="176">
        <f t="shared" si="1"/>
        <v>6623430.3084399905</v>
      </c>
      <c r="M8" s="176">
        <f t="shared" si="1"/>
        <v>13453356.24892004</v>
      </c>
      <c r="N8" s="176">
        <f>SUM(N2:N7)</f>
        <v>5093261.8480000002</v>
      </c>
      <c r="O8" s="176">
        <f>SUM(O2:O7)</f>
        <v>12159325.96680006</v>
      </c>
      <c r="P8" s="176">
        <f>SUM(P2:P7)</f>
        <v>0</v>
      </c>
    </row>
    <row r="9" spans="1:16" s="175" customFormat="1" ht="12.75" thickTop="1">
      <c r="A9" s="174"/>
      <c r="B9" s="174"/>
      <c r="C9" s="171"/>
      <c r="E9" s="206"/>
      <c r="F9" s="207"/>
      <c r="H9" s="168"/>
      <c r="I9" s="168"/>
      <c r="J9" s="168"/>
      <c r="K9" s="168"/>
      <c r="L9" s="168"/>
      <c r="M9" s="168"/>
      <c r="N9" s="168"/>
      <c r="O9" s="168"/>
      <c r="P9" s="168"/>
    </row>
    <row r="10" spans="1:16">
      <c r="A10" s="169" t="s">
        <v>555</v>
      </c>
      <c r="B10" s="169" t="s">
        <v>555</v>
      </c>
      <c r="C10" s="204" t="s">
        <v>368</v>
      </c>
      <c r="D10" s="177" t="s">
        <v>589</v>
      </c>
      <c r="E10" s="203" t="s">
        <v>540</v>
      </c>
      <c r="F10" s="203" t="s">
        <v>588</v>
      </c>
      <c r="G10" s="172"/>
      <c r="H10" s="172" t="str">
        <f t="shared" ref="H10:M10" si="2">H1</f>
        <v>Current</v>
      </c>
      <c r="I10" s="172">
        <f t="shared" si="2"/>
        <v>44743</v>
      </c>
      <c r="J10" s="172">
        <f t="shared" si="2"/>
        <v>44774</v>
      </c>
      <c r="K10" s="172">
        <f t="shared" si="2"/>
        <v>44805</v>
      </c>
      <c r="L10" s="172">
        <f t="shared" si="2"/>
        <v>44835</v>
      </c>
      <c r="M10" s="172">
        <f t="shared" si="2"/>
        <v>44866</v>
      </c>
      <c r="N10" s="172">
        <f>N1</f>
        <v>44896</v>
      </c>
      <c r="O10" s="172">
        <f>O1</f>
        <v>44927</v>
      </c>
      <c r="P10" s="172">
        <f>P1</f>
        <v>44958</v>
      </c>
    </row>
    <row r="11" spans="1:16" s="175" customFormat="1">
      <c r="A11" s="174" t="s">
        <v>602</v>
      </c>
      <c r="B11" s="174" t="s">
        <v>603</v>
      </c>
      <c r="C11" s="171" t="s">
        <v>561</v>
      </c>
      <c r="D11" s="175">
        <v>1</v>
      </c>
      <c r="E11" s="168">
        <v>4234139.8608105937</v>
      </c>
      <c r="F11" s="168">
        <f t="shared" ref="F11:F16" si="3">D11*E11</f>
        <v>4234139.8608105937</v>
      </c>
      <c r="H11" s="168">
        <f t="shared" ref="H11:H16" si="4">H2</f>
        <v>2840221.02</v>
      </c>
      <c r="I11" s="168">
        <f t="shared" ref="I11:J16" si="5">(I2)*1.33</f>
        <v>0</v>
      </c>
      <c r="J11" s="168">
        <f t="shared" si="5"/>
        <v>0</v>
      </c>
      <c r="K11" s="168">
        <v>0</v>
      </c>
      <c r="L11" s="168">
        <f t="shared" ref="L11:P16" si="6">(K2*1.25)*1.33</f>
        <v>0</v>
      </c>
      <c r="M11" s="168">
        <f t="shared" si="6"/>
        <v>0</v>
      </c>
      <c r="N11" s="168">
        <f t="shared" si="6"/>
        <v>466997.87925</v>
      </c>
      <c r="O11" s="168">
        <f t="shared" si="6"/>
        <v>0</v>
      </c>
      <c r="P11" s="168">
        <f t="shared" si="6"/>
        <v>0</v>
      </c>
    </row>
    <row r="12" spans="1:16" s="175" customFormat="1">
      <c r="A12" s="174" t="s">
        <v>601</v>
      </c>
      <c r="B12" s="174" t="s">
        <v>603</v>
      </c>
      <c r="C12" s="171" t="s">
        <v>560</v>
      </c>
      <c r="D12" s="175">
        <v>1</v>
      </c>
      <c r="E12" s="168">
        <v>9211669.8113938048</v>
      </c>
      <c r="F12" s="168">
        <f t="shared" si="3"/>
        <v>9211669.8113938048</v>
      </c>
      <c r="H12" s="168">
        <f t="shared" si="4"/>
        <v>6789942.9999999953</v>
      </c>
      <c r="I12" s="168">
        <f t="shared" si="5"/>
        <v>0</v>
      </c>
      <c r="J12" s="168">
        <f t="shared" si="5"/>
        <v>0</v>
      </c>
      <c r="K12" s="168">
        <v>0</v>
      </c>
      <c r="L12" s="168">
        <f t="shared" si="6"/>
        <v>0</v>
      </c>
      <c r="M12" s="168">
        <f t="shared" si="6"/>
        <v>0</v>
      </c>
      <c r="N12" s="168">
        <f t="shared" si="6"/>
        <v>0</v>
      </c>
      <c r="O12" s="168">
        <f t="shared" si="6"/>
        <v>0</v>
      </c>
      <c r="P12" s="168">
        <f t="shared" si="6"/>
        <v>0</v>
      </c>
    </row>
    <row r="13" spans="1:16" s="175" customFormat="1">
      <c r="A13" s="174" t="s">
        <v>598</v>
      </c>
      <c r="B13" s="174" t="s">
        <v>603</v>
      </c>
      <c r="C13" s="171" t="s">
        <v>553</v>
      </c>
      <c r="D13" s="175">
        <v>1</v>
      </c>
      <c r="E13" s="168">
        <v>33997718.323481195</v>
      </c>
      <c r="F13" s="168">
        <f t="shared" si="3"/>
        <v>33997718.323481195</v>
      </c>
      <c r="H13" s="168">
        <f t="shared" si="4"/>
        <v>18484653.034123488</v>
      </c>
      <c r="I13" s="168">
        <f t="shared" si="5"/>
        <v>0</v>
      </c>
      <c r="J13" s="168">
        <f t="shared" si="5"/>
        <v>0</v>
      </c>
      <c r="K13" s="168">
        <v>0</v>
      </c>
      <c r="L13" s="168">
        <f t="shared" si="6"/>
        <v>1712655.0654814837</v>
      </c>
      <c r="M13" s="168">
        <f t="shared" si="6"/>
        <v>2543905.0654814835</v>
      </c>
      <c r="N13" s="168">
        <f t="shared" si="6"/>
        <v>2644215.1964445333</v>
      </c>
      <c r="O13" s="168">
        <f t="shared" si="6"/>
        <v>0</v>
      </c>
      <c r="P13" s="168">
        <f t="shared" si="6"/>
        <v>0</v>
      </c>
    </row>
    <row r="14" spans="1:16" s="175" customFormat="1">
      <c r="A14" s="174" t="s">
        <v>597</v>
      </c>
      <c r="B14" s="174" t="s">
        <v>603</v>
      </c>
      <c r="C14" s="171" t="s">
        <v>556</v>
      </c>
      <c r="D14" s="175">
        <v>1</v>
      </c>
      <c r="E14" s="168">
        <f>102906137.176061-25000000</f>
        <v>77906137.176061004</v>
      </c>
      <c r="F14" s="168">
        <f t="shared" si="3"/>
        <v>77906137.176061004</v>
      </c>
      <c r="H14" s="168">
        <f t="shared" si="4"/>
        <v>72449957.779040515</v>
      </c>
      <c r="I14" s="168">
        <f t="shared" si="5"/>
        <v>0</v>
      </c>
      <c r="J14" s="168">
        <f t="shared" si="5"/>
        <v>0</v>
      </c>
      <c r="K14" s="168">
        <v>0</v>
      </c>
      <c r="L14" s="168">
        <f t="shared" si="6"/>
        <v>6805047.822300001</v>
      </c>
      <c r="M14" s="168">
        <f t="shared" si="6"/>
        <v>8467547.822300002</v>
      </c>
      <c r="N14" s="168">
        <f t="shared" si="6"/>
        <v>8467547.822300002</v>
      </c>
      <c r="O14" s="168">
        <f t="shared" si="6"/>
        <v>8467547.822300002</v>
      </c>
      <c r="P14" s="168">
        <f t="shared" si="6"/>
        <v>15117547.822299983</v>
      </c>
    </row>
    <row r="15" spans="1:16" s="175" customFormat="1">
      <c r="A15" s="174" t="s">
        <v>602</v>
      </c>
      <c r="B15" s="174" t="s">
        <v>603</v>
      </c>
      <c r="C15" s="171" t="s">
        <v>551</v>
      </c>
      <c r="D15" s="175">
        <v>1</v>
      </c>
      <c r="E15" s="168">
        <f>159524992.096466+6500000</f>
        <v>166024992.096466</v>
      </c>
      <c r="F15" s="168">
        <f t="shared" si="3"/>
        <v>166024992.096466</v>
      </c>
      <c r="H15" s="168">
        <f t="shared" si="4"/>
        <v>112189144</v>
      </c>
      <c r="I15" s="168">
        <f t="shared" si="5"/>
        <v>0</v>
      </c>
      <c r="J15" s="168">
        <f t="shared" si="5"/>
        <v>0</v>
      </c>
      <c r="K15" s="168">
        <v>0</v>
      </c>
      <c r="L15" s="168">
        <f t="shared" si="6"/>
        <v>1463698.5825000249</v>
      </c>
      <c r="M15" s="168">
        <f t="shared" si="6"/>
        <v>0</v>
      </c>
      <c r="N15" s="168">
        <f t="shared" si="6"/>
        <v>3292448.5825000168</v>
      </c>
      <c r="O15" s="168">
        <f t="shared" si="6"/>
        <v>0</v>
      </c>
      <c r="P15" s="168">
        <f t="shared" si="6"/>
        <v>2562345.7475000829</v>
      </c>
    </row>
    <row r="16" spans="1:16" s="175" customFormat="1">
      <c r="A16" s="174" t="s">
        <v>601</v>
      </c>
      <c r="B16" s="174" t="s">
        <v>603</v>
      </c>
      <c r="C16" s="171" t="s">
        <v>549</v>
      </c>
      <c r="D16" s="175">
        <v>1</v>
      </c>
      <c r="E16" s="168">
        <v>138318998.47193363</v>
      </c>
      <c r="F16" s="168">
        <f t="shared" si="3"/>
        <v>138318998.47193363</v>
      </c>
      <c r="H16" s="168">
        <f t="shared" si="4"/>
        <v>96118503.799999997</v>
      </c>
      <c r="I16" s="168">
        <f t="shared" si="5"/>
        <v>0</v>
      </c>
      <c r="J16" s="168">
        <f t="shared" si="5"/>
        <v>0</v>
      </c>
      <c r="K16" s="168">
        <v>0</v>
      </c>
      <c r="L16" s="168">
        <f t="shared" si="6"/>
        <v>2507495.2833350147</v>
      </c>
      <c r="M16" s="168">
        <f t="shared" si="6"/>
        <v>0</v>
      </c>
      <c r="N16" s="168">
        <f t="shared" si="6"/>
        <v>7494995.283335017</v>
      </c>
      <c r="O16" s="168">
        <f t="shared" si="6"/>
        <v>0</v>
      </c>
      <c r="P16" s="168">
        <f t="shared" si="6"/>
        <v>2534985.8500050334</v>
      </c>
    </row>
    <row r="17" spans="1:16" s="175" customFormat="1" ht="12.75" thickBot="1">
      <c r="A17" s="174"/>
      <c r="B17" s="174"/>
      <c r="C17" s="171"/>
      <c r="E17" s="206" t="s">
        <v>54</v>
      </c>
      <c r="F17" s="176">
        <f>SUM(F11:F16)</f>
        <v>429693655.74014628</v>
      </c>
      <c r="H17" s="176">
        <f t="shared" ref="H17:M17" si="7">SUM(H11:H16)</f>
        <v>308872422.63316399</v>
      </c>
      <c r="I17" s="176">
        <f t="shared" si="7"/>
        <v>0</v>
      </c>
      <c r="J17" s="176">
        <f t="shared" si="7"/>
        <v>0</v>
      </c>
      <c r="K17" s="176">
        <f t="shared" si="7"/>
        <v>0</v>
      </c>
      <c r="L17" s="176">
        <f t="shared" si="7"/>
        <v>12488896.753616525</v>
      </c>
      <c r="M17" s="176">
        <f t="shared" si="7"/>
        <v>11011452.887781486</v>
      </c>
      <c r="N17" s="176">
        <f>SUM(N11:N16)</f>
        <v>22366204.763829567</v>
      </c>
      <c r="O17" s="176">
        <f>SUM(O11:O16)</f>
        <v>8467547.822300002</v>
      </c>
      <c r="P17" s="176">
        <f>SUM(P11:P16)</f>
        <v>20214879.419805102</v>
      </c>
    </row>
    <row r="18" spans="1:16" s="175" customFormat="1" ht="12.75" thickTop="1">
      <c r="A18" s="174"/>
      <c r="B18" s="174"/>
      <c r="C18" s="171"/>
      <c r="E18" s="168"/>
      <c r="F18" s="168">
        <f>F8-F17</f>
        <v>-99324821.740146279</v>
      </c>
    </row>
    <row r="19" spans="1:16" s="175" customFormat="1">
      <c r="A19" s="174"/>
      <c r="B19" s="174"/>
      <c r="C19" s="171"/>
    </row>
    <row r="20" spans="1:16" s="175" customFormat="1">
      <c r="A20" s="174"/>
      <c r="B20" s="174"/>
      <c r="C20" s="171"/>
      <c r="F20" s="175">
        <v>424.49045279450183</v>
      </c>
    </row>
  </sheetData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B6ECA-8A98-497E-8FBC-7250B00F6BE5}">
  <dimension ref="A1:AH9"/>
  <sheetViews>
    <sheetView zoomScaleNormal="100" workbookViewId="0">
      <pane ySplit="1" topLeftCell="A2" activePane="bottomLeft" state="frozen"/>
      <selection pane="bottomLeft"/>
    </sheetView>
  </sheetViews>
  <sheetFormatPr defaultRowHeight="12"/>
  <cols>
    <col min="1" max="1" width="22.5" style="210" bestFit="1" customWidth="1"/>
    <col min="2" max="2" width="28.5" style="210" bestFit="1" customWidth="1"/>
    <col min="3" max="3" width="4.6640625" style="210" bestFit="1" customWidth="1"/>
    <col min="4" max="4" width="12" style="210" bestFit="1" customWidth="1"/>
    <col min="5" max="5" width="10.5" style="210" bestFit="1" customWidth="1"/>
    <col min="6" max="6" width="12" style="210" bestFit="1" customWidth="1"/>
    <col min="7" max="7" width="8" style="211" bestFit="1" customWidth="1"/>
    <col min="8" max="11" width="8" style="210" bestFit="1" customWidth="1"/>
    <col min="12" max="12" width="6.5" style="210" bestFit="1" customWidth="1"/>
    <col min="13" max="13" width="8" style="210" bestFit="1" customWidth="1"/>
    <col min="14" max="14" width="7.1640625" style="210" bestFit="1" customWidth="1"/>
    <col min="15" max="15" width="8" style="210" bestFit="1" customWidth="1"/>
    <col min="16" max="16" width="7.5" style="210" bestFit="1" customWidth="1"/>
    <col min="17" max="17" width="8" style="210" bestFit="1" customWidth="1"/>
    <col min="18" max="18" width="6" style="210" bestFit="1" customWidth="1"/>
    <col min="19" max="19" width="7" style="210" bestFit="1" customWidth="1"/>
    <col min="20" max="20" width="6.83203125" style="210" bestFit="1" customWidth="1"/>
    <col min="21" max="21" width="12" style="211" bestFit="1" customWidth="1"/>
    <col min="22" max="25" width="12" style="210" bestFit="1" customWidth="1"/>
    <col min="26" max="26" width="6.5" style="210" bestFit="1" customWidth="1"/>
    <col min="27" max="27" width="12" style="210" bestFit="1" customWidth="1"/>
    <col min="28" max="28" width="7.1640625" style="210" bestFit="1" customWidth="1"/>
    <col min="29" max="29" width="10.5" style="210" bestFit="1" customWidth="1"/>
    <col min="30" max="30" width="7.5" style="210" bestFit="1" customWidth="1"/>
    <col min="31" max="31" width="10.5" style="210" bestFit="1" customWidth="1"/>
    <col min="32" max="32" width="6" style="210" bestFit="1" customWidth="1"/>
    <col min="33" max="33" width="7" style="210" bestFit="1" customWidth="1"/>
    <col min="34" max="34" width="6.83203125" style="210" bestFit="1" customWidth="1"/>
    <col min="35" max="16384" width="9.33203125" style="210"/>
  </cols>
  <sheetData>
    <row r="1" spans="1:34">
      <c r="A1" s="218" t="s">
        <v>617</v>
      </c>
      <c r="B1" s="218" t="s">
        <v>616</v>
      </c>
      <c r="C1" s="218" t="s">
        <v>218</v>
      </c>
      <c r="D1" s="218" t="s">
        <v>615</v>
      </c>
      <c r="E1" s="218" t="s">
        <v>614</v>
      </c>
      <c r="F1" s="218" t="s">
        <v>548</v>
      </c>
      <c r="G1" s="217">
        <v>44795</v>
      </c>
      <c r="H1" s="216">
        <v>44826</v>
      </c>
      <c r="I1" s="216">
        <v>44856</v>
      </c>
      <c r="J1" s="216">
        <v>44887</v>
      </c>
      <c r="K1" s="216">
        <v>44917</v>
      </c>
      <c r="L1" s="216">
        <v>44948</v>
      </c>
      <c r="M1" s="216">
        <v>44979</v>
      </c>
      <c r="N1" s="216">
        <v>45007</v>
      </c>
      <c r="O1" s="216">
        <v>45038</v>
      </c>
      <c r="P1" s="216">
        <v>45068</v>
      </c>
      <c r="Q1" s="216">
        <v>45099</v>
      </c>
      <c r="R1" s="216">
        <v>45129</v>
      </c>
      <c r="S1" s="216">
        <v>45160</v>
      </c>
      <c r="T1" s="216">
        <v>45191</v>
      </c>
      <c r="U1" s="217">
        <v>44795</v>
      </c>
      <c r="V1" s="216">
        <v>44826</v>
      </c>
      <c r="W1" s="216">
        <v>44856</v>
      </c>
      <c r="X1" s="216">
        <v>44887</v>
      </c>
      <c r="Y1" s="216">
        <v>44917</v>
      </c>
      <c r="Z1" s="216">
        <v>44948</v>
      </c>
      <c r="AA1" s="216">
        <v>44979</v>
      </c>
      <c r="AB1" s="216">
        <v>45007</v>
      </c>
      <c r="AC1" s="216">
        <v>45038</v>
      </c>
      <c r="AD1" s="216">
        <v>45068</v>
      </c>
      <c r="AE1" s="216">
        <v>45099</v>
      </c>
      <c r="AF1" s="216">
        <v>45129</v>
      </c>
      <c r="AG1" s="216">
        <v>45160</v>
      </c>
      <c r="AH1" s="216">
        <v>45191</v>
      </c>
    </row>
    <row r="2" spans="1:34">
      <c r="A2" s="215" t="s">
        <v>613</v>
      </c>
      <c r="B2" s="215">
        <v>110</v>
      </c>
      <c r="C2" s="215" t="s">
        <v>610</v>
      </c>
      <c r="D2" s="214">
        <v>150000</v>
      </c>
      <c r="E2" s="214">
        <v>268.45999999999998</v>
      </c>
      <c r="F2" s="212">
        <f t="shared" ref="F2:F9" si="0">D2*E2</f>
        <v>40269000</v>
      </c>
      <c r="G2" s="213">
        <v>0</v>
      </c>
      <c r="H2" s="212">
        <v>20000</v>
      </c>
      <c r="I2" s="212">
        <v>20000</v>
      </c>
      <c r="J2" s="212">
        <v>0</v>
      </c>
      <c r="K2" s="212">
        <v>30000</v>
      </c>
      <c r="L2" s="212">
        <v>0</v>
      </c>
      <c r="M2" s="212">
        <v>30000</v>
      </c>
      <c r="N2" s="212">
        <v>0</v>
      </c>
      <c r="O2" s="212">
        <v>30000</v>
      </c>
      <c r="P2" s="212">
        <v>0</v>
      </c>
      <c r="Q2" s="212">
        <v>20000</v>
      </c>
      <c r="R2" s="212">
        <v>0</v>
      </c>
      <c r="S2" s="212">
        <v>0</v>
      </c>
      <c r="T2" s="212">
        <v>0</v>
      </c>
      <c r="U2" s="213">
        <f t="shared" ref="U2:AH9" si="1">G2*$E2</f>
        <v>0</v>
      </c>
      <c r="V2" s="212">
        <f t="shared" si="1"/>
        <v>5369200</v>
      </c>
      <c r="W2" s="212">
        <f t="shared" si="1"/>
        <v>5369200</v>
      </c>
      <c r="X2" s="212">
        <f t="shared" si="1"/>
        <v>0</v>
      </c>
      <c r="Y2" s="212">
        <f t="shared" si="1"/>
        <v>8053799.9999999991</v>
      </c>
      <c r="Z2" s="212">
        <f t="shared" si="1"/>
        <v>0</v>
      </c>
      <c r="AA2" s="212">
        <f t="shared" si="1"/>
        <v>8053799.9999999991</v>
      </c>
      <c r="AB2" s="212">
        <f t="shared" si="1"/>
        <v>0</v>
      </c>
      <c r="AC2" s="212">
        <f t="shared" si="1"/>
        <v>8053799.9999999991</v>
      </c>
      <c r="AD2" s="212">
        <f t="shared" si="1"/>
        <v>0</v>
      </c>
      <c r="AE2" s="212">
        <f t="shared" si="1"/>
        <v>5369200</v>
      </c>
      <c r="AF2" s="212">
        <f t="shared" si="1"/>
        <v>0</v>
      </c>
      <c r="AG2" s="212">
        <f t="shared" si="1"/>
        <v>0</v>
      </c>
      <c r="AH2" s="212">
        <f t="shared" si="1"/>
        <v>0</v>
      </c>
    </row>
    <row r="3" spans="1:34">
      <c r="A3" s="215" t="s">
        <v>613</v>
      </c>
      <c r="B3" s="215">
        <v>160</v>
      </c>
      <c r="C3" s="215" t="s">
        <v>610</v>
      </c>
      <c r="D3" s="214">
        <v>11000</v>
      </c>
      <c r="E3" s="214">
        <v>543.85</v>
      </c>
      <c r="F3" s="212">
        <f t="shared" si="0"/>
        <v>5982350</v>
      </c>
      <c r="G3" s="213">
        <v>0</v>
      </c>
      <c r="H3" s="212">
        <v>5500</v>
      </c>
      <c r="I3" s="212">
        <v>0</v>
      </c>
      <c r="J3" s="212">
        <v>0</v>
      </c>
      <c r="K3" s="212">
        <v>0</v>
      </c>
      <c r="L3" s="212">
        <v>0</v>
      </c>
      <c r="M3" s="212">
        <v>5500</v>
      </c>
      <c r="N3" s="212">
        <v>0</v>
      </c>
      <c r="O3" s="212">
        <v>0</v>
      </c>
      <c r="P3" s="212">
        <v>0</v>
      </c>
      <c r="Q3" s="212">
        <v>0</v>
      </c>
      <c r="R3" s="212">
        <v>0</v>
      </c>
      <c r="S3" s="212">
        <v>0</v>
      </c>
      <c r="T3" s="212">
        <v>0</v>
      </c>
      <c r="U3" s="213">
        <f t="shared" si="1"/>
        <v>0</v>
      </c>
      <c r="V3" s="212">
        <f t="shared" si="1"/>
        <v>2991175</v>
      </c>
      <c r="W3" s="212">
        <f t="shared" si="1"/>
        <v>0</v>
      </c>
      <c r="X3" s="212">
        <f t="shared" si="1"/>
        <v>0</v>
      </c>
      <c r="Y3" s="212">
        <f t="shared" si="1"/>
        <v>0</v>
      </c>
      <c r="Z3" s="212">
        <f t="shared" si="1"/>
        <v>0</v>
      </c>
      <c r="AA3" s="212">
        <f t="shared" si="1"/>
        <v>2991175</v>
      </c>
      <c r="AB3" s="212">
        <f t="shared" si="1"/>
        <v>0</v>
      </c>
      <c r="AC3" s="212">
        <f t="shared" si="1"/>
        <v>0</v>
      </c>
      <c r="AD3" s="212">
        <f t="shared" si="1"/>
        <v>0</v>
      </c>
      <c r="AE3" s="212">
        <f t="shared" si="1"/>
        <v>0</v>
      </c>
      <c r="AF3" s="212">
        <f t="shared" si="1"/>
        <v>0</v>
      </c>
      <c r="AG3" s="212">
        <f t="shared" si="1"/>
        <v>0</v>
      </c>
      <c r="AH3" s="212">
        <f t="shared" si="1"/>
        <v>0</v>
      </c>
    </row>
    <row r="4" spans="1:34">
      <c r="A4" s="215" t="s">
        <v>612</v>
      </c>
      <c r="B4" s="215">
        <v>400</v>
      </c>
      <c r="C4" s="215" t="s">
        <v>610</v>
      </c>
      <c r="D4" s="214">
        <v>2281.8508418863994</v>
      </c>
      <c r="E4" s="214">
        <v>2635</v>
      </c>
      <c r="F4" s="212">
        <f t="shared" si="0"/>
        <v>6012676.9683706621</v>
      </c>
      <c r="G4" s="213">
        <v>0</v>
      </c>
      <c r="H4" s="212">
        <v>500</v>
      </c>
      <c r="I4" s="212">
        <v>0</v>
      </c>
      <c r="J4" s="212">
        <v>500</v>
      </c>
      <c r="K4" s="212">
        <v>500</v>
      </c>
      <c r="L4" s="212">
        <v>0</v>
      </c>
      <c r="M4" s="212">
        <f>(D4-H4-J4-K4)*1</f>
        <v>781.85084188639939</v>
      </c>
      <c r="N4" s="212">
        <v>0</v>
      </c>
      <c r="O4" s="212">
        <v>0</v>
      </c>
      <c r="P4" s="212">
        <v>0</v>
      </c>
      <c r="Q4" s="212">
        <v>0</v>
      </c>
      <c r="R4" s="212">
        <v>0</v>
      </c>
      <c r="S4" s="212">
        <v>0</v>
      </c>
      <c r="T4" s="212">
        <v>0</v>
      </c>
      <c r="U4" s="213">
        <f t="shared" si="1"/>
        <v>0</v>
      </c>
      <c r="V4" s="212">
        <f t="shared" si="1"/>
        <v>1317500</v>
      </c>
      <c r="W4" s="212">
        <f t="shared" si="1"/>
        <v>0</v>
      </c>
      <c r="X4" s="212">
        <f t="shared" si="1"/>
        <v>1317500</v>
      </c>
      <c r="Y4" s="212">
        <f t="shared" si="1"/>
        <v>1317500</v>
      </c>
      <c r="Z4" s="212">
        <f t="shared" si="1"/>
        <v>0</v>
      </c>
      <c r="AA4" s="212">
        <f t="shared" si="1"/>
        <v>2060176.9683706623</v>
      </c>
      <c r="AB4" s="212">
        <f t="shared" si="1"/>
        <v>0</v>
      </c>
      <c r="AC4" s="212">
        <f t="shared" si="1"/>
        <v>0</v>
      </c>
      <c r="AD4" s="212">
        <f t="shared" si="1"/>
        <v>0</v>
      </c>
      <c r="AE4" s="212">
        <f t="shared" si="1"/>
        <v>0</v>
      </c>
      <c r="AF4" s="212">
        <f t="shared" si="1"/>
        <v>0</v>
      </c>
      <c r="AG4" s="212">
        <f t="shared" si="1"/>
        <v>0</v>
      </c>
      <c r="AH4" s="212">
        <f t="shared" si="1"/>
        <v>0</v>
      </c>
    </row>
    <row r="5" spans="1:34">
      <c r="A5" s="215" t="s">
        <v>612</v>
      </c>
      <c r="B5" s="215">
        <v>900</v>
      </c>
      <c r="C5" s="215" t="s">
        <v>610</v>
      </c>
      <c r="D5" s="214">
        <v>1850</v>
      </c>
      <c r="E5" s="214">
        <v>8939.44</v>
      </c>
      <c r="F5" s="212">
        <f t="shared" si="0"/>
        <v>16537964.000000002</v>
      </c>
      <c r="G5" s="213">
        <v>0</v>
      </c>
      <c r="H5" s="212">
        <v>0</v>
      </c>
      <c r="I5" s="212">
        <f>(D5)*1</f>
        <v>1850</v>
      </c>
      <c r="J5" s="212">
        <v>0</v>
      </c>
      <c r="K5" s="212">
        <v>0</v>
      </c>
      <c r="L5" s="212">
        <v>0</v>
      </c>
      <c r="M5" s="212">
        <v>0</v>
      </c>
      <c r="N5" s="212">
        <v>0</v>
      </c>
      <c r="O5" s="212">
        <v>0</v>
      </c>
      <c r="P5" s="212">
        <v>0</v>
      </c>
      <c r="Q5" s="212">
        <v>0</v>
      </c>
      <c r="R5" s="212">
        <v>0</v>
      </c>
      <c r="S5" s="212">
        <v>0</v>
      </c>
      <c r="T5" s="212">
        <v>0</v>
      </c>
      <c r="U5" s="213">
        <f t="shared" si="1"/>
        <v>0</v>
      </c>
      <c r="V5" s="212">
        <f t="shared" si="1"/>
        <v>0</v>
      </c>
      <c r="W5" s="212">
        <f t="shared" si="1"/>
        <v>16537964.000000002</v>
      </c>
      <c r="X5" s="212">
        <f t="shared" si="1"/>
        <v>0</v>
      </c>
      <c r="Y5" s="212">
        <f t="shared" si="1"/>
        <v>0</v>
      </c>
      <c r="Z5" s="212">
        <f t="shared" si="1"/>
        <v>0</v>
      </c>
      <c r="AA5" s="212">
        <f t="shared" si="1"/>
        <v>0</v>
      </c>
      <c r="AB5" s="212">
        <f t="shared" si="1"/>
        <v>0</v>
      </c>
      <c r="AC5" s="212">
        <f t="shared" si="1"/>
        <v>0</v>
      </c>
      <c r="AD5" s="212">
        <f t="shared" si="1"/>
        <v>0</v>
      </c>
      <c r="AE5" s="212">
        <f t="shared" si="1"/>
        <v>0</v>
      </c>
      <c r="AF5" s="212">
        <f t="shared" si="1"/>
        <v>0</v>
      </c>
      <c r="AG5" s="212">
        <f t="shared" si="1"/>
        <v>0</v>
      </c>
      <c r="AH5" s="212">
        <f t="shared" si="1"/>
        <v>0</v>
      </c>
    </row>
    <row r="6" spans="1:34">
      <c r="A6" s="215" t="s">
        <v>612</v>
      </c>
      <c r="B6" s="215">
        <v>1000</v>
      </c>
      <c r="C6" s="215" t="s">
        <v>610</v>
      </c>
      <c r="D6" s="214">
        <v>8332</v>
      </c>
      <c r="E6" s="214">
        <v>10083.59</v>
      </c>
      <c r="F6" s="212">
        <f t="shared" si="0"/>
        <v>84016471.879999995</v>
      </c>
      <c r="G6" s="213">
        <v>0</v>
      </c>
      <c r="H6" s="212">
        <f>(3000)*1</f>
        <v>3000</v>
      </c>
      <c r="I6" s="212">
        <v>3000</v>
      </c>
      <c r="J6" s="212">
        <f>(D6-H6-I6)*1</f>
        <v>2332</v>
      </c>
      <c r="K6" s="212">
        <v>0</v>
      </c>
      <c r="L6" s="212">
        <v>0</v>
      </c>
      <c r="M6" s="212">
        <v>0</v>
      </c>
      <c r="N6" s="212">
        <v>0</v>
      </c>
      <c r="O6" s="212">
        <v>0</v>
      </c>
      <c r="P6" s="212">
        <v>0</v>
      </c>
      <c r="Q6" s="212">
        <v>0</v>
      </c>
      <c r="R6" s="212">
        <v>0</v>
      </c>
      <c r="S6" s="212">
        <v>0</v>
      </c>
      <c r="T6" s="212">
        <v>0</v>
      </c>
      <c r="U6" s="213">
        <f t="shared" si="1"/>
        <v>0</v>
      </c>
      <c r="V6" s="212">
        <f t="shared" si="1"/>
        <v>30250770</v>
      </c>
      <c r="W6" s="212">
        <f t="shared" si="1"/>
        <v>30250770</v>
      </c>
      <c r="X6" s="212">
        <f t="shared" si="1"/>
        <v>23514931.879999999</v>
      </c>
      <c r="Y6" s="212">
        <f t="shared" si="1"/>
        <v>0</v>
      </c>
      <c r="Z6" s="212">
        <f t="shared" si="1"/>
        <v>0</v>
      </c>
      <c r="AA6" s="212">
        <f t="shared" si="1"/>
        <v>0</v>
      </c>
      <c r="AB6" s="212">
        <f t="shared" si="1"/>
        <v>0</v>
      </c>
      <c r="AC6" s="212">
        <f t="shared" si="1"/>
        <v>0</v>
      </c>
      <c r="AD6" s="212">
        <f t="shared" si="1"/>
        <v>0</v>
      </c>
      <c r="AE6" s="212">
        <f t="shared" si="1"/>
        <v>0</v>
      </c>
      <c r="AF6" s="212">
        <f t="shared" si="1"/>
        <v>0</v>
      </c>
      <c r="AG6" s="212">
        <f t="shared" si="1"/>
        <v>0</v>
      </c>
      <c r="AH6" s="212">
        <f t="shared" si="1"/>
        <v>0</v>
      </c>
    </row>
    <row r="7" spans="1:34">
      <c r="A7" s="215" t="s">
        <v>611</v>
      </c>
      <c r="B7" s="215">
        <v>1200</v>
      </c>
      <c r="C7" s="215" t="s">
        <v>610</v>
      </c>
      <c r="D7" s="214">
        <v>2628</v>
      </c>
      <c r="E7" s="214">
        <v>30052.6</v>
      </c>
      <c r="F7" s="212">
        <f t="shared" si="0"/>
        <v>78978232.799999997</v>
      </c>
      <c r="G7" s="213">
        <v>0</v>
      </c>
      <c r="H7" s="212">
        <v>1000</v>
      </c>
      <c r="I7" s="212">
        <v>0</v>
      </c>
      <c r="J7" s="212">
        <f>(D7-H7)*1</f>
        <v>1628</v>
      </c>
      <c r="K7" s="212">
        <v>0</v>
      </c>
      <c r="L7" s="212">
        <v>0</v>
      </c>
      <c r="M7" s="212">
        <v>0</v>
      </c>
      <c r="N7" s="212">
        <v>0</v>
      </c>
      <c r="O7" s="212">
        <v>0</v>
      </c>
      <c r="P7" s="212">
        <v>0</v>
      </c>
      <c r="Q7" s="212">
        <v>0</v>
      </c>
      <c r="R7" s="212">
        <v>0</v>
      </c>
      <c r="S7" s="212">
        <v>0</v>
      </c>
      <c r="T7" s="212">
        <v>0</v>
      </c>
      <c r="U7" s="213">
        <f t="shared" si="1"/>
        <v>0</v>
      </c>
      <c r="V7" s="212">
        <f t="shared" si="1"/>
        <v>30052600</v>
      </c>
      <c r="W7" s="212">
        <f t="shared" si="1"/>
        <v>0</v>
      </c>
      <c r="X7" s="212">
        <f t="shared" si="1"/>
        <v>48925632.799999997</v>
      </c>
      <c r="Y7" s="212">
        <f t="shared" si="1"/>
        <v>0</v>
      </c>
      <c r="Z7" s="212">
        <f t="shared" si="1"/>
        <v>0</v>
      </c>
      <c r="AA7" s="212">
        <f t="shared" si="1"/>
        <v>0</v>
      </c>
      <c r="AB7" s="212">
        <f t="shared" si="1"/>
        <v>0</v>
      </c>
      <c r="AC7" s="212">
        <f t="shared" si="1"/>
        <v>0</v>
      </c>
      <c r="AD7" s="212">
        <f t="shared" si="1"/>
        <v>0</v>
      </c>
      <c r="AE7" s="212">
        <f t="shared" si="1"/>
        <v>0</v>
      </c>
      <c r="AF7" s="212">
        <f t="shared" si="1"/>
        <v>0</v>
      </c>
      <c r="AG7" s="212">
        <f t="shared" si="1"/>
        <v>0</v>
      </c>
      <c r="AH7" s="212">
        <f t="shared" si="1"/>
        <v>0</v>
      </c>
    </row>
    <row r="8" spans="1:34">
      <c r="A8" s="215" t="s">
        <v>611</v>
      </c>
      <c r="B8" s="215">
        <v>1400</v>
      </c>
      <c r="C8" s="215" t="s">
        <v>610</v>
      </c>
      <c r="D8" s="214">
        <v>501</v>
      </c>
      <c r="E8" s="214">
        <v>34904.65</v>
      </c>
      <c r="F8" s="212">
        <f t="shared" si="0"/>
        <v>17487229.650000002</v>
      </c>
      <c r="G8" s="213">
        <v>0</v>
      </c>
      <c r="H8" s="212">
        <v>0</v>
      </c>
      <c r="I8" s="212">
        <f>(D8)*1</f>
        <v>501</v>
      </c>
      <c r="J8" s="212">
        <v>0</v>
      </c>
      <c r="K8" s="212">
        <v>0</v>
      </c>
      <c r="L8" s="212">
        <v>0</v>
      </c>
      <c r="M8" s="212">
        <v>0</v>
      </c>
      <c r="N8" s="212">
        <v>0</v>
      </c>
      <c r="O8" s="212">
        <v>0</v>
      </c>
      <c r="P8" s="212">
        <v>0</v>
      </c>
      <c r="Q8" s="212">
        <v>0</v>
      </c>
      <c r="R8" s="212">
        <v>0</v>
      </c>
      <c r="S8" s="212">
        <v>0</v>
      </c>
      <c r="T8" s="212">
        <v>0</v>
      </c>
      <c r="U8" s="213">
        <f t="shared" si="1"/>
        <v>0</v>
      </c>
      <c r="V8" s="212">
        <f t="shared" si="1"/>
        <v>0</v>
      </c>
      <c r="W8" s="212">
        <f t="shared" si="1"/>
        <v>17487229.650000002</v>
      </c>
      <c r="X8" s="212">
        <f t="shared" si="1"/>
        <v>0</v>
      </c>
      <c r="Y8" s="212">
        <f t="shared" si="1"/>
        <v>0</v>
      </c>
      <c r="Z8" s="212">
        <f t="shared" si="1"/>
        <v>0</v>
      </c>
      <c r="AA8" s="212">
        <f t="shared" si="1"/>
        <v>0</v>
      </c>
      <c r="AB8" s="212">
        <f t="shared" si="1"/>
        <v>0</v>
      </c>
      <c r="AC8" s="212">
        <f t="shared" si="1"/>
        <v>0</v>
      </c>
      <c r="AD8" s="212">
        <f t="shared" si="1"/>
        <v>0</v>
      </c>
      <c r="AE8" s="212">
        <f t="shared" si="1"/>
        <v>0</v>
      </c>
      <c r="AF8" s="212">
        <f t="shared" si="1"/>
        <v>0</v>
      </c>
      <c r="AG8" s="212">
        <f t="shared" si="1"/>
        <v>0</v>
      </c>
      <c r="AH8" s="212">
        <f t="shared" si="1"/>
        <v>0</v>
      </c>
    </row>
    <row r="9" spans="1:34">
      <c r="A9" s="210" t="s">
        <v>609</v>
      </c>
      <c r="B9" s="215" t="s">
        <v>608</v>
      </c>
      <c r="C9" s="215" t="s">
        <v>607</v>
      </c>
      <c r="D9" s="214">
        <v>40000</v>
      </c>
      <c r="E9" s="214">
        <v>1022.16</v>
      </c>
      <c r="F9" s="212">
        <f t="shared" si="0"/>
        <v>40886400</v>
      </c>
      <c r="G9" s="213">
        <f>(D9/4)*1</f>
        <v>10000</v>
      </c>
      <c r="H9" s="212">
        <v>0</v>
      </c>
      <c r="I9" s="212">
        <f>(D9/4)*1</f>
        <v>10000</v>
      </c>
      <c r="J9" s="212">
        <v>0</v>
      </c>
      <c r="K9" s="212">
        <f>(D9/4)*1</f>
        <v>10000</v>
      </c>
      <c r="L9" s="212">
        <v>0</v>
      </c>
      <c r="M9" s="212">
        <f>(D9/4)*1</f>
        <v>10000</v>
      </c>
      <c r="N9" s="212">
        <v>0</v>
      </c>
      <c r="O9" s="212">
        <v>0</v>
      </c>
      <c r="P9" s="212">
        <v>0</v>
      </c>
      <c r="Q9" s="212">
        <v>0</v>
      </c>
      <c r="R9" s="212">
        <v>0</v>
      </c>
      <c r="S9" s="212">
        <v>0</v>
      </c>
      <c r="T9" s="212">
        <v>0</v>
      </c>
      <c r="U9" s="213">
        <f t="shared" si="1"/>
        <v>10221600</v>
      </c>
      <c r="V9" s="212">
        <f t="shared" si="1"/>
        <v>0</v>
      </c>
      <c r="W9" s="212">
        <f t="shared" si="1"/>
        <v>10221600</v>
      </c>
      <c r="X9" s="212">
        <f t="shared" si="1"/>
        <v>0</v>
      </c>
      <c r="Y9" s="212">
        <f t="shared" si="1"/>
        <v>10221600</v>
      </c>
      <c r="Z9" s="212">
        <f t="shared" si="1"/>
        <v>0</v>
      </c>
      <c r="AA9" s="212">
        <f t="shared" si="1"/>
        <v>10221600</v>
      </c>
      <c r="AB9" s="212">
        <f t="shared" si="1"/>
        <v>0</v>
      </c>
      <c r="AC9" s="212">
        <f t="shared" si="1"/>
        <v>0</v>
      </c>
      <c r="AD9" s="212">
        <f t="shared" si="1"/>
        <v>0</v>
      </c>
      <c r="AE9" s="212">
        <f t="shared" si="1"/>
        <v>0</v>
      </c>
      <c r="AF9" s="212">
        <f t="shared" si="1"/>
        <v>0</v>
      </c>
      <c r="AG9" s="212">
        <f t="shared" si="1"/>
        <v>0</v>
      </c>
      <c r="AH9" s="212">
        <f t="shared" si="1"/>
        <v>0</v>
      </c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9DFCC-146D-41C7-A6FB-CF808C931680}">
  <dimension ref="A1:AH14"/>
  <sheetViews>
    <sheetView zoomScaleNormal="100" workbookViewId="0">
      <pane ySplit="1" topLeftCell="A2" activePane="bottomLeft" state="frozen"/>
      <selection pane="bottomLeft"/>
    </sheetView>
  </sheetViews>
  <sheetFormatPr defaultRowHeight="12"/>
  <cols>
    <col min="1" max="1" width="22.5" style="210" bestFit="1" customWidth="1"/>
    <col min="2" max="2" width="28.5" style="210" bestFit="1" customWidth="1"/>
    <col min="3" max="3" width="4.6640625" style="210" bestFit="1" customWidth="1"/>
    <col min="4" max="4" width="12" style="210" bestFit="1" customWidth="1"/>
    <col min="5" max="5" width="10.5" style="210" bestFit="1" customWidth="1"/>
    <col min="6" max="6" width="13" style="210" bestFit="1" customWidth="1"/>
    <col min="7" max="7" width="8" style="211" bestFit="1" customWidth="1"/>
    <col min="8" max="15" width="8" style="210" bestFit="1" customWidth="1"/>
    <col min="16" max="16" width="7.5" style="210" bestFit="1" customWidth="1"/>
    <col min="17" max="18" width="8" style="210" bestFit="1" customWidth="1"/>
    <col min="19" max="19" width="7" style="210" bestFit="1" customWidth="1"/>
    <col min="20" max="20" width="6.83203125" style="210" bestFit="1" customWidth="1"/>
    <col min="21" max="21" width="12" style="211" bestFit="1" customWidth="1"/>
    <col min="22" max="25" width="12" style="210" bestFit="1" customWidth="1"/>
    <col min="26" max="26" width="10.5" style="210" bestFit="1" customWidth="1"/>
    <col min="27" max="27" width="12" style="210" bestFit="1" customWidth="1"/>
    <col min="28" max="34" width="10.5" style="210" bestFit="1" customWidth="1"/>
    <col min="35" max="16384" width="9.33203125" style="210"/>
  </cols>
  <sheetData>
    <row r="1" spans="1:34">
      <c r="A1" s="218" t="s">
        <v>617</v>
      </c>
      <c r="B1" s="218" t="s">
        <v>616</v>
      </c>
      <c r="C1" s="218" t="s">
        <v>218</v>
      </c>
      <c r="D1" s="218" t="s">
        <v>615</v>
      </c>
      <c r="E1" s="218" t="s">
        <v>614</v>
      </c>
      <c r="F1" s="218" t="s">
        <v>548</v>
      </c>
      <c r="G1" s="217">
        <v>44795</v>
      </c>
      <c r="H1" s="216">
        <v>44826</v>
      </c>
      <c r="I1" s="216">
        <v>44856</v>
      </c>
      <c r="J1" s="216">
        <v>44887</v>
      </c>
      <c r="K1" s="216">
        <v>44917</v>
      </c>
      <c r="L1" s="216">
        <v>44948</v>
      </c>
      <c r="M1" s="216">
        <v>44979</v>
      </c>
      <c r="N1" s="216">
        <v>45007</v>
      </c>
      <c r="O1" s="216">
        <v>45038</v>
      </c>
      <c r="P1" s="216">
        <v>45068</v>
      </c>
      <c r="Q1" s="216">
        <v>45099</v>
      </c>
      <c r="R1" s="216">
        <v>45129</v>
      </c>
      <c r="S1" s="216">
        <v>45160</v>
      </c>
      <c r="T1" s="216">
        <v>45191</v>
      </c>
      <c r="U1" s="217">
        <v>44795</v>
      </c>
      <c r="V1" s="216">
        <v>44826</v>
      </c>
      <c r="W1" s="216">
        <v>44856</v>
      </c>
      <c r="X1" s="216">
        <v>44887</v>
      </c>
      <c r="Y1" s="216">
        <v>44917</v>
      </c>
      <c r="Z1" s="216">
        <v>44948</v>
      </c>
      <c r="AA1" s="216">
        <v>44979</v>
      </c>
      <c r="AB1" s="216">
        <v>45007</v>
      </c>
      <c r="AC1" s="216">
        <v>45038</v>
      </c>
      <c r="AD1" s="216">
        <v>45068</v>
      </c>
      <c r="AE1" s="216">
        <v>45099</v>
      </c>
      <c r="AF1" s="216">
        <v>45129</v>
      </c>
      <c r="AG1" s="216">
        <v>45160</v>
      </c>
      <c r="AH1" s="216">
        <v>45191</v>
      </c>
    </row>
    <row r="2" spans="1:34">
      <c r="A2" s="215" t="s">
        <v>613</v>
      </c>
      <c r="B2" s="215">
        <v>110</v>
      </c>
      <c r="C2" s="215" t="s">
        <v>610</v>
      </c>
      <c r="D2" s="214">
        <v>150000</v>
      </c>
      <c r="E2" s="214">
        <v>290</v>
      </c>
      <c r="F2" s="212">
        <f t="shared" ref="F2:F9" si="0">D2*E2</f>
        <v>43500000</v>
      </c>
      <c r="G2" s="213">
        <v>0</v>
      </c>
      <c r="H2" s="212">
        <v>10000</v>
      </c>
      <c r="I2" s="212">
        <v>15000</v>
      </c>
      <c r="J2" s="212">
        <v>15000</v>
      </c>
      <c r="K2" s="212">
        <v>15000</v>
      </c>
      <c r="L2" s="212">
        <v>15000</v>
      </c>
      <c r="M2" s="212">
        <v>15000</v>
      </c>
      <c r="N2" s="212">
        <v>15000</v>
      </c>
      <c r="O2" s="212">
        <v>15000</v>
      </c>
      <c r="P2" s="212">
        <v>15000</v>
      </c>
      <c r="Q2" s="212">
        <v>10000</v>
      </c>
      <c r="R2" s="212">
        <v>10000</v>
      </c>
      <c r="S2" s="212">
        <v>0</v>
      </c>
      <c r="T2" s="212">
        <v>0</v>
      </c>
      <c r="U2" s="213">
        <f t="shared" ref="U2:AH7" si="1">G2*$E2</f>
        <v>0</v>
      </c>
      <c r="V2" s="212">
        <f t="shared" si="1"/>
        <v>2900000</v>
      </c>
      <c r="W2" s="212">
        <f t="shared" si="1"/>
        <v>4350000</v>
      </c>
      <c r="X2" s="212">
        <f t="shared" si="1"/>
        <v>4350000</v>
      </c>
      <c r="Y2" s="212">
        <f t="shared" si="1"/>
        <v>4350000</v>
      </c>
      <c r="Z2" s="212">
        <f t="shared" si="1"/>
        <v>4350000</v>
      </c>
      <c r="AA2" s="212">
        <f t="shared" si="1"/>
        <v>4350000</v>
      </c>
      <c r="AB2" s="212">
        <f t="shared" si="1"/>
        <v>4350000</v>
      </c>
      <c r="AC2" s="212">
        <f t="shared" si="1"/>
        <v>4350000</v>
      </c>
      <c r="AD2" s="212">
        <f t="shared" si="1"/>
        <v>4350000</v>
      </c>
      <c r="AE2" s="212">
        <f t="shared" si="1"/>
        <v>2900000</v>
      </c>
      <c r="AF2" s="212">
        <f t="shared" si="1"/>
        <v>2900000</v>
      </c>
      <c r="AG2" s="212">
        <f t="shared" si="1"/>
        <v>0</v>
      </c>
      <c r="AH2" s="212">
        <f t="shared" si="1"/>
        <v>0</v>
      </c>
    </row>
    <row r="3" spans="1:34">
      <c r="A3" s="215" t="s">
        <v>613</v>
      </c>
      <c r="B3" s="215">
        <v>160</v>
      </c>
      <c r="C3" s="215" t="s">
        <v>610</v>
      </c>
      <c r="D3" s="214">
        <v>11000</v>
      </c>
      <c r="E3" s="214">
        <v>572</v>
      </c>
      <c r="F3" s="212">
        <f t="shared" si="0"/>
        <v>6292000</v>
      </c>
      <c r="G3" s="213">
        <v>0</v>
      </c>
      <c r="H3" s="212">
        <v>5500</v>
      </c>
      <c r="I3" s="212">
        <v>0</v>
      </c>
      <c r="J3" s="212">
        <v>0</v>
      </c>
      <c r="K3" s="212">
        <v>0</v>
      </c>
      <c r="L3" s="212">
        <v>0</v>
      </c>
      <c r="M3" s="212">
        <v>5500</v>
      </c>
      <c r="N3" s="212">
        <v>0</v>
      </c>
      <c r="O3" s="212">
        <v>0</v>
      </c>
      <c r="P3" s="212">
        <v>0</v>
      </c>
      <c r="Q3" s="212">
        <v>0</v>
      </c>
      <c r="R3" s="212">
        <v>0</v>
      </c>
      <c r="S3" s="212">
        <v>0</v>
      </c>
      <c r="T3" s="212">
        <v>0</v>
      </c>
      <c r="U3" s="213">
        <f t="shared" si="1"/>
        <v>0</v>
      </c>
      <c r="V3" s="212">
        <f t="shared" si="1"/>
        <v>3146000</v>
      </c>
      <c r="W3" s="212">
        <f t="shared" si="1"/>
        <v>0</v>
      </c>
      <c r="X3" s="212">
        <f t="shared" si="1"/>
        <v>0</v>
      </c>
      <c r="Y3" s="212">
        <f t="shared" si="1"/>
        <v>0</v>
      </c>
      <c r="Z3" s="212">
        <f t="shared" si="1"/>
        <v>0</v>
      </c>
      <c r="AA3" s="212">
        <f t="shared" si="1"/>
        <v>3146000</v>
      </c>
      <c r="AB3" s="212">
        <f t="shared" si="1"/>
        <v>0</v>
      </c>
      <c r="AC3" s="212">
        <f t="shared" si="1"/>
        <v>0</v>
      </c>
      <c r="AD3" s="212">
        <f t="shared" si="1"/>
        <v>0</v>
      </c>
      <c r="AE3" s="212">
        <f t="shared" si="1"/>
        <v>0</v>
      </c>
      <c r="AF3" s="212">
        <f t="shared" si="1"/>
        <v>0</v>
      </c>
      <c r="AG3" s="212">
        <f t="shared" si="1"/>
        <v>0</v>
      </c>
      <c r="AH3" s="212">
        <f t="shared" si="1"/>
        <v>0</v>
      </c>
    </row>
    <row r="4" spans="1:34">
      <c r="A4" s="215" t="s">
        <v>612</v>
      </c>
      <c r="B4" s="215">
        <v>400</v>
      </c>
      <c r="C4" s="215" t="s">
        <v>610</v>
      </c>
      <c r="D4" s="214">
        <v>2281.8508418863994</v>
      </c>
      <c r="E4" s="214">
        <v>4500</v>
      </c>
      <c r="F4" s="212">
        <f t="shared" si="0"/>
        <v>10268328.788488798</v>
      </c>
      <c r="G4" s="213">
        <v>0</v>
      </c>
      <c r="H4" s="212">
        <v>500</v>
      </c>
      <c r="I4" s="212">
        <v>0</v>
      </c>
      <c r="J4" s="212">
        <v>500</v>
      </c>
      <c r="K4" s="212">
        <v>500</v>
      </c>
      <c r="L4" s="212">
        <v>0</v>
      </c>
      <c r="M4" s="212">
        <f>(D4-H4-J4-K4)*1</f>
        <v>781.85084188639939</v>
      </c>
      <c r="N4" s="212">
        <v>0</v>
      </c>
      <c r="O4" s="212">
        <v>0</v>
      </c>
      <c r="P4" s="212">
        <v>0</v>
      </c>
      <c r="Q4" s="212">
        <v>0</v>
      </c>
      <c r="R4" s="212">
        <v>0</v>
      </c>
      <c r="S4" s="212">
        <v>0</v>
      </c>
      <c r="T4" s="212">
        <v>0</v>
      </c>
      <c r="U4" s="213">
        <f t="shared" si="1"/>
        <v>0</v>
      </c>
      <c r="V4" s="212">
        <f t="shared" si="1"/>
        <v>2250000</v>
      </c>
      <c r="W4" s="212">
        <f t="shared" si="1"/>
        <v>0</v>
      </c>
      <c r="X4" s="212">
        <f t="shared" si="1"/>
        <v>2250000</v>
      </c>
      <c r="Y4" s="212">
        <f t="shared" si="1"/>
        <v>2250000</v>
      </c>
      <c r="Z4" s="212">
        <f t="shared" si="1"/>
        <v>0</v>
      </c>
      <c r="AA4" s="212">
        <f t="shared" si="1"/>
        <v>3518328.7884887974</v>
      </c>
      <c r="AB4" s="212">
        <f t="shared" si="1"/>
        <v>0</v>
      </c>
      <c r="AC4" s="212">
        <f t="shared" si="1"/>
        <v>0</v>
      </c>
      <c r="AD4" s="212">
        <f t="shared" si="1"/>
        <v>0</v>
      </c>
      <c r="AE4" s="212">
        <f t="shared" si="1"/>
        <v>0</v>
      </c>
      <c r="AF4" s="212">
        <f t="shared" si="1"/>
        <v>0</v>
      </c>
      <c r="AG4" s="212">
        <f t="shared" si="1"/>
        <v>0</v>
      </c>
      <c r="AH4" s="212">
        <f t="shared" si="1"/>
        <v>0</v>
      </c>
    </row>
    <row r="5" spans="1:34">
      <c r="A5" s="215" t="s">
        <v>612</v>
      </c>
      <c r="B5" s="215">
        <v>900</v>
      </c>
      <c r="C5" s="215" t="s">
        <v>610</v>
      </c>
      <c r="D5" s="214">
        <v>1850</v>
      </c>
      <c r="E5" s="214">
        <v>18000</v>
      </c>
      <c r="F5" s="212">
        <f t="shared" si="0"/>
        <v>33300000</v>
      </c>
      <c r="G5" s="213">
        <v>0</v>
      </c>
      <c r="H5" s="212">
        <v>0</v>
      </c>
      <c r="I5" s="212">
        <v>650</v>
      </c>
      <c r="J5" s="212">
        <v>650</v>
      </c>
      <c r="K5" s="212">
        <v>0</v>
      </c>
      <c r="L5" s="212">
        <v>550</v>
      </c>
      <c r="M5" s="212">
        <v>0</v>
      </c>
      <c r="N5" s="212">
        <v>0</v>
      </c>
      <c r="O5" s="212">
        <v>0</v>
      </c>
      <c r="P5" s="212">
        <v>0</v>
      </c>
      <c r="Q5" s="212">
        <v>0</v>
      </c>
      <c r="R5" s="212">
        <v>0</v>
      </c>
      <c r="S5" s="212">
        <v>0</v>
      </c>
      <c r="T5" s="212">
        <v>0</v>
      </c>
      <c r="U5" s="213">
        <f t="shared" si="1"/>
        <v>0</v>
      </c>
      <c r="V5" s="212">
        <f t="shared" si="1"/>
        <v>0</v>
      </c>
      <c r="W5" s="212">
        <f t="shared" si="1"/>
        <v>11700000</v>
      </c>
      <c r="X5" s="212">
        <f t="shared" si="1"/>
        <v>11700000</v>
      </c>
      <c r="Y5" s="212">
        <f t="shared" si="1"/>
        <v>0</v>
      </c>
      <c r="Z5" s="212">
        <f t="shared" si="1"/>
        <v>9900000</v>
      </c>
      <c r="AA5" s="212">
        <f t="shared" si="1"/>
        <v>0</v>
      </c>
      <c r="AB5" s="212">
        <f t="shared" si="1"/>
        <v>0</v>
      </c>
      <c r="AC5" s="212">
        <f t="shared" si="1"/>
        <v>0</v>
      </c>
      <c r="AD5" s="212">
        <f t="shared" si="1"/>
        <v>0</v>
      </c>
      <c r="AE5" s="212">
        <f t="shared" si="1"/>
        <v>0</v>
      </c>
      <c r="AF5" s="212">
        <f t="shared" si="1"/>
        <v>0</v>
      </c>
      <c r="AG5" s="212">
        <f t="shared" si="1"/>
        <v>0</v>
      </c>
      <c r="AH5" s="212">
        <f t="shared" si="1"/>
        <v>0</v>
      </c>
    </row>
    <row r="6" spans="1:34">
      <c r="A6" s="215" t="s">
        <v>612</v>
      </c>
      <c r="B6" s="215">
        <v>1000</v>
      </c>
      <c r="C6" s="215" t="s">
        <v>610</v>
      </c>
      <c r="D6" s="214">
        <v>8332</v>
      </c>
      <c r="E6" s="214">
        <v>20000</v>
      </c>
      <c r="F6" s="212">
        <f t="shared" si="0"/>
        <v>166640000</v>
      </c>
      <c r="G6" s="213">
        <v>0</v>
      </c>
      <c r="H6" s="212">
        <v>1500</v>
      </c>
      <c r="I6" s="212">
        <v>1500</v>
      </c>
      <c r="J6" s="212">
        <v>1500</v>
      </c>
      <c r="K6" s="212">
        <v>1500</v>
      </c>
      <c r="L6" s="212">
        <v>1500</v>
      </c>
      <c r="M6" s="212">
        <v>832</v>
      </c>
      <c r="N6" s="212">
        <v>0</v>
      </c>
      <c r="O6" s="212">
        <v>0</v>
      </c>
      <c r="P6" s="212">
        <v>0</v>
      </c>
      <c r="Q6" s="212">
        <v>0</v>
      </c>
      <c r="R6" s="212">
        <v>0</v>
      </c>
      <c r="S6" s="212">
        <v>0</v>
      </c>
      <c r="T6" s="212">
        <v>0</v>
      </c>
      <c r="U6" s="213">
        <f t="shared" si="1"/>
        <v>0</v>
      </c>
      <c r="V6" s="212">
        <f t="shared" si="1"/>
        <v>30000000</v>
      </c>
      <c r="W6" s="212">
        <f t="shared" si="1"/>
        <v>30000000</v>
      </c>
      <c r="X6" s="212">
        <f t="shared" si="1"/>
        <v>30000000</v>
      </c>
      <c r="Y6" s="212">
        <f t="shared" si="1"/>
        <v>30000000</v>
      </c>
      <c r="Z6" s="212">
        <f t="shared" si="1"/>
        <v>30000000</v>
      </c>
      <c r="AA6" s="212">
        <f t="shared" si="1"/>
        <v>16640000</v>
      </c>
      <c r="AB6" s="212">
        <f t="shared" si="1"/>
        <v>0</v>
      </c>
      <c r="AC6" s="212">
        <f t="shared" si="1"/>
        <v>0</v>
      </c>
      <c r="AD6" s="212">
        <f t="shared" si="1"/>
        <v>0</v>
      </c>
      <c r="AE6" s="212">
        <f t="shared" si="1"/>
        <v>0</v>
      </c>
      <c r="AF6" s="212">
        <f t="shared" si="1"/>
        <v>0</v>
      </c>
      <c r="AG6" s="212">
        <f t="shared" si="1"/>
        <v>0</v>
      </c>
      <c r="AH6" s="212">
        <f t="shared" si="1"/>
        <v>0</v>
      </c>
    </row>
    <row r="7" spans="1:34">
      <c r="A7" s="215" t="s">
        <v>611</v>
      </c>
      <c r="B7" s="215">
        <v>1200</v>
      </c>
      <c r="C7" s="215" t="s">
        <v>610</v>
      </c>
      <c r="D7" s="214">
        <v>2628</v>
      </c>
      <c r="E7" s="214">
        <v>44383.34</v>
      </c>
      <c r="F7" s="212">
        <f t="shared" si="0"/>
        <v>116639417.52</v>
      </c>
      <c r="G7" s="213">
        <v>0</v>
      </c>
      <c r="H7" s="212">
        <v>500</v>
      </c>
      <c r="I7" s="212">
        <v>500</v>
      </c>
      <c r="J7" s="212">
        <v>700</v>
      </c>
      <c r="K7" s="212">
        <v>700</v>
      </c>
      <c r="L7" s="212">
        <v>228</v>
      </c>
      <c r="M7" s="212">
        <v>0</v>
      </c>
      <c r="N7" s="212">
        <v>0</v>
      </c>
      <c r="O7" s="212">
        <v>0</v>
      </c>
      <c r="P7" s="212">
        <v>0</v>
      </c>
      <c r="Q7" s="212">
        <v>0</v>
      </c>
      <c r="R7" s="212">
        <v>0</v>
      </c>
      <c r="S7" s="212">
        <v>0</v>
      </c>
      <c r="T7" s="212">
        <v>0</v>
      </c>
      <c r="U7" s="213">
        <f t="shared" si="1"/>
        <v>0</v>
      </c>
      <c r="V7" s="212">
        <f t="shared" si="1"/>
        <v>22191670</v>
      </c>
      <c r="W7" s="212">
        <f t="shared" si="1"/>
        <v>22191670</v>
      </c>
      <c r="X7" s="212">
        <f t="shared" si="1"/>
        <v>31068337.999999996</v>
      </c>
      <c r="Y7" s="212">
        <f t="shared" si="1"/>
        <v>31068337.999999996</v>
      </c>
      <c r="Z7" s="212">
        <f t="shared" si="1"/>
        <v>10119401.52</v>
      </c>
      <c r="AA7" s="212">
        <f t="shared" si="1"/>
        <v>0</v>
      </c>
      <c r="AB7" s="212">
        <f t="shared" si="1"/>
        <v>0</v>
      </c>
      <c r="AC7" s="212">
        <f t="shared" si="1"/>
        <v>0</v>
      </c>
      <c r="AD7" s="212">
        <f t="shared" si="1"/>
        <v>0</v>
      </c>
      <c r="AE7" s="212">
        <f t="shared" si="1"/>
        <v>0</v>
      </c>
      <c r="AF7" s="212">
        <f t="shared" si="1"/>
        <v>0</v>
      </c>
      <c r="AG7" s="212">
        <f t="shared" si="1"/>
        <v>0</v>
      </c>
      <c r="AH7" s="212">
        <f t="shared" si="1"/>
        <v>0</v>
      </c>
    </row>
    <row r="8" spans="1:34">
      <c r="A8" s="215" t="s">
        <v>611</v>
      </c>
      <c r="B8" s="215">
        <v>1400</v>
      </c>
      <c r="C8" s="215" t="s">
        <v>610</v>
      </c>
      <c r="D8" s="214">
        <v>501</v>
      </c>
      <c r="E8" s="214">
        <v>47200</v>
      </c>
      <c r="F8" s="212">
        <f t="shared" si="0"/>
        <v>23647200</v>
      </c>
      <c r="G8" s="213">
        <v>0</v>
      </c>
      <c r="H8" s="212">
        <v>0</v>
      </c>
      <c r="I8" s="212">
        <f>((D8)*1)*1</f>
        <v>501</v>
      </c>
      <c r="J8" s="212">
        <v>0</v>
      </c>
      <c r="K8" s="212">
        <v>0</v>
      </c>
      <c r="L8" s="212">
        <v>0</v>
      </c>
      <c r="M8" s="212">
        <v>0</v>
      </c>
      <c r="N8" s="212">
        <v>0</v>
      </c>
      <c r="O8" s="212">
        <v>0</v>
      </c>
      <c r="P8" s="212">
        <v>0</v>
      </c>
      <c r="Q8" s="212">
        <v>0</v>
      </c>
      <c r="R8" s="212">
        <v>0</v>
      </c>
      <c r="S8" s="212">
        <v>0</v>
      </c>
      <c r="T8" s="212">
        <v>0</v>
      </c>
      <c r="U8" s="213">
        <f t="shared" ref="U8:U14" si="2">G8*$E8</f>
        <v>0</v>
      </c>
      <c r="V8" s="212">
        <f t="shared" ref="V8:V14" si="3">H8*$E8</f>
        <v>0</v>
      </c>
      <c r="W8" s="212">
        <f t="shared" ref="W8:W14" si="4">I8*$E8</f>
        <v>23647200</v>
      </c>
      <c r="X8" s="212">
        <f t="shared" ref="X8:X14" si="5">J8*$E8</f>
        <v>0</v>
      </c>
      <c r="Y8" s="212">
        <f t="shared" ref="Y8:Y14" si="6">K8*$E8</f>
        <v>0</v>
      </c>
      <c r="Z8" s="212">
        <f t="shared" ref="Z8:Z14" si="7">L8*$E8</f>
        <v>0</v>
      </c>
      <c r="AA8" s="212">
        <f t="shared" ref="AA8:AA14" si="8">M8*$E8</f>
        <v>0</v>
      </c>
      <c r="AB8" s="212">
        <f t="shared" ref="AB8:AB14" si="9">N8*$E8</f>
        <v>0</v>
      </c>
      <c r="AC8" s="212">
        <f t="shared" ref="AC8:AC14" si="10">O8*$E8</f>
        <v>0</v>
      </c>
      <c r="AD8" s="212">
        <f t="shared" ref="AD8:AD14" si="11">P8*$E8</f>
        <v>0</v>
      </c>
      <c r="AE8" s="212">
        <f t="shared" ref="AE8:AE14" si="12">Q8*$E8</f>
        <v>0</v>
      </c>
      <c r="AF8" s="212">
        <f t="shared" ref="AF8:AF14" si="13">R8*$E8</f>
        <v>0</v>
      </c>
      <c r="AG8" s="212">
        <f t="shared" ref="AG8:AG14" si="14">S8*$E8</f>
        <v>0</v>
      </c>
      <c r="AH8" s="212">
        <f t="shared" ref="AH8:AH14" si="15">T8*$E8</f>
        <v>0</v>
      </c>
    </row>
    <row r="9" spans="1:34">
      <c r="A9" s="210" t="s">
        <v>609</v>
      </c>
      <c r="B9" s="215" t="s">
        <v>608</v>
      </c>
      <c r="C9" s="215" t="s">
        <v>607</v>
      </c>
      <c r="D9" s="214">
        <v>40000</v>
      </c>
      <c r="E9" s="214">
        <v>1435.2457999999999</v>
      </c>
      <c r="F9" s="212">
        <f t="shared" si="0"/>
        <v>57409832</v>
      </c>
      <c r="G9" s="213">
        <f>((D9/4)*1)*1</f>
        <v>10000</v>
      </c>
      <c r="H9" s="212">
        <v>0</v>
      </c>
      <c r="I9" s="212">
        <f>((D9/4)*1)*1</f>
        <v>10000</v>
      </c>
      <c r="J9" s="212">
        <v>0</v>
      </c>
      <c r="K9" s="212">
        <f>((D9/4)*1)*1</f>
        <v>10000</v>
      </c>
      <c r="L9" s="212">
        <v>0</v>
      </c>
      <c r="M9" s="212">
        <f>((D9/4)*1)*1</f>
        <v>10000</v>
      </c>
      <c r="N9" s="212">
        <v>0</v>
      </c>
      <c r="O9" s="212">
        <v>0</v>
      </c>
      <c r="P9" s="212">
        <v>0</v>
      </c>
      <c r="Q9" s="212">
        <v>0</v>
      </c>
      <c r="R9" s="212">
        <v>0</v>
      </c>
      <c r="S9" s="212">
        <v>0</v>
      </c>
      <c r="T9" s="212">
        <v>0</v>
      </c>
      <c r="U9" s="213">
        <f t="shared" si="2"/>
        <v>14352458</v>
      </c>
      <c r="V9" s="212">
        <f t="shared" si="3"/>
        <v>0</v>
      </c>
      <c r="W9" s="212">
        <f t="shared" si="4"/>
        <v>14352458</v>
      </c>
      <c r="X9" s="212">
        <f t="shared" si="5"/>
        <v>0</v>
      </c>
      <c r="Y9" s="212">
        <f t="shared" si="6"/>
        <v>14352458</v>
      </c>
      <c r="Z9" s="212">
        <f t="shared" si="7"/>
        <v>0</v>
      </c>
      <c r="AA9" s="212">
        <f t="shared" si="8"/>
        <v>14352458</v>
      </c>
      <c r="AB9" s="212">
        <f t="shared" si="9"/>
        <v>0</v>
      </c>
      <c r="AC9" s="212">
        <f t="shared" si="10"/>
        <v>0</v>
      </c>
      <c r="AD9" s="212">
        <f t="shared" si="11"/>
        <v>0</v>
      </c>
      <c r="AE9" s="212">
        <f t="shared" si="12"/>
        <v>0</v>
      </c>
      <c r="AF9" s="212">
        <f t="shared" si="13"/>
        <v>0</v>
      </c>
      <c r="AG9" s="212">
        <f t="shared" si="14"/>
        <v>0</v>
      </c>
      <c r="AH9" s="212">
        <f t="shared" si="15"/>
        <v>0</v>
      </c>
    </row>
    <row r="10" spans="1:34">
      <c r="A10" s="215" t="s">
        <v>622</v>
      </c>
      <c r="D10" s="199">
        <v>500</v>
      </c>
      <c r="E10" s="199">
        <v>889.89699999999993</v>
      </c>
      <c r="F10" s="212">
        <f>D10*E10</f>
        <v>444948.49999999994</v>
      </c>
      <c r="G10" s="213">
        <v>0</v>
      </c>
      <c r="H10" s="212">
        <v>0</v>
      </c>
      <c r="I10" s="212">
        <v>0</v>
      </c>
      <c r="J10" s="212">
        <v>100</v>
      </c>
      <c r="K10" s="212">
        <v>0</v>
      </c>
      <c r="L10" s="212">
        <v>100</v>
      </c>
      <c r="M10" s="212">
        <v>0</v>
      </c>
      <c r="N10" s="212">
        <v>100</v>
      </c>
      <c r="O10" s="212">
        <v>0</v>
      </c>
      <c r="P10" s="212">
        <v>100</v>
      </c>
      <c r="Q10" s="212">
        <v>0</v>
      </c>
      <c r="R10" s="212">
        <v>100</v>
      </c>
      <c r="S10" s="212">
        <v>0</v>
      </c>
      <c r="T10" s="212">
        <v>0</v>
      </c>
      <c r="U10" s="213">
        <f t="shared" si="2"/>
        <v>0</v>
      </c>
      <c r="V10" s="212">
        <f t="shared" si="3"/>
        <v>0</v>
      </c>
      <c r="W10" s="212">
        <f t="shared" si="4"/>
        <v>0</v>
      </c>
      <c r="X10" s="212">
        <f t="shared" si="5"/>
        <v>88989.7</v>
      </c>
      <c r="Y10" s="212">
        <f t="shared" si="6"/>
        <v>0</v>
      </c>
      <c r="Z10" s="212">
        <f t="shared" si="7"/>
        <v>88989.7</v>
      </c>
      <c r="AA10" s="212">
        <f t="shared" si="8"/>
        <v>0</v>
      </c>
      <c r="AB10" s="212">
        <f t="shared" si="9"/>
        <v>88989.7</v>
      </c>
      <c r="AC10" s="212">
        <f t="shared" si="10"/>
        <v>0</v>
      </c>
      <c r="AD10" s="212">
        <f t="shared" si="11"/>
        <v>88989.7</v>
      </c>
      <c r="AE10" s="212">
        <f t="shared" si="12"/>
        <v>0</v>
      </c>
      <c r="AF10" s="212">
        <f t="shared" si="13"/>
        <v>88989.7</v>
      </c>
      <c r="AG10" s="212">
        <f t="shared" si="14"/>
        <v>0</v>
      </c>
      <c r="AH10" s="212">
        <f t="shared" si="15"/>
        <v>0</v>
      </c>
    </row>
    <row r="11" spans="1:34">
      <c r="A11" s="215" t="s">
        <v>621</v>
      </c>
      <c r="D11" s="199">
        <v>5000</v>
      </c>
      <c r="E11" s="199">
        <v>405.8492</v>
      </c>
      <c r="F11" s="212">
        <f>D11*E11</f>
        <v>2029246</v>
      </c>
      <c r="G11" s="213">
        <v>500</v>
      </c>
      <c r="H11" s="212">
        <v>500</v>
      </c>
      <c r="I11" s="212">
        <v>500</v>
      </c>
      <c r="J11" s="212">
        <v>500</v>
      </c>
      <c r="K11" s="212">
        <v>500</v>
      </c>
      <c r="L11" s="212">
        <v>500</v>
      </c>
      <c r="M11" s="212">
        <v>500</v>
      </c>
      <c r="N11" s="212">
        <v>500</v>
      </c>
      <c r="O11" s="212">
        <v>500</v>
      </c>
      <c r="P11" s="212">
        <v>500</v>
      </c>
      <c r="Q11" s="212">
        <v>0</v>
      </c>
      <c r="R11" s="212">
        <v>0</v>
      </c>
      <c r="S11" s="212">
        <v>0</v>
      </c>
      <c r="T11" s="212">
        <v>0</v>
      </c>
      <c r="U11" s="213">
        <f t="shared" si="2"/>
        <v>202924.6</v>
      </c>
      <c r="V11" s="212">
        <f t="shared" si="3"/>
        <v>202924.6</v>
      </c>
      <c r="W11" s="212">
        <f t="shared" si="4"/>
        <v>202924.6</v>
      </c>
      <c r="X11" s="212">
        <f t="shared" si="5"/>
        <v>202924.6</v>
      </c>
      <c r="Y11" s="212">
        <f t="shared" si="6"/>
        <v>202924.6</v>
      </c>
      <c r="Z11" s="212">
        <f t="shared" si="7"/>
        <v>202924.6</v>
      </c>
      <c r="AA11" s="212">
        <f t="shared" si="8"/>
        <v>202924.6</v>
      </c>
      <c r="AB11" s="212">
        <f t="shared" si="9"/>
        <v>202924.6</v>
      </c>
      <c r="AC11" s="212">
        <f t="shared" si="10"/>
        <v>202924.6</v>
      </c>
      <c r="AD11" s="212">
        <f t="shared" si="11"/>
        <v>202924.6</v>
      </c>
      <c r="AE11" s="212">
        <f t="shared" si="12"/>
        <v>0</v>
      </c>
      <c r="AF11" s="212">
        <f t="shared" si="13"/>
        <v>0</v>
      </c>
      <c r="AG11" s="212">
        <f t="shared" si="14"/>
        <v>0</v>
      </c>
      <c r="AH11" s="212">
        <f t="shared" si="15"/>
        <v>0</v>
      </c>
    </row>
    <row r="12" spans="1:34">
      <c r="A12" s="215" t="s">
        <v>620</v>
      </c>
      <c r="D12" s="199">
        <v>25000</v>
      </c>
      <c r="E12" s="199">
        <v>1295.7461999999998</v>
      </c>
      <c r="F12" s="212">
        <f>D12*E12</f>
        <v>32393654.999999996</v>
      </c>
      <c r="G12" s="213">
        <v>1000</v>
      </c>
      <c r="H12" s="212">
        <v>1000</v>
      </c>
      <c r="I12" s="212">
        <v>2000</v>
      </c>
      <c r="J12" s="212">
        <v>2000</v>
      </c>
      <c r="K12" s="212">
        <v>2000</v>
      </c>
      <c r="L12" s="212">
        <v>2000</v>
      </c>
      <c r="M12" s="212">
        <v>2000</v>
      </c>
      <c r="N12" s="212">
        <v>2000</v>
      </c>
      <c r="O12" s="212">
        <v>2000</v>
      </c>
      <c r="P12" s="212">
        <v>2000</v>
      </c>
      <c r="Q12" s="212">
        <v>2000</v>
      </c>
      <c r="R12" s="212">
        <v>2000</v>
      </c>
      <c r="S12" s="212">
        <v>2000</v>
      </c>
      <c r="T12" s="212">
        <v>500</v>
      </c>
      <c r="U12" s="213">
        <f t="shared" si="2"/>
        <v>1295746.1999999997</v>
      </c>
      <c r="V12" s="212">
        <f t="shared" si="3"/>
        <v>1295746.1999999997</v>
      </c>
      <c r="W12" s="212">
        <f t="shared" si="4"/>
        <v>2591492.3999999994</v>
      </c>
      <c r="X12" s="212">
        <f t="shared" si="5"/>
        <v>2591492.3999999994</v>
      </c>
      <c r="Y12" s="212">
        <f t="shared" si="6"/>
        <v>2591492.3999999994</v>
      </c>
      <c r="Z12" s="212">
        <f t="shared" si="7"/>
        <v>2591492.3999999994</v>
      </c>
      <c r="AA12" s="212">
        <f t="shared" si="8"/>
        <v>2591492.3999999994</v>
      </c>
      <c r="AB12" s="212">
        <f t="shared" si="9"/>
        <v>2591492.3999999994</v>
      </c>
      <c r="AC12" s="212">
        <f t="shared" si="10"/>
        <v>2591492.3999999994</v>
      </c>
      <c r="AD12" s="212">
        <f t="shared" si="11"/>
        <v>2591492.3999999994</v>
      </c>
      <c r="AE12" s="212">
        <f t="shared" si="12"/>
        <v>2591492.3999999994</v>
      </c>
      <c r="AF12" s="212">
        <f t="shared" si="13"/>
        <v>2591492.3999999994</v>
      </c>
      <c r="AG12" s="212">
        <f t="shared" si="14"/>
        <v>2591492.3999999994</v>
      </c>
      <c r="AH12" s="212">
        <f t="shared" si="15"/>
        <v>647873.09999999986</v>
      </c>
    </row>
    <row r="13" spans="1:34">
      <c r="A13" s="215" t="s">
        <v>619</v>
      </c>
      <c r="D13" s="199">
        <v>43241</v>
      </c>
      <c r="E13" s="199">
        <v>1295.7461999999998</v>
      </c>
      <c r="F13" s="212">
        <f>D13*E13</f>
        <v>56029361.434199989</v>
      </c>
      <c r="G13" s="213">
        <v>1000</v>
      </c>
      <c r="H13" s="212">
        <v>1000</v>
      </c>
      <c r="I13" s="212">
        <v>2000</v>
      </c>
      <c r="J13" s="212">
        <v>3000</v>
      </c>
      <c r="K13" s="212">
        <v>3000</v>
      </c>
      <c r="L13" s="212">
        <v>3000</v>
      </c>
      <c r="M13" s="212">
        <v>4000</v>
      </c>
      <c r="N13" s="212">
        <v>4000</v>
      </c>
      <c r="O13" s="212">
        <v>4000</v>
      </c>
      <c r="P13" s="212">
        <v>4000</v>
      </c>
      <c r="Q13" s="212">
        <v>4000</v>
      </c>
      <c r="R13" s="212">
        <v>4000</v>
      </c>
      <c r="S13" s="212">
        <v>2000</v>
      </c>
      <c r="T13" s="212">
        <v>2000</v>
      </c>
      <c r="U13" s="213">
        <f t="shared" si="2"/>
        <v>1295746.1999999997</v>
      </c>
      <c r="V13" s="212">
        <f t="shared" si="3"/>
        <v>1295746.1999999997</v>
      </c>
      <c r="W13" s="212">
        <f t="shared" si="4"/>
        <v>2591492.3999999994</v>
      </c>
      <c r="X13" s="212">
        <f t="shared" si="5"/>
        <v>3887238.5999999996</v>
      </c>
      <c r="Y13" s="212">
        <f t="shared" si="6"/>
        <v>3887238.5999999996</v>
      </c>
      <c r="Z13" s="212">
        <f t="shared" si="7"/>
        <v>3887238.5999999996</v>
      </c>
      <c r="AA13" s="212">
        <f t="shared" si="8"/>
        <v>5182984.7999999989</v>
      </c>
      <c r="AB13" s="212">
        <f t="shared" si="9"/>
        <v>5182984.7999999989</v>
      </c>
      <c r="AC13" s="212">
        <f t="shared" si="10"/>
        <v>5182984.7999999989</v>
      </c>
      <c r="AD13" s="212">
        <f t="shared" si="11"/>
        <v>5182984.7999999989</v>
      </c>
      <c r="AE13" s="212">
        <f t="shared" si="12"/>
        <v>5182984.7999999989</v>
      </c>
      <c r="AF13" s="212">
        <f t="shared" si="13"/>
        <v>5182984.7999999989</v>
      </c>
      <c r="AG13" s="212">
        <f t="shared" si="14"/>
        <v>2591492.3999999994</v>
      </c>
      <c r="AH13" s="212">
        <f t="shared" si="15"/>
        <v>2591492.3999999994</v>
      </c>
    </row>
    <row r="14" spans="1:34">
      <c r="G14" s="213">
        <v>1000</v>
      </c>
      <c r="H14" s="212">
        <v>1000</v>
      </c>
      <c r="I14" s="212">
        <v>2000</v>
      </c>
      <c r="J14" s="212">
        <v>3500</v>
      </c>
      <c r="K14" s="212">
        <v>3500</v>
      </c>
      <c r="L14" s="212">
        <v>3500</v>
      </c>
      <c r="M14" s="212">
        <v>3500</v>
      </c>
      <c r="N14" s="212">
        <v>3500</v>
      </c>
      <c r="O14" s="212">
        <v>3500</v>
      </c>
      <c r="P14" s="212">
        <v>3000</v>
      </c>
      <c r="Q14" s="212">
        <v>3000</v>
      </c>
      <c r="R14" s="212">
        <v>3000</v>
      </c>
      <c r="S14" s="212">
        <v>2000</v>
      </c>
      <c r="T14" s="212">
        <v>2000</v>
      </c>
      <c r="U14" s="213">
        <f t="shared" si="2"/>
        <v>0</v>
      </c>
      <c r="V14" s="212">
        <f t="shared" si="3"/>
        <v>0</v>
      </c>
      <c r="W14" s="212">
        <f t="shared" si="4"/>
        <v>0</v>
      </c>
      <c r="X14" s="212">
        <f t="shared" si="5"/>
        <v>0</v>
      </c>
      <c r="Y14" s="212">
        <f t="shared" si="6"/>
        <v>0</v>
      </c>
      <c r="Z14" s="212">
        <f t="shared" si="7"/>
        <v>0</v>
      </c>
      <c r="AA14" s="212">
        <f t="shared" si="8"/>
        <v>0</v>
      </c>
      <c r="AB14" s="212">
        <f t="shared" si="9"/>
        <v>0</v>
      </c>
      <c r="AC14" s="212">
        <f t="shared" si="10"/>
        <v>0</v>
      </c>
      <c r="AD14" s="212">
        <f t="shared" si="11"/>
        <v>0</v>
      </c>
      <c r="AE14" s="212">
        <f t="shared" si="12"/>
        <v>0</v>
      </c>
      <c r="AF14" s="212">
        <f t="shared" si="13"/>
        <v>0</v>
      </c>
      <c r="AG14" s="212">
        <f t="shared" si="14"/>
        <v>0</v>
      </c>
      <c r="AH14" s="212">
        <f t="shared" si="15"/>
        <v>0</v>
      </c>
    </row>
  </sheetData>
  <pageMargins left="0.7" right="0.7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DE4680-FD1E-4A31-9AD1-319FBE586577}">
  <dimension ref="A1:AJ19"/>
  <sheetViews>
    <sheetView zoomScaleNormal="100" workbookViewId="0">
      <pane ySplit="1" topLeftCell="A2" activePane="bottomLeft" state="frozen"/>
      <selection pane="bottomLeft"/>
    </sheetView>
  </sheetViews>
  <sheetFormatPr defaultRowHeight="12" customHeight="1"/>
  <cols>
    <col min="1" max="1" width="28.5" style="215" bestFit="1" customWidth="1"/>
    <col min="2" max="2" width="5.1640625" style="210" bestFit="1" customWidth="1"/>
    <col min="3" max="3" width="4.6640625" style="210" bestFit="1" customWidth="1"/>
    <col min="4" max="4" width="8.1640625" style="210" bestFit="1" customWidth="1"/>
    <col min="5" max="5" width="9.5" style="210" bestFit="1" customWidth="1"/>
    <col min="6" max="6" width="12" style="210" bestFit="1" customWidth="1"/>
    <col min="7" max="7" width="7" style="211" bestFit="1" customWidth="1"/>
    <col min="8" max="9" width="7" style="210" bestFit="1" customWidth="1"/>
    <col min="10" max="18" width="8" style="210" bestFit="1" customWidth="1"/>
    <col min="19" max="21" width="7" style="210" bestFit="1" customWidth="1"/>
    <col min="22" max="22" width="10.5" style="211" bestFit="1" customWidth="1"/>
    <col min="23" max="36" width="10.5" style="210" bestFit="1" customWidth="1"/>
    <col min="37" max="16384" width="9.33203125" style="210"/>
  </cols>
  <sheetData>
    <row r="1" spans="1:36" ht="12" customHeight="1">
      <c r="A1" s="218" t="s">
        <v>617</v>
      </c>
      <c r="B1" s="218" t="s">
        <v>616</v>
      </c>
      <c r="C1" s="218" t="s">
        <v>218</v>
      </c>
      <c r="D1" s="224" t="s">
        <v>420</v>
      </c>
      <c r="E1" s="218" t="s">
        <v>615</v>
      </c>
      <c r="F1" s="218" t="s">
        <v>623</v>
      </c>
      <c r="G1" s="223">
        <v>44764</v>
      </c>
      <c r="H1" s="222">
        <v>44795</v>
      </c>
      <c r="I1" s="222">
        <v>44826</v>
      </c>
      <c r="J1" s="222">
        <v>44856</v>
      </c>
      <c r="K1" s="222">
        <v>44887</v>
      </c>
      <c r="L1" s="222">
        <v>44917</v>
      </c>
      <c r="M1" s="222">
        <v>44948</v>
      </c>
      <c r="N1" s="222">
        <v>44979</v>
      </c>
      <c r="O1" s="222">
        <v>45007</v>
      </c>
      <c r="P1" s="222">
        <v>45038</v>
      </c>
      <c r="Q1" s="222">
        <v>45068</v>
      </c>
      <c r="R1" s="222">
        <v>45099</v>
      </c>
      <c r="S1" s="222">
        <v>45129</v>
      </c>
      <c r="T1" s="222">
        <v>45160</v>
      </c>
      <c r="U1" s="222">
        <v>45191</v>
      </c>
      <c r="V1" s="223">
        <v>44764</v>
      </c>
      <c r="W1" s="222">
        <v>44795</v>
      </c>
      <c r="X1" s="222">
        <v>44826</v>
      </c>
      <c r="Y1" s="222">
        <v>44856</v>
      </c>
      <c r="Z1" s="222">
        <v>44887</v>
      </c>
      <c r="AA1" s="222">
        <v>44917</v>
      </c>
      <c r="AB1" s="222">
        <v>44948</v>
      </c>
      <c r="AC1" s="222">
        <v>44979</v>
      </c>
      <c r="AD1" s="222">
        <v>45007</v>
      </c>
      <c r="AE1" s="222">
        <v>45038</v>
      </c>
      <c r="AF1" s="222">
        <v>45068</v>
      </c>
      <c r="AG1" s="222">
        <v>45099</v>
      </c>
      <c r="AH1" s="222">
        <v>45129</v>
      </c>
      <c r="AI1" s="222">
        <v>45160</v>
      </c>
      <c r="AJ1" s="222">
        <v>45191</v>
      </c>
    </row>
    <row r="2" spans="1:36" ht="12" customHeight="1">
      <c r="A2" s="215" t="s">
        <v>613</v>
      </c>
      <c r="B2" s="210">
        <v>110</v>
      </c>
      <c r="C2" s="210" t="s">
        <v>610</v>
      </c>
      <c r="D2" s="74">
        <v>141.54000000000002</v>
      </c>
      <c r="E2" s="74">
        <v>150000</v>
      </c>
      <c r="F2" s="74">
        <f t="shared" ref="F2:F19" si="0">D2*E2</f>
        <v>21231000.000000004</v>
      </c>
      <c r="G2" s="219">
        <v>1000</v>
      </c>
      <c r="H2" s="74">
        <v>1000</v>
      </c>
      <c r="I2" s="74">
        <v>4000</v>
      </c>
      <c r="J2" s="74">
        <v>10000</v>
      </c>
      <c r="K2" s="74">
        <v>15000</v>
      </c>
      <c r="L2" s="74">
        <v>15000</v>
      </c>
      <c r="M2" s="74">
        <v>18000</v>
      </c>
      <c r="N2" s="74">
        <v>18000</v>
      </c>
      <c r="O2" s="74">
        <v>18000</v>
      </c>
      <c r="P2" s="74">
        <v>18000</v>
      </c>
      <c r="Q2" s="74">
        <v>15000</v>
      </c>
      <c r="R2" s="74">
        <v>12000</v>
      </c>
      <c r="S2" s="74">
        <v>2000</v>
      </c>
      <c r="T2" s="74">
        <v>2000</v>
      </c>
      <c r="U2" s="74">
        <v>1000</v>
      </c>
      <c r="V2" s="219">
        <f t="shared" ref="V2:V19" si="1">G2*$D2</f>
        <v>141540.00000000003</v>
      </c>
      <c r="W2" s="74">
        <f t="shared" ref="W2:W19" si="2">H2*$D2</f>
        <v>141540.00000000003</v>
      </c>
      <c r="X2" s="74">
        <f t="shared" ref="X2:X19" si="3">I2*$D2</f>
        <v>566160.00000000012</v>
      </c>
      <c r="Y2" s="74">
        <f t="shared" ref="Y2:Y19" si="4">J2*$D2</f>
        <v>1415400.0000000002</v>
      </c>
      <c r="Z2" s="74">
        <f t="shared" ref="Z2:Z19" si="5">K2*$D2</f>
        <v>2123100.0000000005</v>
      </c>
      <c r="AA2" s="74">
        <f t="shared" ref="AA2:AA19" si="6">L2*$D2</f>
        <v>2123100.0000000005</v>
      </c>
      <c r="AB2" s="74">
        <f t="shared" ref="AB2:AB19" si="7">M2*$D2</f>
        <v>2547720.0000000005</v>
      </c>
      <c r="AC2" s="74">
        <f t="shared" ref="AC2:AC19" si="8">N2*$D2</f>
        <v>2547720.0000000005</v>
      </c>
      <c r="AD2" s="74">
        <f t="shared" ref="AD2:AD19" si="9">O2*$D2</f>
        <v>2547720.0000000005</v>
      </c>
      <c r="AE2" s="74">
        <f t="shared" ref="AE2:AE19" si="10">P2*$D2</f>
        <v>2547720.0000000005</v>
      </c>
      <c r="AF2" s="74">
        <f t="shared" ref="AF2:AF19" si="11">Q2*$D2</f>
        <v>2123100.0000000005</v>
      </c>
      <c r="AG2" s="74">
        <f t="shared" ref="AG2:AG19" si="12">R2*$D2</f>
        <v>1698480.0000000002</v>
      </c>
      <c r="AH2" s="74">
        <f t="shared" ref="AH2:AH19" si="13">S2*$D2</f>
        <v>283080.00000000006</v>
      </c>
      <c r="AI2" s="74">
        <f t="shared" ref="AI2:AI19" si="14">T2*$D2</f>
        <v>283080.00000000006</v>
      </c>
      <c r="AJ2" s="74">
        <f t="shared" ref="AJ2:AJ19" si="15">U2*$D2</f>
        <v>141540.00000000003</v>
      </c>
    </row>
    <row r="3" spans="1:36" ht="12" customHeight="1">
      <c r="A3" s="215" t="s">
        <v>613</v>
      </c>
      <c r="B3" s="210">
        <v>160</v>
      </c>
      <c r="C3" s="210" t="s">
        <v>610</v>
      </c>
      <c r="D3" s="74">
        <v>226.14999999999998</v>
      </c>
      <c r="E3" s="74">
        <v>11234.261750267706</v>
      </c>
      <c r="F3" s="74">
        <f t="shared" si="0"/>
        <v>2540628.2948230412</v>
      </c>
      <c r="G3" s="219">
        <v>0</v>
      </c>
      <c r="H3" s="74">
        <v>100</v>
      </c>
      <c r="I3" s="74">
        <v>200</v>
      </c>
      <c r="J3" s="74">
        <v>1000</v>
      </c>
      <c r="K3" s="74">
        <v>1000</v>
      </c>
      <c r="L3" s="74">
        <v>1000</v>
      </c>
      <c r="M3" s="74">
        <v>1500</v>
      </c>
      <c r="N3" s="74">
        <v>1500</v>
      </c>
      <c r="O3" s="74">
        <v>1000</v>
      </c>
      <c r="P3" s="74">
        <v>1000</v>
      </c>
      <c r="Q3" s="74">
        <v>1000</v>
      </c>
      <c r="R3" s="74">
        <v>800</v>
      </c>
      <c r="S3" s="74">
        <v>500</v>
      </c>
      <c r="T3" s="74">
        <v>200</v>
      </c>
      <c r="U3" s="74">
        <v>434</v>
      </c>
      <c r="V3" s="219">
        <f t="shared" si="1"/>
        <v>0</v>
      </c>
      <c r="W3" s="74">
        <f t="shared" si="2"/>
        <v>22614.999999999996</v>
      </c>
      <c r="X3" s="74">
        <f t="shared" si="3"/>
        <v>45229.999999999993</v>
      </c>
      <c r="Y3" s="74">
        <f t="shared" si="4"/>
        <v>226149.99999999997</v>
      </c>
      <c r="Z3" s="74">
        <f t="shared" si="5"/>
        <v>226149.99999999997</v>
      </c>
      <c r="AA3" s="74">
        <f t="shared" si="6"/>
        <v>226149.99999999997</v>
      </c>
      <c r="AB3" s="74">
        <f t="shared" si="7"/>
        <v>339224.99999999994</v>
      </c>
      <c r="AC3" s="74">
        <f t="shared" si="8"/>
        <v>339224.99999999994</v>
      </c>
      <c r="AD3" s="74">
        <f t="shared" si="9"/>
        <v>226149.99999999997</v>
      </c>
      <c r="AE3" s="74">
        <f t="shared" si="10"/>
        <v>226149.99999999997</v>
      </c>
      <c r="AF3" s="74">
        <f t="shared" si="11"/>
        <v>226149.99999999997</v>
      </c>
      <c r="AG3" s="74">
        <f t="shared" si="12"/>
        <v>180919.99999999997</v>
      </c>
      <c r="AH3" s="74">
        <f t="shared" si="13"/>
        <v>113074.99999999999</v>
      </c>
      <c r="AI3" s="74">
        <f t="shared" si="14"/>
        <v>45229.999999999993</v>
      </c>
      <c r="AJ3" s="74">
        <f t="shared" si="15"/>
        <v>98149.099999999991</v>
      </c>
    </row>
    <row r="4" spans="1:36" ht="12" customHeight="1">
      <c r="A4" s="215" t="s">
        <v>612</v>
      </c>
      <c r="B4" s="210">
        <v>200</v>
      </c>
      <c r="C4" s="210" t="s">
        <v>610</v>
      </c>
      <c r="D4" s="74">
        <v>4100</v>
      </c>
      <c r="E4" s="74">
        <v>2852</v>
      </c>
      <c r="F4" s="74">
        <f t="shared" si="0"/>
        <v>11693200</v>
      </c>
      <c r="G4" s="219">
        <v>0</v>
      </c>
      <c r="H4" s="74">
        <v>0</v>
      </c>
      <c r="I4" s="74">
        <v>0</v>
      </c>
      <c r="J4" s="74">
        <v>500</v>
      </c>
      <c r="K4" s="74">
        <v>0</v>
      </c>
      <c r="L4" s="74">
        <v>500</v>
      </c>
      <c r="M4" s="74">
        <v>0</v>
      </c>
      <c r="N4" s="74">
        <v>1000</v>
      </c>
      <c r="O4" s="74">
        <v>0</v>
      </c>
      <c r="P4" s="74">
        <v>500</v>
      </c>
      <c r="Q4" s="74">
        <v>0</v>
      </c>
      <c r="R4" s="74">
        <v>352</v>
      </c>
      <c r="S4" s="74">
        <v>0</v>
      </c>
      <c r="T4" s="74">
        <v>0</v>
      </c>
      <c r="U4" s="74">
        <v>0</v>
      </c>
      <c r="V4" s="219">
        <f t="shared" si="1"/>
        <v>0</v>
      </c>
      <c r="W4" s="74">
        <f t="shared" si="2"/>
        <v>0</v>
      </c>
      <c r="X4" s="74">
        <f t="shared" si="3"/>
        <v>0</v>
      </c>
      <c r="Y4" s="74">
        <f t="shared" si="4"/>
        <v>2050000</v>
      </c>
      <c r="Z4" s="74">
        <f t="shared" si="5"/>
        <v>0</v>
      </c>
      <c r="AA4" s="74">
        <f t="shared" si="6"/>
        <v>2050000</v>
      </c>
      <c r="AB4" s="74">
        <f t="shared" si="7"/>
        <v>0</v>
      </c>
      <c r="AC4" s="74">
        <f t="shared" si="8"/>
        <v>4100000</v>
      </c>
      <c r="AD4" s="74">
        <f t="shared" si="9"/>
        <v>0</v>
      </c>
      <c r="AE4" s="74">
        <f t="shared" si="10"/>
        <v>2050000</v>
      </c>
      <c r="AF4" s="74">
        <f t="shared" si="11"/>
        <v>0</v>
      </c>
      <c r="AG4" s="74">
        <f t="shared" si="12"/>
        <v>1443200</v>
      </c>
      <c r="AH4" s="74">
        <f t="shared" si="13"/>
        <v>0</v>
      </c>
      <c r="AI4" s="74">
        <f t="shared" si="14"/>
        <v>0</v>
      </c>
      <c r="AJ4" s="74">
        <f t="shared" si="15"/>
        <v>0</v>
      </c>
    </row>
    <row r="5" spans="1:36" ht="12" customHeight="1">
      <c r="A5" s="215" t="s">
        <v>612</v>
      </c>
      <c r="B5" s="210">
        <v>250</v>
      </c>
      <c r="C5" s="210" t="s">
        <v>610</v>
      </c>
      <c r="D5" s="74">
        <v>4170</v>
      </c>
      <c r="E5" s="74">
        <v>1100</v>
      </c>
      <c r="F5" s="74">
        <f t="shared" si="0"/>
        <v>4587000</v>
      </c>
      <c r="G5" s="219">
        <v>0</v>
      </c>
      <c r="H5" s="74">
        <v>0</v>
      </c>
      <c r="I5" s="74">
        <v>0</v>
      </c>
      <c r="J5" s="74">
        <v>0</v>
      </c>
      <c r="K5" s="74">
        <v>550</v>
      </c>
      <c r="L5" s="74">
        <v>0</v>
      </c>
      <c r="M5" s="74">
        <v>550</v>
      </c>
      <c r="N5" s="74">
        <v>0</v>
      </c>
      <c r="O5" s="74">
        <v>0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219">
        <f t="shared" si="1"/>
        <v>0</v>
      </c>
      <c r="W5" s="74">
        <f t="shared" si="2"/>
        <v>0</v>
      </c>
      <c r="X5" s="74">
        <f t="shared" si="3"/>
        <v>0</v>
      </c>
      <c r="Y5" s="74">
        <f t="shared" si="4"/>
        <v>0</v>
      </c>
      <c r="Z5" s="74">
        <f t="shared" si="5"/>
        <v>2293500</v>
      </c>
      <c r="AA5" s="74">
        <f t="shared" si="6"/>
        <v>0</v>
      </c>
      <c r="AB5" s="74">
        <f t="shared" si="7"/>
        <v>2293500</v>
      </c>
      <c r="AC5" s="74">
        <f t="shared" si="8"/>
        <v>0</v>
      </c>
      <c r="AD5" s="74">
        <f t="shared" si="9"/>
        <v>0</v>
      </c>
      <c r="AE5" s="74">
        <f t="shared" si="10"/>
        <v>0</v>
      </c>
      <c r="AF5" s="74">
        <f t="shared" si="11"/>
        <v>0</v>
      </c>
      <c r="AG5" s="74">
        <f t="shared" si="12"/>
        <v>0</v>
      </c>
      <c r="AH5" s="74">
        <f t="shared" si="13"/>
        <v>0</v>
      </c>
      <c r="AI5" s="74">
        <f t="shared" si="14"/>
        <v>0</v>
      </c>
      <c r="AJ5" s="74">
        <f t="shared" si="15"/>
        <v>0</v>
      </c>
    </row>
    <row r="6" spans="1:36" ht="12" customHeight="1">
      <c r="A6" s="215" t="s">
        <v>612</v>
      </c>
      <c r="B6" s="210">
        <v>300</v>
      </c>
      <c r="C6" s="210" t="s">
        <v>610</v>
      </c>
      <c r="D6" s="74">
        <v>4255</v>
      </c>
      <c r="E6" s="74">
        <v>3104.5842031750799</v>
      </c>
      <c r="F6" s="74">
        <f t="shared" si="0"/>
        <v>13210005.784509964</v>
      </c>
      <c r="G6" s="219">
        <v>0</v>
      </c>
      <c r="H6" s="74">
        <v>0</v>
      </c>
      <c r="I6" s="74">
        <v>300</v>
      </c>
      <c r="J6" s="74">
        <v>300</v>
      </c>
      <c r="K6" s="74">
        <v>500</v>
      </c>
      <c r="L6" s="74">
        <v>500</v>
      </c>
      <c r="M6" s="74">
        <v>500</v>
      </c>
      <c r="N6" s="74">
        <v>500</v>
      </c>
      <c r="O6" s="74">
        <v>0</v>
      </c>
      <c r="P6" s="74">
        <v>504.58</v>
      </c>
      <c r="Q6" s="74">
        <v>0</v>
      </c>
      <c r="R6" s="74">
        <v>0</v>
      </c>
      <c r="S6" s="74">
        <v>0</v>
      </c>
      <c r="T6" s="74">
        <v>0</v>
      </c>
      <c r="U6" s="74">
        <v>0</v>
      </c>
      <c r="V6" s="219">
        <f t="shared" si="1"/>
        <v>0</v>
      </c>
      <c r="W6" s="74">
        <f t="shared" si="2"/>
        <v>0</v>
      </c>
      <c r="X6" s="74">
        <f t="shared" si="3"/>
        <v>1276500</v>
      </c>
      <c r="Y6" s="74">
        <f t="shared" si="4"/>
        <v>1276500</v>
      </c>
      <c r="Z6" s="74">
        <f t="shared" si="5"/>
        <v>2127500</v>
      </c>
      <c r="AA6" s="74">
        <f t="shared" si="6"/>
        <v>2127500</v>
      </c>
      <c r="AB6" s="74">
        <f t="shared" si="7"/>
        <v>2127500</v>
      </c>
      <c r="AC6" s="74">
        <f t="shared" si="8"/>
        <v>2127500</v>
      </c>
      <c r="AD6" s="74">
        <f t="shared" si="9"/>
        <v>0</v>
      </c>
      <c r="AE6" s="74">
        <f t="shared" si="10"/>
        <v>2146987.9</v>
      </c>
      <c r="AF6" s="74">
        <f t="shared" si="11"/>
        <v>0</v>
      </c>
      <c r="AG6" s="74">
        <f t="shared" si="12"/>
        <v>0</v>
      </c>
      <c r="AH6" s="74">
        <f t="shared" si="13"/>
        <v>0</v>
      </c>
      <c r="AI6" s="74">
        <f t="shared" si="14"/>
        <v>0</v>
      </c>
      <c r="AJ6" s="74">
        <f t="shared" si="15"/>
        <v>0</v>
      </c>
    </row>
    <row r="7" spans="1:36" ht="12" customHeight="1">
      <c r="A7" s="215" t="s">
        <v>612</v>
      </c>
      <c r="B7" s="210">
        <v>350</v>
      </c>
      <c r="C7" s="210" t="s">
        <v>610</v>
      </c>
      <c r="D7" s="74">
        <v>4300</v>
      </c>
      <c r="E7" s="74">
        <v>1510.1000000000001</v>
      </c>
      <c r="F7" s="74">
        <f t="shared" si="0"/>
        <v>6493430.0000000009</v>
      </c>
      <c r="G7" s="219">
        <v>0</v>
      </c>
      <c r="H7" s="74">
        <v>0</v>
      </c>
      <c r="I7" s="74">
        <v>0</v>
      </c>
      <c r="J7" s="74">
        <v>200</v>
      </c>
      <c r="K7" s="74">
        <v>0</v>
      </c>
      <c r="L7" s="74">
        <v>300</v>
      </c>
      <c r="M7" s="74">
        <v>0</v>
      </c>
      <c r="N7" s="74">
        <v>500</v>
      </c>
      <c r="O7" s="74">
        <v>0</v>
      </c>
      <c r="P7" s="74">
        <v>0</v>
      </c>
      <c r="Q7" s="74">
        <v>510.1</v>
      </c>
      <c r="R7" s="74">
        <v>0</v>
      </c>
      <c r="S7" s="74">
        <v>0</v>
      </c>
      <c r="T7" s="74">
        <v>0</v>
      </c>
      <c r="U7" s="74">
        <v>0</v>
      </c>
      <c r="V7" s="219">
        <f t="shared" si="1"/>
        <v>0</v>
      </c>
      <c r="W7" s="74">
        <f t="shared" si="2"/>
        <v>0</v>
      </c>
      <c r="X7" s="74">
        <f t="shared" si="3"/>
        <v>0</v>
      </c>
      <c r="Y7" s="74">
        <f t="shared" si="4"/>
        <v>860000</v>
      </c>
      <c r="Z7" s="74">
        <f t="shared" si="5"/>
        <v>0</v>
      </c>
      <c r="AA7" s="74">
        <f t="shared" si="6"/>
        <v>1290000</v>
      </c>
      <c r="AB7" s="74">
        <f t="shared" si="7"/>
        <v>0</v>
      </c>
      <c r="AC7" s="74">
        <f t="shared" si="8"/>
        <v>2150000</v>
      </c>
      <c r="AD7" s="74">
        <f t="shared" si="9"/>
        <v>0</v>
      </c>
      <c r="AE7" s="74">
        <f t="shared" si="10"/>
        <v>0</v>
      </c>
      <c r="AF7" s="74">
        <f t="shared" si="11"/>
        <v>2193430</v>
      </c>
      <c r="AG7" s="74">
        <f t="shared" si="12"/>
        <v>0</v>
      </c>
      <c r="AH7" s="74">
        <f t="shared" si="13"/>
        <v>0</v>
      </c>
      <c r="AI7" s="74">
        <f t="shared" si="14"/>
        <v>0</v>
      </c>
      <c r="AJ7" s="74">
        <f t="shared" si="15"/>
        <v>0</v>
      </c>
    </row>
    <row r="8" spans="1:36" ht="12" customHeight="1">
      <c r="A8" s="215" t="s">
        <v>612</v>
      </c>
      <c r="B8" s="210">
        <v>400</v>
      </c>
      <c r="C8" s="210" t="s">
        <v>610</v>
      </c>
      <c r="D8" s="74">
        <v>4600</v>
      </c>
      <c r="E8" s="74">
        <v>2281.8508418863994</v>
      </c>
      <c r="F8" s="74">
        <f t="shared" si="0"/>
        <v>10496513.872677438</v>
      </c>
      <c r="G8" s="219">
        <v>0</v>
      </c>
      <c r="H8" s="74">
        <v>0</v>
      </c>
      <c r="I8" s="74">
        <v>0</v>
      </c>
      <c r="J8" s="74">
        <v>400</v>
      </c>
      <c r="K8" s="74">
        <v>500</v>
      </c>
      <c r="L8" s="74">
        <v>500</v>
      </c>
      <c r="M8" s="74">
        <v>300</v>
      </c>
      <c r="N8" s="74">
        <v>300</v>
      </c>
      <c r="O8" s="74">
        <v>281.85000000000002</v>
      </c>
      <c r="P8" s="74">
        <v>0</v>
      </c>
      <c r="Q8" s="74">
        <v>0</v>
      </c>
      <c r="R8" s="74">
        <v>0</v>
      </c>
      <c r="S8" s="74">
        <v>0</v>
      </c>
      <c r="T8" s="74">
        <v>0</v>
      </c>
      <c r="U8" s="74">
        <v>0</v>
      </c>
      <c r="V8" s="219">
        <f t="shared" si="1"/>
        <v>0</v>
      </c>
      <c r="W8" s="74">
        <f t="shared" si="2"/>
        <v>0</v>
      </c>
      <c r="X8" s="74">
        <f t="shared" si="3"/>
        <v>0</v>
      </c>
      <c r="Y8" s="74">
        <f t="shared" si="4"/>
        <v>1840000</v>
      </c>
      <c r="Z8" s="74">
        <f t="shared" si="5"/>
        <v>2300000</v>
      </c>
      <c r="AA8" s="74">
        <f t="shared" si="6"/>
        <v>2300000</v>
      </c>
      <c r="AB8" s="74">
        <f t="shared" si="7"/>
        <v>1380000</v>
      </c>
      <c r="AC8" s="74">
        <f t="shared" si="8"/>
        <v>1380000</v>
      </c>
      <c r="AD8" s="74">
        <f t="shared" si="9"/>
        <v>1296510</v>
      </c>
      <c r="AE8" s="74">
        <f t="shared" si="10"/>
        <v>0</v>
      </c>
      <c r="AF8" s="74">
        <f t="shared" si="11"/>
        <v>0</v>
      </c>
      <c r="AG8" s="74">
        <f t="shared" si="12"/>
        <v>0</v>
      </c>
      <c r="AH8" s="74">
        <f t="shared" si="13"/>
        <v>0</v>
      </c>
      <c r="AI8" s="74">
        <f t="shared" si="14"/>
        <v>0</v>
      </c>
      <c r="AJ8" s="74">
        <f t="shared" si="15"/>
        <v>0</v>
      </c>
    </row>
    <row r="9" spans="1:36" ht="12" customHeight="1">
      <c r="A9" s="215" t="s">
        <v>612</v>
      </c>
      <c r="B9" s="210">
        <v>700</v>
      </c>
      <c r="C9" s="210" t="s">
        <v>610</v>
      </c>
      <c r="D9" s="74">
        <v>6200</v>
      </c>
      <c r="E9" s="74">
        <v>704.5</v>
      </c>
      <c r="F9" s="74">
        <f t="shared" si="0"/>
        <v>4367900</v>
      </c>
      <c r="G9" s="219">
        <v>0</v>
      </c>
      <c r="H9" s="74">
        <v>0</v>
      </c>
      <c r="I9" s="74">
        <v>0</v>
      </c>
      <c r="J9" s="74">
        <v>0</v>
      </c>
      <c r="K9" s="74">
        <v>300</v>
      </c>
      <c r="L9" s="74">
        <v>0</v>
      </c>
      <c r="M9" s="74">
        <v>404.5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0</v>
      </c>
      <c r="V9" s="219">
        <f t="shared" si="1"/>
        <v>0</v>
      </c>
      <c r="W9" s="74">
        <f t="shared" si="2"/>
        <v>0</v>
      </c>
      <c r="X9" s="74">
        <f t="shared" si="3"/>
        <v>0</v>
      </c>
      <c r="Y9" s="74">
        <f t="shared" si="4"/>
        <v>0</v>
      </c>
      <c r="Z9" s="74">
        <f t="shared" si="5"/>
        <v>1860000</v>
      </c>
      <c r="AA9" s="74">
        <f t="shared" si="6"/>
        <v>0</v>
      </c>
      <c r="AB9" s="74">
        <f t="shared" si="7"/>
        <v>2507900</v>
      </c>
      <c r="AC9" s="74">
        <f t="shared" si="8"/>
        <v>0</v>
      </c>
      <c r="AD9" s="74">
        <f t="shared" si="9"/>
        <v>0</v>
      </c>
      <c r="AE9" s="74">
        <f t="shared" si="10"/>
        <v>0</v>
      </c>
      <c r="AF9" s="74">
        <f t="shared" si="11"/>
        <v>0</v>
      </c>
      <c r="AG9" s="74">
        <f t="shared" si="12"/>
        <v>0</v>
      </c>
      <c r="AH9" s="74">
        <f t="shared" si="13"/>
        <v>0</v>
      </c>
      <c r="AI9" s="74">
        <f t="shared" si="14"/>
        <v>0</v>
      </c>
      <c r="AJ9" s="74">
        <f t="shared" si="15"/>
        <v>0</v>
      </c>
    </row>
    <row r="10" spans="1:36" ht="12" customHeight="1">
      <c r="A10" s="215" t="s">
        <v>612</v>
      </c>
      <c r="B10" s="210">
        <v>900</v>
      </c>
      <c r="C10" s="210" t="s">
        <v>610</v>
      </c>
      <c r="D10" s="74">
        <v>7000</v>
      </c>
      <c r="E10" s="74">
        <v>1850</v>
      </c>
      <c r="F10" s="74">
        <f t="shared" si="0"/>
        <v>12950000</v>
      </c>
      <c r="G10" s="219">
        <v>0</v>
      </c>
      <c r="H10" s="74">
        <v>0</v>
      </c>
      <c r="I10" s="74">
        <v>0</v>
      </c>
      <c r="J10" s="74">
        <v>0</v>
      </c>
      <c r="K10" s="74">
        <v>500</v>
      </c>
      <c r="L10" s="74">
        <v>500</v>
      </c>
      <c r="M10" s="74">
        <v>500</v>
      </c>
      <c r="N10" s="74">
        <v>350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219">
        <f t="shared" si="1"/>
        <v>0</v>
      </c>
      <c r="W10" s="74">
        <f t="shared" si="2"/>
        <v>0</v>
      </c>
      <c r="X10" s="74">
        <f t="shared" si="3"/>
        <v>0</v>
      </c>
      <c r="Y10" s="74">
        <f t="shared" si="4"/>
        <v>0</v>
      </c>
      <c r="Z10" s="74">
        <f t="shared" si="5"/>
        <v>3500000</v>
      </c>
      <c r="AA10" s="74">
        <f t="shared" si="6"/>
        <v>3500000</v>
      </c>
      <c r="AB10" s="74">
        <f t="shared" si="7"/>
        <v>3500000</v>
      </c>
      <c r="AC10" s="74">
        <f t="shared" si="8"/>
        <v>2450000</v>
      </c>
      <c r="AD10" s="74">
        <f t="shared" si="9"/>
        <v>0</v>
      </c>
      <c r="AE10" s="74">
        <f t="shared" si="10"/>
        <v>0</v>
      </c>
      <c r="AF10" s="74">
        <f t="shared" si="11"/>
        <v>0</v>
      </c>
      <c r="AG10" s="74">
        <f t="shared" si="12"/>
        <v>0</v>
      </c>
      <c r="AH10" s="74">
        <f t="shared" si="13"/>
        <v>0</v>
      </c>
      <c r="AI10" s="74">
        <f t="shared" si="14"/>
        <v>0</v>
      </c>
      <c r="AJ10" s="74">
        <f t="shared" si="15"/>
        <v>0</v>
      </c>
    </row>
    <row r="11" spans="1:36" ht="12" customHeight="1">
      <c r="A11" s="215" t="s">
        <v>612</v>
      </c>
      <c r="B11" s="210">
        <v>1000</v>
      </c>
      <c r="C11" s="210" t="s">
        <v>610</v>
      </c>
      <c r="D11" s="74">
        <v>8000</v>
      </c>
      <c r="E11" s="74">
        <v>8332</v>
      </c>
      <c r="F11" s="74">
        <f t="shared" si="0"/>
        <v>66656000</v>
      </c>
      <c r="G11" s="219">
        <v>0</v>
      </c>
      <c r="H11" s="74">
        <v>0</v>
      </c>
      <c r="I11" s="74">
        <v>0</v>
      </c>
      <c r="J11" s="74">
        <v>0</v>
      </c>
      <c r="K11" s="74">
        <v>500</v>
      </c>
      <c r="L11" s="74">
        <v>1000</v>
      </c>
      <c r="M11" s="74">
        <v>1000</v>
      </c>
      <c r="N11" s="74">
        <v>1000</v>
      </c>
      <c r="O11" s="74">
        <v>1200</v>
      </c>
      <c r="P11" s="74">
        <v>1200</v>
      </c>
      <c r="Q11" s="74">
        <v>1200</v>
      </c>
      <c r="R11" s="74">
        <v>1232</v>
      </c>
      <c r="S11" s="74">
        <v>0</v>
      </c>
      <c r="T11" s="74">
        <v>0</v>
      </c>
      <c r="U11" s="74">
        <v>0</v>
      </c>
      <c r="V11" s="219">
        <f t="shared" si="1"/>
        <v>0</v>
      </c>
      <c r="W11" s="74">
        <f t="shared" si="2"/>
        <v>0</v>
      </c>
      <c r="X11" s="74">
        <f t="shared" si="3"/>
        <v>0</v>
      </c>
      <c r="Y11" s="74">
        <f t="shared" si="4"/>
        <v>0</v>
      </c>
      <c r="Z11" s="74">
        <f t="shared" si="5"/>
        <v>4000000</v>
      </c>
      <c r="AA11" s="74">
        <f t="shared" si="6"/>
        <v>8000000</v>
      </c>
      <c r="AB11" s="74">
        <f t="shared" si="7"/>
        <v>8000000</v>
      </c>
      <c r="AC11" s="74">
        <f t="shared" si="8"/>
        <v>8000000</v>
      </c>
      <c r="AD11" s="74">
        <f t="shared" si="9"/>
        <v>9600000</v>
      </c>
      <c r="AE11" s="74">
        <f t="shared" si="10"/>
        <v>9600000</v>
      </c>
      <c r="AF11" s="74">
        <f t="shared" si="11"/>
        <v>9600000</v>
      </c>
      <c r="AG11" s="74">
        <f t="shared" si="12"/>
        <v>9856000</v>
      </c>
      <c r="AH11" s="74">
        <f t="shared" si="13"/>
        <v>0</v>
      </c>
      <c r="AI11" s="74">
        <f t="shared" si="14"/>
        <v>0</v>
      </c>
      <c r="AJ11" s="74">
        <f t="shared" si="15"/>
        <v>0</v>
      </c>
    </row>
    <row r="12" spans="1:36" ht="12" customHeight="1">
      <c r="A12" s="215" t="s">
        <v>611</v>
      </c>
      <c r="B12" s="210">
        <v>1200</v>
      </c>
      <c r="C12" s="210" t="s">
        <v>610</v>
      </c>
      <c r="D12" s="74">
        <v>1854.68250304</v>
      </c>
      <c r="E12" s="74">
        <v>2628</v>
      </c>
      <c r="F12" s="74">
        <f t="shared" si="0"/>
        <v>4874105.6179891201</v>
      </c>
      <c r="G12" s="219">
        <v>0</v>
      </c>
      <c r="H12" s="74">
        <v>0</v>
      </c>
      <c r="I12" s="74">
        <v>0</v>
      </c>
      <c r="J12" s="74">
        <v>0</v>
      </c>
      <c r="K12" s="74">
        <v>0</v>
      </c>
      <c r="L12" s="74">
        <v>500</v>
      </c>
      <c r="M12" s="74">
        <v>500</v>
      </c>
      <c r="N12" s="74">
        <v>500</v>
      </c>
      <c r="O12" s="74">
        <v>500</v>
      </c>
      <c r="P12" s="74">
        <v>628</v>
      </c>
      <c r="Q12" s="74">
        <v>0</v>
      </c>
      <c r="R12" s="74">
        <v>0</v>
      </c>
      <c r="S12" s="74">
        <v>0</v>
      </c>
      <c r="T12" s="74">
        <v>0</v>
      </c>
      <c r="U12" s="74">
        <v>0</v>
      </c>
      <c r="V12" s="219">
        <f t="shared" si="1"/>
        <v>0</v>
      </c>
      <c r="W12" s="74">
        <f t="shared" si="2"/>
        <v>0</v>
      </c>
      <c r="X12" s="74">
        <f t="shared" si="3"/>
        <v>0</v>
      </c>
      <c r="Y12" s="74">
        <f t="shared" si="4"/>
        <v>0</v>
      </c>
      <c r="Z12" s="74">
        <f t="shared" si="5"/>
        <v>0</v>
      </c>
      <c r="AA12" s="74">
        <f t="shared" si="6"/>
        <v>927341.25152000005</v>
      </c>
      <c r="AB12" s="74">
        <f t="shared" si="7"/>
        <v>927341.25152000005</v>
      </c>
      <c r="AC12" s="74">
        <f t="shared" si="8"/>
        <v>927341.25152000005</v>
      </c>
      <c r="AD12" s="74">
        <f t="shared" si="9"/>
        <v>927341.25152000005</v>
      </c>
      <c r="AE12" s="74">
        <f t="shared" si="10"/>
        <v>1164740.6119091201</v>
      </c>
      <c r="AF12" s="74">
        <f t="shared" si="11"/>
        <v>0</v>
      </c>
      <c r="AG12" s="74">
        <f t="shared" si="12"/>
        <v>0</v>
      </c>
      <c r="AH12" s="74">
        <f t="shared" si="13"/>
        <v>0</v>
      </c>
      <c r="AI12" s="74">
        <f t="shared" si="14"/>
        <v>0</v>
      </c>
      <c r="AJ12" s="74">
        <f t="shared" si="15"/>
        <v>0</v>
      </c>
    </row>
    <row r="13" spans="1:36" ht="12" customHeight="1">
      <c r="A13" s="215" t="s">
        <v>611</v>
      </c>
      <c r="B13" s="210">
        <v>1400</v>
      </c>
      <c r="C13" s="210" t="s">
        <v>610</v>
      </c>
      <c r="D13" s="74">
        <v>2131.6034950399999</v>
      </c>
      <c r="E13" s="74">
        <v>501</v>
      </c>
      <c r="F13" s="74">
        <f t="shared" si="0"/>
        <v>1067933.35101504</v>
      </c>
      <c r="G13" s="219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250</v>
      </c>
      <c r="N13" s="74">
        <v>251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219">
        <f t="shared" si="1"/>
        <v>0</v>
      </c>
      <c r="W13" s="74">
        <f t="shared" si="2"/>
        <v>0</v>
      </c>
      <c r="X13" s="74">
        <f t="shared" si="3"/>
        <v>0</v>
      </c>
      <c r="Y13" s="74">
        <f t="shared" si="4"/>
        <v>0</v>
      </c>
      <c r="Z13" s="74">
        <f t="shared" si="5"/>
        <v>0</v>
      </c>
      <c r="AA13" s="74">
        <f t="shared" si="6"/>
        <v>0</v>
      </c>
      <c r="AB13" s="74">
        <f t="shared" si="7"/>
        <v>532900.87375999999</v>
      </c>
      <c r="AC13" s="74">
        <f t="shared" si="8"/>
        <v>535032.47725503996</v>
      </c>
      <c r="AD13" s="74">
        <f t="shared" si="9"/>
        <v>0</v>
      </c>
      <c r="AE13" s="74">
        <f t="shared" si="10"/>
        <v>0</v>
      </c>
      <c r="AF13" s="74">
        <f t="shared" si="11"/>
        <v>0</v>
      </c>
      <c r="AG13" s="74">
        <f t="shared" si="12"/>
        <v>0</v>
      </c>
      <c r="AH13" s="74">
        <f t="shared" si="13"/>
        <v>0</v>
      </c>
      <c r="AI13" s="74">
        <f t="shared" si="14"/>
        <v>0</v>
      </c>
      <c r="AJ13" s="74">
        <f t="shared" si="15"/>
        <v>0</v>
      </c>
    </row>
    <row r="14" spans="1:36" ht="12" customHeight="1">
      <c r="A14" s="215" t="s">
        <v>611</v>
      </c>
      <c r="B14" s="210">
        <v>1500</v>
      </c>
      <c r="C14" s="210" t="s">
        <v>610</v>
      </c>
      <c r="D14" s="74">
        <v>2273.12399104</v>
      </c>
      <c r="E14" s="74">
        <v>163</v>
      </c>
      <c r="F14" s="74">
        <f t="shared" si="0"/>
        <v>370519.21053952002</v>
      </c>
      <c r="G14" s="219">
        <v>163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  <c r="S14" s="74">
        <v>0</v>
      </c>
      <c r="T14" s="74">
        <v>0</v>
      </c>
      <c r="U14" s="74">
        <v>0</v>
      </c>
      <c r="V14" s="219">
        <f t="shared" si="1"/>
        <v>370519.21053952002</v>
      </c>
      <c r="W14" s="74">
        <f t="shared" si="2"/>
        <v>0</v>
      </c>
      <c r="X14" s="74">
        <f t="shared" si="3"/>
        <v>0</v>
      </c>
      <c r="Y14" s="74">
        <f t="shared" si="4"/>
        <v>0</v>
      </c>
      <c r="Z14" s="74">
        <f t="shared" si="5"/>
        <v>0</v>
      </c>
      <c r="AA14" s="74">
        <f t="shared" si="6"/>
        <v>0</v>
      </c>
      <c r="AB14" s="74">
        <f t="shared" si="7"/>
        <v>0</v>
      </c>
      <c r="AC14" s="74">
        <f t="shared" si="8"/>
        <v>0</v>
      </c>
      <c r="AD14" s="74">
        <f t="shared" si="9"/>
        <v>0</v>
      </c>
      <c r="AE14" s="74">
        <f t="shared" si="10"/>
        <v>0</v>
      </c>
      <c r="AF14" s="74">
        <f t="shared" si="11"/>
        <v>0</v>
      </c>
      <c r="AG14" s="74">
        <f t="shared" si="12"/>
        <v>0</v>
      </c>
      <c r="AH14" s="74">
        <f t="shared" si="13"/>
        <v>0</v>
      </c>
      <c r="AI14" s="74">
        <f t="shared" si="14"/>
        <v>0</v>
      </c>
      <c r="AJ14" s="74">
        <f t="shared" si="15"/>
        <v>0</v>
      </c>
    </row>
    <row r="15" spans="1:36" ht="12" customHeight="1">
      <c r="A15" s="215" t="s">
        <v>622</v>
      </c>
      <c r="C15" s="210" t="s">
        <v>607</v>
      </c>
      <c r="D15" s="74">
        <v>1266.6400000000001</v>
      </c>
      <c r="E15" s="74">
        <v>500</v>
      </c>
      <c r="F15" s="74">
        <f t="shared" si="0"/>
        <v>633320</v>
      </c>
      <c r="G15" s="219">
        <v>0</v>
      </c>
      <c r="H15" s="74">
        <v>0</v>
      </c>
      <c r="I15" s="74">
        <v>0</v>
      </c>
      <c r="J15" s="74">
        <v>100</v>
      </c>
      <c r="K15" s="74">
        <v>0</v>
      </c>
      <c r="L15" s="74">
        <v>100</v>
      </c>
      <c r="M15" s="74">
        <v>0</v>
      </c>
      <c r="N15" s="74">
        <v>100</v>
      </c>
      <c r="O15" s="74">
        <v>0</v>
      </c>
      <c r="P15" s="74">
        <v>100</v>
      </c>
      <c r="Q15" s="74">
        <v>0</v>
      </c>
      <c r="R15" s="74">
        <v>100</v>
      </c>
      <c r="S15" s="74">
        <v>0</v>
      </c>
      <c r="T15" s="74">
        <v>0</v>
      </c>
      <c r="U15" s="74">
        <v>0</v>
      </c>
      <c r="V15" s="219">
        <f t="shared" si="1"/>
        <v>0</v>
      </c>
      <c r="W15" s="74">
        <f t="shared" si="2"/>
        <v>0</v>
      </c>
      <c r="X15" s="74">
        <f t="shared" si="3"/>
        <v>0</v>
      </c>
      <c r="Y15" s="74">
        <f t="shared" si="4"/>
        <v>126664.00000000001</v>
      </c>
      <c r="Z15" s="74">
        <f t="shared" si="5"/>
        <v>0</v>
      </c>
      <c r="AA15" s="74">
        <f t="shared" si="6"/>
        <v>126664.00000000001</v>
      </c>
      <c r="AB15" s="74">
        <f t="shared" si="7"/>
        <v>0</v>
      </c>
      <c r="AC15" s="74">
        <f t="shared" si="8"/>
        <v>126664.00000000001</v>
      </c>
      <c r="AD15" s="74">
        <f t="shared" si="9"/>
        <v>0</v>
      </c>
      <c r="AE15" s="74">
        <f t="shared" si="10"/>
        <v>126664.00000000001</v>
      </c>
      <c r="AF15" s="74">
        <f t="shared" si="11"/>
        <v>0</v>
      </c>
      <c r="AG15" s="74">
        <f t="shared" si="12"/>
        <v>126664.00000000001</v>
      </c>
      <c r="AH15" s="74">
        <f t="shared" si="13"/>
        <v>0</v>
      </c>
      <c r="AI15" s="74">
        <f t="shared" si="14"/>
        <v>0</v>
      </c>
      <c r="AJ15" s="74">
        <f t="shared" si="15"/>
        <v>0</v>
      </c>
    </row>
    <row r="16" spans="1:36" ht="12" customHeight="1">
      <c r="A16" s="215" t="s">
        <v>621</v>
      </c>
      <c r="C16" s="210" t="s">
        <v>607</v>
      </c>
      <c r="D16" s="74">
        <v>542.72</v>
      </c>
      <c r="E16" s="74">
        <v>5000</v>
      </c>
      <c r="F16" s="74">
        <f t="shared" si="0"/>
        <v>2713600</v>
      </c>
      <c r="G16" s="219">
        <v>500</v>
      </c>
      <c r="H16" s="74">
        <v>500</v>
      </c>
      <c r="I16" s="74">
        <v>500</v>
      </c>
      <c r="J16" s="74">
        <v>500</v>
      </c>
      <c r="K16" s="74">
        <v>500</v>
      </c>
      <c r="L16" s="74">
        <v>500</v>
      </c>
      <c r="M16" s="74">
        <v>500</v>
      </c>
      <c r="N16" s="74">
        <v>500</v>
      </c>
      <c r="O16" s="74">
        <v>500</v>
      </c>
      <c r="P16" s="74">
        <v>500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219">
        <f t="shared" si="1"/>
        <v>271360</v>
      </c>
      <c r="W16" s="74">
        <f t="shared" si="2"/>
        <v>271360</v>
      </c>
      <c r="X16" s="74">
        <f t="shared" si="3"/>
        <v>271360</v>
      </c>
      <c r="Y16" s="74">
        <f t="shared" si="4"/>
        <v>271360</v>
      </c>
      <c r="Z16" s="74">
        <f t="shared" si="5"/>
        <v>271360</v>
      </c>
      <c r="AA16" s="74">
        <f t="shared" si="6"/>
        <v>271360</v>
      </c>
      <c r="AB16" s="74">
        <f t="shared" si="7"/>
        <v>271360</v>
      </c>
      <c r="AC16" s="74">
        <f t="shared" si="8"/>
        <v>271360</v>
      </c>
      <c r="AD16" s="74">
        <f t="shared" si="9"/>
        <v>271360</v>
      </c>
      <c r="AE16" s="74">
        <f t="shared" si="10"/>
        <v>271360</v>
      </c>
      <c r="AF16" s="74">
        <f t="shared" si="11"/>
        <v>0</v>
      </c>
      <c r="AG16" s="74">
        <f t="shared" si="12"/>
        <v>0</v>
      </c>
      <c r="AH16" s="74">
        <f t="shared" si="13"/>
        <v>0</v>
      </c>
      <c r="AI16" s="74">
        <f t="shared" si="14"/>
        <v>0</v>
      </c>
      <c r="AJ16" s="74">
        <f t="shared" si="15"/>
        <v>0</v>
      </c>
    </row>
    <row r="17" spans="1:36" ht="12" customHeight="1">
      <c r="A17" s="215" t="s">
        <v>620</v>
      </c>
      <c r="C17" s="210" t="s">
        <v>607</v>
      </c>
      <c r="D17" s="74">
        <v>1809.06</v>
      </c>
      <c r="E17" s="74">
        <v>25000</v>
      </c>
      <c r="F17" s="74">
        <f t="shared" si="0"/>
        <v>45226500</v>
      </c>
      <c r="G17" s="219">
        <v>1000</v>
      </c>
      <c r="H17" s="74">
        <v>1000</v>
      </c>
      <c r="I17" s="74">
        <v>2000</v>
      </c>
      <c r="J17" s="74">
        <v>2000</v>
      </c>
      <c r="K17" s="74">
        <v>2000</v>
      </c>
      <c r="L17" s="74">
        <v>2000</v>
      </c>
      <c r="M17" s="74">
        <v>2000</v>
      </c>
      <c r="N17" s="74">
        <v>2000</v>
      </c>
      <c r="O17" s="74">
        <v>2000</v>
      </c>
      <c r="P17" s="74">
        <v>2000</v>
      </c>
      <c r="Q17" s="74">
        <v>2000</v>
      </c>
      <c r="R17" s="74">
        <v>2000</v>
      </c>
      <c r="S17" s="74">
        <v>2000</v>
      </c>
      <c r="T17" s="74">
        <v>500</v>
      </c>
      <c r="U17" s="74">
        <v>500</v>
      </c>
      <c r="V17" s="219">
        <f t="shared" si="1"/>
        <v>1809060</v>
      </c>
      <c r="W17" s="74">
        <f t="shared" si="2"/>
        <v>1809060</v>
      </c>
      <c r="X17" s="74">
        <f t="shared" si="3"/>
        <v>3618120</v>
      </c>
      <c r="Y17" s="74">
        <f t="shared" si="4"/>
        <v>3618120</v>
      </c>
      <c r="Z17" s="74">
        <f t="shared" si="5"/>
        <v>3618120</v>
      </c>
      <c r="AA17" s="74">
        <f t="shared" si="6"/>
        <v>3618120</v>
      </c>
      <c r="AB17" s="74">
        <f t="shared" si="7"/>
        <v>3618120</v>
      </c>
      <c r="AC17" s="74">
        <f t="shared" si="8"/>
        <v>3618120</v>
      </c>
      <c r="AD17" s="74">
        <f t="shared" si="9"/>
        <v>3618120</v>
      </c>
      <c r="AE17" s="74">
        <f t="shared" si="10"/>
        <v>3618120</v>
      </c>
      <c r="AF17" s="74">
        <f t="shared" si="11"/>
        <v>3618120</v>
      </c>
      <c r="AG17" s="74">
        <f t="shared" si="12"/>
        <v>3618120</v>
      </c>
      <c r="AH17" s="74">
        <f t="shared" si="13"/>
        <v>3618120</v>
      </c>
      <c r="AI17" s="74">
        <f t="shared" si="14"/>
        <v>904530</v>
      </c>
      <c r="AJ17" s="74">
        <f t="shared" si="15"/>
        <v>904530</v>
      </c>
    </row>
    <row r="18" spans="1:36" ht="12" customHeight="1">
      <c r="A18" s="215" t="s">
        <v>619</v>
      </c>
      <c r="C18" s="210" t="s">
        <v>607</v>
      </c>
      <c r="D18" s="210">
        <v>1900.43</v>
      </c>
      <c r="E18" s="210">
        <v>43241</v>
      </c>
      <c r="F18" s="74">
        <f t="shared" si="0"/>
        <v>82176493.63000001</v>
      </c>
      <c r="G18" s="219">
        <v>1000</v>
      </c>
      <c r="H18" s="74">
        <v>1000</v>
      </c>
      <c r="I18" s="74">
        <v>2000</v>
      </c>
      <c r="J18" s="74">
        <v>3000</v>
      </c>
      <c r="K18" s="74">
        <v>3000</v>
      </c>
      <c r="L18" s="74">
        <v>3000</v>
      </c>
      <c r="M18" s="74">
        <v>4000</v>
      </c>
      <c r="N18" s="74">
        <v>4000</v>
      </c>
      <c r="O18" s="74">
        <v>4000</v>
      </c>
      <c r="P18" s="74">
        <v>4000</v>
      </c>
      <c r="Q18" s="74">
        <v>4000</v>
      </c>
      <c r="R18" s="74">
        <v>4000</v>
      </c>
      <c r="S18" s="74">
        <v>2000</v>
      </c>
      <c r="T18" s="74">
        <v>2000</v>
      </c>
      <c r="U18" s="74">
        <v>2241</v>
      </c>
      <c r="V18" s="219">
        <f t="shared" si="1"/>
        <v>1900430</v>
      </c>
      <c r="W18" s="74">
        <f t="shared" si="2"/>
        <v>1900430</v>
      </c>
      <c r="X18" s="74">
        <f t="shared" si="3"/>
        <v>3800860</v>
      </c>
      <c r="Y18" s="74">
        <f t="shared" si="4"/>
        <v>5701290</v>
      </c>
      <c r="Z18" s="74">
        <f t="shared" si="5"/>
        <v>5701290</v>
      </c>
      <c r="AA18" s="74">
        <f t="shared" si="6"/>
        <v>5701290</v>
      </c>
      <c r="AB18" s="74">
        <f t="shared" si="7"/>
        <v>7601720</v>
      </c>
      <c r="AC18" s="74">
        <f t="shared" si="8"/>
        <v>7601720</v>
      </c>
      <c r="AD18" s="74">
        <f t="shared" si="9"/>
        <v>7601720</v>
      </c>
      <c r="AE18" s="74">
        <f t="shared" si="10"/>
        <v>7601720</v>
      </c>
      <c r="AF18" s="74">
        <f t="shared" si="11"/>
        <v>7601720</v>
      </c>
      <c r="AG18" s="74">
        <f t="shared" si="12"/>
        <v>7601720</v>
      </c>
      <c r="AH18" s="74">
        <f t="shared" si="13"/>
        <v>3800860</v>
      </c>
      <c r="AI18" s="74">
        <f t="shared" si="14"/>
        <v>3800860</v>
      </c>
      <c r="AJ18" s="74">
        <f t="shared" si="15"/>
        <v>4258863.63</v>
      </c>
    </row>
    <row r="19" spans="1:36" ht="12" customHeight="1">
      <c r="A19" s="215" t="s">
        <v>618</v>
      </c>
      <c r="C19" s="210" t="s">
        <v>607</v>
      </c>
      <c r="D19" s="221">
        <v>681.44</v>
      </c>
      <c r="E19" s="220">
        <v>40000</v>
      </c>
      <c r="F19" s="74">
        <f t="shared" si="0"/>
        <v>27257600.000000004</v>
      </c>
      <c r="G19" s="219">
        <v>1000</v>
      </c>
      <c r="H19" s="74">
        <v>1000</v>
      </c>
      <c r="I19" s="74">
        <v>2000</v>
      </c>
      <c r="J19" s="74">
        <v>3500</v>
      </c>
      <c r="K19" s="74">
        <v>3500</v>
      </c>
      <c r="L19" s="74">
        <v>3500</v>
      </c>
      <c r="M19" s="74">
        <v>3500</v>
      </c>
      <c r="N19" s="74">
        <v>3500</v>
      </c>
      <c r="O19" s="74">
        <v>3500</v>
      </c>
      <c r="P19" s="74">
        <v>3000</v>
      </c>
      <c r="Q19" s="74">
        <v>3000</v>
      </c>
      <c r="R19" s="74">
        <v>3000</v>
      </c>
      <c r="S19" s="74">
        <v>2000</v>
      </c>
      <c r="T19" s="74">
        <v>2000</v>
      </c>
      <c r="U19" s="74">
        <v>2000</v>
      </c>
      <c r="V19" s="219">
        <f t="shared" si="1"/>
        <v>681440</v>
      </c>
      <c r="W19" s="74">
        <f t="shared" si="2"/>
        <v>681440</v>
      </c>
      <c r="X19" s="74">
        <f t="shared" si="3"/>
        <v>1362880</v>
      </c>
      <c r="Y19" s="74">
        <f t="shared" si="4"/>
        <v>2385040</v>
      </c>
      <c r="Z19" s="74">
        <f t="shared" si="5"/>
        <v>2385040</v>
      </c>
      <c r="AA19" s="74">
        <f t="shared" si="6"/>
        <v>2385040</v>
      </c>
      <c r="AB19" s="74">
        <f t="shared" si="7"/>
        <v>2385040</v>
      </c>
      <c r="AC19" s="74">
        <f t="shared" si="8"/>
        <v>2385040</v>
      </c>
      <c r="AD19" s="74">
        <f t="shared" si="9"/>
        <v>2385040</v>
      </c>
      <c r="AE19" s="74">
        <f t="shared" si="10"/>
        <v>2044320.0000000002</v>
      </c>
      <c r="AF19" s="74">
        <f t="shared" si="11"/>
        <v>2044320.0000000002</v>
      </c>
      <c r="AG19" s="74">
        <f t="shared" si="12"/>
        <v>2044320.0000000002</v>
      </c>
      <c r="AH19" s="74">
        <f t="shared" si="13"/>
        <v>1362880</v>
      </c>
      <c r="AI19" s="74">
        <f t="shared" si="14"/>
        <v>1362880</v>
      </c>
      <c r="AJ19" s="74">
        <f t="shared" si="15"/>
        <v>1362880</v>
      </c>
    </row>
  </sheetData>
  <pageMargins left="0.7" right="0.7" top="0.75" bottom="0.75" header="0.3" footer="0.3"/>
  <pageSetup paperSize="9" orientation="portrait" verticalDpi="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62EE-F9AC-4F44-8AE9-7B03BB768732}">
  <dimension ref="A1:AJ18"/>
  <sheetViews>
    <sheetView zoomScaleNormal="100" workbookViewId="0">
      <pane ySplit="1" topLeftCell="A2" activePane="bottomLeft" state="frozen"/>
      <selection pane="bottomLeft"/>
    </sheetView>
  </sheetViews>
  <sheetFormatPr defaultRowHeight="12" customHeight="1"/>
  <cols>
    <col min="1" max="1" width="28.5" style="215" bestFit="1" customWidth="1"/>
    <col min="2" max="2" width="5.1640625" style="210" bestFit="1" customWidth="1"/>
    <col min="3" max="3" width="4.6640625" style="210" bestFit="1" customWidth="1"/>
    <col min="4" max="4" width="8.1640625" style="210" bestFit="1" customWidth="1"/>
    <col min="5" max="5" width="10.5" style="210" bestFit="1" customWidth="1"/>
    <col min="6" max="6" width="12" style="210" bestFit="1" customWidth="1"/>
    <col min="7" max="7" width="7" style="211" bestFit="1" customWidth="1"/>
    <col min="8" max="9" width="7" style="210" bestFit="1" customWidth="1"/>
    <col min="10" max="18" width="8" style="210" bestFit="1" customWidth="1"/>
    <col min="19" max="21" width="7" style="210" bestFit="1" customWidth="1"/>
    <col min="22" max="22" width="10.5" style="211" bestFit="1" customWidth="1"/>
    <col min="23" max="36" width="10.5" style="210" bestFit="1" customWidth="1"/>
    <col min="37" max="16384" width="9.33203125" style="210"/>
  </cols>
  <sheetData>
    <row r="1" spans="1:36" ht="12" customHeight="1">
      <c r="A1" s="218" t="s">
        <v>617</v>
      </c>
      <c r="B1" s="218" t="s">
        <v>616</v>
      </c>
      <c r="C1" s="218" t="s">
        <v>218</v>
      </c>
      <c r="D1" s="224" t="s">
        <v>420</v>
      </c>
      <c r="E1" s="218" t="s">
        <v>615</v>
      </c>
      <c r="F1" s="218" t="s">
        <v>623</v>
      </c>
      <c r="G1" s="223">
        <v>44764</v>
      </c>
      <c r="H1" s="222">
        <v>44795</v>
      </c>
      <c r="I1" s="222">
        <v>44826</v>
      </c>
      <c r="J1" s="222">
        <v>44856</v>
      </c>
      <c r="K1" s="222">
        <v>44887</v>
      </c>
      <c r="L1" s="222">
        <v>44917</v>
      </c>
      <c r="M1" s="222">
        <v>44948</v>
      </c>
      <c r="N1" s="222">
        <v>44979</v>
      </c>
      <c r="O1" s="222">
        <v>45007</v>
      </c>
      <c r="P1" s="222">
        <v>45038</v>
      </c>
      <c r="Q1" s="222">
        <v>45068</v>
      </c>
      <c r="R1" s="222">
        <v>45099</v>
      </c>
      <c r="S1" s="222">
        <v>45129</v>
      </c>
      <c r="T1" s="222">
        <v>45160</v>
      </c>
      <c r="U1" s="222">
        <v>45191</v>
      </c>
      <c r="V1" s="223">
        <v>44764</v>
      </c>
      <c r="W1" s="222">
        <v>44795</v>
      </c>
      <c r="X1" s="222">
        <v>44826</v>
      </c>
      <c r="Y1" s="222">
        <v>44856</v>
      </c>
      <c r="Z1" s="222">
        <v>44887</v>
      </c>
      <c r="AA1" s="222">
        <v>44917</v>
      </c>
      <c r="AB1" s="222">
        <v>44948</v>
      </c>
      <c r="AC1" s="222">
        <v>44979</v>
      </c>
      <c r="AD1" s="222">
        <v>45007</v>
      </c>
      <c r="AE1" s="222">
        <v>45038</v>
      </c>
      <c r="AF1" s="222">
        <v>45068</v>
      </c>
      <c r="AG1" s="222">
        <v>45099</v>
      </c>
      <c r="AH1" s="222">
        <v>45129</v>
      </c>
      <c r="AI1" s="222">
        <v>45160</v>
      </c>
      <c r="AJ1" s="222">
        <v>45191</v>
      </c>
    </row>
    <row r="2" spans="1:36" ht="12" customHeight="1">
      <c r="A2" s="215" t="s">
        <v>613</v>
      </c>
      <c r="B2" s="210">
        <v>110</v>
      </c>
      <c r="C2" s="210" t="s">
        <v>610</v>
      </c>
      <c r="D2" s="74">
        <v>240.8</v>
      </c>
      <c r="E2" s="74">
        <v>150000</v>
      </c>
      <c r="F2" s="74">
        <f t="shared" ref="F2:F18" si="0">D2*E2</f>
        <v>36120000</v>
      </c>
      <c r="G2" s="219">
        <v>1000</v>
      </c>
      <c r="H2" s="74">
        <v>1000</v>
      </c>
      <c r="I2" s="74">
        <v>4000</v>
      </c>
      <c r="J2" s="74">
        <v>10000</v>
      </c>
      <c r="K2" s="74">
        <v>15000</v>
      </c>
      <c r="L2" s="74">
        <v>15000</v>
      </c>
      <c r="M2" s="74">
        <v>18000</v>
      </c>
      <c r="N2" s="74">
        <v>18000</v>
      </c>
      <c r="O2" s="74">
        <v>18000</v>
      </c>
      <c r="P2" s="74">
        <v>18000</v>
      </c>
      <c r="Q2" s="74">
        <v>15000</v>
      </c>
      <c r="R2" s="74">
        <v>12000</v>
      </c>
      <c r="S2" s="74">
        <v>2000</v>
      </c>
      <c r="T2" s="74">
        <v>2000</v>
      </c>
      <c r="U2" s="74">
        <v>1000</v>
      </c>
      <c r="V2" s="219">
        <f t="shared" ref="V2:V18" si="1">G2*$D2</f>
        <v>240800</v>
      </c>
      <c r="W2" s="74">
        <f t="shared" ref="W2:W18" si="2">H2*$D2</f>
        <v>240800</v>
      </c>
      <c r="X2" s="74">
        <f t="shared" ref="X2:X18" si="3">I2*$D2</f>
        <v>963200</v>
      </c>
      <c r="Y2" s="74">
        <f t="shared" ref="Y2:Y18" si="4">J2*$D2</f>
        <v>2408000</v>
      </c>
      <c r="Z2" s="74">
        <f t="shared" ref="Z2:Z18" si="5">K2*$D2</f>
        <v>3612000</v>
      </c>
      <c r="AA2" s="74">
        <f t="shared" ref="AA2:AA18" si="6">L2*$D2</f>
        <v>3612000</v>
      </c>
      <c r="AB2" s="74">
        <f t="shared" ref="AB2:AB18" si="7">M2*$D2</f>
        <v>4334400</v>
      </c>
      <c r="AC2" s="74">
        <f t="shared" ref="AC2:AC18" si="8">N2*$D2</f>
        <v>4334400</v>
      </c>
      <c r="AD2" s="74">
        <f t="shared" ref="AD2:AD18" si="9">O2*$D2</f>
        <v>4334400</v>
      </c>
      <c r="AE2" s="74">
        <f t="shared" ref="AE2:AE18" si="10">P2*$D2</f>
        <v>4334400</v>
      </c>
      <c r="AF2" s="74">
        <f t="shared" ref="AF2:AF18" si="11">Q2*$D2</f>
        <v>3612000</v>
      </c>
      <c r="AG2" s="74">
        <f t="shared" ref="AG2:AG18" si="12">R2*$D2</f>
        <v>2889600</v>
      </c>
      <c r="AH2" s="74">
        <f t="shared" ref="AH2:AH18" si="13">S2*$D2</f>
        <v>481600</v>
      </c>
      <c r="AI2" s="74">
        <f t="shared" ref="AI2:AI18" si="14">T2*$D2</f>
        <v>481600</v>
      </c>
      <c r="AJ2" s="74">
        <f t="shared" ref="AJ2:AJ18" si="15">U2*$D2</f>
        <v>240800</v>
      </c>
    </row>
    <row r="3" spans="1:36" ht="12" customHeight="1">
      <c r="A3" s="215" t="s">
        <v>613</v>
      </c>
      <c r="B3" s="210">
        <v>160</v>
      </c>
      <c r="C3" s="210" t="s">
        <v>610</v>
      </c>
      <c r="D3" s="74">
        <v>344.96000000000004</v>
      </c>
      <c r="E3" s="74">
        <v>11234.261750267706</v>
      </c>
      <c r="F3" s="74">
        <f t="shared" si="0"/>
        <v>3875370.9333723481</v>
      </c>
      <c r="G3" s="219">
        <v>0</v>
      </c>
      <c r="H3" s="74">
        <v>100</v>
      </c>
      <c r="I3" s="74">
        <v>200</v>
      </c>
      <c r="J3" s="74">
        <v>1000</v>
      </c>
      <c r="K3" s="74">
        <v>1000</v>
      </c>
      <c r="L3" s="74">
        <v>1000</v>
      </c>
      <c r="M3" s="74">
        <v>1500</v>
      </c>
      <c r="N3" s="74">
        <v>1500</v>
      </c>
      <c r="O3" s="74">
        <v>1000</v>
      </c>
      <c r="P3" s="74">
        <v>1000</v>
      </c>
      <c r="Q3" s="74">
        <v>1000</v>
      </c>
      <c r="R3" s="74">
        <v>800</v>
      </c>
      <c r="S3" s="74">
        <v>500</v>
      </c>
      <c r="T3" s="74">
        <v>200</v>
      </c>
      <c r="U3" s="74">
        <v>434</v>
      </c>
      <c r="V3" s="219">
        <f t="shared" si="1"/>
        <v>0</v>
      </c>
      <c r="W3" s="74">
        <f t="shared" si="2"/>
        <v>34496</v>
      </c>
      <c r="X3" s="74">
        <f t="shared" si="3"/>
        <v>68992</v>
      </c>
      <c r="Y3" s="74">
        <f t="shared" si="4"/>
        <v>344960.00000000006</v>
      </c>
      <c r="Z3" s="74">
        <f t="shared" si="5"/>
        <v>344960.00000000006</v>
      </c>
      <c r="AA3" s="74">
        <f t="shared" si="6"/>
        <v>344960.00000000006</v>
      </c>
      <c r="AB3" s="74">
        <f t="shared" si="7"/>
        <v>517440.00000000006</v>
      </c>
      <c r="AC3" s="74">
        <f t="shared" si="8"/>
        <v>517440.00000000006</v>
      </c>
      <c r="AD3" s="74">
        <f t="shared" si="9"/>
        <v>344960.00000000006</v>
      </c>
      <c r="AE3" s="74">
        <f t="shared" si="10"/>
        <v>344960.00000000006</v>
      </c>
      <c r="AF3" s="74">
        <f t="shared" si="11"/>
        <v>344960.00000000006</v>
      </c>
      <c r="AG3" s="74">
        <f t="shared" si="12"/>
        <v>275968</v>
      </c>
      <c r="AH3" s="74">
        <f t="shared" si="13"/>
        <v>172480.00000000003</v>
      </c>
      <c r="AI3" s="74">
        <f t="shared" si="14"/>
        <v>68992</v>
      </c>
      <c r="AJ3" s="74">
        <f t="shared" si="15"/>
        <v>149712.64000000001</v>
      </c>
    </row>
    <row r="4" spans="1:36" ht="12" customHeight="1">
      <c r="A4" s="215" t="s">
        <v>612</v>
      </c>
      <c r="B4" s="210">
        <v>200</v>
      </c>
      <c r="C4" s="210" t="s">
        <v>610</v>
      </c>
      <c r="D4" s="74">
        <v>4100</v>
      </c>
      <c r="E4" s="74">
        <v>580.94400000000007</v>
      </c>
      <c r="F4" s="74">
        <f t="shared" si="0"/>
        <v>2381870.4000000004</v>
      </c>
      <c r="G4" s="219">
        <v>0</v>
      </c>
      <c r="H4" s="74">
        <v>0</v>
      </c>
      <c r="I4" s="74">
        <v>0</v>
      </c>
      <c r="J4" s="74">
        <v>500</v>
      </c>
      <c r="K4" s="74">
        <v>0</v>
      </c>
      <c r="L4" s="74">
        <v>500</v>
      </c>
      <c r="M4" s="74">
        <v>0</v>
      </c>
      <c r="N4" s="74">
        <v>1000</v>
      </c>
      <c r="O4" s="74">
        <v>0</v>
      </c>
      <c r="P4" s="74">
        <v>500</v>
      </c>
      <c r="Q4" s="74">
        <v>0</v>
      </c>
      <c r="R4" s="74">
        <v>352</v>
      </c>
      <c r="S4" s="74">
        <v>0</v>
      </c>
      <c r="T4" s="74">
        <v>0</v>
      </c>
      <c r="U4" s="74">
        <v>0</v>
      </c>
      <c r="V4" s="219">
        <f t="shared" si="1"/>
        <v>0</v>
      </c>
      <c r="W4" s="74">
        <f t="shared" si="2"/>
        <v>0</v>
      </c>
      <c r="X4" s="74">
        <f t="shared" si="3"/>
        <v>0</v>
      </c>
      <c r="Y4" s="74">
        <f t="shared" si="4"/>
        <v>2050000</v>
      </c>
      <c r="Z4" s="74">
        <f t="shared" si="5"/>
        <v>0</v>
      </c>
      <c r="AA4" s="74">
        <f t="shared" si="6"/>
        <v>2050000</v>
      </c>
      <c r="AB4" s="74">
        <f t="shared" si="7"/>
        <v>0</v>
      </c>
      <c r="AC4" s="74">
        <f t="shared" si="8"/>
        <v>4100000</v>
      </c>
      <c r="AD4" s="74">
        <f t="shared" si="9"/>
        <v>0</v>
      </c>
      <c r="AE4" s="74">
        <f t="shared" si="10"/>
        <v>2050000</v>
      </c>
      <c r="AF4" s="74">
        <f t="shared" si="11"/>
        <v>0</v>
      </c>
      <c r="AG4" s="74">
        <f t="shared" si="12"/>
        <v>1443200</v>
      </c>
      <c r="AH4" s="74">
        <f t="shared" si="13"/>
        <v>0</v>
      </c>
      <c r="AI4" s="74">
        <f t="shared" si="14"/>
        <v>0</v>
      </c>
      <c r="AJ4" s="74">
        <f t="shared" si="15"/>
        <v>0</v>
      </c>
    </row>
    <row r="5" spans="1:36" ht="12" customHeight="1">
      <c r="A5" s="215" t="s">
        <v>612</v>
      </c>
      <c r="B5" s="210">
        <v>250</v>
      </c>
      <c r="C5" s="210" t="s">
        <v>610</v>
      </c>
      <c r="D5" s="74">
        <v>4170</v>
      </c>
      <c r="E5" s="74">
        <v>598.52800000000002</v>
      </c>
      <c r="F5" s="74">
        <f t="shared" si="0"/>
        <v>2495861.7600000002</v>
      </c>
      <c r="G5" s="219">
        <v>0</v>
      </c>
      <c r="H5" s="74">
        <v>0</v>
      </c>
      <c r="I5" s="74">
        <v>0</v>
      </c>
      <c r="J5" s="74">
        <v>0</v>
      </c>
      <c r="K5" s="74">
        <v>550</v>
      </c>
      <c r="L5" s="74">
        <v>0</v>
      </c>
      <c r="M5" s="74">
        <v>550</v>
      </c>
      <c r="N5" s="74">
        <v>0</v>
      </c>
      <c r="O5" s="74">
        <v>0</v>
      </c>
      <c r="P5" s="74">
        <v>0</v>
      </c>
      <c r="Q5" s="74">
        <v>0</v>
      </c>
      <c r="R5" s="74">
        <v>0</v>
      </c>
      <c r="S5" s="74">
        <v>0</v>
      </c>
      <c r="T5" s="74">
        <v>0</v>
      </c>
      <c r="U5" s="74">
        <v>0</v>
      </c>
      <c r="V5" s="219">
        <f t="shared" si="1"/>
        <v>0</v>
      </c>
      <c r="W5" s="74">
        <f t="shared" si="2"/>
        <v>0</v>
      </c>
      <c r="X5" s="74">
        <f t="shared" si="3"/>
        <v>0</v>
      </c>
      <c r="Y5" s="74">
        <f t="shared" si="4"/>
        <v>0</v>
      </c>
      <c r="Z5" s="74">
        <f t="shared" si="5"/>
        <v>2293500</v>
      </c>
      <c r="AA5" s="74">
        <f t="shared" si="6"/>
        <v>0</v>
      </c>
      <c r="AB5" s="74">
        <f t="shared" si="7"/>
        <v>2293500</v>
      </c>
      <c r="AC5" s="74">
        <f t="shared" si="8"/>
        <v>0</v>
      </c>
      <c r="AD5" s="74">
        <f t="shared" si="9"/>
        <v>0</v>
      </c>
      <c r="AE5" s="74">
        <f t="shared" si="10"/>
        <v>0</v>
      </c>
      <c r="AF5" s="74">
        <f t="shared" si="11"/>
        <v>0</v>
      </c>
      <c r="AG5" s="74">
        <f t="shared" si="12"/>
        <v>0</v>
      </c>
      <c r="AH5" s="74">
        <f t="shared" si="13"/>
        <v>0</v>
      </c>
      <c r="AI5" s="74">
        <f t="shared" si="14"/>
        <v>0</v>
      </c>
      <c r="AJ5" s="74">
        <f t="shared" si="15"/>
        <v>0</v>
      </c>
    </row>
    <row r="6" spans="1:36" ht="12" customHeight="1">
      <c r="A6" s="215" t="s">
        <v>612</v>
      </c>
      <c r="B6" s="210">
        <v>300</v>
      </c>
      <c r="C6" s="210" t="s">
        <v>610</v>
      </c>
      <c r="D6" s="74">
        <v>4255</v>
      </c>
      <c r="E6" s="74">
        <v>609.28000000000009</v>
      </c>
      <c r="F6" s="74">
        <f t="shared" si="0"/>
        <v>2592486.4000000004</v>
      </c>
      <c r="G6" s="219">
        <v>0</v>
      </c>
      <c r="H6" s="74">
        <v>0</v>
      </c>
      <c r="I6" s="74">
        <v>300</v>
      </c>
      <c r="J6" s="74">
        <v>300</v>
      </c>
      <c r="K6" s="74">
        <v>500</v>
      </c>
      <c r="L6" s="74">
        <v>500</v>
      </c>
      <c r="M6" s="74">
        <v>500</v>
      </c>
      <c r="N6" s="74">
        <v>500</v>
      </c>
      <c r="O6" s="74">
        <v>0</v>
      </c>
      <c r="P6" s="74">
        <v>504.58</v>
      </c>
      <c r="Q6" s="74">
        <v>0</v>
      </c>
      <c r="R6" s="74">
        <v>0</v>
      </c>
      <c r="S6" s="74">
        <v>0</v>
      </c>
      <c r="T6" s="74">
        <v>0</v>
      </c>
      <c r="U6" s="74">
        <v>0</v>
      </c>
      <c r="V6" s="219">
        <f t="shared" si="1"/>
        <v>0</v>
      </c>
      <c r="W6" s="74">
        <f t="shared" si="2"/>
        <v>0</v>
      </c>
      <c r="X6" s="74">
        <f t="shared" si="3"/>
        <v>1276500</v>
      </c>
      <c r="Y6" s="74">
        <f t="shared" si="4"/>
        <v>1276500</v>
      </c>
      <c r="Z6" s="74">
        <f t="shared" si="5"/>
        <v>2127500</v>
      </c>
      <c r="AA6" s="74">
        <f t="shared" si="6"/>
        <v>2127500</v>
      </c>
      <c r="AB6" s="74">
        <f t="shared" si="7"/>
        <v>2127500</v>
      </c>
      <c r="AC6" s="74">
        <f t="shared" si="8"/>
        <v>2127500</v>
      </c>
      <c r="AD6" s="74">
        <f t="shared" si="9"/>
        <v>0</v>
      </c>
      <c r="AE6" s="74">
        <f t="shared" si="10"/>
        <v>2146987.9</v>
      </c>
      <c r="AF6" s="74">
        <f t="shared" si="11"/>
        <v>0</v>
      </c>
      <c r="AG6" s="74">
        <f t="shared" si="12"/>
        <v>0</v>
      </c>
      <c r="AH6" s="74">
        <f t="shared" si="13"/>
        <v>0</v>
      </c>
      <c r="AI6" s="74">
        <f t="shared" si="14"/>
        <v>0</v>
      </c>
      <c r="AJ6" s="74">
        <f t="shared" si="15"/>
        <v>0</v>
      </c>
    </row>
    <row r="7" spans="1:36" ht="12" customHeight="1">
      <c r="A7" s="215" t="s">
        <v>612</v>
      </c>
      <c r="B7" s="210">
        <v>350</v>
      </c>
      <c r="C7" s="210" t="s">
        <v>610</v>
      </c>
      <c r="D7" s="74">
        <v>4300</v>
      </c>
      <c r="E7" s="74">
        <v>728.00000000000011</v>
      </c>
      <c r="F7" s="74">
        <f t="shared" si="0"/>
        <v>3130400.0000000005</v>
      </c>
      <c r="G7" s="219">
        <v>0</v>
      </c>
      <c r="H7" s="74">
        <v>0</v>
      </c>
      <c r="I7" s="74">
        <v>0</v>
      </c>
      <c r="J7" s="74">
        <v>200</v>
      </c>
      <c r="K7" s="74">
        <v>0</v>
      </c>
      <c r="L7" s="74">
        <v>300</v>
      </c>
      <c r="M7" s="74">
        <v>0</v>
      </c>
      <c r="N7" s="74">
        <v>500</v>
      </c>
      <c r="O7" s="74">
        <v>0</v>
      </c>
      <c r="P7" s="74">
        <v>0</v>
      </c>
      <c r="Q7" s="74">
        <v>510.1</v>
      </c>
      <c r="R7" s="74">
        <v>0</v>
      </c>
      <c r="S7" s="74">
        <v>0</v>
      </c>
      <c r="T7" s="74">
        <v>0</v>
      </c>
      <c r="U7" s="74">
        <v>0</v>
      </c>
      <c r="V7" s="219">
        <f t="shared" si="1"/>
        <v>0</v>
      </c>
      <c r="W7" s="74">
        <f t="shared" si="2"/>
        <v>0</v>
      </c>
      <c r="X7" s="74">
        <f t="shared" si="3"/>
        <v>0</v>
      </c>
      <c r="Y7" s="74">
        <f t="shared" si="4"/>
        <v>860000</v>
      </c>
      <c r="Z7" s="74">
        <f t="shared" si="5"/>
        <v>0</v>
      </c>
      <c r="AA7" s="74">
        <f t="shared" si="6"/>
        <v>1290000</v>
      </c>
      <c r="AB7" s="74">
        <f t="shared" si="7"/>
        <v>0</v>
      </c>
      <c r="AC7" s="74">
        <f t="shared" si="8"/>
        <v>2150000</v>
      </c>
      <c r="AD7" s="74">
        <f t="shared" si="9"/>
        <v>0</v>
      </c>
      <c r="AE7" s="74">
        <f t="shared" si="10"/>
        <v>0</v>
      </c>
      <c r="AF7" s="74">
        <f t="shared" si="11"/>
        <v>2193430</v>
      </c>
      <c r="AG7" s="74">
        <f t="shared" si="12"/>
        <v>0</v>
      </c>
      <c r="AH7" s="74">
        <f t="shared" si="13"/>
        <v>0</v>
      </c>
      <c r="AI7" s="74">
        <f t="shared" si="14"/>
        <v>0</v>
      </c>
      <c r="AJ7" s="74">
        <f t="shared" si="15"/>
        <v>0</v>
      </c>
    </row>
    <row r="8" spans="1:36" ht="12" customHeight="1">
      <c r="A8" s="215" t="s">
        <v>612</v>
      </c>
      <c r="B8" s="210">
        <v>400</v>
      </c>
      <c r="C8" s="210" t="s">
        <v>610</v>
      </c>
      <c r="D8" s="74">
        <v>4600</v>
      </c>
      <c r="E8" s="74">
        <v>760.48</v>
      </c>
      <c r="F8" s="74">
        <f t="shared" si="0"/>
        <v>3498208</v>
      </c>
      <c r="G8" s="219">
        <v>0</v>
      </c>
      <c r="H8" s="74">
        <v>0</v>
      </c>
      <c r="I8" s="74">
        <v>0</v>
      </c>
      <c r="J8" s="74">
        <v>400</v>
      </c>
      <c r="K8" s="74">
        <v>500</v>
      </c>
      <c r="L8" s="74">
        <v>500</v>
      </c>
      <c r="M8" s="74">
        <v>300</v>
      </c>
      <c r="N8" s="74">
        <v>300</v>
      </c>
      <c r="O8" s="74">
        <v>281.85000000000002</v>
      </c>
      <c r="P8" s="74">
        <v>0</v>
      </c>
      <c r="Q8" s="74">
        <v>0</v>
      </c>
      <c r="R8" s="74">
        <v>0</v>
      </c>
      <c r="S8" s="74">
        <v>0</v>
      </c>
      <c r="T8" s="74">
        <v>0</v>
      </c>
      <c r="U8" s="74">
        <v>0</v>
      </c>
      <c r="V8" s="219">
        <f t="shared" si="1"/>
        <v>0</v>
      </c>
      <c r="W8" s="74">
        <f t="shared" si="2"/>
        <v>0</v>
      </c>
      <c r="X8" s="74">
        <f t="shared" si="3"/>
        <v>0</v>
      </c>
      <c r="Y8" s="74">
        <f t="shared" si="4"/>
        <v>1840000</v>
      </c>
      <c r="Z8" s="74">
        <f t="shared" si="5"/>
        <v>2300000</v>
      </c>
      <c r="AA8" s="74">
        <f t="shared" si="6"/>
        <v>2300000</v>
      </c>
      <c r="AB8" s="74">
        <f t="shared" si="7"/>
        <v>1380000</v>
      </c>
      <c r="AC8" s="74">
        <f t="shared" si="8"/>
        <v>1380000</v>
      </c>
      <c r="AD8" s="74">
        <f t="shared" si="9"/>
        <v>1296510</v>
      </c>
      <c r="AE8" s="74">
        <f t="shared" si="10"/>
        <v>0</v>
      </c>
      <c r="AF8" s="74">
        <f t="shared" si="11"/>
        <v>0</v>
      </c>
      <c r="AG8" s="74">
        <f t="shared" si="12"/>
        <v>0</v>
      </c>
      <c r="AH8" s="74">
        <f t="shared" si="13"/>
        <v>0</v>
      </c>
      <c r="AI8" s="74">
        <f t="shared" si="14"/>
        <v>0</v>
      </c>
      <c r="AJ8" s="74">
        <f t="shared" si="15"/>
        <v>0</v>
      </c>
    </row>
    <row r="9" spans="1:36" ht="12" customHeight="1">
      <c r="A9" s="215" t="s">
        <v>612</v>
      </c>
      <c r="B9" s="210">
        <v>700</v>
      </c>
      <c r="C9" s="210" t="s">
        <v>610</v>
      </c>
      <c r="D9" s="74">
        <v>6200</v>
      </c>
      <c r="E9" s="74">
        <v>1210.72</v>
      </c>
      <c r="F9" s="74">
        <f t="shared" si="0"/>
        <v>7506464</v>
      </c>
      <c r="G9" s="219">
        <v>0</v>
      </c>
      <c r="H9" s="74">
        <v>0</v>
      </c>
      <c r="I9" s="74">
        <v>0</v>
      </c>
      <c r="J9" s="74">
        <v>0</v>
      </c>
      <c r="K9" s="74">
        <v>300</v>
      </c>
      <c r="L9" s="74">
        <v>0</v>
      </c>
      <c r="M9" s="74">
        <v>404.5</v>
      </c>
      <c r="N9" s="74">
        <v>0</v>
      </c>
      <c r="O9" s="74">
        <v>0</v>
      </c>
      <c r="P9" s="74">
        <v>0</v>
      </c>
      <c r="Q9" s="74">
        <v>0</v>
      </c>
      <c r="R9" s="74">
        <v>0</v>
      </c>
      <c r="S9" s="74">
        <v>0</v>
      </c>
      <c r="T9" s="74">
        <v>0</v>
      </c>
      <c r="U9" s="74">
        <v>0</v>
      </c>
      <c r="V9" s="219">
        <f t="shared" si="1"/>
        <v>0</v>
      </c>
      <c r="W9" s="74">
        <f t="shared" si="2"/>
        <v>0</v>
      </c>
      <c r="X9" s="74">
        <f t="shared" si="3"/>
        <v>0</v>
      </c>
      <c r="Y9" s="74">
        <f t="shared" si="4"/>
        <v>0</v>
      </c>
      <c r="Z9" s="74">
        <f t="shared" si="5"/>
        <v>1860000</v>
      </c>
      <c r="AA9" s="74">
        <f t="shared" si="6"/>
        <v>0</v>
      </c>
      <c r="AB9" s="74">
        <f t="shared" si="7"/>
        <v>2507900</v>
      </c>
      <c r="AC9" s="74">
        <f t="shared" si="8"/>
        <v>0</v>
      </c>
      <c r="AD9" s="74">
        <f t="shared" si="9"/>
        <v>0</v>
      </c>
      <c r="AE9" s="74">
        <f t="shared" si="10"/>
        <v>0</v>
      </c>
      <c r="AF9" s="74">
        <f t="shared" si="11"/>
        <v>0</v>
      </c>
      <c r="AG9" s="74">
        <f t="shared" si="12"/>
        <v>0</v>
      </c>
      <c r="AH9" s="74">
        <f t="shared" si="13"/>
        <v>0</v>
      </c>
      <c r="AI9" s="74">
        <f t="shared" si="14"/>
        <v>0</v>
      </c>
      <c r="AJ9" s="74">
        <f t="shared" si="15"/>
        <v>0</v>
      </c>
    </row>
    <row r="10" spans="1:36" ht="12" customHeight="1">
      <c r="A10" s="215" t="s">
        <v>612</v>
      </c>
      <c r="B10" s="210">
        <v>900</v>
      </c>
      <c r="C10" s="210" t="s">
        <v>610</v>
      </c>
      <c r="D10" s="74">
        <v>7000</v>
      </c>
      <c r="E10" s="74">
        <v>2016.0000000000002</v>
      </c>
      <c r="F10" s="74">
        <f t="shared" si="0"/>
        <v>14112000.000000002</v>
      </c>
      <c r="G10" s="219">
        <v>0</v>
      </c>
      <c r="H10" s="74">
        <v>0</v>
      </c>
      <c r="I10" s="74">
        <v>0</v>
      </c>
      <c r="J10" s="74">
        <v>0</v>
      </c>
      <c r="K10" s="74">
        <v>500</v>
      </c>
      <c r="L10" s="74">
        <v>500</v>
      </c>
      <c r="M10" s="74">
        <v>500</v>
      </c>
      <c r="N10" s="74">
        <v>350</v>
      </c>
      <c r="O10" s="74">
        <v>0</v>
      </c>
      <c r="P10" s="74">
        <v>0</v>
      </c>
      <c r="Q10" s="74">
        <v>0</v>
      </c>
      <c r="R10" s="74">
        <v>0</v>
      </c>
      <c r="S10" s="74">
        <v>0</v>
      </c>
      <c r="T10" s="74">
        <v>0</v>
      </c>
      <c r="U10" s="74">
        <v>0</v>
      </c>
      <c r="V10" s="219">
        <f t="shared" si="1"/>
        <v>0</v>
      </c>
      <c r="W10" s="74">
        <f t="shared" si="2"/>
        <v>0</v>
      </c>
      <c r="X10" s="74">
        <f t="shared" si="3"/>
        <v>0</v>
      </c>
      <c r="Y10" s="74">
        <f t="shared" si="4"/>
        <v>0</v>
      </c>
      <c r="Z10" s="74">
        <f t="shared" si="5"/>
        <v>3500000</v>
      </c>
      <c r="AA10" s="74">
        <f t="shared" si="6"/>
        <v>3500000</v>
      </c>
      <c r="AB10" s="74">
        <f t="shared" si="7"/>
        <v>3500000</v>
      </c>
      <c r="AC10" s="74">
        <f t="shared" si="8"/>
        <v>2450000</v>
      </c>
      <c r="AD10" s="74">
        <f t="shared" si="9"/>
        <v>0</v>
      </c>
      <c r="AE10" s="74">
        <f t="shared" si="10"/>
        <v>0</v>
      </c>
      <c r="AF10" s="74">
        <f t="shared" si="11"/>
        <v>0</v>
      </c>
      <c r="AG10" s="74">
        <f t="shared" si="12"/>
        <v>0</v>
      </c>
      <c r="AH10" s="74">
        <f t="shared" si="13"/>
        <v>0</v>
      </c>
      <c r="AI10" s="74">
        <f t="shared" si="14"/>
        <v>0</v>
      </c>
      <c r="AJ10" s="74">
        <f t="shared" si="15"/>
        <v>0</v>
      </c>
    </row>
    <row r="11" spans="1:36" ht="12" customHeight="1">
      <c r="A11" s="215" t="s">
        <v>612</v>
      </c>
      <c r="B11" s="210">
        <v>1000</v>
      </c>
      <c r="C11" s="210" t="s">
        <v>610</v>
      </c>
      <c r="D11" s="74">
        <v>8000</v>
      </c>
      <c r="E11" s="74">
        <v>2240</v>
      </c>
      <c r="F11" s="74">
        <f t="shared" si="0"/>
        <v>17920000</v>
      </c>
      <c r="G11" s="219">
        <v>0</v>
      </c>
      <c r="H11" s="74">
        <v>0</v>
      </c>
      <c r="I11" s="74">
        <v>0</v>
      </c>
      <c r="J11" s="74">
        <v>0</v>
      </c>
      <c r="K11" s="74">
        <v>500</v>
      </c>
      <c r="L11" s="74">
        <v>1000</v>
      </c>
      <c r="M11" s="74">
        <v>1000</v>
      </c>
      <c r="N11" s="74">
        <v>1000</v>
      </c>
      <c r="O11" s="74">
        <v>1200</v>
      </c>
      <c r="P11" s="74">
        <v>1200</v>
      </c>
      <c r="Q11" s="74">
        <v>1200</v>
      </c>
      <c r="R11" s="74">
        <v>1232</v>
      </c>
      <c r="S11" s="74">
        <v>0</v>
      </c>
      <c r="T11" s="74">
        <v>0</v>
      </c>
      <c r="U11" s="74">
        <v>0</v>
      </c>
      <c r="V11" s="219">
        <f t="shared" si="1"/>
        <v>0</v>
      </c>
      <c r="W11" s="74">
        <f t="shared" si="2"/>
        <v>0</v>
      </c>
      <c r="X11" s="74">
        <f t="shared" si="3"/>
        <v>0</v>
      </c>
      <c r="Y11" s="74">
        <f t="shared" si="4"/>
        <v>0</v>
      </c>
      <c r="Z11" s="74">
        <f t="shared" si="5"/>
        <v>4000000</v>
      </c>
      <c r="AA11" s="74">
        <f t="shared" si="6"/>
        <v>8000000</v>
      </c>
      <c r="AB11" s="74">
        <f t="shared" si="7"/>
        <v>8000000</v>
      </c>
      <c r="AC11" s="74">
        <f t="shared" si="8"/>
        <v>8000000</v>
      </c>
      <c r="AD11" s="74">
        <f t="shared" si="9"/>
        <v>9600000</v>
      </c>
      <c r="AE11" s="74">
        <f t="shared" si="10"/>
        <v>9600000</v>
      </c>
      <c r="AF11" s="74">
        <f t="shared" si="11"/>
        <v>9600000</v>
      </c>
      <c r="AG11" s="74">
        <f t="shared" si="12"/>
        <v>9856000</v>
      </c>
      <c r="AH11" s="74">
        <f t="shared" si="13"/>
        <v>0</v>
      </c>
      <c r="AI11" s="74">
        <f t="shared" si="14"/>
        <v>0</v>
      </c>
      <c r="AJ11" s="74">
        <f t="shared" si="15"/>
        <v>0</v>
      </c>
    </row>
    <row r="12" spans="1:36" ht="12" customHeight="1">
      <c r="A12" s="215" t="s">
        <v>611</v>
      </c>
      <c r="B12" s="210">
        <v>1200</v>
      </c>
      <c r="C12" s="210" t="s">
        <v>610</v>
      </c>
      <c r="D12" s="74">
        <v>1854.68250304</v>
      </c>
      <c r="E12" s="74">
        <v>7280.0000000000009</v>
      </c>
      <c r="F12" s="74">
        <f t="shared" si="0"/>
        <v>13502088.622131202</v>
      </c>
      <c r="G12" s="219">
        <v>0</v>
      </c>
      <c r="H12" s="74">
        <v>0</v>
      </c>
      <c r="I12" s="74">
        <v>0</v>
      </c>
      <c r="J12" s="74">
        <v>0</v>
      </c>
      <c r="K12" s="74">
        <v>0</v>
      </c>
      <c r="L12" s="74">
        <v>500</v>
      </c>
      <c r="M12" s="74">
        <v>500</v>
      </c>
      <c r="N12" s="74">
        <v>500</v>
      </c>
      <c r="O12" s="74">
        <v>500</v>
      </c>
      <c r="P12" s="74">
        <v>628</v>
      </c>
      <c r="Q12" s="74">
        <v>0</v>
      </c>
      <c r="R12" s="74">
        <v>0</v>
      </c>
      <c r="S12" s="74">
        <v>0</v>
      </c>
      <c r="T12" s="74">
        <v>0</v>
      </c>
      <c r="U12" s="74">
        <v>0</v>
      </c>
      <c r="V12" s="219">
        <f t="shared" si="1"/>
        <v>0</v>
      </c>
      <c r="W12" s="74">
        <f t="shared" si="2"/>
        <v>0</v>
      </c>
      <c r="X12" s="74">
        <f t="shared" si="3"/>
        <v>0</v>
      </c>
      <c r="Y12" s="74">
        <f t="shared" si="4"/>
        <v>0</v>
      </c>
      <c r="Z12" s="74">
        <f t="shared" si="5"/>
        <v>0</v>
      </c>
      <c r="AA12" s="74">
        <f t="shared" si="6"/>
        <v>927341.25152000005</v>
      </c>
      <c r="AB12" s="74">
        <f t="shared" si="7"/>
        <v>927341.25152000005</v>
      </c>
      <c r="AC12" s="74">
        <f t="shared" si="8"/>
        <v>927341.25152000005</v>
      </c>
      <c r="AD12" s="74">
        <f t="shared" si="9"/>
        <v>927341.25152000005</v>
      </c>
      <c r="AE12" s="74">
        <f t="shared" si="10"/>
        <v>1164740.6119091201</v>
      </c>
      <c r="AF12" s="74">
        <f t="shared" si="11"/>
        <v>0</v>
      </c>
      <c r="AG12" s="74">
        <f t="shared" si="12"/>
        <v>0</v>
      </c>
      <c r="AH12" s="74">
        <f t="shared" si="13"/>
        <v>0</v>
      </c>
      <c r="AI12" s="74">
        <f t="shared" si="14"/>
        <v>0</v>
      </c>
      <c r="AJ12" s="74">
        <f t="shared" si="15"/>
        <v>0</v>
      </c>
    </row>
    <row r="13" spans="1:36" ht="12" customHeight="1">
      <c r="A13" s="215" t="s">
        <v>611</v>
      </c>
      <c r="B13" s="210">
        <v>1400</v>
      </c>
      <c r="C13" s="210" t="s">
        <v>610</v>
      </c>
      <c r="D13" s="74">
        <v>2131.6034950399999</v>
      </c>
      <c r="E13" s="74">
        <v>7840.0000000000009</v>
      </c>
      <c r="F13" s="74">
        <f t="shared" si="0"/>
        <v>16711771.401113601</v>
      </c>
      <c r="G13" s="219">
        <v>0</v>
      </c>
      <c r="H13" s="74">
        <v>0</v>
      </c>
      <c r="I13" s="74">
        <v>0</v>
      </c>
      <c r="J13" s="74">
        <v>0</v>
      </c>
      <c r="K13" s="74">
        <v>0</v>
      </c>
      <c r="L13" s="74">
        <v>0</v>
      </c>
      <c r="M13" s="74">
        <v>250</v>
      </c>
      <c r="N13" s="74">
        <v>251</v>
      </c>
      <c r="O13" s="74">
        <v>0</v>
      </c>
      <c r="P13" s="74">
        <v>0</v>
      </c>
      <c r="Q13" s="74">
        <v>0</v>
      </c>
      <c r="R13" s="74">
        <v>0</v>
      </c>
      <c r="S13" s="74">
        <v>0</v>
      </c>
      <c r="T13" s="74">
        <v>0</v>
      </c>
      <c r="U13" s="74">
        <v>0</v>
      </c>
      <c r="V13" s="219">
        <f t="shared" si="1"/>
        <v>0</v>
      </c>
      <c r="W13" s="74">
        <f t="shared" si="2"/>
        <v>0</v>
      </c>
      <c r="X13" s="74">
        <f t="shared" si="3"/>
        <v>0</v>
      </c>
      <c r="Y13" s="74">
        <f t="shared" si="4"/>
        <v>0</v>
      </c>
      <c r="Z13" s="74">
        <f t="shared" si="5"/>
        <v>0</v>
      </c>
      <c r="AA13" s="74">
        <f t="shared" si="6"/>
        <v>0</v>
      </c>
      <c r="AB13" s="74">
        <f t="shared" si="7"/>
        <v>532900.87375999999</v>
      </c>
      <c r="AC13" s="74">
        <f t="shared" si="8"/>
        <v>535032.47725503996</v>
      </c>
      <c r="AD13" s="74">
        <f t="shared" si="9"/>
        <v>0</v>
      </c>
      <c r="AE13" s="74">
        <f t="shared" si="10"/>
        <v>0</v>
      </c>
      <c r="AF13" s="74">
        <f t="shared" si="11"/>
        <v>0</v>
      </c>
      <c r="AG13" s="74">
        <f t="shared" si="12"/>
        <v>0</v>
      </c>
      <c r="AH13" s="74">
        <f t="shared" si="13"/>
        <v>0</v>
      </c>
      <c r="AI13" s="74">
        <f t="shared" si="14"/>
        <v>0</v>
      </c>
      <c r="AJ13" s="74">
        <f t="shared" si="15"/>
        <v>0</v>
      </c>
    </row>
    <row r="14" spans="1:36" ht="12" customHeight="1">
      <c r="A14" s="215" t="s">
        <v>611</v>
      </c>
      <c r="B14" s="210">
        <v>1500</v>
      </c>
      <c r="C14" s="210" t="s">
        <v>610</v>
      </c>
      <c r="D14" s="74">
        <v>2273.12399104</v>
      </c>
      <c r="E14" s="34">
        <v>7840.0000000000009</v>
      </c>
      <c r="F14" s="74">
        <f t="shared" si="0"/>
        <v>17821292.089753602</v>
      </c>
      <c r="G14" s="219">
        <v>163</v>
      </c>
      <c r="H14" s="74">
        <v>0</v>
      </c>
      <c r="I14" s="74">
        <v>0</v>
      </c>
      <c r="J14" s="74">
        <v>0</v>
      </c>
      <c r="K14" s="74">
        <v>0</v>
      </c>
      <c r="L14" s="74">
        <v>0</v>
      </c>
      <c r="M14" s="74">
        <v>0</v>
      </c>
      <c r="N14" s="74">
        <v>0</v>
      </c>
      <c r="O14" s="74">
        <v>0</v>
      </c>
      <c r="P14" s="74">
        <v>0</v>
      </c>
      <c r="Q14" s="74">
        <v>0</v>
      </c>
      <c r="R14" s="74">
        <v>0</v>
      </c>
      <c r="S14" s="74">
        <v>0</v>
      </c>
      <c r="T14" s="74">
        <v>0</v>
      </c>
      <c r="U14" s="74">
        <v>0</v>
      </c>
      <c r="V14" s="219">
        <f t="shared" si="1"/>
        <v>370519.21053952002</v>
      </c>
      <c r="W14" s="74">
        <f t="shared" si="2"/>
        <v>0</v>
      </c>
      <c r="X14" s="74">
        <f t="shared" si="3"/>
        <v>0</v>
      </c>
      <c r="Y14" s="74">
        <f t="shared" si="4"/>
        <v>0</v>
      </c>
      <c r="Z14" s="74">
        <f t="shared" si="5"/>
        <v>0</v>
      </c>
      <c r="AA14" s="74">
        <f t="shared" si="6"/>
        <v>0</v>
      </c>
      <c r="AB14" s="74">
        <f t="shared" si="7"/>
        <v>0</v>
      </c>
      <c r="AC14" s="74">
        <f t="shared" si="8"/>
        <v>0</v>
      </c>
      <c r="AD14" s="74">
        <f t="shared" si="9"/>
        <v>0</v>
      </c>
      <c r="AE14" s="74">
        <f t="shared" si="10"/>
        <v>0</v>
      </c>
      <c r="AF14" s="74">
        <f t="shared" si="11"/>
        <v>0</v>
      </c>
      <c r="AG14" s="74">
        <f t="shared" si="12"/>
        <v>0</v>
      </c>
      <c r="AH14" s="74">
        <f t="shared" si="13"/>
        <v>0</v>
      </c>
      <c r="AI14" s="74">
        <f t="shared" si="14"/>
        <v>0</v>
      </c>
      <c r="AJ14" s="74">
        <f t="shared" si="15"/>
        <v>0</v>
      </c>
    </row>
    <row r="15" spans="1:36" ht="12" customHeight="1">
      <c r="A15" s="215" t="s">
        <v>622</v>
      </c>
      <c r="C15" s="210" t="s">
        <v>607</v>
      </c>
      <c r="D15" s="74">
        <v>1266.6400000000001</v>
      </c>
      <c r="E15" s="34">
        <v>784.00000000000011</v>
      </c>
      <c r="F15" s="74">
        <f t="shared" si="0"/>
        <v>993045.76000000024</v>
      </c>
      <c r="G15" s="219">
        <v>0</v>
      </c>
      <c r="H15" s="74">
        <v>0</v>
      </c>
      <c r="I15" s="74">
        <v>0</v>
      </c>
      <c r="J15" s="74">
        <v>100</v>
      </c>
      <c r="K15" s="74">
        <v>0</v>
      </c>
      <c r="L15" s="74">
        <v>100</v>
      </c>
      <c r="M15" s="74">
        <v>0</v>
      </c>
      <c r="N15" s="74">
        <v>100</v>
      </c>
      <c r="O15" s="74">
        <v>0</v>
      </c>
      <c r="P15" s="74">
        <v>100</v>
      </c>
      <c r="Q15" s="74">
        <v>0</v>
      </c>
      <c r="R15" s="74">
        <v>100</v>
      </c>
      <c r="S15" s="74">
        <v>0</v>
      </c>
      <c r="T15" s="74">
        <v>0</v>
      </c>
      <c r="U15" s="74">
        <v>0</v>
      </c>
      <c r="V15" s="219">
        <f t="shared" si="1"/>
        <v>0</v>
      </c>
      <c r="W15" s="74">
        <f t="shared" si="2"/>
        <v>0</v>
      </c>
      <c r="X15" s="74">
        <f t="shared" si="3"/>
        <v>0</v>
      </c>
      <c r="Y15" s="74">
        <f t="shared" si="4"/>
        <v>126664.00000000001</v>
      </c>
      <c r="Z15" s="74">
        <f t="shared" si="5"/>
        <v>0</v>
      </c>
      <c r="AA15" s="74">
        <f t="shared" si="6"/>
        <v>126664.00000000001</v>
      </c>
      <c r="AB15" s="74">
        <f t="shared" si="7"/>
        <v>0</v>
      </c>
      <c r="AC15" s="74">
        <f t="shared" si="8"/>
        <v>126664.00000000001</v>
      </c>
      <c r="AD15" s="74">
        <f t="shared" si="9"/>
        <v>0</v>
      </c>
      <c r="AE15" s="74">
        <f t="shared" si="10"/>
        <v>126664.00000000001</v>
      </c>
      <c r="AF15" s="74">
        <f t="shared" si="11"/>
        <v>0</v>
      </c>
      <c r="AG15" s="74">
        <f t="shared" si="12"/>
        <v>126664.00000000001</v>
      </c>
      <c r="AH15" s="74">
        <f t="shared" si="13"/>
        <v>0</v>
      </c>
      <c r="AI15" s="74">
        <f t="shared" si="14"/>
        <v>0</v>
      </c>
      <c r="AJ15" s="74">
        <f t="shared" si="15"/>
        <v>0</v>
      </c>
    </row>
    <row r="16" spans="1:36" ht="12" customHeight="1">
      <c r="A16" s="215" t="s">
        <v>621</v>
      </c>
      <c r="C16" s="210" t="s">
        <v>607</v>
      </c>
      <c r="D16" s="74">
        <v>542.72</v>
      </c>
      <c r="E16" s="34">
        <v>392.00000000000006</v>
      </c>
      <c r="F16" s="74">
        <f t="shared" si="0"/>
        <v>212746.24000000005</v>
      </c>
      <c r="G16" s="219">
        <v>500</v>
      </c>
      <c r="H16" s="74">
        <v>500</v>
      </c>
      <c r="I16" s="74">
        <v>500</v>
      </c>
      <c r="J16" s="74">
        <v>500</v>
      </c>
      <c r="K16" s="74">
        <v>500</v>
      </c>
      <c r="L16" s="74">
        <v>500</v>
      </c>
      <c r="M16" s="74">
        <v>500</v>
      </c>
      <c r="N16" s="74">
        <v>500</v>
      </c>
      <c r="O16" s="74">
        <v>500</v>
      </c>
      <c r="P16" s="74">
        <v>500</v>
      </c>
      <c r="Q16" s="74">
        <v>0</v>
      </c>
      <c r="R16" s="74">
        <v>0</v>
      </c>
      <c r="S16" s="74">
        <v>0</v>
      </c>
      <c r="T16" s="74">
        <v>0</v>
      </c>
      <c r="U16" s="74">
        <v>0</v>
      </c>
      <c r="V16" s="219">
        <f t="shared" si="1"/>
        <v>271360</v>
      </c>
      <c r="W16" s="74">
        <f t="shared" si="2"/>
        <v>271360</v>
      </c>
      <c r="X16" s="74">
        <f t="shared" si="3"/>
        <v>271360</v>
      </c>
      <c r="Y16" s="74">
        <f t="shared" si="4"/>
        <v>271360</v>
      </c>
      <c r="Z16" s="74">
        <f t="shared" si="5"/>
        <v>271360</v>
      </c>
      <c r="AA16" s="74">
        <f t="shared" si="6"/>
        <v>271360</v>
      </c>
      <c r="AB16" s="74">
        <f t="shared" si="7"/>
        <v>271360</v>
      </c>
      <c r="AC16" s="74">
        <f t="shared" si="8"/>
        <v>271360</v>
      </c>
      <c r="AD16" s="74">
        <f t="shared" si="9"/>
        <v>271360</v>
      </c>
      <c r="AE16" s="74">
        <f t="shared" si="10"/>
        <v>271360</v>
      </c>
      <c r="AF16" s="74">
        <f t="shared" si="11"/>
        <v>0</v>
      </c>
      <c r="AG16" s="74">
        <f t="shared" si="12"/>
        <v>0</v>
      </c>
      <c r="AH16" s="74">
        <f t="shared" si="13"/>
        <v>0</v>
      </c>
      <c r="AI16" s="74">
        <f t="shared" si="14"/>
        <v>0</v>
      </c>
      <c r="AJ16" s="74">
        <f t="shared" si="15"/>
        <v>0</v>
      </c>
    </row>
    <row r="17" spans="1:36" ht="12" customHeight="1">
      <c r="A17" s="215" t="s">
        <v>620</v>
      </c>
      <c r="C17" s="210" t="s">
        <v>607</v>
      </c>
      <c r="D17" s="74">
        <v>1809.06</v>
      </c>
      <c r="E17" s="34">
        <v>1239</v>
      </c>
      <c r="F17" s="74">
        <f t="shared" si="0"/>
        <v>2241425.34</v>
      </c>
      <c r="G17" s="219">
        <v>1000</v>
      </c>
      <c r="H17" s="74">
        <v>1000</v>
      </c>
      <c r="I17" s="74">
        <v>2000</v>
      </c>
      <c r="J17" s="74">
        <v>2000</v>
      </c>
      <c r="K17" s="74">
        <v>2000</v>
      </c>
      <c r="L17" s="74">
        <v>2000</v>
      </c>
      <c r="M17" s="74">
        <v>2000</v>
      </c>
      <c r="N17" s="74">
        <v>2000</v>
      </c>
      <c r="O17" s="74">
        <v>2000</v>
      </c>
      <c r="P17" s="74">
        <v>2000</v>
      </c>
      <c r="Q17" s="74">
        <v>2000</v>
      </c>
      <c r="R17" s="74">
        <v>2000</v>
      </c>
      <c r="S17" s="74">
        <v>2000</v>
      </c>
      <c r="T17" s="74">
        <v>500</v>
      </c>
      <c r="U17" s="74">
        <v>500</v>
      </c>
      <c r="V17" s="219">
        <f t="shared" si="1"/>
        <v>1809060</v>
      </c>
      <c r="W17" s="74">
        <f t="shared" si="2"/>
        <v>1809060</v>
      </c>
      <c r="X17" s="74">
        <f t="shared" si="3"/>
        <v>3618120</v>
      </c>
      <c r="Y17" s="74">
        <f t="shared" si="4"/>
        <v>3618120</v>
      </c>
      <c r="Z17" s="74">
        <f t="shared" si="5"/>
        <v>3618120</v>
      </c>
      <c r="AA17" s="74">
        <f t="shared" si="6"/>
        <v>3618120</v>
      </c>
      <c r="AB17" s="74">
        <f t="shared" si="7"/>
        <v>3618120</v>
      </c>
      <c r="AC17" s="74">
        <f t="shared" si="8"/>
        <v>3618120</v>
      </c>
      <c r="AD17" s="74">
        <f t="shared" si="9"/>
        <v>3618120</v>
      </c>
      <c r="AE17" s="74">
        <f t="shared" si="10"/>
        <v>3618120</v>
      </c>
      <c r="AF17" s="74">
        <f t="shared" si="11"/>
        <v>3618120</v>
      </c>
      <c r="AG17" s="74">
        <f t="shared" si="12"/>
        <v>3618120</v>
      </c>
      <c r="AH17" s="74">
        <f t="shared" si="13"/>
        <v>3618120</v>
      </c>
      <c r="AI17" s="74">
        <f t="shared" si="14"/>
        <v>904530</v>
      </c>
      <c r="AJ17" s="74">
        <f t="shared" si="15"/>
        <v>904530</v>
      </c>
    </row>
    <row r="18" spans="1:36" ht="12" customHeight="1">
      <c r="A18" s="215" t="s">
        <v>619</v>
      </c>
      <c r="C18" s="210" t="s">
        <v>607</v>
      </c>
      <c r="D18" s="210">
        <v>1900.43</v>
      </c>
      <c r="E18" s="199">
        <v>1003</v>
      </c>
      <c r="F18" s="74">
        <f t="shared" si="0"/>
        <v>1906131.29</v>
      </c>
      <c r="G18" s="219">
        <v>1000</v>
      </c>
      <c r="H18" s="74">
        <v>1000</v>
      </c>
      <c r="I18" s="74">
        <v>2000</v>
      </c>
      <c r="J18" s="74">
        <v>3000</v>
      </c>
      <c r="K18" s="74">
        <v>3000</v>
      </c>
      <c r="L18" s="74">
        <v>3000</v>
      </c>
      <c r="M18" s="74">
        <v>4000</v>
      </c>
      <c r="N18" s="74">
        <v>4000</v>
      </c>
      <c r="O18" s="74">
        <v>4000</v>
      </c>
      <c r="P18" s="74">
        <v>4000</v>
      </c>
      <c r="Q18" s="74">
        <v>4000</v>
      </c>
      <c r="R18" s="74">
        <v>4000</v>
      </c>
      <c r="S18" s="74">
        <v>2000</v>
      </c>
      <c r="T18" s="74">
        <v>2000</v>
      </c>
      <c r="U18" s="74">
        <v>2241</v>
      </c>
      <c r="V18" s="219">
        <f t="shared" si="1"/>
        <v>1900430</v>
      </c>
      <c r="W18" s="74">
        <f t="shared" si="2"/>
        <v>1900430</v>
      </c>
      <c r="X18" s="74">
        <f t="shared" si="3"/>
        <v>3800860</v>
      </c>
      <c r="Y18" s="74">
        <f t="shared" si="4"/>
        <v>5701290</v>
      </c>
      <c r="Z18" s="74">
        <f t="shared" si="5"/>
        <v>5701290</v>
      </c>
      <c r="AA18" s="74">
        <f t="shared" si="6"/>
        <v>5701290</v>
      </c>
      <c r="AB18" s="74">
        <f t="shared" si="7"/>
        <v>7601720</v>
      </c>
      <c r="AC18" s="74">
        <f t="shared" si="8"/>
        <v>7601720</v>
      </c>
      <c r="AD18" s="74">
        <f t="shared" si="9"/>
        <v>7601720</v>
      </c>
      <c r="AE18" s="74">
        <f t="shared" si="10"/>
        <v>7601720</v>
      </c>
      <c r="AF18" s="74">
        <f t="shared" si="11"/>
        <v>7601720</v>
      </c>
      <c r="AG18" s="74">
        <f t="shared" si="12"/>
        <v>7601720</v>
      </c>
      <c r="AH18" s="74">
        <f t="shared" si="13"/>
        <v>3800860</v>
      </c>
      <c r="AI18" s="74">
        <f t="shared" si="14"/>
        <v>3800860</v>
      </c>
      <c r="AJ18" s="74">
        <f t="shared" si="15"/>
        <v>4258863.63</v>
      </c>
    </row>
  </sheetData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E3D190-6643-4319-A7DE-781D78E0719F}">
  <dimension ref="A1:AA18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2"/>
  <cols>
    <col min="1" max="1" width="12.5" bestFit="1" customWidth="1"/>
    <col min="2" max="16" width="8.1640625" bestFit="1" customWidth="1"/>
    <col min="17" max="17" width="6.83203125" bestFit="1" customWidth="1"/>
    <col min="18" max="19" width="7.1640625" bestFit="1" customWidth="1"/>
  </cols>
  <sheetData>
    <row r="1" spans="1:27">
      <c r="A1" s="7" t="s">
        <v>368</v>
      </c>
      <c r="B1" s="216">
        <v>44764</v>
      </c>
      <c r="C1" s="216">
        <v>44795</v>
      </c>
      <c r="D1" s="216">
        <v>44826</v>
      </c>
      <c r="E1" s="216">
        <v>44856</v>
      </c>
      <c r="F1" s="216">
        <v>44887</v>
      </c>
      <c r="G1" s="216">
        <v>44917</v>
      </c>
      <c r="H1" s="216">
        <v>44948</v>
      </c>
      <c r="I1" s="216">
        <v>44979</v>
      </c>
      <c r="J1" s="216">
        <v>45007</v>
      </c>
      <c r="K1" s="216">
        <v>45038</v>
      </c>
      <c r="L1" s="216">
        <v>45068</v>
      </c>
      <c r="M1" s="216">
        <v>45099</v>
      </c>
      <c r="N1" s="216">
        <v>45129</v>
      </c>
      <c r="O1" s="216">
        <v>45160</v>
      </c>
      <c r="P1" s="216">
        <v>45191</v>
      </c>
      <c r="Q1" s="216">
        <v>45221</v>
      </c>
      <c r="R1" s="216">
        <v>45252</v>
      </c>
      <c r="S1" s="216">
        <v>45282</v>
      </c>
    </row>
    <row r="2" spans="1:27">
      <c r="A2" t="s">
        <v>420</v>
      </c>
      <c r="B2" s="231">
        <v>0</v>
      </c>
      <c r="C2" s="231">
        <v>0</v>
      </c>
      <c r="D2" s="231">
        <f>Work!B2</f>
        <v>0.45921692105395195</v>
      </c>
      <c r="E2" s="231">
        <f>Work!C2</f>
        <v>0.42561460000000001</v>
      </c>
      <c r="F2" s="231">
        <f>Work!D2</f>
        <v>0.99990319999999999</v>
      </c>
      <c r="G2" s="231">
        <f>Work!E2</f>
        <v>1.8496893999999999</v>
      </c>
      <c r="H2" s="231">
        <f>Work!F2</f>
        <v>2.9628730000000001</v>
      </c>
      <c r="I2" s="231">
        <f>Work!G2</f>
        <v>3.386923525152</v>
      </c>
      <c r="J2" s="231">
        <f>Work!H2</f>
        <v>3.761218212528</v>
      </c>
      <c r="K2" s="231">
        <f>Work!I2</f>
        <v>3.813957772877504</v>
      </c>
      <c r="L2" s="231">
        <f>Work!J2</f>
        <v>2.7994411251520002</v>
      </c>
      <c r="M2" s="231">
        <f>Work!K2</f>
        <v>3.1258952511909119</v>
      </c>
      <c r="N2" s="231">
        <f>Work!L2</f>
        <v>2.6970230000000002</v>
      </c>
      <c r="O2" s="231">
        <f>Work!M2</f>
        <v>2.5811272000000001</v>
      </c>
      <c r="P2" s="231">
        <f>Work!N2</f>
        <v>0.80730599999999997</v>
      </c>
      <c r="Q2" s="231">
        <f>Work!O2</f>
        <v>0.52559820000000002</v>
      </c>
      <c r="R2" s="231">
        <f>Work!P2</f>
        <v>0.55539062699999997</v>
      </c>
      <c r="S2" s="231">
        <f>Work!Q2</f>
        <v>0</v>
      </c>
      <c r="T2" s="157"/>
      <c r="U2" s="157"/>
      <c r="V2" s="157"/>
      <c r="W2" s="157"/>
      <c r="X2" s="157"/>
      <c r="Y2" s="157"/>
      <c r="Z2" s="157"/>
      <c r="AA2" s="157"/>
    </row>
    <row r="3" spans="1:27">
      <c r="A3" t="s">
        <v>614</v>
      </c>
      <c r="B3" s="231">
        <f>Work!B3</f>
        <v>0</v>
      </c>
      <c r="C3" s="231">
        <f>Work!C3</f>
        <v>1.7146874999999999</v>
      </c>
      <c r="D3" s="231">
        <f>Work!D3</f>
        <v>6.3282087000000011</v>
      </c>
      <c r="E3" s="231">
        <f>Work!E3</f>
        <v>11.162723740000001</v>
      </c>
      <c r="F3" s="231">
        <f>Work!F3</f>
        <v>8.6138983299999996</v>
      </c>
      <c r="G3" s="231">
        <f>Work!G3</f>
        <v>8.8702451599999996</v>
      </c>
      <c r="H3" s="231">
        <f>Work!H3</f>
        <v>6.114004682</v>
      </c>
      <c r="I3" s="231">
        <f>Work!I3</f>
        <v>4.9984188588488792</v>
      </c>
      <c r="J3" s="231">
        <f>Work!J3</f>
        <v>1.2416391499999999</v>
      </c>
      <c r="K3" s="231">
        <f>Work!K3</f>
        <v>1.2327401799999997</v>
      </c>
      <c r="L3" s="231">
        <f>Work!L3</f>
        <v>1.2416391499999999</v>
      </c>
      <c r="M3" s="231">
        <f>Work!M3</f>
        <v>1.0674477199999999</v>
      </c>
      <c r="N3" s="231">
        <f>Work!N3</f>
        <v>1.0763466899999998</v>
      </c>
      <c r="O3" s="231">
        <f>Work!O3</f>
        <v>0.51829847999999989</v>
      </c>
      <c r="P3" s="231">
        <f>Work!P3</f>
        <v>0.32393654999999993</v>
      </c>
      <c r="Q3" s="231">
        <f>Work!Q3</f>
        <v>0</v>
      </c>
      <c r="R3" s="231">
        <f>Work!R3</f>
        <v>0</v>
      </c>
      <c r="S3" s="231">
        <f>Work!S3</f>
        <v>0</v>
      </c>
      <c r="T3" s="157"/>
      <c r="U3" s="157"/>
      <c r="V3" s="157"/>
      <c r="W3" s="157"/>
      <c r="X3" s="157"/>
      <c r="Y3" s="157"/>
      <c r="Z3" s="157"/>
      <c r="AA3" s="157"/>
    </row>
    <row r="4" spans="1:27">
      <c r="A4" t="s">
        <v>361</v>
      </c>
      <c r="B4" s="231">
        <v>0</v>
      </c>
      <c r="C4" s="231">
        <v>0</v>
      </c>
      <c r="D4" s="231">
        <f>Work!B4</f>
        <v>0</v>
      </c>
      <c r="E4" s="231">
        <f>Work!C4</f>
        <v>0</v>
      </c>
      <c r="F4" s="231">
        <f>Work!D4</f>
        <v>0</v>
      </c>
      <c r="G4" s="231">
        <f>Work!E4</f>
        <v>1.2488896753616525</v>
      </c>
      <c r="H4" s="231">
        <f>Work!F4</f>
        <v>1.1011452887781485</v>
      </c>
      <c r="I4" s="231">
        <f>Work!G4</f>
        <v>2.2366204763829565</v>
      </c>
      <c r="J4" s="231">
        <f>Work!H4</f>
        <v>2.0214879419805101</v>
      </c>
      <c r="K4" s="231">
        <f>Work!I4</f>
        <v>0</v>
      </c>
      <c r="L4" s="231">
        <f>Work!J4</f>
        <v>0</v>
      </c>
      <c r="M4" s="231">
        <f>Work!K4</f>
        <v>0</v>
      </c>
      <c r="N4" s="231">
        <f>Work!L4</f>
        <v>0</v>
      </c>
      <c r="O4" s="231">
        <f>Work!M4</f>
        <v>0</v>
      </c>
      <c r="P4" s="231">
        <f>Work!N4</f>
        <v>0</v>
      </c>
      <c r="Q4" s="231">
        <f>Work!O4</f>
        <v>0</v>
      </c>
      <c r="R4" s="231">
        <f>Work!P4</f>
        <v>0</v>
      </c>
      <c r="S4" s="231">
        <f>Work!Q4</f>
        <v>0</v>
      </c>
      <c r="T4" s="157"/>
      <c r="U4" s="157"/>
      <c r="V4" s="157"/>
      <c r="W4" s="157"/>
      <c r="X4" s="157"/>
      <c r="Y4" s="157"/>
      <c r="Z4" s="157"/>
      <c r="AA4" s="157"/>
    </row>
    <row r="5" spans="1:27">
      <c r="A5" t="s">
        <v>625</v>
      </c>
      <c r="B5" s="231">
        <f>Work!B5*25%</f>
        <v>0</v>
      </c>
      <c r="C5" s="231">
        <f>Work!C5*25%</f>
        <v>8.2871616000000009E-2</v>
      </c>
      <c r="D5" s="231">
        <f>Work!D5*25%+Work!B5*75%</f>
        <v>0.51953868463999997</v>
      </c>
      <c r="E5" s="231">
        <f>Work!E5*25%+Work!C5*75%</f>
        <v>0.54384082954240009</v>
      </c>
      <c r="F5" s="231">
        <f>Work!F5*25%+Work!D5*75%</f>
        <v>1.7310716831999997</v>
      </c>
      <c r="G5" s="231">
        <f>Work!G5*25%+Work!E5*75%</f>
        <v>1.3605807742864</v>
      </c>
      <c r="H5" s="231">
        <f>Work!H5*25%+Work!F5*75%</f>
        <v>0.51736688783999996</v>
      </c>
      <c r="I5" s="231">
        <f>Work!I5*25%+Work!G5*75%</f>
        <v>1.4247084889776001</v>
      </c>
      <c r="J5" s="231">
        <f>Work!J5*25%+Work!H5*75%</f>
        <v>0</v>
      </c>
      <c r="K5" s="231">
        <f>Work!K5*25%+Work!I5*75%</f>
        <v>0</v>
      </c>
      <c r="L5" s="231">
        <f>Work!L5*25%+Work!J5*75%</f>
        <v>0</v>
      </c>
      <c r="M5" s="231">
        <f>Work!M5*25%+Work!K5*75%</f>
        <v>0</v>
      </c>
      <c r="N5" s="231">
        <f>Work!N5*25%+Work!L5*75%</f>
        <v>0</v>
      </c>
      <c r="O5" s="231">
        <f>Work!O5*25%+Work!M5*75%</f>
        <v>0</v>
      </c>
      <c r="P5" s="231">
        <f>Work!P5*25%+Work!N5*75%</f>
        <v>0</v>
      </c>
      <c r="Q5" s="231">
        <f>Work!Q5*25%+Work!O5*75%</f>
        <v>0</v>
      </c>
      <c r="R5" s="231">
        <f>Work!R5*25%+Work!P5*75%</f>
        <v>0</v>
      </c>
      <c r="S5" s="231">
        <f>Work!S5*25%+Work!Q5*75%</f>
        <v>0</v>
      </c>
      <c r="T5" s="157"/>
      <c r="U5" s="157"/>
      <c r="V5" s="157"/>
      <c r="W5" s="157"/>
      <c r="X5" s="157"/>
      <c r="Y5" s="157"/>
      <c r="Z5" s="157"/>
      <c r="AA5" s="157"/>
    </row>
    <row r="6" spans="1:27">
      <c r="A6" t="s">
        <v>360</v>
      </c>
      <c r="B6" s="231">
        <f>Work!B6*25%</f>
        <v>0.28335911482142878</v>
      </c>
      <c r="C6" s="231">
        <f>Work!C6*25%</f>
        <v>0.23335911482142876</v>
      </c>
      <c r="D6" s="231">
        <f>Work!D6*25%+Work!B6*75%</f>
        <v>1.0654558150357152</v>
      </c>
      <c r="E6" s="231">
        <f>Work!E6*25%+Work!C6*75%</f>
        <v>1.013242008885715</v>
      </c>
      <c r="F6" s="231">
        <f>Work!F6*25%+Work!D6*75%</f>
        <v>1.2294945265357127</v>
      </c>
      <c r="G6" s="231">
        <f>Work!G6*25%+Work!E6*75%</f>
        <v>1.5989531080857127</v>
      </c>
      <c r="H6" s="231">
        <f>Work!H6*25%+Work!F6*75%</f>
        <v>2.1463599772357083</v>
      </c>
      <c r="I6" s="231">
        <f>Work!I6*25%+Work!G6*75%</f>
        <v>1.9783773444642794</v>
      </c>
      <c r="J6" s="231">
        <f>Work!J6*25%+Work!H6*75%</f>
        <v>1.1888478983142861</v>
      </c>
      <c r="K6" s="231">
        <f>Work!K6*25%+Work!I6*75%</f>
        <v>0</v>
      </c>
      <c r="L6" s="231">
        <f>Work!L6*25%+Work!J6*75%</f>
        <v>0</v>
      </c>
      <c r="M6" s="231">
        <f>Work!M6*25%+Work!K6*75%</f>
        <v>0</v>
      </c>
      <c r="N6" s="231">
        <f>Work!N6*25%+Work!L6*75%</f>
        <v>0</v>
      </c>
      <c r="O6" s="231">
        <f>Work!O6*25%+Work!M6*75%</f>
        <v>0</v>
      </c>
      <c r="P6" s="231">
        <f>Work!P6*25%+Work!N6*75%</f>
        <v>0</v>
      </c>
      <c r="Q6" s="231">
        <f>Work!Q6*25%+Work!O6*75%</f>
        <v>0</v>
      </c>
      <c r="R6" s="231">
        <f>Work!R6*25%+Work!P6*75%</f>
        <v>0</v>
      </c>
      <c r="S6" s="231">
        <f>Work!S6*25%+Work!Q6*75%</f>
        <v>0</v>
      </c>
      <c r="T6" s="157"/>
      <c r="U6" s="157"/>
      <c r="V6" s="157"/>
      <c r="W6" s="157"/>
      <c r="X6" s="157"/>
      <c r="Y6" s="157"/>
      <c r="Z6" s="157"/>
      <c r="AA6" s="157"/>
    </row>
    <row r="7" spans="1:27">
      <c r="A7" t="s">
        <v>363</v>
      </c>
      <c r="B7" s="231">
        <f>Work!B7*25%</f>
        <v>0</v>
      </c>
      <c r="C7" s="231">
        <f>Work!C7*25%</f>
        <v>0</v>
      </c>
      <c r="D7" s="231">
        <f>Work!D7*25%+Work!B7*75%</f>
        <v>0</v>
      </c>
      <c r="E7" s="231">
        <f>Work!E7*25%+Work!C7*75%</f>
        <v>0.27332499999999998</v>
      </c>
      <c r="F7" s="231">
        <f>Work!F7*25%+Work!D7*75%</f>
        <v>0.86832500000000001</v>
      </c>
      <c r="G7" s="231">
        <f>Work!G7*25%+Work!E7*75%</f>
        <v>0.8199749999999999</v>
      </c>
      <c r="H7" s="231">
        <f>Work!H7*25%+Work!F7*75%</f>
        <v>2.604975</v>
      </c>
      <c r="I7" s="231">
        <f>Work!I7*25%+Work!G7*75%</f>
        <v>0</v>
      </c>
      <c r="J7" s="231">
        <f>Work!J7*25%+Work!H7*75%</f>
        <v>0</v>
      </c>
      <c r="K7" s="231">
        <f>Work!K7*25%+Work!I7*75%</f>
        <v>0</v>
      </c>
      <c r="L7" s="231">
        <f>Work!L7*25%+Work!J7*75%</f>
        <v>0</v>
      </c>
      <c r="M7" s="231">
        <f>Work!M7*25%+Work!K7*75%</f>
        <v>0</v>
      </c>
      <c r="N7" s="231">
        <f>Work!N7*25%+Work!L7*75%</f>
        <v>0</v>
      </c>
      <c r="O7" s="231">
        <f>Work!O7*25%+Work!M7*75%</f>
        <v>0</v>
      </c>
      <c r="P7" s="231">
        <f>Work!P7*25%+Work!N7*75%</f>
        <v>0</v>
      </c>
      <c r="Q7" s="231">
        <f>Work!Q7*25%+Work!O7*75%</f>
        <v>0</v>
      </c>
      <c r="R7" s="231">
        <f>Work!R7*25%+Work!P7*75%</f>
        <v>0</v>
      </c>
      <c r="S7" s="231">
        <f>Work!S7*25%+Work!Q7*75%</f>
        <v>0</v>
      </c>
      <c r="T7" s="157"/>
      <c r="U7" s="157"/>
      <c r="V7" s="157"/>
      <c r="W7" s="157"/>
      <c r="X7" s="157"/>
      <c r="Y7" s="157"/>
      <c r="Z7" s="157"/>
      <c r="AA7" s="157"/>
    </row>
    <row r="8" spans="1:27" ht="12.75" thickBot="1">
      <c r="A8" s="7" t="s">
        <v>54</v>
      </c>
      <c r="B8" s="230">
        <f>SUM(B2:B7)</f>
        <v>0.28335911482142878</v>
      </c>
      <c r="C8" s="230">
        <f t="shared" ref="C8:S8" si="0">SUM(C2:C7)</f>
        <v>2.0309182308214289</v>
      </c>
      <c r="D8" s="230">
        <f t="shared" si="0"/>
        <v>8.372420120729668</v>
      </c>
      <c r="E8" s="230">
        <f t="shared" si="0"/>
        <v>13.418746178428115</v>
      </c>
      <c r="F8" s="230">
        <f t="shared" si="0"/>
        <v>13.442692739735714</v>
      </c>
      <c r="G8" s="230">
        <f t="shared" si="0"/>
        <v>15.748333117733765</v>
      </c>
      <c r="H8" s="230">
        <f t="shared" si="0"/>
        <v>15.446724835853855</v>
      </c>
      <c r="I8" s="230">
        <f t="shared" si="0"/>
        <v>14.025048693825715</v>
      </c>
      <c r="J8" s="230">
        <f t="shared" si="0"/>
        <v>8.2131932028227972</v>
      </c>
      <c r="K8" s="230">
        <f t="shared" si="0"/>
        <v>5.046697952877504</v>
      </c>
      <c r="L8" s="230">
        <f t="shared" si="0"/>
        <v>4.0410802751519999</v>
      </c>
      <c r="M8" s="230">
        <f t="shared" si="0"/>
        <v>4.193342971190912</v>
      </c>
      <c r="N8" s="230">
        <f t="shared" si="0"/>
        <v>3.77336969</v>
      </c>
      <c r="O8" s="230">
        <f t="shared" si="0"/>
        <v>3.09942568</v>
      </c>
      <c r="P8" s="230">
        <f t="shared" si="0"/>
        <v>1.1312425499999998</v>
      </c>
      <c r="Q8" s="230">
        <f t="shared" si="0"/>
        <v>0.52559820000000002</v>
      </c>
      <c r="R8" s="230">
        <f t="shared" si="0"/>
        <v>0.55539062699999997</v>
      </c>
      <c r="S8" s="230">
        <f t="shared" si="0"/>
        <v>0</v>
      </c>
      <c r="T8" s="11"/>
      <c r="U8" s="228"/>
      <c r="V8" s="157"/>
      <c r="W8" s="157"/>
      <c r="X8" s="157"/>
      <c r="Y8" s="157"/>
      <c r="Z8" s="157"/>
      <c r="AA8" s="157"/>
    </row>
    <row r="9" spans="1:27" ht="12.75" thickTop="1"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</row>
    <row r="10" spans="1:27">
      <c r="A10" s="7" t="s">
        <v>359</v>
      </c>
      <c r="B10" s="216">
        <v>44764</v>
      </c>
      <c r="C10" s="216">
        <v>44795</v>
      </c>
      <c r="D10" s="216">
        <v>44826</v>
      </c>
      <c r="E10" s="216">
        <v>44856</v>
      </c>
      <c r="F10" s="216">
        <v>44887</v>
      </c>
      <c r="G10" s="216">
        <v>44917</v>
      </c>
      <c r="H10" s="216">
        <v>44948</v>
      </c>
      <c r="I10" s="216">
        <v>44979</v>
      </c>
      <c r="J10" s="216">
        <v>45007</v>
      </c>
      <c r="K10" s="216">
        <v>45038</v>
      </c>
      <c r="L10" s="216">
        <v>45068</v>
      </c>
      <c r="M10" s="216">
        <v>45099</v>
      </c>
      <c r="N10" s="216">
        <v>45129</v>
      </c>
      <c r="O10" s="216">
        <v>45160</v>
      </c>
      <c r="P10" s="216">
        <v>45191</v>
      </c>
      <c r="Q10" s="216">
        <v>45221</v>
      </c>
      <c r="R10" s="216">
        <v>45252</v>
      </c>
      <c r="S10" s="216">
        <v>45282</v>
      </c>
      <c r="T10" s="157"/>
      <c r="U10" s="157"/>
      <c r="V10" s="157"/>
      <c r="W10" s="157"/>
      <c r="X10" s="157"/>
      <c r="Y10" s="157"/>
      <c r="Z10" s="157"/>
      <c r="AA10" s="157"/>
    </row>
    <row r="11" spans="1:27">
      <c r="A11" t="s">
        <v>420</v>
      </c>
      <c r="B11" s="225">
        <v>0</v>
      </c>
      <c r="C11" s="225">
        <v>0</v>
      </c>
      <c r="D11" s="225">
        <v>0</v>
      </c>
      <c r="E11" s="231">
        <f>Work!B11</f>
        <v>0.51743492105395195</v>
      </c>
      <c r="F11" s="231">
        <f>Work!C11</f>
        <v>0.48264449999999998</v>
      </c>
      <c r="G11" s="231">
        <f>Work!D11</f>
        <v>1.0941110000000001</v>
      </c>
      <c r="H11" s="231">
        <f>Work!E11</f>
        <v>1.9770524</v>
      </c>
      <c r="I11" s="231">
        <f>Work!F11</f>
        <v>3.0406059999999999</v>
      </c>
      <c r="J11" s="231">
        <f>Work!G11</f>
        <v>3.4646565251519998</v>
      </c>
      <c r="K11" s="231">
        <f>Work!H11</f>
        <v>3.8032327125280001</v>
      </c>
      <c r="L11" s="231">
        <f>Work!I11</f>
        <v>3.8559722728775041</v>
      </c>
      <c r="M11" s="231">
        <f>Work!J11</f>
        <v>2.8473961251520001</v>
      </c>
      <c r="N11" s="231">
        <f>Work!K11</f>
        <v>3.1397782511909118</v>
      </c>
      <c r="O11" s="231">
        <f>Work!L11</f>
        <v>2.7406839999999999</v>
      </c>
      <c r="P11" s="231">
        <f>Work!M11</f>
        <v>2.6569424000000001</v>
      </c>
      <c r="Q11" s="231">
        <f>Work!N11</f>
        <v>0.91780150000000005</v>
      </c>
      <c r="R11" s="231">
        <f>Work!O11</f>
        <v>0.63965799999999995</v>
      </c>
      <c r="S11" s="231">
        <f>Work!P11</f>
        <v>0.67659627300000003</v>
      </c>
      <c r="T11" s="157"/>
      <c r="U11" s="157"/>
      <c r="V11" s="157"/>
      <c r="W11" s="157"/>
      <c r="X11" s="157"/>
      <c r="Y11" s="157"/>
      <c r="Z11" s="157"/>
      <c r="AA11" s="157"/>
    </row>
    <row r="12" spans="1:27">
      <c r="A12" t="s">
        <v>614</v>
      </c>
      <c r="B12" s="231">
        <v>0</v>
      </c>
      <c r="C12" s="231">
        <f>Work!B12</f>
        <v>0</v>
      </c>
      <c r="D12" s="231">
        <f>Work!C12</f>
        <v>1.02216</v>
      </c>
      <c r="E12" s="231">
        <f>Work!D12</f>
        <v>6.9981245000000003</v>
      </c>
      <c r="F12" s="231">
        <f>Work!E12</f>
        <v>7.986676365000001</v>
      </c>
      <c r="G12" s="231">
        <f>Work!F12</f>
        <v>7.3758064679999995</v>
      </c>
      <c r="H12" s="231">
        <f>Work!G12</f>
        <v>1.95929</v>
      </c>
      <c r="I12" s="231">
        <f>Work!H12</f>
        <v>0</v>
      </c>
      <c r="J12" s="231">
        <f>Work!I12</f>
        <v>2.3326751968370663</v>
      </c>
      <c r="K12" s="231">
        <f>Work!J12</f>
        <v>0</v>
      </c>
      <c r="L12" s="231">
        <f>Work!K12</f>
        <v>0.80537999999999987</v>
      </c>
      <c r="M12" s="231">
        <f>Work!L12</f>
        <v>0</v>
      </c>
      <c r="N12" s="231">
        <f>Work!M12</f>
        <v>0.53691999999999995</v>
      </c>
      <c r="O12" s="231">
        <f>Work!N12</f>
        <v>0</v>
      </c>
      <c r="P12" s="231">
        <f>Work!O12</f>
        <v>0</v>
      </c>
      <c r="Q12" s="231">
        <f>Work!P12</f>
        <v>0</v>
      </c>
      <c r="R12" s="231">
        <f>Work!Q12</f>
        <v>0</v>
      </c>
      <c r="S12" s="231">
        <f>Work!R12</f>
        <v>0</v>
      </c>
      <c r="T12" s="157"/>
      <c r="U12" s="157"/>
      <c r="V12" s="157"/>
      <c r="W12" s="157"/>
      <c r="X12" s="157"/>
      <c r="Y12" s="157"/>
      <c r="Z12" s="157"/>
      <c r="AA12" s="157"/>
    </row>
    <row r="13" spans="1:27">
      <c r="A13" t="s">
        <v>361</v>
      </c>
      <c r="B13" s="231">
        <v>0</v>
      </c>
      <c r="C13" s="231">
        <v>0</v>
      </c>
      <c r="D13" s="231">
        <f>Work!B13</f>
        <v>0</v>
      </c>
      <c r="E13" s="231">
        <f>Work!C13</f>
        <v>0</v>
      </c>
      <c r="F13" s="231">
        <f>Work!D13</f>
        <v>0.75121183480400144</v>
      </c>
      <c r="G13" s="231">
        <f>Work!E13</f>
        <v>0.66234303084399904</v>
      </c>
      <c r="H13" s="231">
        <f>Work!F13</f>
        <v>1.3453356248920041</v>
      </c>
      <c r="I13" s="231">
        <f>Work!G13</f>
        <v>0.50932618480000003</v>
      </c>
      <c r="J13" s="231">
        <f>Work!H13</f>
        <v>1.2159325966800061</v>
      </c>
      <c r="K13" s="231">
        <f>Work!I13</f>
        <v>0</v>
      </c>
      <c r="L13" s="231">
        <f>Work!J13</f>
        <v>0</v>
      </c>
      <c r="M13" s="231">
        <f>Work!K13</f>
        <v>0</v>
      </c>
      <c r="N13" s="231">
        <f>Work!L13</f>
        <v>0</v>
      </c>
      <c r="O13" s="231">
        <f>Work!M13</f>
        <v>0</v>
      </c>
      <c r="P13" s="231">
        <f>Work!N13</f>
        <v>0</v>
      </c>
      <c r="Q13" s="231">
        <f>Work!O13</f>
        <v>0</v>
      </c>
      <c r="R13" s="231">
        <f>Work!P13</f>
        <v>0</v>
      </c>
      <c r="S13" s="231">
        <f>Work!Q13</f>
        <v>0</v>
      </c>
      <c r="T13" s="157"/>
      <c r="U13" s="157"/>
      <c r="V13" s="157"/>
      <c r="W13" s="157"/>
      <c r="X13" s="157"/>
      <c r="Y13" s="157"/>
      <c r="Z13" s="157"/>
      <c r="AA13" s="157"/>
    </row>
    <row r="14" spans="1:27">
      <c r="A14" t="s">
        <v>625</v>
      </c>
      <c r="B14" s="231">
        <v>0</v>
      </c>
      <c r="C14" s="231">
        <v>0</v>
      </c>
      <c r="D14" s="231">
        <f>Work!B14</f>
        <v>0</v>
      </c>
      <c r="E14" s="231">
        <f>Work!C14</f>
        <v>0.20717903999999998</v>
      </c>
      <c r="F14" s="231">
        <f>Work!D14</f>
        <v>1.2988467115999998</v>
      </c>
      <c r="G14" s="231">
        <f>Work!E14</f>
        <v>0.73806495385600002</v>
      </c>
      <c r="H14" s="231">
        <f>Work!F14</f>
        <v>0.4311390732</v>
      </c>
      <c r="I14" s="231">
        <f>Work!G14</f>
        <v>1.1872570741479997</v>
      </c>
      <c r="J14" s="231">
        <f>Work!H14</f>
        <v>0</v>
      </c>
      <c r="K14" s="231">
        <f>Work!I14</f>
        <v>0</v>
      </c>
      <c r="L14" s="231">
        <f>Work!J14</f>
        <v>0</v>
      </c>
      <c r="M14" s="231">
        <f>Work!K14</f>
        <v>0</v>
      </c>
      <c r="N14" s="231">
        <f>Work!L14</f>
        <v>0</v>
      </c>
      <c r="O14" s="231">
        <f>Work!M14</f>
        <v>0</v>
      </c>
      <c r="P14" s="231">
        <f>Work!N14</f>
        <v>0</v>
      </c>
      <c r="Q14" s="231">
        <f>Work!O14</f>
        <v>0</v>
      </c>
      <c r="R14" s="231">
        <f>Work!P14</f>
        <v>0</v>
      </c>
      <c r="S14" s="231">
        <f>Work!Q14</f>
        <v>0</v>
      </c>
      <c r="T14" s="157"/>
      <c r="U14" s="157"/>
      <c r="V14" s="157"/>
      <c r="W14" s="157"/>
      <c r="X14" s="157"/>
      <c r="Y14" s="157"/>
      <c r="Z14" s="157"/>
      <c r="AA14" s="157"/>
    </row>
    <row r="15" spans="1:27">
      <c r="A15" t="s">
        <v>360</v>
      </c>
      <c r="B15" s="231">
        <v>0</v>
      </c>
      <c r="C15" s="231">
        <v>0</v>
      </c>
      <c r="D15" s="231">
        <f>Work!B15</f>
        <v>0</v>
      </c>
      <c r="E15" s="231">
        <f>Work!C15</f>
        <v>0.68487517260000208</v>
      </c>
      <c r="F15" s="231">
        <f>Work!D15</f>
        <v>1.4379174006000002</v>
      </c>
      <c r="G15" s="231">
        <f>Work!E15</f>
        <v>1.9165366482000012</v>
      </c>
      <c r="H15" s="231">
        <f>Work!F15</f>
        <v>1.3379914456000011</v>
      </c>
      <c r="I15" s="231">
        <f>Work!G15</f>
        <v>1.3044</v>
      </c>
      <c r="J15" s="231">
        <f>Work!H15</f>
        <v>2.8742098559999958</v>
      </c>
      <c r="K15" s="231">
        <f>Work!I15</f>
        <v>0</v>
      </c>
      <c r="L15" s="231">
        <f>Work!J15</f>
        <v>0</v>
      </c>
      <c r="M15" s="231">
        <f>Work!K15</f>
        <v>0</v>
      </c>
      <c r="N15" s="231">
        <f>Work!L15</f>
        <v>0</v>
      </c>
      <c r="O15" s="231">
        <f>Work!M15</f>
        <v>0</v>
      </c>
      <c r="P15" s="231">
        <f>Work!N15</f>
        <v>0</v>
      </c>
      <c r="Q15" s="231">
        <f>Work!O15</f>
        <v>0</v>
      </c>
      <c r="R15" s="231">
        <f>Work!P15</f>
        <v>0</v>
      </c>
      <c r="S15" s="231">
        <f>Work!Q15</f>
        <v>0</v>
      </c>
      <c r="T15" s="157"/>
      <c r="U15" s="157"/>
      <c r="V15" s="157"/>
      <c r="W15" s="157"/>
      <c r="X15" s="157"/>
      <c r="Y15" s="157"/>
      <c r="Z15" s="157"/>
      <c r="AA15" s="157"/>
    </row>
    <row r="16" spans="1:27">
      <c r="A16" t="s">
        <v>363</v>
      </c>
      <c r="B16" s="231">
        <v>0</v>
      </c>
      <c r="C16" s="231">
        <v>0</v>
      </c>
      <c r="D16" s="231">
        <f>Work!B16</f>
        <v>0</v>
      </c>
      <c r="E16" s="231">
        <f>Work!C16</f>
        <v>0</v>
      </c>
      <c r="F16" s="231">
        <f>Work!D16</f>
        <v>0</v>
      </c>
      <c r="G16" s="231">
        <f>Work!E16</f>
        <v>1.0932999999999999</v>
      </c>
      <c r="H16" s="231">
        <f>Work!F16</f>
        <v>3.4733000000000001</v>
      </c>
      <c r="I16" s="231">
        <f>Work!G16</f>
        <v>0</v>
      </c>
      <c r="J16" s="231">
        <f>Work!H16</f>
        <v>0</v>
      </c>
      <c r="K16" s="231">
        <f>Work!I16</f>
        <v>0</v>
      </c>
      <c r="L16" s="231">
        <f>Work!J16</f>
        <v>0</v>
      </c>
      <c r="M16" s="231">
        <f>Work!K16</f>
        <v>0</v>
      </c>
      <c r="N16" s="231">
        <f>Work!L16</f>
        <v>0</v>
      </c>
      <c r="O16" s="231">
        <f>Work!M16</f>
        <v>0</v>
      </c>
      <c r="P16" s="231">
        <f>Work!N16</f>
        <v>0</v>
      </c>
      <c r="Q16" s="231">
        <f>Work!O16</f>
        <v>0</v>
      </c>
      <c r="R16" s="231">
        <f>Work!P16</f>
        <v>0</v>
      </c>
      <c r="S16" s="231">
        <f>Work!Q16</f>
        <v>0</v>
      </c>
      <c r="T16" s="157"/>
      <c r="U16" s="157"/>
      <c r="V16" s="157"/>
      <c r="W16" s="157"/>
      <c r="X16" s="157"/>
      <c r="Y16" s="157"/>
      <c r="Z16" s="157"/>
      <c r="AA16" s="157"/>
    </row>
    <row r="17" spans="1:27" ht="12.75" thickBot="1">
      <c r="A17" s="7" t="s">
        <v>54</v>
      </c>
      <c r="B17" s="230">
        <f>SUM(B11:B16)</f>
        <v>0</v>
      </c>
      <c r="C17" s="230">
        <f t="shared" ref="C17:S17" si="1">SUM(C11:C16)</f>
        <v>0</v>
      </c>
      <c r="D17" s="230">
        <f t="shared" si="1"/>
        <v>1.02216</v>
      </c>
      <c r="E17" s="230">
        <f t="shared" si="1"/>
        <v>8.4076136336539538</v>
      </c>
      <c r="F17" s="230">
        <f t="shared" si="1"/>
        <v>11.957296812004001</v>
      </c>
      <c r="G17" s="230">
        <f t="shared" si="1"/>
        <v>12.8801621009</v>
      </c>
      <c r="H17" s="230">
        <f t="shared" si="1"/>
        <v>10.524108543692005</v>
      </c>
      <c r="I17" s="230">
        <f t="shared" si="1"/>
        <v>6.041589258948</v>
      </c>
      <c r="J17" s="230">
        <f t="shared" si="1"/>
        <v>9.8874741746690678</v>
      </c>
      <c r="K17" s="230">
        <f t="shared" si="1"/>
        <v>3.8032327125280001</v>
      </c>
      <c r="L17" s="230">
        <f t="shared" si="1"/>
        <v>4.6613522728775036</v>
      </c>
      <c r="M17" s="230">
        <f t="shared" si="1"/>
        <v>2.8473961251520001</v>
      </c>
      <c r="N17" s="230">
        <f t="shared" si="1"/>
        <v>3.6766982511909116</v>
      </c>
      <c r="O17" s="230">
        <f t="shared" si="1"/>
        <v>2.7406839999999999</v>
      </c>
      <c r="P17" s="230">
        <f t="shared" si="1"/>
        <v>2.6569424000000001</v>
      </c>
      <c r="Q17" s="230">
        <f t="shared" si="1"/>
        <v>0.91780150000000005</v>
      </c>
      <c r="R17" s="230">
        <f t="shared" si="1"/>
        <v>0.63965799999999995</v>
      </c>
      <c r="S17" s="230">
        <f t="shared" si="1"/>
        <v>0.67659627300000003</v>
      </c>
      <c r="T17" s="157"/>
      <c r="U17" s="157"/>
      <c r="V17" s="157"/>
      <c r="W17" s="157"/>
      <c r="X17" s="157"/>
      <c r="Y17" s="157"/>
      <c r="Z17" s="157"/>
      <c r="AA17" s="157"/>
    </row>
    <row r="18" spans="1:27" ht="12" customHeight="1" thickTop="1"/>
  </sheetData>
  <pageMargins left="0.7" right="0.7" top="0.75" bottom="0.75" header="0.3" footer="0.3"/>
  <pageSetup paperSize="9" orientation="portrait" verticalDpi="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D228D-D3C7-4A36-9E1C-5C15B2A7B83E}">
  <dimension ref="A1:AE22"/>
  <sheetViews>
    <sheetView zoomScaleNormal="10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8" sqref="U8"/>
    </sheetView>
  </sheetViews>
  <sheetFormatPr defaultRowHeight="12"/>
  <cols>
    <col min="1" max="1" width="22.33203125" bestFit="1" customWidth="1"/>
    <col min="2" max="2" width="6.1640625" bestFit="1" customWidth="1"/>
    <col min="3" max="4" width="7" bestFit="1" customWidth="1"/>
    <col min="5" max="6" width="7.1640625" bestFit="1" customWidth="1"/>
    <col min="7" max="7" width="7" bestFit="1" customWidth="1"/>
    <col min="8" max="8" width="7.1640625" bestFit="1" customWidth="1"/>
    <col min="9" max="9" width="7" bestFit="1" customWidth="1"/>
    <col min="10" max="10" width="7.33203125" bestFit="1" customWidth="1"/>
    <col min="11" max="11" width="6.83203125" bestFit="1" customWidth="1"/>
    <col min="12" max="12" width="7.5" bestFit="1" customWidth="1"/>
    <col min="13" max="13" width="6.6640625" bestFit="1" customWidth="1"/>
    <col min="14" max="14" width="6.1640625" bestFit="1" customWidth="1"/>
    <col min="15" max="16" width="7" bestFit="1" customWidth="1"/>
    <col min="17" max="20" width="7" customWidth="1"/>
    <col min="21" max="21" width="15" bestFit="1" customWidth="1"/>
  </cols>
  <sheetData>
    <row r="1" spans="1:31">
      <c r="A1" s="7" t="s">
        <v>368</v>
      </c>
      <c r="B1" s="216">
        <v>44764</v>
      </c>
      <c r="C1" s="216">
        <v>44795</v>
      </c>
      <c r="D1" s="216">
        <v>44826</v>
      </c>
      <c r="E1" s="216">
        <v>44856</v>
      </c>
      <c r="F1" s="216">
        <v>44887</v>
      </c>
      <c r="G1" s="216">
        <v>44917</v>
      </c>
      <c r="H1" s="216">
        <v>44948</v>
      </c>
      <c r="I1" s="216">
        <v>44979</v>
      </c>
      <c r="J1" s="216">
        <v>45007</v>
      </c>
      <c r="K1" s="216">
        <v>45038</v>
      </c>
      <c r="L1" s="216">
        <v>45068</v>
      </c>
      <c r="M1" s="216">
        <v>45099</v>
      </c>
      <c r="N1" s="216">
        <v>45129</v>
      </c>
      <c r="O1" s="216">
        <v>45160</v>
      </c>
      <c r="P1" s="216">
        <v>45191</v>
      </c>
      <c r="Q1" s="216"/>
      <c r="R1" s="216"/>
      <c r="S1" s="216"/>
      <c r="T1" s="216"/>
    </row>
    <row r="2" spans="1:31">
      <c r="A2" t="s">
        <v>632</v>
      </c>
      <c r="B2" s="231">
        <f>(SUM('Execution Cost'!V2:V18))/10000000</f>
        <v>0.45921692105395195</v>
      </c>
      <c r="C2" s="231">
        <f>(SUM('Execution Cost'!W2:W18))/10000000</f>
        <v>0.42561460000000001</v>
      </c>
      <c r="D2" s="231">
        <f>(SUM('Execution Cost'!X2:X18))/10000000</f>
        <v>0.99990319999999999</v>
      </c>
      <c r="E2" s="231">
        <f>(SUM('Execution Cost'!Y2:Y18))/10000000</f>
        <v>1.8496893999999999</v>
      </c>
      <c r="F2" s="231">
        <f>(SUM('Execution Cost'!Z2:Z18))/10000000</f>
        <v>2.9628730000000001</v>
      </c>
      <c r="G2" s="231">
        <f>(SUM('Execution Cost'!AA2:AA18))/10000000</f>
        <v>3.386923525152</v>
      </c>
      <c r="H2" s="231">
        <f>(SUM('Execution Cost'!AB2:AB18))/10000000</f>
        <v>3.761218212528</v>
      </c>
      <c r="I2" s="231">
        <f>(SUM('Execution Cost'!AC2:AC18))/10000000</f>
        <v>3.813957772877504</v>
      </c>
      <c r="J2" s="231">
        <f>(SUM('Execution Cost'!AD2:AD18))/10000000</f>
        <v>2.7994411251520002</v>
      </c>
      <c r="K2" s="231">
        <f>(SUM('Execution Cost'!AE2:AE18))/10000000</f>
        <v>3.1258952511909119</v>
      </c>
      <c r="L2" s="231">
        <f>(SUM('Execution Cost'!AF2:AF18))/10000000</f>
        <v>2.6970230000000002</v>
      </c>
      <c r="M2" s="231">
        <f>(SUM('Execution Cost'!AG2:AG18))/10000000</f>
        <v>2.5811272000000001</v>
      </c>
      <c r="N2" s="231">
        <f>(SUM('Execution Cost'!AH2:AH18))/10000000</f>
        <v>0.80730599999999997</v>
      </c>
      <c r="O2" s="231">
        <f>(SUM('Execution Cost'!AI2:AI18))/10000000</f>
        <v>0.52559820000000002</v>
      </c>
      <c r="P2" s="231">
        <f>(SUM('Execution Cost'!AJ2:AJ18))/10000000</f>
        <v>0.55539062699999997</v>
      </c>
      <c r="Q2" s="231"/>
      <c r="R2" s="231"/>
      <c r="S2" s="231"/>
      <c r="T2" s="231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</row>
    <row r="3" spans="1:31">
      <c r="A3" t="s">
        <v>633</v>
      </c>
      <c r="B3" s="231">
        <v>0</v>
      </c>
      <c r="C3" s="231">
        <f>(SUM('Supply Cost'!U2:U14))/10000000</f>
        <v>1.7146874999999999</v>
      </c>
      <c r="D3" s="231">
        <f>(SUM('Supply Cost'!V2:V14))/10000000</f>
        <v>6.3282087000000011</v>
      </c>
      <c r="E3" s="231">
        <f>(SUM('Supply Cost'!W2:W14))/10000000</f>
        <v>11.162723740000001</v>
      </c>
      <c r="F3" s="231">
        <f>(SUM('Supply Cost'!X2:X14))/10000000</f>
        <v>8.6138983299999996</v>
      </c>
      <c r="G3" s="231">
        <f>(SUM('Supply Cost'!Y2:Y14))/10000000</f>
        <v>8.8702451599999996</v>
      </c>
      <c r="H3" s="231">
        <f>(SUM('Supply Cost'!Z2:Z14))/10000000</f>
        <v>6.114004682</v>
      </c>
      <c r="I3" s="231">
        <f>(SUM('Supply Cost'!AA2:AA14))/10000000</f>
        <v>4.9984188588488792</v>
      </c>
      <c r="J3" s="231">
        <f>(SUM('Supply Cost'!AB2:AB14))/10000000</f>
        <v>1.2416391499999999</v>
      </c>
      <c r="K3" s="231">
        <f>(SUM('Supply Cost'!AC2:AC14))/10000000</f>
        <v>1.2327401799999997</v>
      </c>
      <c r="L3" s="231">
        <f>(SUM('Supply Cost'!AD2:AD14))/10000000</f>
        <v>1.2416391499999999</v>
      </c>
      <c r="M3" s="231">
        <f>(SUM('Supply Cost'!AE2:AE14))/10000000</f>
        <v>1.0674477199999999</v>
      </c>
      <c r="N3" s="231">
        <f>(SUM('Supply Cost'!AF2:AF14))/10000000</f>
        <v>1.0763466899999998</v>
      </c>
      <c r="O3" s="231">
        <f>(SUM('Supply Cost'!AG2:AG14))/10000000</f>
        <v>0.51829847999999989</v>
      </c>
      <c r="P3" s="231">
        <f>(SUM('Supply Cost'!AH2:AH14))/10000000</f>
        <v>0.32393654999999993</v>
      </c>
      <c r="Q3" s="231"/>
      <c r="R3" s="231"/>
      <c r="S3" s="231"/>
      <c r="T3" s="231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</row>
    <row r="4" spans="1:31">
      <c r="A4" t="s">
        <v>361</v>
      </c>
      <c r="B4" s="231">
        <f>(WTP!I17)/10000000</f>
        <v>0</v>
      </c>
      <c r="C4" s="231">
        <f>(WTP!J17)/10000000</f>
        <v>0</v>
      </c>
      <c r="D4" s="231">
        <f>(WTP!K17)/10000000</f>
        <v>0</v>
      </c>
      <c r="E4" s="231">
        <f>(WTP!L17)/10000000</f>
        <v>1.2488896753616525</v>
      </c>
      <c r="F4" s="231">
        <f>(WTP!M17)/10000000</f>
        <v>1.1011452887781485</v>
      </c>
      <c r="G4" s="231">
        <f>(WTP!N17)/10000000</f>
        <v>2.2366204763829565</v>
      </c>
      <c r="H4" s="231">
        <f>(WTP!P17)/10000000</f>
        <v>2.0214879419805101</v>
      </c>
      <c r="I4" s="231">
        <f>(WTP!Q17)/10000000</f>
        <v>0</v>
      </c>
      <c r="J4" s="231">
        <f>(WTP!R17)/10000000</f>
        <v>0</v>
      </c>
      <c r="K4" s="231">
        <f>(WTP!S17)/10000000</f>
        <v>0</v>
      </c>
      <c r="L4" s="231">
        <f>(WTP!T17)/10000000</f>
        <v>0</v>
      </c>
      <c r="M4" s="231">
        <f>(WTP!U17)/10000000</f>
        <v>0</v>
      </c>
      <c r="N4" s="231">
        <f>(WTP!V17)/10000000</f>
        <v>0</v>
      </c>
      <c r="O4" s="231">
        <f>(WTP!W17)/10000000</f>
        <v>0</v>
      </c>
      <c r="P4" s="231">
        <f>(WTP!X17)/10000000</f>
        <v>0</v>
      </c>
      <c r="Q4" s="231"/>
      <c r="R4" s="231"/>
      <c r="S4" s="231"/>
      <c r="T4" s="231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</row>
    <row r="5" spans="1:31">
      <c r="A5" t="s">
        <v>625</v>
      </c>
      <c r="B5" s="231">
        <f>'Existing UGRs'!I29/10000000</f>
        <v>0</v>
      </c>
      <c r="C5" s="231">
        <f>'Existing UGRs'!J29/10000000</f>
        <v>0.33148646400000004</v>
      </c>
      <c r="D5" s="231">
        <f>'Existing UGRs'!K29/10000000</f>
        <v>2.0781547385599999</v>
      </c>
      <c r="E5" s="231">
        <f>'Existing UGRs'!L29/10000000</f>
        <v>1.1809039261696002</v>
      </c>
      <c r="F5" s="231">
        <f>'Existing UGRs'!M29/10000000</f>
        <v>0.68982251711999998</v>
      </c>
      <c r="G5" s="231">
        <f>'Existing UGRs'!N29/10000000</f>
        <v>1.8996113186368</v>
      </c>
      <c r="H5" s="231">
        <f>'Existing UGRs'!O29/10000000</f>
        <v>0</v>
      </c>
      <c r="I5" s="231">
        <f>'Existing UGRs'!P29/10000000</f>
        <v>0</v>
      </c>
      <c r="J5" s="231">
        <f>'Existing UGRs'!Q29/10000000</f>
        <v>0</v>
      </c>
      <c r="K5" s="231">
        <f>'Existing UGRs'!R29/10000000</f>
        <v>0</v>
      </c>
      <c r="L5" s="231">
        <f>'Existing UGRs'!S29/10000000</f>
        <v>0</v>
      </c>
      <c r="M5" s="231">
        <f>'Existing UGRs'!T29/10000000</f>
        <v>0</v>
      </c>
      <c r="N5" s="231">
        <f>'Existing UGRs'!U29/10000000</f>
        <v>0</v>
      </c>
      <c r="O5" s="231">
        <f>'Existing UGRs'!V29/10000000</f>
        <v>0</v>
      </c>
      <c r="P5" s="231">
        <f>'Existing UGRs'!W29/10000000</f>
        <v>0</v>
      </c>
      <c r="Q5" s="231"/>
      <c r="R5" s="231"/>
      <c r="S5" s="231"/>
      <c r="T5" s="231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</row>
    <row r="6" spans="1:31">
      <c r="A6" t="s">
        <v>360</v>
      </c>
      <c r="B6" s="231">
        <f>'New UGRs'!J27/10000000</f>
        <v>1.1334364592857151</v>
      </c>
      <c r="C6" s="231">
        <f>'New UGRs'!K27/10000000</f>
        <v>0.93343645928571506</v>
      </c>
      <c r="D6" s="231">
        <f>'New UGRs'!L27/10000000</f>
        <v>0.8615138822857149</v>
      </c>
      <c r="E6" s="231">
        <f>'New UGRs'!M27/10000000</f>
        <v>1.252658657685715</v>
      </c>
      <c r="F6" s="231">
        <f>'New UGRs'!N27/10000000</f>
        <v>2.3334364592857058</v>
      </c>
      <c r="G6" s="231">
        <f>'New UGRs'!O27/10000000</f>
        <v>2.637836459285706</v>
      </c>
      <c r="H6" s="231">
        <f>'New UGRs'!P27/10000000</f>
        <v>1.5851305310857149</v>
      </c>
      <c r="I6" s="231">
        <f>'New UGRs'!Q27/10000000</f>
        <v>0</v>
      </c>
      <c r="J6" s="231">
        <f>'New UGRs'!R27/10000000</f>
        <v>0</v>
      </c>
      <c r="K6" s="231">
        <f>'New UGRs'!S27/10000000</f>
        <v>0</v>
      </c>
      <c r="L6" s="231">
        <f>'New UGRs'!T27/10000000</f>
        <v>0</v>
      </c>
      <c r="M6" s="231">
        <f>'New UGRs'!U27/10000000</f>
        <v>0</v>
      </c>
      <c r="N6" s="231">
        <f>'New UGRs'!V27/10000000</f>
        <v>0</v>
      </c>
      <c r="O6" s="231">
        <f>'New UGRs'!W27/10000000</f>
        <v>0</v>
      </c>
      <c r="P6" s="231">
        <f>'New UGRs'!X27/10000000</f>
        <v>0</v>
      </c>
      <c r="Q6" s="231"/>
      <c r="R6" s="231"/>
      <c r="S6" s="231"/>
      <c r="T6" s="231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</row>
    <row r="7" spans="1:31">
      <c r="A7" t="s">
        <v>363</v>
      </c>
      <c r="B7" s="231">
        <f>(Automation!I6)/10000000</f>
        <v>0</v>
      </c>
      <c r="C7" s="231">
        <f>(Automation!J6)/10000000</f>
        <v>0</v>
      </c>
      <c r="D7" s="231">
        <f>(Automation!K6)/10000000</f>
        <v>0</v>
      </c>
      <c r="E7" s="231">
        <f>(Automation!L6)/10000000</f>
        <v>1.0932999999999999</v>
      </c>
      <c r="F7" s="231">
        <f>(Automation!M6)/10000000</f>
        <v>3.4733000000000001</v>
      </c>
      <c r="G7" s="231">
        <f>(Automation!N6)/10000000</f>
        <v>0</v>
      </c>
      <c r="H7" s="231">
        <f>(Automation!O6)/10000000</f>
        <v>0</v>
      </c>
      <c r="I7" s="231">
        <f>(Automation!P6)/10000000</f>
        <v>0</v>
      </c>
      <c r="J7" s="231">
        <f>(Automation!Q6)/10000000</f>
        <v>0</v>
      </c>
      <c r="K7" s="231">
        <f>(Automation!R6)/10000000</f>
        <v>0</v>
      </c>
      <c r="L7" s="231">
        <f>(Automation!S6)/10000000</f>
        <v>0</v>
      </c>
      <c r="M7" s="231">
        <f>(Automation!T6)/10000000</f>
        <v>0</v>
      </c>
      <c r="N7" s="231">
        <f>(Automation!U6)/10000000</f>
        <v>0</v>
      </c>
      <c r="O7" s="231">
        <f>(Automation!V6)/10000000</f>
        <v>0</v>
      </c>
      <c r="P7" s="231">
        <f>(Automation!W6)/10000000</f>
        <v>0</v>
      </c>
      <c r="Q7" s="231"/>
      <c r="R7" s="231"/>
      <c r="S7" s="231"/>
      <c r="T7" s="231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</row>
    <row r="8" spans="1:31" ht="12.75" thickBot="1">
      <c r="A8" s="7" t="s">
        <v>54</v>
      </c>
      <c r="B8" s="230">
        <f>SUM(B2:B7)</f>
        <v>1.5926533803396672</v>
      </c>
      <c r="C8" s="230">
        <f t="shared" ref="C8:P8" si="0">SUM(C2:C7)</f>
        <v>3.4052250232857153</v>
      </c>
      <c r="D8" s="230">
        <f t="shared" si="0"/>
        <v>10.267780520845717</v>
      </c>
      <c r="E8" s="230">
        <f t="shared" si="0"/>
        <v>17.788165399216968</v>
      </c>
      <c r="F8" s="230">
        <f t="shared" si="0"/>
        <v>19.174475595183853</v>
      </c>
      <c r="G8" s="230">
        <f t="shared" si="0"/>
        <v>19.031236939457461</v>
      </c>
      <c r="H8" s="230">
        <f t="shared" si="0"/>
        <v>13.481841367594226</v>
      </c>
      <c r="I8" s="230">
        <f t="shared" si="0"/>
        <v>8.8123766317263836</v>
      </c>
      <c r="J8" s="230">
        <f t="shared" si="0"/>
        <v>4.0410802751519999</v>
      </c>
      <c r="K8" s="230">
        <f t="shared" si="0"/>
        <v>4.3586354311909119</v>
      </c>
      <c r="L8" s="230">
        <f t="shared" si="0"/>
        <v>3.9386621499999999</v>
      </c>
      <c r="M8" s="230">
        <f t="shared" si="0"/>
        <v>3.6485749199999997</v>
      </c>
      <c r="N8" s="230">
        <f t="shared" si="0"/>
        <v>1.8836526899999999</v>
      </c>
      <c r="O8" s="230">
        <f t="shared" si="0"/>
        <v>1.04389668</v>
      </c>
      <c r="P8" s="230">
        <f t="shared" si="0"/>
        <v>0.87932717699999996</v>
      </c>
      <c r="Q8" s="232"/>
      <c r="R8" s="232"/>
      <c r="S8" s="232"/>
      <c r="T8" s="232"/>
      <c r="U8" s="232">
        <f>SUM(B8:P8)</f>
        <v>113.34758418099291</v>
      </c>
      <c r="V8" s="231">
        <f>U8</f>
        <v>113.34758418099291</v>
      </c>
      <c r="W8" s="231">
        <f>'CF Capex'!W7+'CF Capex'!AG7</f>
        <v>6</v>
      </c>
      <c r="X8" s="231">
        <f>V8-W8</f>
        <v>107.34758418099291</v>
      </c>
      <c r="Y8" s="232">
        <f>'Summary '!D2</f>
        <v>141.5775841809928</v>
      </c>
      <c r="Z8" s="231">
        <f>X8-Y8</f>
        <v>-34.22999999999989</v>
      </c>
      <c r="AA8" s="262" t="s">
        <v>639</v>
      </c>
      <c r="AB8" s="157"/>
      <c r="AC8" s="157"/>
      <c r="AD8" s="157"/>
      <c r="AE8" s="157"/>
    </row>
    <row r="9" spans="1:31" ht="12.75" thickTop="1"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</row>
    <row r="10" spans="1:31">
      <c r="A10" s="7" t="s">
        <v>359</v>
      </c>
      <c r="B10" s="216">
        <v>44764</v>
      </c>
      <c r="C10" s="216">
        <v>44795</v>
      </c>
      <c r="D10" s="216">
        <v>44826</v>
      </c>
      <c r="E10" s="216">
        <v>44856</v>
      </c>
      <c r="F10" s="216">
        <v>44887</v>
      </c>
      <c r="G10" s="216">
        <v>44917</v>
      </c>
      <c r="H10" s="216">
        <v>44948</v>
      </c>
      <c r="I10" s="216">
        <v>44979</v>
      </c>
      <c r="J10" s="216">
        <v>45007</v>
      </c>
      <c r="K10" s="216">
        <v>45038</v>
      </c>
      <c r="L10" s="216">
        <v>45068</v>
      </c>
      <c r="M10" s="216">
        <v>45099</v>
      </c>
      <c r="N10" s="216">
        <v>45129</v>
      </c>
      <c r="O10" s="216">
        <v>45160</v>
      </c>
      <c r="P10" s="216">
        <v>45191</v>
      </c>
      <c r="Q10" s="216"/>
      <c r="R10" s="216"/>
      <c r="S10" s="216"/>
      <c r="T10" s="216"/>
    </row>
    <row r="11" spans="1:31">
      <c r="A11" t="s">
        <v>632</v>
      </c>
      <c r="B11" s="231">
        <f>(SUM('Execulation Revenue'!V2:V19))/10000000</f>
        <v>0.51743492105395195</v>
      </c>
      <c r="C11" s="231">
        <f>(SUM('Execulation Revenue'!W2:W19))/10000000</f>
        <v>0.48264449999999998</v>
      </c>
      <c r="D11" s="231">
        <f>(SUM('Execulation Revenue'!X2:X19))/10000000</f>
        <v>1.0941110000000001</v>
      </c>
      <c r="E11" s="231">
        <f>(SUM('Execulation Revenue'!Y2:Y19))/10000000</f>
        <v>1.9770524</v>
      </c>
      <c r="F11" s="231">
        <f>(SUM('Execulation Revenue'!Z2:Z19))/10000000</f>
        <v>3.0406059999999999</v>
      </c>
      <c r="G11" s="231">
        <f>(SUM('Execulation Revenue'!AA2:AA19))/10000000</f>
        <v>3.4646565251519998</v>
      </c>
      <c r="H11" s="231">
        <f>(SUM('Execulation Revenue'!AB2:AB19))/10000000</f>
        <v>3.8032327125280001</v>
      </c>
      <c r="I11" s="231">
        <f>(SUM('Execulation Revenue'!AC2:AC19))/10000000</f>
        <v>3.8559722728775041</v>
      </c>
      <c r="J11" s="231">
        <f>(SUM('Execulation Revenue'!AD2:AD19))/10000000</f>
        <v>2.8473961251520001</v>
      </c>
      <c r="K11" s="231">
        <f>(SUM('Execulation Revenue'!AE2:AE19))/10000000</f>
        <v>3.1397782511909118</v>
      </c>
      <c r="L11" s="231">
        <f>(SUM('Execulation Revenue'!AF2:AF19))/10000000</f>
        <v>2.7406839999999999</v>
      </c>
      <c r="M11" s="231">
        <f>(SUM('Execulation Revenue'!AG2:AG19))/10000000</f>
        <v>2.6569424000000001</v>
      </c>
      <c r="N11" s="231">
        <f>(SUM('Execulation Revenue'!AH2:AH19))/10000000</f>
        <v>0.91780150000000005</v>
      </c>
      <c r="O11" s="231">
        <f>(SUM('Execulation Revenue'!AI2:AI19))/10000000</f>
        <v>0.63965799999999995</v>
      </c>
      <c r="P11" s="231">
        <f>(SUM('Execulation Revenue'!AJ2:AJ19))/10000000</f>
        <v>0.67659627300000003</v>
      </c>
      <c r="Q11" s="231"/>
      <c r="R11" s="231"/>
      <c r="S11" s="231"/>
      <c r="T11" s="231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</row>
    <row r="12" spans="1:31">
      <c r="A12" t="s">
        <v>633</v>
      </c>
      <c r="B12" s="231">
        <v>0</v>
      </c>
      <c r="C12" s="231">
        <f>(SUM('Supply Revenue'!U2:U9))/10000000</f>
        <v>1.02216</v>
      </c>
      <c r="D12" s="231">
        <f>(SUM('Supply Revenue'!V2:V9))/10000000</f>
        <v>6.9981245000000003</v>
      </c>
      <c r="E12" s="231">
        <f>(SUM('Supply Revenue'!W2:W9))/10000000</f>
        <v>7.986676365000001</v>
      </c>
      <c r="F12" s="231">
        <f>(SUM('Supply Revenue'!X2:X9))/10000000</f>
        <v>7.3758064679999995</v>
      </c>
      <c r="G12" s="231">
        <f>(SUM('Supply Revenue'!Y2:Y9))/10000000</f>
        <v>1.95929</v>
      </c>
      <c r="H12" s="231">
        <f>(SUM('Supply Revenue'!Z2:Z9))/10000000</f>
        <v>0</v>
      </c>
      <c r="I12" s="231">
        <f>(SUM('Supply Revenue'!AA2:AA9))/10000000</f>
        <v>2.3326751968370663</v>
      </c>
      <c r="J12" s="231">
        <f>(SUM('Supply Revenue'!AB2:AB9))/10000000</f>
        <v>0</v>
      </c>
      <c r="K12" s="231">
        <f>(SUM('Supply Revenue'!AC2:AC9))/10000000</f>
        <v>0.80537999999999987</v>
      </c>
      <c r="L12" s="231">
        <f>(SUM('Supply Revenue'!AD2:AD9))/10000000</f>
        <v>0</v>
      </c>
      <c r="M12" s="231">
        <f>(SUM('Supply Revenue'!AE2:AE9))/10000000</f>
        <v>0.53691999999999995</v>
      </c>
      <c r="N12" s="231">
        <f>(SUM('Supply Revenue'!AF2:AF9))/10000000</f>
        <v>0</v>
      </c>
      <c r="O12" s="231">
        <f>(SUM('Supply Revenue'!AG2:AG9))/10000000</f>
        <v>0</v>
      </c>
      <c r="P12" s="231">
        <f>(SUM('Supply Revenue'!AH2:AH9))/10000000</f>
        <v>0</v>
      </c>
      <c r="Q12" s="231"/>
      <c r="R12" s="231"/>
      <c r="S12" s="231"/>
      <c r="T12" s="231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</row>
    <row r="13" spans="1:31">
      <c r="A13" t="s">
        <v>361</v>
      </c>
      <c r="B13" s="231">
        <f>WTP!I8/10000000</f>
        <v>0</v>
      </c>
      <c r="C13" s="231">
        <f>WTP!J8/10000000</f>
        <v>0</v>
      </c>
      <c r="D13" s="231">
        <f>WTP!K8/10000000</f>
        <v>0.75121183480400144</v>
      </c>
      <c r="E13" s="231">
        <f>WTP!L8/10000000</f>
        <v>0.66234303084399904</v>
      </c>
      <c r="F13" s="231">
        <f>WTP!M8/10000000</f>
        <v>1.3453356248920041</v>
      </c>
      <c r="G13" s="231">
        <f>WTP!N8/10000000</f>
        <v>0.50932618480000003</v>
      </c>
      <c r="H13" s="231">
        <f>WTP!O8/10000000</f>
        <v>1.2159325966800061</v>
      </c>
      <c r="I13" s="231">
        <f>WTP!P8/10000000</f>
        <v>0</v>
      </c>
      <c r="J13" s="231">
        <f>WTP!Q8/10000000</f>
        <v>0</v>
      </c>
      <c r="K13" s="231">
        <f>WTP!R8/10000000</f>
        <v>0</v>
      </c>
      <c r="L13" s="231">
        <f>WTP!S8/10000000</f>
        <v>0</v>
      </c>
      <c r="M13" s="231">
        <f>WTP!T8/10000000</f>
        <v>0</v>
      </c>
      <c r="N13" s="231">
        <f>WTP!U8/10000000</f>
        <v>0</v>
      </c>
      <c r="O13" s="231">
        <f>WTP!V8/10000000</f>
        <v>0</v>
      </c>
      <c r="P13" s="231">
        <f>WTP!W8/10000000</f>
        <v>0</v>
      </c>
      <c r="Q13" s="231"/>
      <c r="R13" s="231"/>
      <c r="S13" s="231"/>
      <c r="T13" s="231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</row>
    <row r="14" spans="1:31">
      <c r="A14" t="s">
        <v>625</v>
      </c>
      <c r="B14" s="231">
        <f>('Existing UGRs'!I14)/10000000</f>
        <v>0</v>
      </c>
      <c r="C14" s="231">
        <f>('Existing UGRs'!J14)/10000000</f>
        <v>0.20717903999999998</v>
      </c>
      <c r="D14" s="231">
        <f>('Existing UGRs'!K14)/10000000</f>
        <v>1.2988467115999998</v>
      </c>
      <c r="E14" s="231">
        <f>('Existing UGRs'!L14)/10000000</f>
        <v>0.73806495385600002</v>
      </c>
      <c r="F14" s="231">
        <f>('Existing UGRs'!M14)/10000000</f>
        <v>0.4311390732</v>
      </c>
      <c r="G14" s="231">
        <f>('Existing UGRs'!N14)/10000000</f>
        <v>1.1872570741479997</v>
      </c>
      <c r="H14" s="231">
        <f>('Existing UGRs'!O14)/10000000</f>
        <v>0</v>
      </c>
      <c r="I14" s="231">
        <f>('Existing UGRs'!P14)/10000000</f>
        <v>0</v>
      </c>
      <c r="J14" s="231">
        <f>('Existing UGRs'!Q14)/10000000</f>
        <v>0</v>
      </c>
      <c r="K14" s="231">
        <f>('Existing UGRs'!R14)/10000000</f>
        <v>0</v>
      </c>
      <c r="L14" s="231">
        <f>('Existing UGRs'!S14)/10000000</f>
        <v>0</v>
      </c>
      <c r="M14" s="231">
        <f>('Existing UGRs'!T14)/10000000</f>
        <v>0</v>
      </c>
      <c r="N14" s="231">
        <f>('Existing UGRs'!U14)/10000000</f>
        <v>0</v>
      </c>
      <c r="O14" s="231">
        <f>('Existing UGRs'!V14)/10000000</f>
        <v>0</v>
      </c>
      <c r="P14" s="231">
        <f>('Existing UGRs'!W14)/10000000</f>
        <v>0</v>
      </c>
      <c r="Q14" s="231"/>
      <c r="R14" s="231"/>
      <c r="S14" s="231"/>
      <c r="T14" s="231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</row>
    <row r="15" spans="1:31">
      <c r="A15" t="s">
        <v>360</v>
      </c>
      <c r="B15" s="231">
        <f>'New UGRs'!J13/10000000</f>
        <v>0</v>
      </c>
      <c r="C15" s="231">
        <f>'New UGRs'!K13/10000000</f>
        <v>0.68487517260000208</v>
      </c>
      <c r="D15" s="231">
        <f>'New UGRs'!L13/10000000</f>
        <v>1.4379174006000002</v>
      </c>
      <c r="E15" s="231">
        <f>'New UGRs'!M13/10000000</f>
        <v>1.9165366482000012</v>
      </c>
      <c r="F15" s="231">
        <f>'New UGRs'!N13/10000000</f>
        <v>1.3379914456000011</v>
      </c>
      <c r="G15" s="231">
        <f>'New UGRs'!O13/10000000</f>
        <v>1.3044</v>
      </c>
      <c r="H15" s="231">
        <f>'New UGRs'!P13/10000000</f>
        <v>2.8742098559999958</v>
      </c>
      <c r="I15" s="231">
        <f>'New UGRs'!Q13/10000000</f>
        <v>0</v>
      </c>
      <c r="J15" s="231">
        <f>'New UGRs'!R13/10000000</f>
        <v>0</v>
      </c>
      <c r="K15" s="231">
        <f>'New UGRs'!S13/10000000</f>
        <v>0</v>
      </c>
      <c r="L15" s="231">
        <f>'New UGRs'!T13/10000000</f>
        <v>0</v>
      </c>
      <c r="M15" s="231">
        <f>'New UGRs'!U13/10000000</f>
        <v>0</v>
      </c>
      <c r="N15" s="231">
        <f>'New UGRs'!V13/10000000</f>
        <v>0</v>
      </c>
      <c r="O15" s="231">
        <f>'New UGRs'!W13/10000000</f>
        <v>0</v>
      </c>
      <c r="P15" s="231">
        <f>'New UGRs'!X13/10000000</f>
        <v>0</v>
      </c>
      <c r="Q15" s="231"/>
      <c r="R15" s="231"/>
      <c r="S15" s="231"/>
      <c r="T15" s="231"/>
      <c r="U15" s="157"/>
      <c r="V15" s="157"/>
      <c r="W15" s="157"/>
      <c r="X15" s="157"/>
      <c r="Y15" s="157"/>
      <c r="Z15" s="157"/>
      <c r="AA15" s="157"/>
      <c r="AB15" s="157"/>
      <c r="AC15" s="157"/>
      <c r="AD15" s="157"/>
      <c r="AE15" s="157"/>
    </row>
    <row r="16" spans="1:31">
      <c r="A16" t="s">
        <v>363</v>
      </c>
      <c r="B16" s="231">
        <f t="shared" ref="B16:P16" si="1">B7</f>
        <v>0</v>
      </c>
      <c r="C16" s="231">
        <f t="shared" si="1"/>
        <v>0</v>
      </c>
      <c r="D16" s="231">
        <f t="shared" si="1"/>
        <v>0</v>
      </c>
      <c r="E16" s="231">
        <f t="shared" si="1"/>
        <v>1.0932999999999999</v>
      </c>
      <c r="F16" s="231">
        <f t="shared" si="1"/>
        <v>3.4733000000000001</v>
      </c>
      <c r="G16" s="231">
        <f t="shared" si="1"/>
        <v>0</v>
      </c>
      <c r="H16" s="231">
        <f t="shared" si="1"/>
        <v>0</v>
      </c>
      <c r="I16" s="231">
        <f t="shared" si="1"/>
        <v>0</v>
      </c>
      <c r="J16" s="231">
        <f t="shared" si="1"/>
        <v>0</v>
      </c>
      <c r="K16" s="231">
        <f t="shared" si="1"/>
        <v>0</v>
      </c>
      <c r="L16" s="231">
        <f t="shared" si="1"/>
        <v>0</v>
      </c>
      <c r="M16" s="231">
        <f t="shared" si="1"/>
        <v>0</v>
      </c>
      <c r="N16" s="231">
        <f t="shared" si="1"/>
        <v>0</v>
      </c>
      <c r="O16" s="231">
        <f t="shared" si="1"/>
        <v>0</v>
      </c>
      <c r="P16" s="231">
        <f t="shared" si="1"/>
        <v>0</v>
      </c>
      <c r="Q16" s="231"/>
      <c r="R16" s="231"/>
      <c r="S16" s="231"/>
      <c r="T16" s="231"/>
      <c r="U16" s="157"/>
      <c r="V16" s="157"/>
      <c r="W16" s="157"/>
      <c r="X16" s="157"/>
      <c r="Y16" s="157"/>
      <c r="Z16" s="157"/>
      <c r="AA16" s="157"/>
      <c r="AB16" s="157"/>
      <c r="AC16" s="157"/>
      <c r="AD16" s="157"/>
      <c r="AE16" s="157"/>
    </row>
    <row r="17" spans="1:31" ht="12.75" thickBot="1">
      <c r="A17" s="7" t="s">
        <v>54</v>
      </c>
      <c r="B17" s="230">
        <f>SUM(B11:B16)</f>
        <v>0.51743492105395195</v>
      </c>
      <c r="C17" s="230">
        <f t="shared" ref="C17:P17" si="2">SUM(C11:C16)</f>
        <v>2.3968587126000021</v>
      </c>
      <c r="D17" s="230">
        <f t="shared" si="2"/>
        <v>11.580211447004002</v>
      </c>
      <c r="E17" s="230">
        <f t="shared" si="2"/>
        <v>14.3739733979</v>
      </c>
      <c r="F17" s="230">
        <f t="shared" si="2"/>
        <v>17.004178611692005</v>
      </c>
      <c r="G17" s="230">
        <f t="shared" si="2"/>
        <v>8.4249297840999997</v>
      </c>
      <c r="H17" s="230">
        <f t="shared" si="2"/>
        <v>7.8933751652080018</v>
      </c>
      <c r="I17" s="230">
        <f t="shared" si="2"/>
        <v>6.1886474697145708</v>
      </c>
      <c r="J17" s="230">
        <f t="shared" si="2"/>
        <v>2.8473961251520001</v>
      </c>
      <c r="K17" s="230">
        <f t="shared" si="2"/>
        <v>3.9451582511909118</v>
      </c>
      <c r="L17" s="230">
        <f t="shared" si="2"/>
        <v>2.7406839999999999</v>
      </c>
      <c r="M17" s="230">
        <f t="shared" si="2"/>
        <v>3.1938624</v>
      </c>
      <c r="N17" s="230">
        <f t="shared" si="2"/>
        <v>0.91780150000000005</v>
      </c>
      <c r="O17" s="230">
        <f t="shared" si="2"/>
        <v>0.63965799999999995</v>
      </c>
      <c r="P17" s="230">
        <f t="shared" si="2"/>
        <v>0.67659627300000003</v>
      </c>
      <c r="Q17" s="232"/>
      <c r="R17" s="232"/>
      <c r="S17" s="232"/>
      <c r="T17" s="232"/>
      <c r="U17" s="232">
        <f>SUM(B17:P17)</f>
        <v>83.340766058615444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/>
    </row>
    <row r="18" spans="1:31" ht="12" customHeight="1" thickTop="1"/>
    <row r="22" spans="1:31">
      <c r="U22" s="11"/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8"/>
  <sheetViews>
    <sheetView topLeftCell="A17" workbookViewId="0">
      <selection activeCell="Q35" sqref="Q35"/>
    </sheetView>
  </sheetViews>
  <sheetFormatPr defaultColWidth="9" defaultRowHeight="12"/>
  <cols>
    <col min="1" max="1" width="57.33203125" bestFit="1" customWidth="1"/>
    <col min="2" max="2" width="8" customWidth="1"/>
    <col min="3" max="3" width="7" customWidth="1"/>
    <col min="4" max="9" width="8" customWidth="1"/>
    <col min="10" max="17" width="8.6640625" bestFit="1" customWidth="1"/>
  </cols>
  <sheetData>
    <row r="1" spans="1:17">
      <c r="Q1" s="6" t="s">
        <v>20</v>
      </c>
    </row>
    <row r="2" spans="1:17">
      <c r="A2" s="7" t="s">
        <v>21</v>
      </c>
      <c r="B2" s="8">
        <v>41729</v>
      </c>
      <c r="C2" s="8">
        <v>42094</v>
      </c>
      <c r="D2" s="8">
        <v>42460</v>
      </c>
      <c r="E2" s="8">
        <v>42825</v>
      </c>
      <c r="F2" s="8">
        <v>43190</v>
      </c>
      <c r="G2" s="8">
        <v>43555</v>
      </c>
      <c r="H2" s="8">
        <v>43921</v>
      </c>
      <c r="I2" s="8">
        <v>44286</v>
      </c>
      <c r="J2" s="8">
        <v>44651</v>
      </c>
      <c r="K2" s="8">
        <v>45016</v>
      </c>
      <c r="L2" s="8">
        <v>45382</v>
      </c>
      <c r="M2" s="8">
        <v>45747</v>
      </c>
      <c r="N2" s="8">
        <v>46112</v>
      </c>
      <c r="O2" s="8">
        <v>46477</v>
      </c>
      <c r="P2" s="8">
        <v>46843</v>
      </c>
      <c r="Q2" s="8">
        <v>47208</v>
      </c>
    </row>
    <row r="3" spans="1:17">
      <c r="A3" t="str">
        <f>'Monthly BS'!A4</f>
        <v>Equity Veolia Water India Pvt Ltd</v>
      </c>
      <c r="B3" s="9">
        <v>21.42</v>
      </c>
      <c r="C3" s="9">
        <v>21.42</v>
      </c>
      <c r="D3" s="9">
        <v>31.365000000000002</v>
      </c>
      <c r="E3" s="9">
        <v>31.365000000000002</v>
      </c>
      <c r="F3" s="9">
        <v>31.365000000000002</v>
      </c>
      <c r="G3" s="9">
        <v>31.365000000000002</v>
      </c>
      <c r="H3" s="9">
        <v>31.364999999999998</v>
      </c>
      <c r="I3" s="9">
        <v>31.364999999999998</v>
      </c>
      <c r="J3" s="9">
        <f>SUMIF('Monthly BS'!$3:$3,J$2,'Monthly BS'!4:4)</f>
        <v>31.364999999999998</v>
      </c>
      <c r="K3" s="9">
        <f>SUMIF('Monthly BS'!$3:$3,K$2,'Monthly BS'!4:4)</f>
        <v>41.055</v>
      </c>
      <c r="L3" s="9">
        <f>SUMIF('Monthly BS'!$3:$3,L$2,'Monthly BS'!4:4)</f>
        <v>41.055</v>
      </c>
      <c r="M3" s="9">
        <f>SUMIF('Monthly BS'!$3:$3,M$2,'Monthly BS'!4:4)</f>
        <v>41.055</v>
      </c>
      <c r="N3" s="9">
        <f>SUMIF('Monthly BS'!$3:$3,N$2,'Monthly BS'!4:4)</f>
        <v>41.055</v>
      </c>
      <c r="O3" s="9">
        <f>SUMIF('Monthly BS'!$3:$3,O$2,'Monthly BS'!4:4)</f>
        <v>41.055</v>
      </c>
      <c r="P3" s="9">
        <f>SUMIF('Monthly BS'!$3:$3,P$2,'Monthly BS'!4:4)</f>
        <v>41.055</v>
      </c>
      <c r="Q3" s="9">
        <f>SUMIF('Monthly BS'!$3:$3,Q$2,'Monthly BS'!4:4)</f>
        <v>41.055</v>
      </c>
    </row>
    <row r="4" spans="1:17">
      <c r="A4" t="str">
        <f>'Monthly BS'!A5</f>
        <v>Equity Swach Environment Pvt Ltd</v>
      </c>
      <c r="B4" s="9">
        <v>20.58</v>
      </c>
      <c r="C4" s="9">
        <v>20.58</v>
      </c>
      <c r="D4" s="9">
        <v>30.134999999999998</v>
      </c>
      <c r="E4" s="9">
        <v>30.134999999999998</v>
      </c>
      <c r="F4" s="9">
        <v>30.134999999999998</v>
      </c>
      <c r="G4" s="9">
        <v>30.134999999999998</v>
      </c>
      <c r="H4" s="9">
        <v>30.134999999999998</v>
      </c>
      <c r="I4" s="9">
        <v>30.134999999999998</v>
      </c>
      <c r="J4" s="9">
        <f>SUMIF('Monthly BS'!$3:$3,J$2,'Monthly BS'!5:5)</f>
        <v>30.134999999999998</v>
      </c>
      <c r="K4" s="9">
        <f>SUMIF('Monthly BS'!$3:$3,K$2,'Monthly BS'!5:5)</f>
        <v>39.445</v>
      </c>
      <c r="L4" s="9">
        <f>SUMIF('Monthly BS'!$3:$3,L$2,'Monthly BS'!5:5)</f>
        <v>39.445</v>
      </c>
      <c r="M4" s="9">
        <f>SUMIF('Monthly BS'!$3:$3,M$2,'Monthly BS'!5:5)</f>
        <v>39.445</v>
      </c>
      <c r="N4" s="9">
        <f>SUMIF('Monthly BS'!$3:$3,N$2,'Monthly BS'!5:5)</f>
        <v>39.445</v>
      </c>
      <c r="O4" s="9">
        <f>SUMIF('Monthly BS'!$3:$3,O$2,'Monthly BS'!5:5)</f>
        <v>39.445</v>
      </c>
      <c r="P4" s="9">
        <f>SUMIF('Monthly BS'!$3:$3,P$2,'Monthly BS'!5:5)</f>
        <v>39.445</v>
      </c>
      <c r="Q4" s="9">
        <f>SUMIF('Monthly BS'!$3:$3,Q$2,'Monthly BS'!5:5)</f>
        <v>39.445</v>
      </c>
    </row>
    <row r="5" spans="1:17">
      <c r="A5" t="str">
        <f>'Monthly BS'!A6</f>
        <v>Reserve &amp; Surplus</v>
      </c>
      <c r="B5" s="9">
        <v>-3.0274063199999985</v>
      </c>
      <c r="C5" s="9">
        <v>-4.9846567907529113</v>
      </c>
      <c r="D5" s="9">
        <v>-5.7480426868627843</v>
      </c>
      <c r="E5" s="9">
        <v>-5.9183079187484111</v>
      </c>
      <c r="F5" s="9">
        <v>-5.8397079187484087</v>
      </c>
      <c r="G5" s="9">
        <v>-5.5766561000000001</v>
      </c>
      <c r="H5" s="9">
        <v>-5.12</v>
      </c>
      <c r="I5" s="9">
        <v>-84.9529</v>
      </c>
      <c r="J5" s="9">
        <f>SUMIF('Monthly BS'!$3:$3,J$2,'Monthly BS'!6:6)</f>
        <v>-157.70464800604299</v>
      </c>
      <c r="K5" s="9">
        <f>SUMIF('Monthly BS'!$3:$3,K$2,'Monthly BS'!6:6)</f>
        <v>-95.462218724170782</v>
      </c>
      <c r="L5" s="9">
        <f>SUMIF('Monthly BS'!$3:$3,L$2,'Monthly BS'!6:6)</f>
        <v>-139.4972973060141</v>
      </c>
      <c r="M5" s="9">
        <f>SUMIF('Monthly BS'!$3:$3,M$2,'Monthly BS'!6:6)</f>
        <v>-166.06702921878573</v>
      </c>
      <c r="N5" s="9">
        <f>SUMIF('Monthly BS'!$3:$3,N$2,'Monthly BS'!6:6)</f>
        <v>-186.81923888741852</v>
      </c>
      <c r="O5" s="9">
        <f>SUMIF('Monthly BS'!$3:$3,O$2,'Monthly BS'!6:6)</f>
        <v>-206.72175185954987</v>
      </c>
      <c r="P5" s="9">
        <f>SUMIF('Monthly BS'!$3:$3,P$2,'Monthly BS'!6:6)</f>
        <v>-209.91806831065071</v>
      </c>
      <c r="Q5" s="9">
        <f>SUMIF('Monthly BS'!$3:$3,Q$2,'Monthly BS'!6:6)</f>
        <v>-182.23260225615206</v>
      </c>
    </row>
    <row r="6" spans="1:17">
      <c r="A6" t="str">
        <f>'Monthly BS'!A7</f>
        <v>Secured Loans</v>
      </c>
      <c r="B6" s="9">
        <v>18.100000000000001</v>
      </c>
      <c r="C6" s="9">
        <v>42.1</v>
      </c>
      <c r="D6" s="9">
        <v>67.099999999999994</v>
      </c>
      <c r="E6" s="9">
        <v>87.657864499999988</v>
      </c>
      <c r="F6" s="9">
        <v>112.6578646</v>
      </c>
      <c r="G6" s="9">
        <v>127.5256892</v>
      </c>
      <c r="H6" s="9">
        <v>153.13999999999999</v>
      </c>
      <c r="I6" s="9">
        <v>157.71</v>
      </c>
      <c r="J6" s="9">
        <f>SUMIF('Monthly BS'!$3:$3,J$2,'Monthly BS'!7:7)</f>
        <v>208.26</v>
      </c>
      <c r="K6" s="9">
        <f>SUMIF('Monthly BS'!$3:$3,K$2,'Monthly BS'!7:7)</f>
        <v>146.90449999999998</v>
      </c>
      <c r="L6" s="9">
        <f>SUMIF('Monthly BS'!$3:$3,L$2,'Monthly BS'!7:7)</f>
        <v>145.43545499999999</v>
      </c>
      <c r="M6" s="9">
        <f>SUMIF('Monthly BS'!$3:$3,M$2,'Monthly BS'!7:7)</f>
        <v>126.33786999999995</v>
      </c>
      <c r="N6" s="9">
        <f>SUMIF('Monthly BS'!$3:$3,N$2,'Monthly BS'!7:7)</f>
        <v>101.73136624999994</v>
      </c>
      <c r="O6" s="9">
        <f>SUMIF('Monthly BS'!$3:$3,O$2,'Monthly BS'!7:7)</f>
        <v>73.819511249999934</v>
      </c>
      <c r="P6" s="9">
        <f>SUMIF('Monthly BS'!$3:$3,P$2,'Monthly BS'!7:7)</f>
        <v>28.279116249999937</v>
      </c>
      <c r="Q6" s="9">
        <f>SUMIF('Monthly BS'!$3:$3,Q$2,'Monthly BS'!7:7)</f>
        <v>0</v>
      </c>
    </row>
    <row r="7" spans="1:17">
      <c r="A7" t="str">
        <f>'Monthly BS'!A8</f>
        <v>OCPIDs</v>
      </c>
      <c r="B7" s="9">
        <v>0</v>
      </c>
      <c r="C7" s="9">
        <v>0</v>
      </c>
      <c r="D7" s="9">
        <v>0</v>
      </c>
      <c r="E7" s="9">
        <v>0</v>
      </c>
      <c r="F7" s="9">
        <v>0</v>
      </c>
      <c r="G7" s="9">
        <v>32</v>
      </c>
      <c r="H7" s="9">
        <v>32</v>
      </c>
      <c r="I7" s="9">
        <f>SUMIF('Monthly BS'!$3:$3,I$2,'Monthly BS'!8:8)</f>
        <v>32</v>
      </c>
      <c r="J7" s="9">
        <f>SUMIF('Monthly BS'!$3:$3,J$2,'Monthly BS'!8:8)</f>
        <v>32</v>
      </c>
      <c r="K7" s="9">
        <f>SUMIF('Monthly BS'!$3:$3,K$2,'Monthly BS'!8:8)</f>
        <v>13</v>
      </c>
      <c r="L7" s="9">
        <f>SUMIF('Monthly BS'!$3:$3,L$2,'Monthly BS'!8:8)</f>
        <v>13</v>
      </c>
      <c r="M7" s="9">
        <f>SUMIF('Monthly BS'!$3:$3,M$2,'Monthly BS'!8:8)</f>
        <v>13</v>
      </c>
      <c r="N7" s="9">
        <f>SUMIF('Monthly BS'!$3:$3,N$2,'Monthly BS'!8:8)</f>
        <v>13</v>
      </c>
      <c r="O7" s="9">
        <f>SUMIF('Monthly BS'!$3:$3,O$2,'Monthly BS'!8:8)</f>
        <v>13</v>
      </c>
      <c r="P7" s="9">
        <f>SUMIF('Monthly BS'!$3:$3,P$2,'Monthly BS'!8:8)</f>
        <v>13</v>
      </c>
      <c r="Q7" s="9">
        <f>SUMIF('Monthly BS'!$3:$3,Q$2,'Monthly BS'!8:8)</f>
        <v>13</v>
      </c>
    </row>
    <row r="8" spans="1:17">
      <c r="A8" t="str">
        <f>'Monthly BS'!A10</f>
        <v>Short Term Loan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30</v>
      </c>
      <c r="H8" s="9">
        <v>30</v>
      </c>
      <c r="I8" s="9">
        <f>SUMIF('Monthly BS'!$3:$3,I$2,'Monthly BS'!10:10)</f>
        <v>30</v>
      </c>
      <c r="J8" s="9">
        <f>SUMIF('Monthly BS'!$3:$3,J$2,'Monthly BS'!10:10)</f>
        <v>0</v>
      </c>
      <c r="K8" s="9">
        <f>SUMIF('Monthly BS'!$3:$3,K$2,'Monthly BS'!10:10)</f>
        <v>0</v>
      </c>
      <c r="L8" s="9">
        <f>SUMIF('Monthly BS'!$3:$3,L$2,'Monthly BS'!10:10)</f>
        <v>0</v>
      </c>
      <c r="M8" s="9">
        <f>SUMIF('Monthly BS'!$3:$3,M$2,'Monthly BS'!10:10)</f>
        <v>0</v>
      </c>
      <c r="N8" s="9">
        <f>SUMIF('Monthly BS'!$3:$3,N$2,'Monthly BS'!10:10)</f>
        <v>0</v>
      </c>
      <c r="O8" s="9">
        <f>SUMIF('Monthly BS'!$3:$3,O$2,'Monthly BS'!10:10)</f>
        <v>0</v>
      </c>
      <c r="P8" s="9">
        <f>SUMIF('Monthly BS'!$3:$3,P$2,'Monthly BS'!10:10)</f>
        <v>0</v>
      </c>
      <c r="Q8" s="9">
        <f>SUMIF('Monthly BS'!$3:$3,Q$2,'Monthly BS'!10:10)</f>
        <v>0</v>
      </c>
    </row>
    <row r="9" spans="1:17">
      <c r="A9" t="s">
        <v>22</v>
      </c>
      <c r="B9" s="9">
        <v>0</v>
      </c>
      <c r="C9" s="9">
        <v>0</v>
      </c>
      <c r="D9" s="9">
        <v>0</v>
      </c>
      <c r="E9" s="9">
        <v>0</v>
      </c>
      <c r="F9" s="9">
        <v>0</v>
      </c>
      <c r="G9" s="9">
        <v>0</v>
      </c>
      <c r="H9" s="9">
        <f>SUMIF('Monthly BS'!$3:$3,H$2,'Monthly BS'!9:9)</f>
        <v>0</v>
      </c>
      <c r="I9" s="9">
        <f>SUMIF('Monthly BS'!$3:$3,I$2,'Monthly BS'!9:9)</f>
        <v>2</v>
      </c>
      <c r="J9" s="9">
        <f>SUMIF('Monthly BS'!$3:$3,J$2,'Monthly BS'!9:9)</f>
        <v>3</v>
      </c>
      <c r="K9" s="9">
        <f>SUMIF('Monthly BS'!$3:$3,K$2,'Monthly BS'!9:9)</f>
        <v>0</v>
      </c>
      <c r="L9" s="9">
        <f>SUMIF('Monthly BS'!$3:$3,L$2,'Monthly BS'!9:9)</f>
        <v>0</v>
      </c>
      <c r="M9" s="9">
        <f>SUMIF('Monthly BS'!$3:$3,M$2,'Monthly BS'!9:9)</f>
        <v>0</v>
      </c>
      <c r="N9" s="9">
        <f>SUMIF('Monthly BS'!$3:$3,N$2,'Monthly BS'!9:9)</f>
        <v>0</v>
      </c>
      <c r="O9" s="9">
        <f>SUMIF('Monthly BS'!$3:$3,O$2,'Monthly BS'!9:9)</f>
        <v>0</v>
      </c>
      <c r="P9" s="9">
        <f>SUMIF('Monthly BS'!$3:$3,P$2,'Monthly BS'!9:9)</f>
        <v>0</v>
      </c>
      <c r="Q9" s="9">
        <f>SUMIF('Monthly BS'!$3:$3,Q$2,'Monthly BS'!9:9)</f>
        <v>0</v>
      </c>
    </row>
    <row r="10" spans="1:17">
      <c r="A10" t="s">
        <v>577</v>
      </c>
      <c r="B10" s="9">
        <v>6.8648695729999929</v>
      </c>
      <c r="C10" s="9">
        <v>16.303838772999967</v>
      </c>
      <c r="D10" s="9">
        <v>43.606974644090712</v>
      </c>
      <c r="E10" s="9">
        <v>55.739558066666717</v>
      </c>
      <c r="F10" s="9">
        <v>81.375399999999985</v>
      </c>
      <c r="G10" s="9">
        <v>41.628503200000011</v>
      </c>
      <c r="H10" s="9">
        <v>56.58</v>
      </c>
      <c r="I10" s="9">
        <v>76.48</v>
      </c>
      <c r="J10" s="9">
        <f>SUMIF('Monthly BS'!$3:$3,J$2,'Monthly BS'!11:11)+SUMIF('Monthly BS'!$3:$3,J$2,'Monthly BS'!13:13)</f>
        <v>51.9</v>
      </c>
      <c r="K10" s="9">
        <f>SUMIF('Monthly BS'!$3:$3,K$2,'Monthly BS'!11:11)+SUMIF('Monthly BS'!$3:$3,K$2,'Monthly BS'!13:13)</f>
        <v>44.4</v>
      </c>
      <c r="L10" s="9">
        <f>SUMIF('Monthly BS'!$3:$3,L$2,'Monthly BS'!11:11)+SUMIF('Monthly BS'!$3:$3,L$2,'Monthly BS'!13:13)</f>
        <v>14.669999999999996</v>
      </c>
      <c r="M10" s="9">
        <f>SUMIF('Monthly BS'!$3:$3,M$2,'Monthly BS'!11:11)+SUMIF('Monthly BS'!$3:$3,M$2,'Monthly BS'!13:13)</f>
        <v>11.669999999999996</v>
      </c>
      <c r="N10" s="9">
        <f>SUMIF('Monthly BS'!$3:$3,N$2,'Monthly BS'!11:11)+SUMIF('Monthly BS'!$3:$3,N$2,'Monthly BS'!13:13)</f>
        <v>8.6699999999999964</v>
      </c>
      <c r="O10" s="9">
        <f>SUMIF('Monthly BS'!$3:$3,O$2,'Monthly BS'!11:11)+SUMIF('Monthly BS'!$3:$3,O$2,'Monthly BS'!13:13)</f>
        <v>5.6699999999999964</v>
      </c>
      <c r="P10" s="9">
        <f>SUMIF('Monthly BS'!$3:$3,P$2,'Monthly BS'!11:11)+SUMIF('Monthly BS'!$3:$3,P$2,'Monthly BS'!13:13)</f>
        <v>2.6699999999999964</v>
      </c>
      <c r="Q10" s="9">
        <f>SUMIF('Monthly BS'!$3:$3,Q$2,'Monthly BS'!11:11)+SUMIF('Monthly BS'!$3:$3,Q$2,'Monthly BS'!13:13)</f>
        <v>1.9199999999999964</v>
      </c>
    </row>
    <row r="11" spans="1:17">
      <c r="A11" t="s">
        <v>576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0</v>
      </c>
      <c r="H11" s="9">
        <v>0</v>
      </c>
      <c r="I11" s="9">
        <v>0</v>
      </c>
      <c r="J11" s="9">
        <f>SUMIF('Monthly BS'!$3:$3,J$2,'Monthly BS'!12:12)+SUMIF('Monthly BS'!$3:$3,J$2,'Monthly BS'!15:15)</f>
        <v>82.35</v>
      </c>
      <c r="K11" s="9">
        <f>SUMIF('Monthly BS'!$3:$3,K$2,'Monthly BS'!12:12)+SUMIF('Monthly BS'!$3:$3,K$2,'Monthly BS'!15:15)</f>
        <v>82.35</v>
      </c>
      <c r="L11" s="9">
        <f>SUMIF('Monthly BS'!$3:$3,L$2,'Monthly BS'!12:12)+SUMIF('Monthly BS'!$3:$3,L$2,'Monthly BS'!15:15)</f>
        <v>82.35</v>
      </c>
      <c r="M11" s="9">
        <f>SUMIF('Monthly BS'!$3:$3,M$2,'Monthly BS'!12:12)+SUMIF('Monthly BS'!$3:$3,M$2,'Monthly BS'!15:15)</f>
        <v>82.35</v>
      </c>
      <c r="N11" s="9">
        <f>SUMIF('Monthly BS'!$3:$3,N$2,'Monthly BS'!12:12)+SUMIF('Monthly BS'!$3:$3,N$2,'Monthly BS'!15:15)</f>
        <v>82.35</v>
      </c>
      <c r="O11" s="9">
        <f>SUMIF('Monthly BS'!$3:$3,O$2,'Monthly BS'!12:12)+SUMIF('Monthly BS'!$3:$3,O$2,'Monthly BS'!15:15)</f>
        <v>82.35</v>
      </c>
      <c r="P11" s="9">
        <f>SUMIF('Monthly BS'!$3:$3,P$2,'Monthly BS'!12:12)+SUMIF('Monthly BS'!$3:$3,P$2,'Monthly BS'!15:15)</f>
        <v>82.35</v>
      </c>
      <c r="Q11" s="9">
        <f>SUMIF('Monthly BS'!$3:$3,Q$2,'Monthly BS'!12:12)+SUMIF('Monthly BS'!$3:$3,Q$2,'Monthly BS'!15:15)</f>
        <v>82.35</v>
      </c>
    </row>
    <row r="12" spans="1:17">
      <c r="A12" t="s">
        <v>643</v>
      </c>
      <c r="B12" s="9">
        <v>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>SUMIF('Monthly BS'!$3:$3,J$2,'Monthly BS'!14:14)</f>
        <v>0</v>
      </c>
      <c r="K12" s="9">
        <f>SUMIF('Monthly BS'!$3:$3,K$2,'Monthly BS'!14:14)</f>
        <v>0</v>
      </c>
      <c r="L12" s="9">
        <f>SUMIF('Monthly BS'!$3:$3,L$2,'Monthly BS'!14:14)</f>
        <v>9.7355523982324712</v>
      </c>
      <c r="M12" s="9">
        <f>SUMIF('Monthly BS'!$3:$3,M$2,'Monthly BS'!14:14)</f>
        <v>13.446731276666423</v>
      </c>
      <c r="N12" s="9">
        <f>SUMIF('Monthly BS'!$3:$3,N$2,'Monthly BS'!14:14)</f>
        <v>16.354680462310526</v>
      </c>
      <c r="O12" s="9">
        <f>SUMIF('Monthly BS'!$3:$3,O$2,'Monthly BS'!14:14)</f>
        <v>29.906005255017796</v>
      </c>
      <c r="P12" s="9">
        <f>SUMIF('Monthly BS'!$3:$3,P$2,'Monthly BS'!14:14)</f>
        <v>36.74362565821837</v>
      </c>
      <c r="Q12" s="9">
        <f>SUMIF('Monthly BS'!$3:$3,Q$2,'Monthly BS'!14:14)</f>
        <v>0</v>
      </c>
    </row>
    <row r="13" spans="1:17">
      <c r="A13" t="str">
        <f>'Monthly BS'!A15</f>
        <v>Working Capital</v>
      </c>
      <c r="B13" s="9">
        <v>1.069454098</v>
      </c>
      <c r="C13" s="9">
        <v>0</v>
      </c>
      <c r="D13" s="9">
        <v>2.8050000000000002</v>
      </c>
      <c r="E13" s="9">
        <v>0</v>
      </c>
      <c r="F13" s="9">
        <v>2.7759894549999999</v>
      </c>
      <c r="G13" s="9">
        <v>2.2398891999999999</v>
      </c>
      <c r="H13" s="9">
        <v>0.64</v>
      </c>
      <c r="I13" s="9">
        <f>SUMIF('Monthly BS'!$3:$3,I$2,'Monthly BS'!15:15)</f>
        <v>2.9</v>
      </c>
      <c r="J13" s="9">
        <f>SUMIF('Monthly BS'!$3:$3,J$2,'Monthly BS'!15:15)</f>
        <v>0</v>
      </c>
      <c r="K13" s="9">
        <f>SUMIF('Monthly BS'!$3:$3,K$2,'Monthly BS'!15:15)</f>
        <v>0</v>
      </c>
      <c r="L13" s="9">
        <f>SUMIF('Monthly BS'!$3:$3,L$2,'Monthly BS'!15:15)</f>
        <v>0</v>
      </c>
      <c r="M13" s="9">
        <f>SUMIF('Monthly BS'!$3:$3,M$2,'Monthly BS'!15:15)</f>
        <v>0</v>
      </c>
      <c r="N13" s="9">
        <f>SUMIF('Monthly BS'!$3:$3,N$2,'Monthly BS'!15:15)</f>
        <v>0</v>
      </c>
      <c r="O13" s="9">
        <f>SUMIF('Monthly BS'!$3:$3,O$2,'Monthly BS'!15:15)</f>
        <v>0</v>
      </c>
      <c r="P13" s="9">
        <f>SUMIF('Monthly BS'!$3:$3,P$2,'Monthly BS'!15:15)</f>
        <v>0</v>
      </c>
      <c r="Q13" s="9">
        <f>SUMIF('Monthly BS'!$3:$3,Q$2,'Monthly BS'!15:15)</f>
        <v>0</v>
      </c>
    </row>
    <row r="14" spans="1:17" ht="12.75" thickBot="1">
      <c r="A14" s="7" t="s">
        <v>23</v>
      </c>
      <c r="B14" s="10">
        <f t="shared" ref="B14:Q14" si="0">SUM(B3:B13)</f>
        <v>65.006917350999998</v>
      </c>
      <c r="C14" s="10">
        <f t="shared" si="0"/>
        <v>95.419181982247068</v>
      </c>
      <c r="D14" s="10">
        <f t="shared" si="0"/>
        <v>169.26393195722792</v>
      </c>
      <c r="E14" s="10">
        <f t="shared" si="0"/>
        <v>198.97911464791829</v>
      </c>
      <c r="F14" s="10">
        <f t="shared" si="0"/>
        <v>252.46954613625158</v>
      </c>
      <c r="G14" s="10">
        <f t="shared" si="0"/>
        <v>289.31742550000001</v>
      </c>
      <c r="H14" s="10">
        <f t="shared" si="0"/>
        <v>328.73999999999995</v>
      </c>
      <c r="I14" s="10">
        <f t="shared" si="0"/>
        <v>277.63709999999998</v>
      </c>
      <c r="J14" s="10">
        <f t="shared" si="0"/>
        <v>281.305351993957</v>
      </c>
      <c r="K14" s="10">
        <f t="shared" si="0"/>
        <v>271.6922812758292</v>
      </c>
      <c r="L14" s="10">
        <f t="shared" si="0"/>
        <v>206.19371009221834</v>
      </c>
      <c r="M14" s="10">
        <f t="shared" si="0"/>
        <v>161.23757205788064</v>
      </c>
      <c r="N14" s="10">
        <f t="shared" si="0"/>
        <v>115.78680782489194</v>
      </c>
      <c r="O14" s="10">
        <f t="shared" si="0"/>
        <v>78.52376464546785</v>
      </c>
      <c r="P14" s="10">
        <f t="shared" si="0"/>
        <v>33.624673597567586</v>
      </c>
      <c r="Q14" s="10">
        <f t="shared" si="0"/>
        <v>-4.4626022561520671</v>
      </c>
    </row>
    <row r="15" spans="1:17" ht="12.75" thickTop="1">
      <c r="B15" s="9"/>
      <c r="I15" s="11"/>
    </row>
    <row r="16" spans="1:17">
      <c r="A16" s="7" t="s">
        <v>24</v>
      </c>
      <c r="B16" s="8">
        <f t="shared" ref="B16:Q16" si="1">B2</f>
        <v>41729</v>
      </c>
      <c r="C16" s="8">
        <f t="shared" si="1"/>
        <v>42094</v>
      </c>
      <c r="D16" s="8">
        <f t="shared" si="1"/>
        <v>42460</v>
      </c>
      <c r="E16" s="8">
        <f t="shared" si="1"/>
        <v>42825</v>
      </c>
      <c r="F16" s="8">
        <f t="shared" si="1"/>
        <v>43190</v>
      </c>
      <c r="G16" s="8">
        <f t="shared" si="1"/>
        <v>43555</v>
      </c>
      <c r="H16" s="8">
        <f t="shared" si="1"/>
        <v>43921</v>
      </c>
      <c r="I16" s="8">
        <f t="shared" si="1"/>
        <v>44286</v>
      </c>
      <c r="J16" s="8">
        <f t="shared" si="1"/>
        <v>44651</v>
      </c>
      <c r="K16" s="8">
        <f t="shared" si="1"/>
        <v>45016</v>
      </c>
      <c r="L16" s="8">
        <f t="shared" si="1"/>
        <v>45382</v>
      </c>
      <c r="M16" s="8">
        <f t="shared" si="1"/>
        <v>45747</v>
      </c>
      <c r="N16" s="8">
        <f t="shared" si="1"/>
        <v>46112</v>
      </c>
      <c r="O16" s="8">
        <f t="shared" si="1"/>
        <v>46477</v>
      </c>
      <c r="P16" s="8">
        <f t="shared" si="1"/>
        <v>46843</v>
      </c>
      <c r="Q16" s="8">
        <f t="shared" si="1"/>
        <v>47208</v>
      </c>
    </row>
    <row r="17" spans="1:17">
      <c r="A17" t="str">
        <f>'Monthly BS'!A19</f>
        <v>Gross Block including Intangible Assets under Development</v>
      </c>
      <c r="B17" s="9">
        <v>50.040035217680007</v>
      </c>
      <c r="C17" s="9">
        <v>75.646559400525874</v>
      </c>
      <c r="D17" s="9">
        <v>143.38440794160985</v>
      </c>
      <c r="E17" s="9">
        <v>180.79833200974329</v>
      </c>
      <c r="F17" s="9">
        <v>219.04499999999999</v>
      </c>
      <c r="G17" s="9">
        <v>232.08206050000001</v>
      </c>
      <c r="H17" s="9">
        <v>274.185</v>
      </c>
      <c r="I17" s="9">
        <v>268.50800457686302</v>
      </c>
      <c r="J17" s="9">
        <f>SUMIF('Monthly BS'!$3:$3,J$2,'Monthly BS'!19:19)</f>
        <v>301.79370236311502</v>
      </c>
      <c r="K17" s="9">
        <f>SUMIF('Monthly BS'!$3:$3,K$2,'Monthly BS'!19:19)</f>
        <v>344.4076644232187</v>
      </c>
      <c r="L17" s="9">
        <f>SUMIF('Monthly BS'!$3:$3,L$2,'Monthly BS'!19:19)</f>
        <v>343.87052048549305</v>
      </c>
      <c r="M17" s="9">
        <f>SUMIF('Monthly BS'!$3:$3,M$2,'Monthly BS'!19:19)</f>
        <v>344.35052048549329</v>
      </c>
      <c r="N17" s="9">
        <f>SUMIF('Monthly BS'!$3:$3,N$2,'Monthly BS'!19:19)</f>
        <v>344.83052048549354</v>
      </c>
      <c r="O17" s="9">
        <f>SUMIF('Monthly BS'!$3:$3,O$2,'Monthly BS'!19:19)</f>
        <v>345.31052048549378</v>
      </c>
      <c r="P17" s="9">
        <f>SUMIF('Monthly BS'!$3:$3,P$2,'Monthly BS'!19:19)</f>
        <v>345.79052048549403</v>
      </c>
      <c r="Q17" s="9">
        <f>SUMIF('Monthly BS'!$3:$3,Q$2,'Monthly BS'!19:19)</f>
        <v>346.03052048549415</v>
      </c>
    </row>
    <row r="18" spans="1:17">
      <c r="A18" t="str">
        <f>'Monthly BS'!A20</f>
        <v>Less: Accumulated Depreciation</v>
      </c>
      <c r="B18" s="9">
        <v>0.198254004381819</v>
      </c>
      <c r="C18" s="9">
        <v>1.9849381043818191</v>
      </c>
      <c r="D18" s="9">
        <v>3.8949453284916888</v>
      </c>
      <c r="E18" s="9">
        <v>4.9105474284916886</v>
      </c>
      <c r="F18" s="9">
        <v>5.44</v>
      </c>
      <c r="G18" s="9">
        <v>5.7458542000000001</v>
      </c>
      <c r="H18" s="9">
        <v>6.6</v>
      </c>
      <c r="I18" s="9">
        <v>41.740826965260602</v>
      </c>
      <c r="J18" s="9">
        <f>SUMIF('Monthly BS'!$3:$3,J$2,'Monthly BS'!20:20)</f>
        <v>72.490826965260595</v>
      </c>
      <c r="K18" s="9">
        <f>SUMIF('Monthly BS'!$3:$3,K$2,'Monthly BS'!20:20)</f>
        <v>117.9908269652606</v>
      </c>
      <c r="L18" s="9">
        <f>SUMIF('Monthly BS'!$3:$3,L$2,'Monthly BS'!20:20)</f>
        <v>163.4908269652606</v>
      </c>
      <c r="M18" s="9">
        <f>SUMIF('Monthly BS'!$3:$3,M$2,'Monthly BS'!20:20)</f>
        <v>208.9908269652606</v>
      </c>
      <c r="N18" s="9">
        <f>SUMIF('Monthly BS'!$3:$3,N$2,'Monthly BS'!20:20)</f>
        <v>254.4908269652606</v>
      </c>
      <c r="O18" s="9">
        <f>SUMIF('Monthly BS'!$3:$3,O$2,'Monthly BS'!20:20)</f>
        <v>299.99082696526057</v>
      </c>
      <c r="P18" s="9">
        <f>SUMIF('Monthly BS'!$3:$3,P$2,'Monthly BS'!20:20)</f>
        <v>346.03082696526059</v>
      </c>
      <c r="Q18" s="9">
        <f>SUMIF('Monthly BS'!$3:$3,Q$2,'Monthly BS'!20:20)</f>
        <v>346.03082696526059</v>
      </c>
    </row>
    <row r="19" spans="1:17">
      <c r="A19" s="7" t="str">
        <f>'Monthly BS'!A21</f>
        <v>Net Block</v>
      </c>
      <c r="B19" s="9">
        <f t="shared" ref="B19:Q19" si="2">B17-B18</f>
        <v>49.841781213298191</v>
      </c>
      <c r="C19" s="9">
        <f t="shared" si="2"/>
        <v>73.661621296144048</v>
      </c>
      <c r="D19" s="9">
        <f t="shared" si="2"/>
        <v>139.48946261311815</v>
      </c>
      <c r="E19" s="9">
        <f t="shared" si="2"/>
        <v>175.88778458125159</v>
      </c>
      <c r="F19" s="9">
        <f t="shared" si="2"/>
        <v>213.60499999999999</v>
      </c>
      <c r="G19" s="9">
        <f t="shared" si="2"/>
        <v>226.33620630000001</v>
      </c>
      <c r="H19" s="9">
        <f t="shared" si="2"/>
        <v>267.58499999999998</v>
      </c>
      <c r="I19" s="9">
        <f t="shared" si="2"/>
        <v>226.76717761160242</v>
      </c>
      <c r="J19" s="9">
        <f t="shared" si="2"/>
        <v>229.30287539785442</v>
      </c>
      <c r="K19" s="9">
        <f t="shared" si="2"/>
        <v>226.41683745795811</v>
      </c>
      <c r="L19" s="9">
        <f t="shared" si="2"/>
        <v>180.37969352023245</v>
      </c>
      <c r="M19" s="9">
        <f t="shared" si="2"/>
        <v>135.3596935202327</v>
      </c>
      <c r="N19" s="9">
        <f t="shared" si="2"/>
        <v>90.339693520232942</v>
      </c>
      <c r="O19" s="9">
        <f t="shared" si="2"/>
        <v>45.319693520233216</v>
      </c>
      <c r="P19" s="9">
        <f t="shared" si="2"/>
        <v>-0.24030647976655928</v>
      </c>
      <c r="Q19" s="9">
        <f t="shared" si="2"/>
        <v>-3.0647976643649599E-4</v>
      </c>
    </row>
    <row r="20" spans="1:17">
      <c r="A20" t="str">
        <f>'Monthly BS'!A22</f>
        <v>Other Non Current Assets</v>
      </c>
      <c r="B20" s="9">
        <v>3.35</v>
      </c>
      <c r="C20" s="9">
        <v>3.35</v>
      </c>
      <c r="D20" s="9">
        <v>3.35</v>
      </c>
      <c r="E20" s="9">
        <v>3.3</v>
      </c>
      <c r="F20" s="9">
        <v>3.3</v>
      </c>
      <c r="G20" s="9">
        <v>3.3</v>
      </c>
      <c r="H20" s="9">
        <v>3.3</v>
      </c>
      <c r="I20" s="9">
        <f>SUMIF('Monthly BS'!$3:$3,I$2,'Monthly BS'!22:22)</f>
        <v>3.3</v>
      </c>
      <c r="J20" s="9">
        <f>SUMIF('Monthly BS'!$3:$3,J$2,'Monthly BS'!22:22)</f>
        <v>3.3</v>
      </c>
      <c r="K20" s="9">
        <f>SUMIF('Monthly BS'!$3:$3,K$2,'Monthly BS'!22:22)</f>
        <v>3.3</v>
      </c>
      <c r="L20" s="9">
        <f>SUMIF('Monthly BS'!$3:$3,L$2,'Monthly BS'!22:22)</f>
        <v>3.3</v>
      </c>
      <c r="M20" s="9">
        <f>SUMIF('Monthly BS'!$3:$3,M$2,'Monthly BS'!22:22)</f>
        <v>3.3</v>
      </c>
      <c r="N20" s="9">
        <f>SUMIF('Monthly BS'!$3:$3,N$2,'Monthly BS'!22:22)</f>
        <v>3.3</v>
      </c>
      <c r="O20" s="9">
        <f>SUMIF('Monthly BS'!$3:$3,O$2,'Monthly BS'!22:22)</f>
        <v>3.3</v>
      </c>
      <c r="P20" s="9">
        <f>SUMIF('Monthly BS'!$3:$3,P$2,'Monthly BS'!22:22)</f>
        <v>3.3</v>
      </c>
      <c r="Q20" s="9">
        <f>SUMIF('Monthly BS'!$3:$3,Q$2,'Monthly BS'!22:22)</f>
        <v>3.3</v>
      </c>
    </row>
    <row r="21" spans="1:17">
      <c r="A21" t="s">
        <v>25</v>
      </c>
      <c r="B21" s="9">
        <v>7.3799055499160602</v>
      </c>
      <c r="C21" s="9">
        <v>3.5726147394630274</v>
      </c>
      <c r="D21" s="9">
        <v>1.5928720199999802</v>
      </c>
      <c r="E21" s="9">
        <v>6.4490227000000004</v>
      </c>
      <c r="F21" s="9">
        <v>0.71789999999999998</v>
      </c>
      <c r="G21" s="9">
        <v>12.1956498</v>
      </c>
      <c r="H21" s="12">
        <v>0.22912558800000027</v>
      </c>
      <c r="I21" s="9">
        <f>SUMIF('Monthly BS'!$3:$3,I$2,'Monthly BS'!23:23)+SUMIF('Monthly BS'!$3:$3,I$2,'Monthly BS'!24:24)</f>
        <v>2.44</v>
      </c>
      <c r="J21" s="9">
        <f>SUMIF('Monthly BS'!$3:$3,J$2,'Monthly BS'!23:23)+SUMIF('Monthly BS'!$3:$3,J$2,'Monthly BS'!24:24)</f>
        <v>17.41</v>
      </c>
      <c r="K21" s="9">
        <f>SUMIF('Monthly BS'!$3:$3,K$2,'Monthly BS'!23:23)+SUMIF('Monthly BS'!$3:$3,K$2,'Monthly BS'!24:24)</f>
        <v>16.62740415429127</v>
      </c>
      <c r="L21" s="9">
        <f>SUMIF('Monthly BS'!$3:$3,L$2,'Monthly BS'!23:23)+SUMIF('Monthly BS'!$3:$3,L$2,'Monthly BS'!24:24)</f>
        <v>11.1907815025824</v>
      </c>
      <c r="M21" s="9">
        <f>SUMIF('Monthly BS'!$3:$3,M$2,'Monthly BS'!23:23)+SUMIF('Monthly BS'!$3:$3,M$2,'Monthly BS'!24:24)</f>
        <v>9.3550025558270615</v>
      </c>
      <c r="N21" s="9">
        <f>SUMIF('Monthly BS'!$3:$3,N$2,'Monthly BS'!23:23)+SUMIF('Monthly BS'!$3:$3,N$2,'Monthly BS'!24:24)</f>
        <v>8.2982519405106867</v>
      </c>
      <c r="O21" s="9">
        <f>SUMIF('Monthly BS'!$3:$3,O$2,'Monthly BS'!23:23)+SUMIF('Monthly BS'!$3:$3,O$2,'Monthly BS'!24:24)</f>
        <v>14.582047699383832</v>
      </c>
      <c r="P21" s="9">
        <f>SUMIF('Monthly BS'!$3:$3,P$2,'Monthly BS'!23:23)+SUMIF('Monthly BS'!$3:$3,P$2,'Monthly BS'!24:24)</f>
        <v>14.395556235674892</v>
      </c>
      <c r="Q21" s="9">
        <f>SUMIF('Monthly BS'!$3:$3,Q$2,'Monthly BS'!23:23)+SUMIF('Monthly BS'!$3:$3,Q$2,'Monthly BS'!24:24)</f>
        <v>-10.507471332963931</v>
      </c>
    </row>
    <row r="22" spans="1:17">
      <c r="A22" t="s">
        <v>26</v>
      </c>
      <c r="B22" s="9">
        <v>0</v>
      </c>
      <c r="C22" s="9">
        <v>0</v>
      </c>
      <c r="D22" s="9">
        <v>0</v>
      </c>
      <c r="E22" s="9">
        <v>0</v>
      </c>
      <c r="F22" s="9">
        <v>0</v>
      </c>
      <c r="G22" s="9">
        <v>17.722158899999954</v>
      </c>
      <c r="H22" s="9">
        <v>23.689627246999976</v>
      </c>
      <c r="I22" s="9">
        <f>SUMIF('Monthly BS'!$3:$3,I$2,'Monthly BS'!25:25)</f>
        <v>14.11</v>
      </c>
      <c r="J22" s="9">
        <f>SUMIF('Monthly BS'!$3:$3,J$2,'Monthly BS'!25:25)</f>
        <v>17.75</v>
      </c>
      <c r="K22" s="9">
        <f>SUMIF('Monthly BS'!$3:$3,K$2,'Monthly BS'!25:25)</f>
        <v>17.75</v>
      </c>
      <c r="L22" s="9">
        <f>SUMIF('Monthly BS'!$3:$3,L$2,'Monthly BS'!25:25)</f>
        <v>2.75</v>
      </c>
      <c r="M22" s="9">
        <f>SUMIF('Monthly BS'!$3:$3,M$2,'Monthly BS'!25:25)</f>
        <v>2.75</v>
      </c>
      <c r="N22" s="9">
        <f>SUMIF('Monthly BS'!$3:$3,N$2,'Monthly BS'!25:25)</f>
        <v>2.75</v>
      </c>
      <c r="O22" s="9">
        <f>SUMIF('Monthly BS'!$3:$3,O$2,'Monthly BS'!25:25)</f>
        <v>2.75</v>
      </c>
      <c r="P22" s="9">
        <f>SUMIF('Monthly BS'!$3:$3,P$2,'Monthly BS'!25:25)</f>
        <v>2.75</v>
      </c>
      <c r="Q22" s="9">
        <f>SUMIF('Monthly BS'!$3:$3,Q$2,'Monthly BS'!25:25)</f>
        <v>2.75</v>
      </c>
    </row>
    <row r="23" spans="1:17" s="171" customFormat="1">
      <c r="A23" s="171" t="s">
        <v>27</v>
      </c>
      <c r="B23" s="12">
        <v>4.4352305877857514</v>
      </c>
      <c r="C23" s="12">
        <v>14.834945946640001</v>
      </c>
      <c r="D23" s="12">
        <v>24.831597324109801</v>
      </c>
      <c r="E23" s="12">
        <v>13.3423073666667</v>
      </c>
      <c r="F23" s="12">
        <v>34.8466461362516</v>
      </c>
      <c r="G23" s="12">
        <v>29.763410499999999</v>
      </c>
      <c r="H23" s="12">
        <v>33.936247164999997</v>
      </c>
      <c r="I23" s="12">
        <f>SUMIF('Monthly BS'!$3:$3,I$2,'Monthly BS'!26:26)</f>
        <v>30.8</v>
      </c>
      <c r="J23" s="12">
        <f>SUMIF('Monthly BS'!$3:$3,J$2,'Monthly BS'!26:26)</f>
        <v>13.54</v>
      </c>
      <c r="K23" s="12">
        <f>SUMIF('Monthly BS'!$3:$3,K$2,'Monthly BS'!26:26)</f>
        <v>7.6018171199999927</v>
      </c>
      <c r="L23" s="12">
        <f>SUMIF('Monthly BS'!$3:$3,L$2,'Monthly BS'!26:26)</f>
        <v>8.5770125258239922</v>
      </c>
      <c r="M23" s="12">
        <f>SUMIF('Monthly BS'!$3:$3,M$2,'Monthly BS'!26:26)</f>
        <v>10.476653438241659</v>
      </c>
      <c r="N23" s="12">
        <f>SUMIF('Monthly BS'!$3:$3,N$2,'Monthly BS'!26:26)</f>
        <v>11.102639820569381</v>
      </c>
      <c r="O23" s="12">
        <f>SUMIF('Monthly BS'!$3:$3,O$2,'Monthly BS'!26:26)</f>
        <v>12.575800882272212</v>
      </c>
      <c r="P23" s="12">
        <f>SUMIF('Monthly BS'!$3:$3,P$2,'Monthly BS'!26:26)</f>
        <v>13.423201298080897</v>
      </c>
      <c r="Q23" s="12">
        <f>SUMIF('Monthly BS'!$3:$3,Q$2,'Monthly BS'!26:26)</f>
        <v>-1.0469870000129333E-3</v>
      </c>
    </row>
    <row r="24" spans="1:17" ht="12.75" thickBot="1">
      <c r="A24" s="7" t="s">
        <v>28</v>
      </c>
      <c r="B24" s="10">
        <f t="shared" ref="B24:Q24" si="3">SUM(B19:B23)</f>
        <v>65.006917350999998</v>
      </c>
      <c r="C24" s="10">
        <f t="shared" si="3"/>
        <v>95.419181982247068</v>
      </c>
      <c r="D24" s="10">
        <f t="shared" si="3"/>
        <v>169.26393195722792</v>
      </c>
      <c r="E24" s="10">
        <f t="shared" si="3"/>
        <v>198.97911464791829</v>
      </c>
      <c r="F24" s="10">
        <f t="shared" si="3"/>
        <v>252.46954613625158</v>
      </c>
      <c r="G24" s="10">
        <f t="shared" si="3"/>
        <v>289.31742550000001</v>
      </c>
      <c r="H24" s="10">
        <f t="shared" si="3"/>
        <v>328.73999999999995</v>
      </c>
      <c r="I24" s="10">
        <f t="shared" si="3"/>
        <v>277.41717761160243</v>
      </c>
      <c r="J24" s="10">
        <f t="shared" si="3"/>
        <v>281.30287539785445</v>
      </c>
      <c r="K24" s="10">
        <f t="shared" si="3"/>
        <v>271.69605873224941</v>
      </c>
      <c r="L24" s="10">
        <f t="shared" si="3"/>
        <v>206.19748754863886</v>
      </c>
      <c r="M24" s="10">
        <f t="shared" si="3"/>
        <v>161.24134951430145</v>
      </c>
      <c r="N24" s="10">
        <f t="shared" si="3"/>
        <v>115.790585281313</v>
      </c>
      <c r="O24" s="10">
        <f t="shared" si="3"/>
        <v>78.527542101889253</v>
      </c>
      <c r="P24" s="10">
        <f t="shared" si="3"/>
        <v>33.628451053989231</v>
      </c>
      <c r="Q24" s="10">
        <f t="shared" si="3"/>
        <v>-4.4588247997303805</v>
      </c>
    </row>
    <row r="25" spans="1:17" ht="12.75" thickTop="1">
      <c r="D25" s="11"/>
      <c r="G25" s="11"/>
    </row>
    <row r="26" spans="1:17">
      <c r="A26" s="7" t="s">
        <v>29</v>
      </c>
      <c r="B26" s="11">
        <f t="shared" ref="B26:Q26" si="4">B14-B24</f>
        <v>0</v>
      </c>
      <c r="C26" s="11">
        <f t="shared" si="4"/>
        <v>0</v>
      </c>
      <c r="D26" s="11">
        <f t="shared" si="4"/>
        <v>0</v>
      </c>
      <c r="E26" s="11">
        <f t="shared" si="4"/>
        <v>0</v>
      </c>
      <c r="F26" s="11">
        <f t="shared" si="4"/>
        <v>0</v>
      </c>
      <c r="G26" s="11">
        <f t="shared" si="4"/>
        <v>0</v>
      </c>
      <c r="H26" s="11">
        <f t="shared" si="4"/>
        <v>0</v>
      </c>
      <c r="I26" s="11">
        <f t="shared" si="4"/>
        <v>0.21992238839754918</v>
      </c>
      <c r="J26" s="11">
        <f t="shared" si="4"/>
        <v>2.4765961025536853E-3</v>
      </c>
      <c r="K26" s="11">
        <f t="shared" si="4"/>
        <v>-3.7774564202095462E-3</v>
      </c>
      <c r="L26" s="11">
        <f t="shared" si="4"/>
        <v>-3.777456420522185E-3</v>
      </c>
      <c r="M26" s="11">
        <f t="shared" si="4"/>
        <v>-3.7774564208064021E-3</v>
      </c>
      <c r="N26" s="11">
        <f t="shared" si="4"/>
        <v>-3.7774564210621975E-3</v>
      </c>
      <c r="O26" s="11">
        <f t="shared" si="4"/>
        <v>-3.777456421403258E-3</v>
      </c>
      <c r="P26" s="11">
        <f t="shared" si="4"/>
        <v>-3.7774564216448425E-3</v>
      </c>
      <c r="Q26" s="11">
        <f t="shared" si="4"/>
        <v>-3.7774564216865869E-3</v>
      </c>
    </row>
    <row r="27" spans="1:17">
      <c r="A27" s="7" t="s">
        <v>30</v>
      </c>
      <c r="B27" s="9">
        <f t="shared" ref="B27:I27" si="5">(SUM(B6:B9))/SUM(B3:B4)</f>
        <v>0.43095238095238098</v>
      </c>
      <c r="C27" s="9">
        <f t="shared" si="5"/>
        <v>1.0023809523809524</v>
      </c>
      <c r="D27" s="9">
        <f t="shared" si="5"/>
        <v>1.0910569105691057</v>
      </c>
      <c r="E27" s="9">
        <f t="shared" si="5"/>
        <v>1.4253311300813005</v>
      </c>
      <c r="F27" s="9">
        <f t="shared" si="5"/>
        <v>1.8318351967479674</v>
      </c>
      <c r="G27" s="9">
        <f t="shared" si="5"/>
        <v>3.0817185235772357</v>
      </c>
      <c r="H27" s="9">
        <f t="shared" si="5"/>
        <v>3.498211382113821</v>
      </c>
      <c r="I27" s="9">
        <f t="shared" si="5"/>
        <v>3.605040650406504</v>
      </c>
      <c r="J27" s="9">
        <f t="shared" ref="J27:Q27" si="6">(SUM(J6:J9)-2.9)/SUM(J3:J4)</f>
        <v>3.9082926829268292</v>
      </c>
      <c r="K27" s="9">
        <f t="shared" si="6"/>
        <v>1.9503664596273289</v>
      </c>
      <c r="L27" s="9">
        <f t="shared" si="6"/>
        <v>1.9321174534161489</v>
      </c>
      <c r="M27" s="9">
        <f t="shared" si="6"/>
        <v>1.6948803726708068</v>
      </c>
      <c r="N27" s="9">
        <f t="shared" si="6"/>
        <v>1.3892095186335396</v>
      </c>
      <c r="O27" s="9">
        <f t="shared" si="6"/>
        <v>1.0424784006211172</v>
      </c>
      <c r="P27" s="9">
        <f t="shared" si="6"/>
        <v>0.47675920807453342</v>
      </c>
      <c r="Q27" s="9">
        <f t="shared" si="6"/>
        <v>0.12546583850931678</v>
      </c>
    </row>
    <row r="28" spans="1:17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</row>
    <row r="29" spans="1:17">
      <c r="A29" s="7" t="s">
        <v>31</v>
      </c>
      <c r="B29" s="11">
        <f t="shared" ref="B29:Q29" si="7">+B17+B20</f>
        <v>53.390035217680008</v>
      </c>
      <c r="C29" s="11">
        <f t="shared" si="7"/>
        <v>78.996559400525868</v>
      </c>
      <c r="D29" s="11">
        <f t="shared" si="7"/>
        <v>146.73440794160985</v>
      </c>
      <c r="E29" s="11">
        <f t="shared" si="7"/>
        <v>184.0983320097433</v>
      </c>
      <c r="F29" s="11">
        <f t="shared" si="7"/>
        <v>222.345</v>
      </c>
      <c r="G29" s="11">
        <f t="shared" si="7"/>
        <v>235.38206050000002</v>
      </c>
      <c r="H29" s="11">
        <f t="shared" si="7"/>
        <v>277.48500000000001</v>
      </c>
      <c r="I29" s="11">
        <f t="shared" si="7"/>
        <v>271.80800457686303</v>
      </c>
      <c r="J29" s="11">
        <f t="shared" si="7"/>
        <v>305.09370236311503</v>
      </c>
      <c r="K29" s="11">
        <f t="shared" si="7"/>
        <v>347.70766442321872</v>
      </c>
      <c r="L29" s="11">
        <f t="shared" si="7"/>
        <v>347.17052048549306</v>
      </c>
      <c r="M29" s="11">
        <f t="shared" si="7"/>
        <v>347.6505204854933</v>
      </c>
      <c r="N29" s="11">
        <f t="shared" si="7"/>
        <v>348.13052048549355</v>
      </c>
      <c r="O29" s="11">
        <f t="shared" si="7"/>
        <v>348.61052048549379</v>
      </c>
      <c r="P29" s="11">
        <f t="shared" si="7"/>
        <v>349.09052048549404</v>
      </c>
      <c r="Q29" s="11">
        <f t="shared" si="7"/>
        <v>349.33052048549416</v>
      </c>
    </row>
    <row r="30" spans="1:17">
      <c r="A30" s="7" t="s">
        <v>32</v>
      </c>
      <c r="B30" s="11">
        <f>B29</f>
        <v>53.390035217680008</v>
      </c>
      <c r="C30" s="11">
        <f t="shared" ref="C30:Q30" si="8">C29-B29</f>
        <v>25.60652418284586</v>
      </c>
      <c r="D30" s="11">
        <f t="shared" si="8"/>
        <v>67.737848541083977</v>
      </c>
      <c r="E30" s="11">
        <f t="shared" si="8"/>
        <v>37.363924068133457</v>
      </c>
      <c r="F30" s="11">
        <f t="shared" si="8"/>
        <v>38.246667990256697</v>
      </c>
      <c r="G30" s="11">
        <f t="shared" si="8"/>
        <v>13.037060500000024</v>
      </c>
      <c r="H30" s="11">
        <f t="shared" si="8"/>
        <v>42.102939499999991</v>
      </c>
      <c r="I30" s="11">
        <f t="shared" si="8"/>
        <v>-5.6769954231369866</v>
      </c>
      <c r="J30" s="11">
        <f t="shared" si="8"/>
        <v>33.285697786252001</v>
      </c>
      <c r="K30" s="11">
        <f t="shared" si="8"/>
        <v>42.613962060103688</v>
      </c>
      <c r="L30" s="11">
        <f t="shared" si="8"/>
        <v>-0.53714393772565927</v>
      </c>
      <c r="M30" s="11">
        <f t="shared" si="8"/>
        <v>0.48000000000024556</v>
      </c>
      <c r="N30" s="11">
        <f t="shared" si="8"/>
        <v>0.48000000000024556</v>
      </c>
      <c r="O30" s="11">
        <f t="shared" si="8"/>
        <v>0.48000000000024556</v>
      </c>
      <c r="P30" s="11">
        <f t="shared" si="8"/>
        <v>0.48000000000024556</v>
      </c>
      <c r="Q30" s="11">
        <f t="shared" si="8"/>
        <v>0.24000000000012278</v>
      </c>
    </row>
    <row r="32" spans="1:17">
      <c r="A32" s="7" t="s">
        <v>33</v>
      </c>
      <c r="B32" s="11">
        <f t="shared" ref="B32:Q32" si="9">SUM(B10)-SUM(B22:B23)</f>
        <v>2.4296389852142415</v>
      </c>
      <c r="C32" s="11">
        <f t="shared" si="9"/>
        <v>1.4688928263599657</v>
      </c>
      <c r="D32" s="11">
        <f t="shared" si="9"/>
        <v>18.775377319980912</v>
      </c>
      <c r="E32" s="11">
        <f t="shared" si="9"/>
        <v>42.397250700000015</v>
      </c>
      <c r="F32" s="11">
        <f t="shared" si="9"/>
        <v>46.528753863748385</v>
      </c>
      <c r="G32" s="11">
        <f t="shared" si="9"/>
        <v>-5.8570661999999416</v>
      </c>
      <c r="H32" s="11">
        <f t="shared" si="9"/>
        <v>-1.045874411999975</v>
      </c>
      <c r="I32" s="11">
        <f t="shared" si="9"/>
        <v>31.570000000000007</v>
      </c>
      <c r="J32" s="11">
        <f t="shared" si="9"/>
        <v>20.61</v>
      </c>
      <c r="K32" s="11">
        <f t="shared" si="9"/>
        <v>19.048182880000006</v>
      </c>
      <c r="L32" s="11">
        <f t="shared" si="9"/>
        <v>3.3429874741760042</v>
      </c>
      <c r="M32" s="11">
        <f t="shared" si="9"/>
        <v>-1.5566534382416624</v>
      </c>
      <c r="N32" s="11">
        <f t="shared" si="9"/>
        <v>-5.1826398205693849</v>
      </c>
      <c r="O32" s="11">
        <f t="shared" si="9"/>
        <v>-9.6558008822722154</v>
      </c>
      <c r="P32" s="11">
        <f t="shared" si="9"/>
        <v>-13.503201298080901</v>
      </c>
      <c r="Q32" s="11">
        <f t="shared" si="9"/>
        <v>-0.82895301299999069</v>
      </c>
    </row>
    <row r="33" spans="1:17">
      <c r="A33" s="7" t="s">
        <v>34</v>
      </c>
      <c r="B33" s="11">
        <f>B32</f>
        <v>2.4296389852142415</v>
      </c>
      <c r="C33" s="11">
        <f>C32-B32</f>
        <v>-0.96074615885427583</v>
      </c>
      <c r="D33" s="11">
        <f t="shared" ref="D33:P33" si="10">D32-C32</f>
        <v>17.306484493620946</v>
      </c>
      <c r="E33" s="11">
        <f t="shared" si="10"/>
        <v>23.621873380019103</v>
      </c>
      <c r="F33" s="11">
        <f t="shared" si="10"/>
        <v>4.1315031637483699</v>
      </c>
      <c r="G33" s="11">
        <f t="shared" si="10"/>
        <v>-52.385820063748326</v>
      </c>
      <c r="H33" s="11">
        <f t="shared" si="10"/>
        <v>4.8111917879999666</v>
      </c>
      <c r="I33" s="11">
        <f t="shared" si="10"/>
        <v>32.615874411999982</v>
      </c>
      <c r="J33" s="11">
        <f t="shared" si="10"/>
        <v>-10.960000000000008</v>
      </c>
      <c r="K33" s="11">
        <f t="shared" si="10"/>
        <v>-1.5618171199999935</v>
      </c>
      <c r="L33" s="11">
        <f t="shared" si="10"/>
        <v>-15.705195405824002</v>
      </c>
      <c r="M33" s="11">
        <f t="shared" si="10"/>
        <v>-4.8996409124176665</v>
      </c>
      <c r="N33" s="11">
        <f t="shared" si="10"/>
        <v>-3.6259863823277225</v>
      </c>
      <c r="O33" s="11">
        <f t="shared" si="10"/>
        <v>-4.4731610617028306</v>
      </c>
      <c r="P33" s="11">
        <f t="shared" si="10"/>
        <v>-3.8474004158086856</v>
      </c>
      <c r="Q33" s="11">
        <f>Q32-P32-Q32</f>
        <v>13.503201298080901</v>
      </c>
    </row>
    <row r="35" spans="1:17">
      <c r="A35" s="7" t="s">
        <v>646</v>
      </c>
      <c r="B35" s="200">
        <f>B3+B4+B5</f>
        <v>38.972593680000003</v>
      </c>
      <c r="C35" s="200">
        <f t="shared" ref="C35:Q35" si="11">C3+C4+C5</f>
        <v>37.015343209247092</v>
      </c>
      <c r="D35" s="200">
        <f t="shared" si="11"/>
        <v>55.751957313137218</v>
      </c>
      <c r="E35" s="200">
        <f t="shared" si="11"/>
        <v>55.581692081251589</v>
      </c>
      <c r="F35" s="200">
        <f t="shared" si="11"/>
        <v>55.66029208125159</v>
      </c>
      <c r="G35" s="200">
        <f t="shared" si="11"/>
        <v>55.923343899999999</v>
      </c>
      <c r="H35" s="200">
        <f t="shared" si="11"/>
        <v>56.38</v>
      </c>
      <c r="I35" s="200">
        <f t="shared" si="11"/>
        <v>-23.4529</v>
      </c>
      <c r="J35" s="200">
        <f t="shared" si="11"/>
        <v>-96.204648006042987</v>
      </c>
      <c r="K35" s="200">
        <f t="shared" si="11"/>
        <v>-14.962218724170782</v>
      </c>
      <c r="L35" s="200">
        <f t="shared" si="11"/>
        <v>-58.997297306014104</v>
      </c>
      <c r="M35" s="200">
        <f t="shared" si="11"/>
        <v>-85.567029218785734</v>
      </c>
      <c r="N35" s="200">
        <f t="shared" si="11"/>
        <v>-106.31923888741852</v>
      </c>
      <c r="O35" s="200">
        <f t="shared" si="11"/>
        <v>-126.22175185954987</v>
      </c>
      <c r="P35" s="200">
        <f t="shared" si="11"/>
        <v>-129.41806831065071</v>
      </c>
      <c r="Q35" s="267">
        <f t="shared" si="11"/>
        <v>-101.73260225615206</v>
      </c>
    </row>
    <row r="36" spans="1:17"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</row>
    <row r="37" spans="1:17">
      <c r="B37" s="200">
        <f>B24-B10-B11-B12-B13-B6</f>
        <v>38.972593680000003</v>
      </c>
      <c r="C37" s="200">
        <f>C24-C10-C11-C12-C13-C6</f>
        <v>37.015343209247099</v>
      </c>
      <c r="D37" s="200">
        <f>D24-D10-D11-D12-D13-D6</f>
        <v>55.751957313137211</v>
      </c>
      <c r="E37" s="200">
        <f>E24-E10-E11-E12-E13-E6</f>
        <v>55.581692081251589</v>
      </c>
      <c r="F37" s="200">
        <f>F24-F10-F11-F12-F13-F6</f>
        <v>55.660292081251598</v>
      </c>
      <c r="G37" s="200">
        <f>G24-G10-G11-G12-G13-G6-G7-G8</f>
        <v>55.923343900000006</v>
      </c>
      <c r="H37" s="200">
        <f>H24-H10-H11-H12-H13-H6-H7-H8</f>
        <v>56.379999999999995</v>
      </c>
    </row>
    <row r="38" spans="1:17">
      <c r="B38" s="200">
        <f>B35-B37</f>
        <v>0</v>
      </c>
      <c r="C38" s="200">
        <f t="shared" ref="C38:H38" si="12">C35-C37</f>
        <v>0</v>
      </c>
      <c r="D38" s="200">
        <f t="shared" si="12"/>
        <v>0</v>
      </c>
      <c r="E38" s="200">
        <f t="shared" si="12"/>
        <v>0</v>
      </c>
      <c r="F38" s="200">
        <f t="shared" si="12"/>
        <v>0</v>
      </c>
      <c r="G38" s="200">
        <f t="shared" si="12"/>
        <v>0</v>
      </c>
      <c r="H38" s="200">
        <f t="shared" si="12"/>
        <v>0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B32"/>
  <sheetViews>
    <sheetView workbookViewId="0">
      <pane xSplit="1" ySplit="2" topLeftCell="V3" activePane="bottomRight" state="frozen"/>
      <selection pane="topRight"/>
      <selection pane="bottomLeft"/>
      <selection pane="bottomRight" activeCell="A14" sqref="A14"/>
    </sheetView>
  </sheetViews>
  <sheetFormatPr defaultColWidth="9.33203125" defaultRowHeight="12"/>
  <cols>
    <col min="1" max="1" width="57.33203125" bestFit="1" customWidth="1"/>
    <col min="2" max="21" width="8" hidden="1" customWidth="1"/>
    <col min="22" max="100" width="8.6640625" bestFit="1" customWidth="1"/>
    <col min="101" max="106" width="8.6640625" hidden="1" customWidth="1"/>
  </cols>
  <sheetData>
    <row r="1" spans="1:106">
      <c r="B1" s="6"/>
      <c r="C1" s="6"/>
      <c r="D1" s="6"/>
      <c r="E1" s="6"/>
      <c r="F1" s="6"/>
      <c r="G1" s="6"/>
      <c r="H1" s="28"/>
      <c r="I1" s="6"/>
      <c r="J1" s="6"/>
      <c r="K1" s="6"/>
      <c r="L1" s="6"/>
      <c r="M1" s="6"/>
      <c r="N1" s="6"/>
      <c r="O1" s="6"/>
      <c r="P1" s="6"/>
      <c r="Q1" s="28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28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 t="s">
        <v>20</v>
      </c>
    </row>
    <row r="2" spans="1:106">
      <c r="B2" s="6" t="s">
        <v>45</v>
      </c>
      <c r="C2" s="6" t="s">
        <v>45</v>
      </c>
      <c r="D2" s="6" t="s">
        <v>45</v>
      </c>
      <c r="E2" s="6" t="s">
        <v>45</v>
      </c>
      <c r="F2" s="6" t="s">
        <v>45</v>
      </c>
      <c r="G2" s="6" t="s">
        <v>45</v>
      </c>
      <c r="H2" s="6" t="s">
        <v>45</v>
      </c>
      <c r="I2" s="6" t="s">
        <v>45</v>
      </c>
      <c r="J2" s="6" t="s">
        <v>45</v>
      </c>
      <c r="K2" s="6" t="s">
        <v>46</v>
      </c>
      <c r="L2" s="6" t="s">
        <v>46</v>
      </c>
      <c r="M2" s="6" t="s">
        <v>46</v>
      </c>
      <c r="N2" s="6" t="s">
        <v>46</v>
      </c>
      <c r="O2" s="6" t="s">
        <v>46</v>
      </c>
      <c r="P2" s="6" t="s">
        <v>46</v>
      </c>
      <c r="Q2" s="6" t="s">
        <v>46</v>
      </c>
      <c r="R2" s="6" t="s">
        <v>46</v>
      </c>
      <c r="S2" s="6" t="s">
        <v>46</v>
      </c>
      <c r="T2" s="6" t="s">
        <v>46</v>
      </c>
      <c r="U2" s="6" t="s">
        <v>46</v>
      </c>
      <c r="V2" s="6" t="s">
        <v>46</v>
      </c>
      <c r="W2" s="6" t="s">
        <v>47</v>
      </c>
      <c r="X2" s="6" t="s">
        <v>47</v>
      </c>
      <c r="Y2" s="6" t="s">
        <v>47</v>
      </c>
      <c r="Z2" s="6" t="s">
        <v>47</v>
      </c>
      <c r="AA2" s="6" t="s">
        <v>47</v>
      </c>
      <c r="AB2" s="6" t="s">
        <v>47</v>
      </c>
      <c r="AC2" s="6" t="s">
        <v>47</v>
      </c>
      <c r="AD2" s="6" t="s">
        <v>47</v>
      </c>
      <c r="AE2" s="6" t="s">
        <v>47</v>
      </c>
      <c r="AF2" s="6" t="s">
        <v>47</v>
      </c>
      <c r="AG2" s="6" t="s">
        <v>47</v>
      </c>
      <c r="AH2" s="6" t="s">
        <v>47</v>
      </c>
      <c r="AI2" s="6" t="s">
        <v>48</v>
      </c>
      <c r="AJ2" s="6" t="s">
        <v>48</v>
      </c>
      <c r="AK2" s="6" t="s">
        <v>48</v>
      </c>
      <c r="AL2" s="6" t="s">
        <v>48</v>
      </c>
      <c r="AM2" s="6" t="s">
        <v>48</v>
      </c>
      <c r="AN2" s="6" t="s">
        <v>48</v>
      </c>
      <c r="AO2" s="6" t="s">
        <v>48</v>
      </c>
      <c r="AP2" s="6" t="s">
        <v>48</v>
      </c>
      <c r="AQ2" s="6" t="s">
        <v>48</v>
      </c>
      <c r="AR2" s="6" t="s">
        <v>48</v>
      </c>
      <c r="AS2" s="6" t="s">
        <v>48</v>
      </c>
      <c r="AT2" s="6" t="s">
        <v>48</v>
      </c>
      <c r="AU2" s="6" t="s">
        <v>49</v>
      </c>
      <c r="AV2" s="6" t="s">
        <v>49</v>
      </c>
      <c r="AW2" s="6" t="s">
        <v>49</v>
      </c>
      <c r="AX2" s="6" t="s">
        <v>49</v>
      </c>
      <c r="AY2" s="6" t="s">
        <v>49</v>
      </c>
      <c r="AZ2" s="6" t="s">
        <v>49</v>
      </c>
      <c r="BA2" s="6" t="s">
        <v>49</v>
      </c>
      <c r="BB2" s="6" t="s">
        <v>49</v>
      </c>
      <c r="BC2" s="6" t="s">
        <v>49</v>
      </c>
      <c r="BD2" s="6" t="s">
        <v>49</v>
      </c>
      <c r="BE2" s="6" t="s">
        <v>49</v>
      </c>
      <c r="BF2" s="6" t="s">
        <v>49</v>
      </c>
      <c r="BG2" s="6" t="s">
        <v>50</v>
      </c>
      <c r="BH2" s="6" t="s">
        <v>50</v>
      </c>
      <c r="BI2" s="6" t="s">
        <v>50</v>
      </c>
      <c r="BJ2" s="6" t="s">
        <v>50</v>
      </c>
      <c r="BK2" s="6" t="s">
        <v>50</v>
      </c>
      <c r="BL2" s="6" t="s">
        <v>50</v>
      </c>
      <c r="BM2" s="6" t="s">
        <v>50</v>
      </c>
      <c r="BN2" s="6" t="s">
        <v>50</v>
      </c>
      <c r="BO2" s="6" t="s">
        <v>50</v>
      </c>
      <c r="BP2" s="6" t="s">
        <v>50</v>
      </c>
      <c r="BQ2" s="6" t="s">
        <v>50</v>
      </c>
      <c r="BR2" s="6" t="s">
        <v>50</v>
      </c>
      <c r="BS2" s="6" t="s">
        <v>51</v>
      </c>
      <c r="BT2" s="6" t="s">
        <v>51</v>
      </c>
      <c r="BU2" s="6" t="s">
        <v>51</v>
      </c>
      <c r="BV2" s="6" t="s">
        <v>51</v>
      </c>
      <c r="BW2" s="6" t="s">
        <v>51</v>
      </c>
      <c r="BX2" s="6" t="s">
        <v>51</v>
      </c>
      <c r="BY2" s="6" t="s">
        <v>51</v>
      </c>
      <c r="BZ2" s="6" t="s">
        <v>51</v>
      </c>
      <c r="CA2" s="6" t="s">
        <v>51</v>
      </c>
      <c r="CB2" s="6" t="s">
        <v>51</v>
      </c>
      <c r="CC2" s="6" t="s">
        <v>51</v>
      </c>
      <c r="CD2" s="6" t="s">
        <v>51</v>
      </c>
      <c r="CE2" s="6" t="s">
        <v>52</v>
      </c>
      <c r="CF2" s="6" t="s">
        <v>52</v>
      </c>
      <c r="CG2" s="6" t="s">
        <v>52</v>
      </c>
      <c r="CH2" s="6" t="s">
        <v>52</v>
      </c>
      <c r="CI2" s="6" t="s">
        <v>52</v>
      </c>
      <c r="CJ2" s="6" t="s">
        <v>52</v>
      </c>
      <c r="CK2" s="6" t="s">
        <v>52</v>
      </c>
      <c r="CL2" s="6" t="s">
        <v>52</v>
      </c>
      <c r="CM2" s="6" t="s">
        <v>52</v>
      </c>
      <c r="CN2" s="6" t="s">
        <v>52</v>
      </c>
      <c r="CO2" s="6" t="s">
        <v>52</v>
      </c>
      <c r="CP2" s="6" t="s">
        <v>52</v>
      </c>
      <c r="CQ2" s="6" t="s">
        <v>53</v>
      </c>
      <c r="CR2" s="6" t="s">
        <v>53</v>
      </c>
      <c r="CS2" s="6" t="s">
        <v>53</v>
      </c>
      <c r="CT2" s="6" t="s">
        <v>53</v>
      </c>
      <c r="CU2" s="6" t="s">
        <v>53</v>
      </c>
      <c r="CV2" s="6" t="s">
        <v>53</v>
      </c>
      <c r="CW2" s="6" t="s">
        <v>53</v>
      </c>
      <c r="CX2" s="29" t="s">
        <v>53</v>
      </c>
      <c r="CY2" s="29" t="s">
        <v>53</v>
      </c>
      <c r="CZ2" s="29" t="s">
        <v>53</v>
      </c>
      <c r="DA2" s="29" t="s">
        <v>53</v>
      </c>
      <c r="DB2" s="29" t="s">
        <v>53</v>
      </c>
    </row>
    <row r="3" spans="1:106">
      <c r="A3" s="7" t="s">
        <v>21</v>
      </c>
      <c r="B3" s="8">
        <v>44043</v>
      </c>
      <c r="C3" s="8">
        <v>44074</v>
      </c>
      <c r="D3" s="8">
        <v>44104</v>
      </c>
      <c r="E3" s="8">
        <v>44135</v>
      </c>
      <c r="F3" s="8">
        <v>44165</v>
      </c>
      <c r="G3" s="8">
        <v>44196</v>
      </c>
      <c r="H3" s="8">
        <v>44227</v>
      </c>
      <c r="I3" s="8">
        <v>44255</v>
      </c>
      <c r="J3" s="8">
        <v>44286</v>
      </c>
      <c r="K3" s="8">
        <v>44316</v>
      </c>
      <c r="L3" s="8">
        <v>44347</v>
      </c>
      <c r="M3" s="8">
        <v>44377</v>
      </c>
      <c r="N3" s="8">
        <v>44408</v>
      </c>
      <c r="O3" s="8">
        <v>44439</v>
      </c>
      <c r="P3" s="8">
        <v>44469</v>
      </c>
      <c r="Q3" s="8">
        <v>44500</v>
      </c>
      <c r="R3" s="8">
        <v>44530</v>
      </c>
      <c r="S3" s="8">
        <v>44561</v>
      </c>
      <c r="T3" s="8">
        <v>44592</v>
      </c>
      <c r="U3" s="8">
        <v>44620</v>
      </c>
      <c r="V3" s="8">
        <v>44651</v>
      </c>
      <c r="W3" s="8">
        <v>44681</v>
      </c>
      <c r="X3" s="8">
        <v>44712</v>
      </c>
      <c r="Y3" s="8">
        <v>44742</v>
      </c>
      <c r="Z3" s="8">
        <v>44773</v>
      </c>
      <c r="AA3" s="8">
        <v>44804</v>
      </c>
      <c r="AB3" s="8">
        <v>44834</v>
      </c>
      <c r="AC3" s="8">
        <v>44865</v>
      </c>
      <c r="AD3" s="8">
        <v>44895</v>
      </c>
      <c r="AE3" s="8">
        <v>44926</v>
      </c>
      <c r="AF3" s="8">
        <v>44957</v>
      </c>
      <c r="AG3" s="8">
        <v>44985</v>
      </c>
      <c r="AH3" s="8">
        <v>45016</v>
      </c>
      <c r="AI3" s="8">
        <v>45046</v>
      </c>
      <c r="AJ3" s="8">
        <v>45077</v>
      </c>
      <c r="AK3" s="8">
        <v>45107</v>
      </c>
      <c r="AL3" s="8">
        <v>45138</v>
      </c>
      <c r="AM3" s="8">
        <v>45169</v>
      </c>
      <c r="AN3" s="8">
        <v>45199</v>
      </c>
      <c r="AO3" s="8">
        <v>45230</v>
      </c>
      <c r="AP3" s="8">
        <v>45260</v>
      </c>
      <c r="AQ3" s="8">
        <v>45291</v>
      </c>
      <c r="AR3" s="8">
        <v>45322</v>
      </c>
      <c r="AS3" s="8">
        <v>45351</v>
      </c>
      <c r="AT3" s="8">
        <v>45382</v>
      </c>
      <c r="AU3" s="8">
        <v>45412</v>
      </c>
      <c r="AV3" s="8">
        <v>45443</v>
      </c>
      <c r="AW3" s="8">
        <v>45473</v>
      </c>
      <c r="AX3" s="8">
        <v>45504</v>
      </c>
      <c r="AY3" s="8">
        <v>45535</v>
      </c>
      <c r="AZ3" s="8">
        <v>45565</v>
      </c>
      <c r="BA3" s="8">
        <v>45596</v>
      </c>
      <c r="BB3" s="8">
        <v>45626</v>
      </c>
      <c r="BC3" s="8">
        <v>45657</v>
      </c>
      <c r="BD3" s="8">
        <v>45688</v>
      </c>
      <c r="BE3" s="8">
        <v>45716</v>
      </c>
      <c r="BF3" s="8">
        <v>45747</v>
      </c>
      <c r="BG3" s="8">
        <v>45777</v>
      </c>
      <c r="BH3" s="8">
        <v>45808</v>
      </c>
      <c r="BI3" s="8">
        <v>45838</v>
      </c>
      <c r="BJ3" s="8">
        <v>45869</v>
      </c>
      <c r="BK3" s="8">
        <v>45900</v>
      </c>
      <c r="BL3" s="8">
        <v>45930</v>
      </c>
      <c r="BM3" s="8">
        <v>45961</v>
      </c>
      <c r="BN3" s="8">
        <v>45991</v>
      </c>
      <c r="BO3" s="8">
        <v>46022</v>
      </c>
      <c r="BP3" s="8">
        <v>46053</v>
      </c>
      <c r="BQ3" s="8">
        <v>46081</v>
      </c>
      <c r="BR3" s="8">
        <v>46112</v>
      </c>
      <c r="BS3" s="8">
        <v>46142</v>
      </c>
      <c r="BT3" s="8">
        <v>46173</v>
      </c>
      <c r="BU3" s="8">
        <v>46203</v>
      </c>
      <c r="BV3" s="8">
        <v>46234</v>
      </c>
      <c r="BW3" s="8">
        <v>46265</v>
      </c>
      <c r="BX3" s="8">
        <v>46295</v>
      </c>
      <c r="BY3" s="8">
        <v>46326</v>
      </c>
      <c r="BZ3" s="8">
        <v>46356</v>
      </c>
      <c r="CA3" s="8">
        <v>46387</v>
      </c>
      <c r="CB3" s="8">
        <v>46418</v>
      </c>
      <c r="CC3" s="8">
        <v>46446</v>
      </c>
      <c r="CD3" s="8">
        <v>46477</v>
      </c>
      <c r="CE3" s="8">
        <v>46507</v>
      </c>
      <c r="CF3" s="8">
        <v>46538</v>
      </c>
      <c r="CG3" s="8">
        <v>46568</v>
      </c>
      <c r="CH3" s="8">
        <v>46599</v>
      </c>
      <c r="CI3" s="8">
        <v>46630</v>
      </c>
      <c r="CJ3" s="8">
        <v>46660</v>
      </c>
      <c r="CK3" s="8">
        <v>46691</v>
      </c>
      <c r="CL3" s="8">
        <v>46721</v>
      </c>
      <c r="CM3" s="8">
        <v>46752</v>
      </c>
      <c r="CN3" s="8">
        <v>46783</v>
      </c>
      <c r="CO3" s="8">
        <v>46812</v>
      </c>
      <c r="CP3" s="8">
        <v>46843</v>
      </c>
      <c r="CQ3" s="8">
        <v>46873</v>
      </c>
      <c r="CR3" s="8">
        <v>46904</v>
      </c>
      <c r="CS3" s="8">
        <v>46934</v>
      </c>
      <c r="CT3" s="8">
        <v>46965</v>
      </c>
      <c r="CU3" s="8">
        <v>46996</v>
      </c>
      <c r="CV3" s="8">
        <v>47026</v>
      </c>
      <c r="CW3" s="8">
        <v>47056</v>
      </c>
      <c r="CX3" s="8">
        <v>47087</v>
      </c>
      <c r="CY3" s="8">
        <v>47117</v>
      </c>
      <c r="CZ3" s="8">
        <v>47148</v>
      </c>
      <c r="DA3" s="8">
        <v>47177</v>
      </c>
      <c r="DB3" s="8">
        <v>47208</v>
      </c>
    </row>
    <row r="4" spans="1:106">
      <c r="A4" t="s">
        <v>86</v>
      </c>
      <c r="B4" s="30">
        <v>31.364999999999998</v>
      </c>
      <c r="C4" s="30">
        <f t="shared" ref="C4:BN5" si="0">B4</f>
        <v>31.364999999999998</v>
      </c>
      <c r="D4" s="30">
        <f t="shared" si="0"/>
        <v>31.364999999999998</v>
      </c>
      <c r="E4" s="30">
        <f t="shared" si="0"/>
        <v>31.364999999999998</v>
      </c>
      <c r="F4" s="30">
        <f t="shared" si="0"/>
        <v>31.364999999999998</v>
      </c>
      <c r="G4" s="30">
        <f t="shared" si="0"/>
        <v>31.364999999999998</v>
      </c>
      <c r="H4" s="30">
        <f t="shared" si="0"/>
        <v>31.364999999999998</v>
      </c>
      <c r="I4" s="30">
        <f t="shared" si="0"/>
        <v>31.364999999999998</v>
      </c>
      <c r="J4" s="30">
        <f t="shared" si="0"/>
        <v>31.364999999999998</v>
      </c>
      <c r="K4" s="30">
        <f>J4</f>
        <v>31.364999999999998</v>
      </c>
      <c r="L4" s="30">
        <f t="shared" si="0"/>
        <v>31.364999999999998</v>
      </c>
      <c r="M4" s="30">
        <f t="shared" si="0"/>
        <v>31.364999999999998</v>
      </c>
      <c r="N4" s="30">
        <f t="shared" si="0"/>
        <v>31.364999999999998</v>
      </c>
      <c r="O4" s="30">
        <f t="shared" si="0"/>
        <v>31.364999999999998</v>
      </c>
      <c r="P4" s="30">
        <f t="shared" si="0"/>
        <v>31.364999999999998</v>
      </c>
      <c r="Q4" s="30">
        <f t="shared" si="0"/>
        <v>31.364999999999998</v>
      </c>
      <c r="R4" s="30">
        <f t="shared" si="0"/>
        <v>31.364999999999998</v>
      </c>
      <c r="S4" s="30">
        <f t="shared" si="0"/>
        <v>31.364999999999998</v>
      </c>
      <c r="T4" s="30">
        <f t="shared" si="0"/>
        <v>31.364999999999998</v>
      </c>
      <c r="U4" s="30">
        <f>T4</f>
        <v>31.364999999999998</v>
      </c>
      <c r="V4" s="30">
        <f t="shared" si="0"/>
        <v>31.364999999999998</v>
      </c>
      <c r="W4" s="30">
        <f t="shared" si="0"/>
        <v>31.364999999999998</v>
      </c>
      <c r="X4" s="30">
        <f t="shared" si="0"/>
        <v>31.364999999999998</v>
      </c>
      <c r="Y4" s="30">
        <f t="shared" si="0"/>
        <v>31.364999999999998</v>
      </c>
      <c r="Z4" s="30">
        <f t="shared" si="0"/>
        <v>31.364999999999998</v>
      </c>
      <c r="AA4" s="30">
        <f t="shared" si="0"/>
        <v>31.364999999999998</v>
      </c>
      <c r="AB4" s="30">
        <f>AA4+19*51%</f>
        <v>41.055</v>
      </c>
      <c r="AC4" s="30">
        <f t="shared" si="0"/>
        <v>41.055</v>
      </c>
      <c r="AD4" s="30">
        <f t="shared" si="0"/>
        <v>41.055</v>
      </c>
      <c r="AE4" s="30">
        <f t="shared" si="0"/>
        <v>41.055</v>
      </c>
      <c r="AF4" s="30">
        <f t="shared" si="0"/>
        <v>41.055</v>
      </c>
      <c r="AG4" s="30">
        <f t="shared" si="0"/>
        <v>41.055</v>
      </c>
      <c r="AH4" s="30">
        <f t="shared" si="0"/>
        <v>41.055</v>
      </c>
      <c r="AI4" s="30">
        <f t="shared" si="0"/>
        <v>41.055</v>
      </c>
      <c r="AJ4" s="30">
        <f t="shared" si="0"/>
        <v>41.055</v>
      </c>
      <c r="AK4" s="30">
        <f t="shared" si="0"/>
        <v>41.055</v>
      </c>
      <c r="AL4" s="30">
        <f t="shared" si="0"/>
        <v>41.055</v>
      </c>
      <c r="AM4" s="30">
        <f t="shared" si="0"/>
        <v>41.055</v>
      </c>
      <c r="AN4" s="30">
        <f t="shared" si="0"/>
        <v>41.055</v>
      </c>
      <c r="AO4" s="30">
        <f t="shared" si="0"/>
        <v>41.055</v>
      </c>
      <c r="AP4" s="30">
        <f t="shared" si="0"/>
        <v>41.055</v>
      </c>
      <c r="AQ4" s="30">
        <f t="shared" si="0"/>
        <v>41.055</v>
      </c>
      <c r="AR4" s="30">
        <f t="shared" si="0"/>
        <v>41.055</v>
      </c>
      <c r="AS4" s="30">
        <f t="shared" si="0"/>
        <v>41.055</v>
      </c>
      <c r="AT4" s="30">
        <f t="shared" si="0"/>
        <v>41.055</v>
      </c>
      <c r="AU4" s="30">
        <f t="shared" si="0"/>
        <v>41.055</v>
      </c>
      <c r="AV4" s="30">
        <f t="shared" si="0"/>
        <v>41.055</v>
      </c>
      <c r="AW4" s="30">
        <f t="shared" si="0"/>
        <v>41.055</v>
      </c>
      <c r="AX4" s="30">
        <f t="shared" si="0"/>
        <v>41.055</v>
      </c>
      <c r="AY4" s="30">
        <f t="shared" si="0"/>
        <v>41.055</v>
      </c>
      <c r="AZ4" s="30">
        <f t="shared" si="0"/>
        <v>41.055</v>
      </c>
      <c r="BA4" s="30">
        <f t="shared" si="0"/>
        <v>41.055</v>
      </c>
      <c r="BB4" s="30">
        <f t="shared" si="0"/>
        <v>41.055</v>
      </c>
      <c r="BC4" s="30">
        <f t="shared" si="0"/>
        <v>41.055</v>
      </c>
      <c r="BD4" s="30">
        <f t="shared" si="0"/>
        <v>41.055</v>
      </c>
      <c r="BE4" s="30">
        <f t="shared" si="0"/>
        <v>41.055</v>
      </c>
      <c r="BF4" s="30">
        <f t="shared" si="0"/>
        <v>41.055</v>
      </c>
      <c r="BG4" s="30">
        <f t="shared" si="0"/>
        <v>41.055</v>
      </c>
      <c r="BH4" s="30">
        <f t="shared" si="0"/>
        <v>41.055</v>
      </c>
      <c r="BI4" s="30">
        <f t="shared" si="0"/>
        <v>41.055</v>
      </c>
      <c r="BJ4" s="30">
        <f t="shared" si="0"/>
        <v>41.055</v>
      </c>
      <c r="BK4" s="30">
        <f t="shared" si="0"/>
        <v>41.055</v>
      </c>
      <c r="BL4" s="30">
        <f t="shared" si="0"/>
        <v>41.055</v>
      </c>
      <c r="BM4" s="30">
        <f t="shared" si="0"/>
        <v>41.055</v>
      </c>
      <c r="BN4" s="30">
        <f t="shared" si="0"/>
        <v>41.055</v>
      </c>
      <c r="BO4" s="30">
        <f t="shared" ref="BO4:DB5" si="1">BN4</f>
        <v>41.055</v>
      </c>
      <c r="BP4" s="30">
        <f t="shared" si="1"/>
        <v>41.055</v>
      </c>
      <c r="BQ4" s="30">
        <f t="shared" si="1"/>
        <v>41.055</v>
      </c>
      <c r="BR4" s="30">
        <f t="shared" si="1"/>
        <v>41.055</v>
      </c>
      <c r="BS4" s="30">
        <f t="shared" si="1"/>
        <v>41.055</v>
      </c>
      <c r="BT4" s="30">
        <f t="shared" si="1"/>
        <v>41.055</v>
      </c>
      <c r="BU4" s="30">
        <f t="shared" si="1"/>
        <v>41.055</v>
      </c>
      <c r="BV4" s="30">
        <f t="shared" si="1"/>
        <v>41.055</v>
      </c>
      <c r="BW4" s="30">
        <f t="shared" si="1"/>
        <v>41.055</v>
      </c>
      <c r="BX4" s="30">
        <f t="shared" si="1"/>
        <v>41.055</v>
      </c>
      <c r="BY4" s="30">
        <f t="shared" si="1"/>
        <v>41.055</v>
      </c>
      <c r="BZ4" s="30">
        <f t="shared" si="1"/>
        <v>41.055</v>
      </c>
      <c r="CA4" s="30">
        <f t="shared" si="1"/>
        <v>41.055</v>
      </c>
      <c r="CB4" s="30">
        <f t="shared" si="1"/>
        <v>41.055</v>
      </c>
      <c r="CC4" s="30">
        <f t="shared" si="1"/>
        <v>41.055</v>
      </c>
      <c r="CD4" s="30">
        <f t="shared" si="1"/>
        <v>41.055</v>
      </c>
      <c r="CE4" s="30">
        <f t="shared" si="1"/>
        <v>41.055</v>
      </c>
      <c r="CF4" s="30">
        <f t="shared" si="1"/>
        <v>41.055</v>
      </c>
      <c r="CG4" s="30">
        <f t="shared" si="1"/>
        <v>41.055</v>
      </c>
      <c r="CH4" s="30">
        <f t="shared" si="1"/>
        <v>41.055</v>
      </c>
      <c r="CI4" s="30">
        <f t="shared" si="1"/>
        <v>41.055</v>
      </c>
      <c r="CJ4" s="30">
        <f t="shared" si="1"/>
        <v>41.055</v>
      </c>
      <c r="CK4" s="30">
        <f t="shared" si="1"/>
        <v>41.055</v>
      </c>
      <c r="CL4" s="30">
        <f t="shared" si="1"/>
        <v>41.055</v>
      </c>
      <c r="CM4" s="30">
        <f t="shared" si="1"/>
        <v>41.055</v>
      </c>
      <c r="CN4" s="30">
        <f t="shared" si="1"/>
        <v>41.055</v>
      </c>
      <c r="CO4" s="30">
        <f t="shared" si="1"/>
        <v>41.055</v>
      </c>
      <c r="CP4" s="30">
        <f t="shared" si="1"/>
        <v>41.055</v>
      </c>
      <c r="CQ4" s="30">
        <f t="shared" si="1"/>
        <v>41.055</v>
      </c>
      <c r="CR4" s="30">
        <f t="shared" si="1"/>
        <v>41.055</v>
      </c>
      <c r="CS4" s="30">
        <f t="shared" si="1"/>
        <v>41.055</v>
      </c>
      <c r="CT4" s="30">
        <f t="shared" si="1"/>
        <v>41.055</v>
      </c>
      <c r="CU4" s="30">
        <f t="shared" si="1"/>
        <v>41.055</v>
      </c>
      <c r="CV4" s="30">
        <f t="shared" si="1"/>
        <v>41.055</v>
      </c>
      <c r="CW4" s="30">
        <f t="shared" si="1"/>
        <v>41.055</v>
      </c>
      <c r="CX4" s="30">
        <f t="shared" si="1"/>
        <v>41.055</v>
      </c>
      <c r="CY4" s="30">
        <f t="shared" si="1"/>
        <v>41.055</v>
      </c>
      <c r="CZ4" s="30">
        <f t="shared" si="1"/>
        <v>41.055</v>
      </c>
      <c r="DA4" s="30">
        <f t="shared" si="1"/>
        <v>41.055</v>
      </c>
      <c r="DB4" s="30">
        <f t="shared" si="1"/>
        <v>41.055</v>
      </c>
    </row>
    <row r="5" spans="1:106">
      <c r="A5" t="s">
        <v>87</v>
      </c>
      <c r="B5" s="30">
        <v>30.134999999999998</v>
      </c>
      <c r="C5" s="30">
        <f t="shared" si="0"/>
        <v>30.134999999999998</v>
      </c>
      <c r="D5" s="30">
        <f t="shared" si="0"/>
        <v>30.134999999999998</v>
      </c>
      <c r="E5" s="30">
        <f t="shared" si="0"/>
        <v>30.134999999999998</v>
      </c>
      <c r="F5" s="30">
        <f t="shared" si="0"/>
        <v>30.134999999999998</v>
      </c>
      <c r="G5" s="30">
        <f t="shared" si="0"/>
        <v>30.134999999999998</v>
      </c>
      <c r="H5" s="30">
        <f t="shared" si="0"/>
        <v>30.134999999999998</v>
      </c>
      <c r="I5" s="30">
        <f t="shared" si="0"/>
        <v>30.134999999999998</v>
      </c>
      <c r="J5" s="30">
        <f t="shared" si="0"/>
        <v>30.134999999999998</v>
      </c>
      <c r="K5" s="30">
        <f t="shared" si="0"/>
        <v>30.134999999999998</v>
      </c>
      <c r="L5" s="30">
        <f t="shared" si="0"/>
        <v>30.134999999999998</v>
      </c>
      <c r="M5" s="30">
        <f t="shared" si="0"/>
        <v>30.134999999999998</v>
      </c>
      <c r="N5" s="30">
        <f t="shared" si="0"/>
        <v>30.134999999999998</v>
      </c>
      <c r="O5" s="30">
        <f t="shared" si="0"/>
        <v>30.134999999999998</v>
      </c>
      <c r="P5" s="30">
        <f t="shared" si="0"/>
        <v>30.134999999999998</v>
      </c>
      <c r="Q5" s="30">
        <f t="shared" si="0"/>
        <v>30.134999999999998</v>
      </c>
      <c r="R5" s="30">
        <f t="shared" si="0"/>
        <v>30.134999999999998</v>
      </c>
      <c r="S5" s="30">
        <f t="shared" si="0"/>
        <v>30.134999999999998</v>
      </c>
      <c r="T5" s="30">
        <f t="shared" si="0"/>
        <v>30.134999999999998</v>
      </c>
      <c r="U5" s="30">
        <f>T5</f>
        <v>30.134999999999998</v>
      </c>
      <c r="V5" s="30">
        <f t="shared" si="0"/>
        <v>30.134999999999998</v>
      </c>
      <c r="W5" s="30">
        <f t="shared" si="0"/>
        <v>30.134999999999998</v>
      </c>
      <c r="X5" s="30">
        <f t="shared" si="0"/>
        <v>30.134999999999998</v>
      </c>
      <c r="Y5" s="30">
        <f t="shared" si="0"/>
        <v>30.134999999999998</v>
      </c>
      <c r="Z5" s="30">
        <f t="shared" si="0"/>
        <v>30.134999999999998</v>
      </c>
      <c r="AA5" s="30">
        <f t="shared" si="0"/>
        <v>30.134999999999998</v>
      </c>
      <c r="AB5" s="30">
        <f>AA5+19*49%</f>
        <v>39.445</v>
      </c>
      <c r="AC5" s="30">
        <f t="shared" si="0"/>
        <v>39.445</v>
      </c>
      <c r="AD5" s="30">
        <f t="shared" si="0"/>
        <v>39.445</v>
      </c>
      <c r="AE5" s="30">
        <f t="shared" si="0"/>
        <v>39.445</v>
      </c>
      <c r="AF5" s="30">
        <f t="shared" si="0"/>
        <v>39.445</v>
      </c>
      <c r="AG5" s="30">
        <f t="shared" si="0"/>
        <v>39.445</v>
      </c>
      <c r="AH5" s="30">
        <f t="shared" si="0"/>
        <v>39.445</v>
      </c>
      <c r="AI5" s="30">
        <f t="shared" si="0"/>
        <v>39.445</v>
      </c>
      <c r="AJ5" s="30">
        <f t="shared" si="0"/>
        <v>39.445</v>
      </c>
      <c r="AK5" s="30">
        <f t="shared" si="0"/>
        <v>39.445</v>
      </c>
      <c r="AL5" s="30">
        <f t="shared" si="0"/>
        <v>39.445</v>
      </c>
      <c r="AM5" s="30">
        <f t="shared" si="0"/>
        <v>39.445</v>
      </c>
      <c r="AN5" s="30">
        <f t="shared" si="0"/>
        <v>39.445</v>
      </c>
      <c r="AO5" s="30">
        <f t="shared" si="0"/>
        <v>39.445</v>
      </c>
      <c r="AP5" s="30">
        <f t="shared" si="0"/>
        <v>39.445</v>
      </c>
      <c r="AQ5" s="30">
        <f t="shared" si="0"/>
        <v>39.445</v>
      </c>
      <c r="AR5" s="30">
        <f t="shared" si="0"/>
        <v>39.445</v>
      </c>
      <c r="AS5" s="30">
        <f t="shared" si="0"/>
        <v>39.445</v>
      </c>
      <c r="AT5" s="30">
        <f t="shared" si="0"/>
        <v>39.445</v>
      </c>
      <c r="AU5" s="30">
        <f t="shared" si="0"/>
        <v>39.445</v>
      </c>
      <c r="AV5" s="30">
        <f t="shared" si="0"/>
        <v>39.445</v>
      </c>
      <c r="AW5" s="30">
        <f t="shared" si="0"/>
        <v>39.445</v>
      </c>
      <c r="AX5" s="30">
        <f t="shared" si="0"/>
        <v>39.445</v>
      </c>
      <c r="AY5" s="30">
        <f t="shared" si="0"/>
        <v>39.445</v>
      </c>
      <c r="AZ5" s="30">
        <f t="shared" si="0"/>
        <v>39.445</v>
      </c>
      <c r="BA5" s="30">
        <f t="shared" si="0"/>
        <v>39.445</v>
      </c>
      <c r="BB5" s="30">
        <f t="shared" si="0"/>
        <v>39.445</v>
      </c>
      <c r="BC5" s="30">
        <f t="shared" si="0"/>
        <v>39.445</v>
      </c>
      <c r="BD5" s="30">
        <f t="shared" si="0"/>
        <v>39.445</v>
      </c>
      <c r="BE5" s="30">
        <f t="shared" si="0"/>
        <v>39.445</v>
      </c>
      <c r="BF5" s="30">
        <f t="shared" si="0"/>
        <v>39.445</v>
      </c>
      <c r="BG5" s="30">
        <f t="shared" si="0"/>
        <v>39.445</v>
      </c>
      <c r="BH5" s="30">
        <f t="shared" si="0"/>
        <v>39.445</v>
      </c>
      <c r="BI5" s="30">
        <f t="shared" si="0"/>
        <v>39.445</v>
      </c>
      <c r="BJ5" s="30">
        <f t="shared" si="0"/>
        <v>39.445</v>
      </c>
      <c r="BK5" s="30">
        <f t="shared" si="0"/>
        <v>39.445</v>
      </c>
      <c r="BL5" s="30">
        <f t="shared" si="0"/>
        <v>39.445</v>
      </c>
      <c r="BM5" s="30">
        <f t="shared" si="0"/>
        <v>39.445</v>
      </c>
      <c r="BN5" s="30">
        <f t="shared" si="0"/>
        <v>39.445</v>
      </c>
      <c r="BO5" s="30">
        <f t="shared" si="1"/>
        <v>39.445</v>
      </c>
      <c r="BP5" s="30">
        <f t="shared" si="1"/>
        <v>39.445</v>
      </c>
      <c r="BQ5" s="30">
        <f t="shared" si="1"/>
        <v>39.445</v>
      </c>
      <c r="BR5" s="30">
        <f t="shared" si="1"/>
        <v>39.445</v>
      </c>
      <c r="BS5" s="30">
        <f t="shared" si="1"/>
        <v>39.445</v>
      </c>
      <c r="BT5" s="30">
        <f t="shared" si="1"/>
        <v>39.445</v>
      </c>
      <c r="BU5" s="30">
        <f t="shared" si="1"/>
        <v>39.445</v>
      </c>
      <c r="BV5" s="30">
        <f t="shared" si="1"/>
        <v>39.445</v>
      </c>
      <c r="BW5" s="30">
        <f t="shared" si="1"/>
        <v>39.445</v>
      </c>
      <c r="BX5" s="30">
        <f t="shared" si="1"/>
        <v>39.445</v>
      </c>
      <c r="BY5" s="30">
        <f t="shared" si="1"/>
        <v>39.445</v>
      </c>
      <c r="BZ5" s="30">
        <f t="shared" si="1"/>
        <v>39.445</v>
      </c>
      <c r="CA5" s="30">
        <f t="shared" si="1"/>
        <v>39.445</v>
      </c>
      <c r="CB5" s="30">
        <f t="shared" si="1"/>
        <v>39.445</v>
      </c>
      <c r="CC5" s="30">
        <f t="shared" si="1"/>
        <v>39.445</v>
      </c>
      <c r="CD5" s="30">
        <f t="shared" si="1"/>
        <v>39.445</v>
      </c>
      <c r="CE5" s="30">
        <f t="shared" si="1"/>
        <v>39.445</v>
      </c>
      <c r="CF5" s="30">
        <f t="shared" si="1"/>
        <v>39.445</v>
      </c>
      <c r="CG5" s="30">
        <f t="shared" si="1"/>
        <v>39.445</v>
      </c>
      <c r="CH5" s="30">
        <f t="shared" si="1"/>
        <v>39.445</v>
      </c>
      <c r="CI5" s="30">
        <f t="shared" si="1"/>
        <v>39.445</v>
      </c>
      <c r="CJ5" s="30">
        <f t="shared" si="1"/>
        <v>39.445</v>
      </c>
      <c r="CK5" s="30">
        <f t="shared" si="1"/>
        <v>39.445</v>
      </c>
      <c r="CL5" s="30">
        <f t="shared" si="1"/>
        <v>39.445</v>
      </c>
      <c r="CM5" s="30">
        <f t="shared" si="1"/>
        <v>39.445</v>
      </c>
      <c r="CN5" s="30">
        <f t="shared" si="1"/>
        <v>39.445</v>
      </c>
      <c r="CO5" s="30">
        <f t="shared" si="1"/>
        <v>39.445</v>
      </c>
      <c r="CP5" s="30">
        <f t="shared" si="1"/>
        <v>39.445</v>
      </c>
      <c r="CQ5" s="30">
        <f t="shared" si="1"/>
        <v>39.445</v>
      </c>
      <c r="CR5" s="30">
        <f t="shared" si="1"/>
        <v>39.445</v>
      </c>
      <c r="CS5" s="30">
        <f t="shared" si="1"/>
        <v>39.445</v>
      </c>
      <c r="CT5" s="30">
        <f t="shared" si="1"/>
        <v>39.445</v>
      </c>
      <c r="CU5" s="30">
        <f t="shared" si="1"/>
        <v>39.445</v>
      </c>
      <c r="CV5" s="30">
        <f t="shared" si="1"/>
        <v>39.445</v>
      </c>
      <c r="CW5" s="30">
        <f t="shared" si="1"/>
        <v>39.445</v>
      </c>
      <c r="CX5" s="30">
        <f t="shared" si="1"/>
        <v>39.445</v>
      </c>
      <c r="CY5" s="30">
        <f t="shared" si="1"/>
        <v>39.445</v>
      </c>
      <c r="CZ5" s="30">
        <f t="shared" si="1"/>
        <v>39.445</v>
      </c>
      <c r="DA5" s="30">
        <f t="shared" si="1"/>
        <v>39.445</v>
      </c>
      <c r="DB5" s="30">
        <f t="shared" si="1"/>
        <v>39.445</v>
      </c>
    </row>
    <row r="6" spans="1:106">
      <c r="A6" t="s">
        <v>70</v>
      </c>
      <c r="B6" s="30">
        <v>-1.7949999999999999</v>
      </c>
      <c r="C6" s="30">
        <f>B6+'Monthly PL'!D31</f>
        <v>-1.7649942673996695</v>
      </c>
      <c r="D6" s="30">
        <f>C6+'Monthly PL'!E31</f>
        <v>0.83653847661057568</v>
      </c>
      <c r="E6" s="30">
        <f>D6+'Monthly PL'!F31</f>
        <v>0.76299575183401513</v>
      </c>
      <c r="F6" s="30">
        <f>E6+'Monthly PL'!G31</f>
        <v>2.257934069192288</v>
      </c>
      <c r="G6" s="30">
        <f>F6+'Monthly PL'!H31</f>
        <v>2.1248390566282431</v>
      </c>
      <c r="H6" s="30">
        <f>G6+'Monthly PL'!I31</f>
        <v>4.4927400364481187</v>
      </c>
      <c r="I6" s="30">
        <f>H6+'Monthly PL'!J31</f>
        <v>5.7358816719166672</v>
      </c>
      <c r="J6" s="30">
        <v>-84.9529</v>
      </c>
      <c r="K6" s="30">
        <f>J6+'Monthly PL'!L31</f>
        <v>-87.004756953329647</v>
      </c>
      <c r="L6" s="30">
        <f>K6+'Monthly PL'!M31</f>
        <v>-87.05257340986104</v>
      </c>
      <c r="M6" s="30">
        <f>L6+'Monthly PL'!N31</f>
        <v>-89.331478601199066</v>
      </c>
      <c r="N6" s="30">
        <f>M6+'Monthly PL'!O31</f>
        <v>-88.468572656736086</v>
      </c>
      <c r="O6" s="30">
        <f>N6+'Monthly PL'!P31</f>
        <v>-90.223585116778267</v>
      </c>
      <c r="P6" s="30">
        <f>O6+'Monthly PL'!Q31</f>
        <v>-89.484825095338593</v>
      </c>
      <c r="Q6" s="30">
        <f>P6+'Monthly PL'!R31</f>
        <v>-92.174670870709875</v>
      </c>
      <c r="R6" s="30">
        <f>Q6+'Monthly PL'!S31</f>
        <v>-91.820573557277839</v>
      </c>
      <c r="S6" s="30">
        <f>R6+'Monthly PL'!T31+1.17</f>
        <v>-93.533343775325477</v>
      </c>
      <c r="T6" s="30">
        <f>S6+'Monthly PL'!U31</f>
        <v>-93.618399684344396</v>
      </c>
      <c r="U6" s="30">
        <f>T6+'Monthly PL'!V31</f>
        <v>-97.000879098443178</v>
      </c>
      <c r="V6" s="30">
        <v>-157.70464800604299</v>
      </c>
      <c r="W6" s="30">
        <f>V6+'Monthly PL'!X31</f>
        <v>-160.51245265570105</v>
      </c>
      <c r="X6" s="30">
        <f>W6+'Monthly PL'!Y31</f>
        <v>-160.37699405462462</v>
      </c>
      <c r="Y6" s="30">
        <f>X6+'Monthly PL'!Z31</f>
        <v>-163.23998490503311</v>
      </c>
      <c r="Z6" s="30">
        <f>Y6+'Monthly PL'!AA31</f>
        <v>-48.746988811677028</v>
      </c>
      <c r="AA6" s="30">
        <f>Z6+'Monthly PL'!AB31</f>
        <v>-51.292878000063602</v>
      </c>
      <c r="AB6" s="30">
        <f>AA6+'Monthly PL'!AC31</f>
        <v>-50.141066603691058</v>
      </c>
      <c r="AC6" s="30">
        <f>AB6+'Monthly PL'!AD31</f>
        <v>-52.449458945145757</v>
      </c>
      <c r="AD6" s="30">
        <f>AC6+'Monthly PL'!AE31</f>
        <v>-51.288264458413991</v>
      </c>
      <c r="AE6" s="30">
        <f>AD6+'Monthly PL'!AF31</f>
        <v>-53.754737304081878</v>
      </c>
      <c r="AF6" s="30">
        <f>AE6+'Monthly PL'!AG31</f>
        <v>-52.086371871316324</v>
      </c>
      <c r="AG6" s="30">
        <f>AF6+'Monthly PL'!AH31</f>
        <v>-51.315353559204432</v>
      </c>
      <c r="AH6" s="30">
        <f>AG6+'Monthly PL'!AI31</f>
        <v>-95.462218724170782</v>
      </c>
      <c r="AI6" s="30">
        <f>AH6+'Monthly PL'!AJ31</f>
        <v>-97.279290498728315</v>
      </c>
      <c r="AJ6" s="30">
        <f>AI6+'Monthly PL'!AK31</f>
        <v>-95.916075451846254</v>
      </c>
      <c r="AK6" s="30">
        <f>AJ6+'Monthly PL'!AL31</f>
        <v>-97.794233542559624</v>
      </c>
      <c r="AL6" s="30">
        <f>AK6+'Monthly PL'!AM31</f>
        <v>-95.876726138544754</v>
      </c>
      <c r="AM6" s="30">
        <f>AL6+'Monthly PL'!AN31</f>
        <v>-97.383055512834204</v>
      </c>
      <c r="AN6" s="30">
        <f>AM6+'Monthly PL'!AO31</f>
        <v>-95.997594071373541</v>
      </c>
      <c r="AO6" s="30">
        <f>AN6+'Monthly PL'!AP31</f>
        <v>-97.672247361294438</v>
      </c>
      <c r="AP6" s="30">
        <f>AO6+'Monthly PL'!AQ31</f>
        <v>-95.551313106218416</v>
      </c>
      <c r="AQ6" s="30">
        <f>AP6+'Monthly PL'!AR31</f>
        <v>-97.284851938467327</v>
      </c>
      <c r="AR6" s="30">
        <f>AQ6+'Monthly PL'!AS31</f>
        <v>-94.880552292334798</v>
      </c>
      <c r="AS6" s="30">
        <f>AR6+'Monthly PL'!AT31</f>
        <v>-96.404142753647662</v>
      </c>
      <c r="AT6" s="30">
        <f>AS6+'Monthly PL'!AU31</f>
        <v>-139.4972973060141</v>
      </c>
      <c r="AU6" s="30">
        <f>AT6+'Monthly PL'!AV31</f>
        <v>-140.31405249738248</v>
      </c>
      <c r="AV6" s="30">
        <f>AU6+'Monthly PL'!AW31</f>
        <v>-136.91565570799065</v>
      </c>
      <c r="AW6" s="30">
        <f>AV6+'Monthly PL'!AX31</f>
        <v>-137.80292655324345</v>
      </c>
      <c r="AX6" s="30">
        <f>AW6+'Monthly PL'!AY31</f>
        <v>-133.87825381991038</v>
      </c>
      <c r="AY6" s="30">
        <f>AX6+'Monthly PL'!AZ31</f>
        <v>-134.38109628537373</v>
      </c>
      <c r="AZ6" s="30">
        <f>AY6+'Monthly PL'!BA31</f>
        <v>-130.67189316145377</v>
      </c>
      <c r="BA6" s="30">
        <f>AZ6+'Monthly PL'!BB31</f>
        <v>-131.40467363688578</v>
      </c>
      <c r="BB6" s="30">
        <f>BA6+'Monthly PL'!BC31</f>
        <v>-127.44965899787431</v>
      </c>
      <c r="BC6" s="30">
        <f>BB6+'Monthly PL'!BD31</f>
        <v>-128.16940215407027</v>
      </c>
      <c r="BD6" s="30">
        <f>BC6+'Monthly PL'!BE31</f>
        <v>-123.91039974044149</v>
      </c>
      <c r="BE6" s="30">
        <f>BD6+'Monthly PL'!BF31</f>
        <v>-124.7211651963984</v>
      </c>
      <c r="BF6" s="30">
        <f>BE6+'Monthly PL'!BG31</f>
        <v>-166.06702921878573</v>
      </c>
      <c r="BG6" s="30">
        <f>BF6+'Monthly PL'!BH31</f>
        <v>-166.49522095824608</v>
      </c>
      <c r="BH6" s="30">
        <f>BG6+'Monthly PL'!BI31</f>
        <v>-162.34716321586203</v>
      </c>
      <c r="BI6" s="30">
        <f>BH6+'Monthly PL'!BJ31</f>
        <v>-162.85134779526152</v>
      </c>
      <c r="BJ6" s="30">
        <f>BI6+'Monthly PL'!BK31</f>
        <v>-157.93124494185651</v>
      </c>
      <c r="BK6" s="30">
        <f>BJ6+'Monthly PL'!BL31</f>
        <v>-157.7873560957002</v>
      </c>
      <c r="BL6" s="30">
        <f>BK6+'Monthly PL'!BM31</f>
        <v>-153.11385591403629</v>
      </c>
      <c r="BM6" s="30">
        <f>BL6+'Monthly PL'!BN31</f>
        <v>-153.31926729752331</v>
      </c>
      <c r="BN6" s="30">
        <f>BM6+'Monthly PL'!BO31</f>
        <v>-148.52986073623845</v>
      </c>
      <c r="BO6" s="30">
        <f>BN6+'Monthly PL'!BP31</f>
        <v>-148.71345349189517</v>
      </c>
      <c r="BP6" s="30">
        <f>BO6+'Monthly PL'!BQ31</f>
        <v>-143.62266816526463</v>
      </c>
      <c r="BQ6" s="30">
        <f>BP6+'Monthly PL'!BR31</f>
        <v>-146.0614457763231</v>
      </c>
      <c r="BR6" s="30">
        <f>BQ6+'Monthly PL'!BS31</f>
        <v>-186.81923888741852</v>
      </c>
      <c r="BS6" s="30">
        <f>BR6+'Monthly PL'!BT31</f>
        <v>-187.34102579240485</v>
      </c>
      <c r="BT6" s="30">
        <f>BS6+'Monthly PL'!BU31</f>
        <v>-182.93910806991272</v>
      </c>
      <c r="BU6" s="30">
        <f>BT6+'Monthly PL'!BV31</f>
        <v>-183.79217582168653</v>
      </c>
      <c r="BV6" s="30">
        <f>BU6+'Monthly PL'!BW31</f>
        <v>-178.86917247944132</v>
      </c>
      <c r="BW6" s="30">
        <f>BV6+'Monthly PL'!BX31</f>
        <v>-179.31612429069563</v>
      </c>
      <c r="BX6" s="30">
        <f>BW6+'Monthly PL'!BY31</f>
        <v>-174.655416302296</v>
      </c>
      <c r="BY6" s="30">
        <f>BX6+'Monthly PL'!BZ31</f>
        <v>-175.34795144951539</v>
      </c>
      <c r="BZ6" s="30">
        <f>BY6+'Monthly PL'!CA31</f>
        <v>-170.45694293373995</v>
      </c>
      <c r="CA6" s="30">
        <f>BZ6+'Monthly PL'!CB31</f>
        <v>-171.10212299809385</v>
      </c>
      <c r="CB6" s="30">
        <f>CA6+'Monthly PL'!CC31</f>
        <v>-165.72724031916474</v>
      </c>
      <c r="CC6" s="30">
        <f>CB6+'Monthly PL'!CD31</f>
        <v>-166.4636236593355</v>
      </c>
      <c r="CD6" s="30">
        <f>CC6+'Monthly PL'!CE31</f>
        <v>-206.72175185954987</v>
      </c>
      <c r="CE6" s="30">
        <f>CD6+'Monthly PL'!CF31</f>
        <v>-206.99759335845746</v>
      </c>
      <c r="CF6" s="30">
        <f>CE6+'Monthly PL'!CG31</f>
        <v>-201.68288084012548</v>
      </c>
      <c r="CG6" s="30">
        <f>CF6+'Monthly PL'!CH31</f>
        <v>-201.16656126933452</v>
      </c>
      <c r="CH6" s="30">
        <f>CG6+'Monthly PL'!CI31</f>
        <v>-194.46472503856592</v>
      </c>
      <c r="CI6" s="30">
        <f>CH6+'Monthly PL'!CJ31</f>
        <v>-193.51948699560447</v>
      </c>
      <c r="CJ6" s="30">
        <f>CI6+'Monthly PL'!CK31</f>
        <v>-187.0657888260464</v>
      </c>
      <c r="CK6" s="30">
        <f>CJ6+'Monthly PL'!CL31</f>
        <v>-186.35611779944807</v>
      </c>
      <c r="CL6" s="30">
        <f>CK6+'Monthly PL'!CM31</f>
        <v>-179.66890744785476</v>
      </c>
      <c r="CM6" s="30">
        <f>CL6+'Monthly PL'!CN31</f>
        <v>-178.84548616432755</v>
      </c>
      <c r="CN6" s="30">
        <f>CM6+'Monthly PL'!CO31</f>
        <v>-171.73997380381101</v>
      </c>
      <c r="CO6" s="30">
        <f>CN6+'Monthly PL'!CP31</f>
        <v>-170.95538393305722</v>
      </c>
      <c r="CP6" s="30">
        <f>CO6+'Monthly PL'!CQ31</f>
        <v>-209.91806831065071</v>
      </c>
      <c r="CQ6" s="30">
        <f>CP6+'Monthly PL'!CR31</f>
        <v>-208.78174264418803</v>
      </c>
      <c r="CR6" s="30">
        <f>CQ6+'Monthly PL'!CS31</f>
        <v>-201.4846139602555</v>
      </c>
      <c r="CS6" s="30">
        <f>CR6+'Monthly PL'!CT31</f>
        <v>-199.95737025701771</v>
      </c>
      <c r="CT6" s="30">
        <f>CS6+'Monthly PL'!CU31</f>
        <v>-191.970094393083</v>
      </c>
      <c r="CU6" s="30">
        <f>CT6+'Monthly PL'!CV31</f>
        <v>-190.08498877004942</v>
      </c>
      <c r="CV6" s="30">
        <f>CU6+'Monthly PL'!CW31</f>
        <v>-182.23260225615206</v>
      </c>
      <c r="CW6" s="30">
        <f>CV6+'Monthly PL'!CX31</f>
        <v>-182.23260225615206</v>
      </c>
      <c r="CX6" s="30">
        <f>CW6+'Monthly PL'!CY31</f>
        <v>-182.23260225615206</v>
      </c>
      <c r="CY6" s="30">
        <f>CX6+'Monthly PL'!CZ31</f>
        <v>-182.23260225615206</v>
      </c>
      <c r="CZ6" s="30">
        <f>CY6+'Monthly PL'!DA31</f>
        <v>-182.23260225615206</v>
      </c>
      <c r="DA6" s="30">
        <f>CZ6+'Monthly PL'!DB31</f>
        <v>-182.23260225615206</v>
      </c>
      <c r="DB6" s="30">
        <f>DA6+'Monthly PL'!DC31</f>
        <v>-182.23260225615206</v>
      </c>
    </row>
    <row r="7" spans="1:106">
      <c r="A7" t="s">
        <v>88</v>
      </c>
      <c r="B7" s="30">
        <v>153.13999999999999</v>
      </c>
      <c r="C7" s="30">
        <f>Debt!C15</f>
        <v>171.26</v>
      </c>
      <c r="D7" s="30">
        <f>Debt!D15</f>
        <v>171.26</v>
      </c>
      <c r="E7" s="30">
        <f>Debt!E15</f>
        <v>171.26</v>
      </c>
      <c r="F7" s="30">
        <f>Debt!F15</f>
        <v>171.26</v>
      </c>
      <c r="G7" s="30">
        <f>Debt!G15</f>
        <v>171.26</v>
      </c>
      <c r="H7" s="30">
        <f>Debt!H15</f>
        <v>171.26</v>
      </c>
      <c r="I7" s="30">
        <f>Debt!I15</f>
        <v>171.26</v>
      </c>
      <c r="J7" s="30">
        <f>Debt!J15</f>
        <v>171.26</v>
      </c>
      <c r="K7" s="30">
        <f>Debt!K15</f>
        <v>171.26</v>
      </c>
      <c r="L7" s="30">
        <f>Debt!L15</f>
        <v>171.26</v>
      </c>
      <c r="M7" s="30">
        <f>Debt!M15</f>
        <v>171.26</v>
      </c>
      <c r="N7" s="30">
        <f>Debt!N15</f>
        <v>171.26</v>
      </c>
      <c r="O7" s="30">
        <f>Debt!O15</f>
        <v>171.26</v>
      </c>
      <c r="P7" s="30">
        <f>Debt!P15</f>
        <v>171.26</v>
      </c>
      <c r="Q7" s="30">
        <f>Debt!Q15</f>
        <v>171.26</v>
      </c>
      <c r="R7" s="30">
        <f>Debt!R15</f>
        <v>171.26</v>
      </c>
      <c r="S7" s="30">
        <f>Debt!S15</f>
        <v>210.76</v>
      </c>
      <c r="T7" s="30">
        <f>Debt!T15</f>
        <v>210.76</v>
      </c>
      <c r="U7" s="30">
        <f>Debt!U15</f>
        <v>210.76</v>
      </c>
      <c r="V7" s="30">
        <f>Debt!V15</f>
        <v>208.26</v>
      </c>
      <c r="W7" s="30">
        <f>Debt!W15</f>
        <v>208.26</v>
      </c>
      <c r="X7" s="30">
        <f>Debt!X15</f>
        <v>208.26</v>
      </c>
      <c r="Y7" s="30">
        <f>Debt!Y15</f>
        <v>207.01</v>
      </c>
      <c r="Z7" s="30">
        <f>Debt!Z15</f>
        <v>93.154499999999985</v>
      </c>
      <c r="AA7" s="30">
        <f>Debt!AA15</f>
        <v>146.90449999999998</v>
      </c>
      <c r="AB7" s="30">
        <f>Debt!AB15</f>
        <v>146.90449999999998</v>
      </c>
      <c r="AC7" s="30">
        <f>Debt!AC15</f>
        <v>146.90449999999998</v>
      </c>
      <c r="AD7" s="30">
        <f>Debt!AD15</f>
        <v>146.90449999999998</v>
      </c>
      <c r="AE7" s="30">
        <f>Debt!AE15</f>
        <v>146.90449999999998</v>
      </c>
      <c r="AF7" s="30">
        <f>Debt!AF15</f>
        <v>146.90449999999998</v>
      </c>
      <c r="AG7" s="30">
        <f>Debt!AG15</f>
        <v>146.90449999999998</v>
      </c>
      <c r="AH7" s="30">
        <f>Debt!AH15</f>
        <v>146.90449999999998</v>
      </c>
      <c r="AI7" s="30">
        <f>Debt!AI15</f>
        <v>146.90449999999998</v>
      </c>
      <c r="AJ7" s="30">
        <f>Debt!AJ15</f>
        <v>146.90449999999998</v>
      </c>
      <c r="AK7" s="30">
        <f>Debt!AK15</f>
        <v>146.90449999999998</v>
      </c>
      <c r="AL7" s="30">
        <f>Debt!AL15</f>
        <v>146.90449999999998</v>
      </c>
      <c r="AM7" s="30">
        <f>Debt!AM15</f>
        <v>146.90449999999998</v>
      </c>
      <c r="AN7" s="30">
        <f>Debt!AN15</f>
        <v>146.90449999999998</v>
      </c>
      <c r="AO7" s="30">
        <f>Debt!AO15</f>
        <v>146.90449999999998</v>
      </c>
      <c r="AP7" s="30">
        <f>Debt!AP15</f>
        <v>146.90449999999998</v>
      </c>
      <c r="AQ7" s="30">
        <f>Debt!AQ15</f>
        <v>146.90449999999998</v>
      </c>
      <c r="AR7" s="30">
        <f>Debt!AR15</f>
        <v>146.90449999999998</v>
      </c>
      <c r="AS7" s="30">
        <f>Debt!AS15</f>
        <v>146.90449999999998</v>
      </c>
      <c r="AT7" s="30">
        <f>Debt!AT15</f>
        <v>145.43545499999999</v>
      </c>
      <c r="AU7" s="30">
        <f>Debt!AU15</f>
        <v>145.43545499999999</v>
      </c>
      <c r="AV7" s="30">
        <f>Debt!AV15</f>
        <v>145.43545499999999</v>
      </c>
      <c r="AW7" s="30">
        <f>Debt!AW15</f>
        <v>141.02831999999998</v>
      </c>
      <c r="AX7" s="30">
        <f>Debt!AX15</f>
        <v>141.02831999999998</v>
      </c>
      <c r="AY7" s="30">
        <f>Debt!AY15</f>
        <v>141.02831999999998</v>
      </c>
      <c r="AZ7" s="30">
        <f>Debt!AZ15</f>
        <v>136.62118499999997</v>
      </c>
      <c r="BA7" s="30">
        <f>Debt!BA15</f>
        <v>136.62118499999997</v>
      </c>
      <c r="BB7" s="30">
        <f>Debt!BB15</f>
        <v>136.62118499999997</v>
      </c>
      <c r="BC7" s="30">
        <f>Debt!BC15</f>
        <v>132.21404999999996</v>
      </c>
      <c r="BD7" s="30">
        <f>Debt!BD15</f>
        <v>132.21404999999996</v>
      </c>
      <c r="BE7" s="30">
        <f>Debt!BE15</f>
        <v>132.21404999999996</v>
      </c>
      <c r="BF7" s="30">
        <f>Debt!BF15</f>
        <v>126.33786999999995</v>
      </c>
      <c r="BG7" s="30">
        <f>Debt!BG15</f>
        <v>126.33786999999995</v>
      </c>
      <c r="BH7" s="30">
        <f>Debt!BH15</f>
        <v>126.33786999999995</v>
      </c>
      <c r="BI7" s="30">
        <f>Debt!BI15</f>
        <v>120.46168999999995</v>
      </c>
      <c r="BJ7" s="30">
        <f>Debt!BJ15</f>
        <v>120.46168999999995</v>
      </c>
      <c r="BK7" s="30">
        <f>Debt!BK15</f>
        <v>120.46168999999995</v>
      </c>
      <c r="BL7" s="30">
        <f>Debt!BL15</f>
        <v>114.58550999999994</v>
      </c>
      <c r="BM7" s="30">
        <f>Debt!BM15</f>
        <v>114.58550999999994</v>
      </c>
      <c r="BN7" s="30">
        <f>Debt!BN15</f>
        <v>114.58550999999994</v>
      </c>
      <c r="BO7" s="30">
        <f>Debt!BO15</f>
        <v>108.70932999999994</v>
      </c>
      <c r="BP7" s="30">
        <f>Debt!BP15</f>
        <v>108.70932999999994</v>
      </c>
      <c r="BQ7" s="30">
        <f>Debt!BQ15</f>
        <v>108.70932999999994</v>
      </c>
      <c r="BR7" s="30">
        <f>Debt!BR15</f>
        <v>101.73136624999994</v>
      </c>
      <c r="BS7" s="30">
        <f>Debt!BS15</f>
        <v>101.73136624999994</v>
      </c>
      <c r="BT7" s="30">
        <f>Debt!BT15</f>
        <v>101.73136624999994</v>
      </c>
      <c r="BU7" s="30">
        <f>Debt!BU15</f>
        <v>94.753402499999936</v>
      </c>
      <c r="BV7" s="30">
        <f>Debt!BV15</f>
        <v>94.753402499999936</v>
      </c>
      <c r="BW7" s="30">
        <f>Debt!BW15</f>
        <v>94.753402499999936</v>
      </c>
      <c r="BX7" s="30">
        <f>Debt!BX15</f>
        <v>87.775438749999935</v>
      </c>
      <c r="BY7" s="30">
        <f>Debt!BY15</f>
        <v>87.775438749999935</v>
      </c>
      <c r="BZ7" s="30">
        <f>Debt!BZ15</f>
        <v>87.775438749999935</v>
      </c>
      <c r="CA7" s="30">
        <f>Debt!CA15</f>
        <v>80.797474999999935</v>
      </c>
      <c r="CB7" s="30">
        <f>Debt!CB15</f>
        <v>80.797474999999935</v>
      </c>
      <c r="CC7" s="30">
        <f>Debt!CC15</f>
        <v>80.797474999999935</v>
      </c>
      <c r="CD7" s="30">
        <f>Debt!CD15</f>
        <v>73.819511249999934</v>
      </c>
      <c r="CE7" s="30">
        <f>Debt!CE15</f>
        <v>73.819511249999934</v>
      </c>
      <c r="CF7" s="30">
        <f>Debt!CF15</f>
        <v>73.819511249999934</v>
      </c>
      <c r="CG7" s="30">
        <f>Debt!CG15</f>
        <v>64.270718749999929</v>
      </c>
      <c r="CH7" s="30">
        <f>Debt!CH15</f>
        <v>64.270718749999929</v>
      </c>
      <c r="CI7" s="30">
        <f>Debt!CI15</f>
        <v>64.270718749999929</v>
      </c>
      <c r="CJ7" s="30">
        <f>Debt!CJ15</f>
        <v>54.721926249999932</v>
      </c>
      <c r="CK7" s="30">
        <f>Debt!CK15</f>
        <v>54.721926249999932</v>
      </c>
      <c r="CL7" s="30">
        <f>Debt!CL15</f>
        <v>54.721926249999932</v>
      </c>
      <c r="CM7" s="30">
        <f>Debt!CM15</f>
        <v>41.500521249999935</v>
      </c>
      <c r="CN7" s="30">
        <f>Debt!CN15</f>
        <v>41.500521249999935</v>
      </c>
      <c r="CO7" s="30">
        <f>Debt!CO15</f>
        <v>41.500521249999935</v>
      </c>
      <c r="CP7" s="30">
        <f>Debt!CP15</f>
        <v>28.279116249999937</v>
      </c>
      <c r="CQ7" s="30">
        <f>Debt!CQ15</f>
        <v>28.279116249999937</v>
      </c>
      <c r="CR7" s="30">
        <f>Debt!CR15</f>
        <v>28.279116249999937</v>
      </c>
      <c r="CS7" s="30">
        <f>Debt!CS15</f>
        <v>14.32318874999994</v>
      </c>
      <c r="CT7" s="30">
        <f>Debt!CT15</f>
        <v>14.32318874999994</v>
      </c>
      <c r="CU7" s="30">
        <f>Debt!CU15</f>
        <v>14.32318874999994</v>
      </c>
      <c r="CV7" s="30">
        <f>Debt!CV15</f>
        <v>-5.8619775700208265E-14</v>
      </c>
      <c r="CW7" s="30">
        <f>Debt!CW15</f>
        <v>0</v>
      </c>
      <c r="CX7" s="30">
        <f>Debt!CX15</f>
        <v>0</v>
      </c>
      <c r="CY7" s="30">
        <f>Debt!CY15</f>
        <v>0</v>
      </c>
      <c r="CZ7" s="30">
        <f>Debt!CZ15</f>
        <v>0</v>
      </c>
      <c r="DA7" s="30">
        <f>Debt!DA15</f>
        <v>0</v>
      </c>
      <c r="DB7" s="30">
        <f>Debt!DB15</f>
        <v>0</v>
      </c>
    </row>
    <row r="8" spans="1:106">
      <c r="A8" t="s">
        <v>89</v>
      </c>
      <c r="B8" s="30">
        <v>32</v>
      </c>
      <c r="C8" s="11">
        <f t="shared" ref="C8:J8" si="2">B8</f>
        <v>32</v>
      </c>
      <c r="D8" s="11">
        <f t="shared" si="2"/>
        <v>32</v>
      </c>
      <c r="E8" s="11">
        <f t="shared" si="2"/>
        <v>32</v>
      </c>
      <c r="F8" s="11">
        <f t="shared" si="2"/>
        <v>32</v>
      </c>
      <c r="G8" s="11">
        <f t="shared" si="2"/>
        <v>32</v>
      </c>
      <c r="H8" s="11">
        <f t="shared" si="2"/>
        <v>32</v>
      </c>
      <c r="I8" s="11">
        <f t="shared" si="2"/>
        <v>32</v>
      </c>
      <c r="J8" s="11">
        <f t="shared" si="2"/>
        <v>32</v>
      </c>
      <c r="K8" s="11">
        <f>J8-'Monthly CF'!J28</f>
        <v>32</v>
      </c>
      <c r="L8" s="11">
        <f>K8-'Monthly CF'!K28</f>
        <v>32</v>
      </c>
      <c r="M8" s="11">
        <f>L8-'Monthly CF'!L28</f>
        <v>32</v>
      </c>
      <c r="N8" s="11">
        <f>M8-'Monthly CF'!M28</f>
        <v>32</v>
      </c>
      <c r="O8" s="11">
        <f>N8-'Monthly CF'!N28</f>
        <v>32</v>
      </c>
      <c r="P8" s="11">
        <f>O8-'Monthly CF'!O28</f>
        <v>32</v>
      </c>
      <c r="Q8" s="11">
        <f>P8-'Monthly CF'!P28</f>
        <v>32</v>
      </c>
      <c r="R8" s="11">
        <f>Q8-'Monthly CF'!Q28</f>
        <v>32</v>
      </c>
      <c r="S8" s="11">
        <f>R8-'Monthly CF'!R28</f>
        <v>32</v>
      </c>
      <c r="T8" s="11">
        <f>S8-'Monthly CF'!S28</f>
        <v>32</v>
      </c>
      <c r="U8" s="11">
        <f>T8-'Monthly CF'!T28</f>
        <v>32</v>
      </c>
      <c r="V8" s="11">
        <f>U8-'Monthly CF'!U28</f>
        <v>32</v>
      </c>
      <c r="W8" s="11">
        <f>V8-'Monthly CF'!V28</f>
        <v>32</v>
      </c>
      <c r="X8" s="11">
        <f>W8-'Monthly CF'!W28</f>
        <v>32</v>
      </c>
      <c r="Y8" s="11">
        <f>X8-'Monthly CF'!X28</f>
        <v>32</v>
      </c>
      <c r="Z8" s="11">
        <f>Y8-'Monthly CF'!Y28</f>
        <v>32</v>
      </c>
      <c r="AA8" s="11">
        <f>Z8-'Monthly CF'!Z28</f>
        <v>32</v>
      </c>
      <c r="AB8" s="11">
        <f>AA8-'Monthly CF'!AA28-19</f>
        <v>13</v>
      </c>
      <c r="AC8" s="11">
        <f>AB8-'Monthly CF'!AB28</f>
        <v>13</v>
      </c>
      <c r="AD8" s="11">
        <f>AC8-'Monthly CF'!AC28</f>
        <v>13</v>
      </c>
      <c r="AE8" s="11">
        <f>AD8-'Monthly CF'!AD28</f>
        <v>13</v>
      </c>
      <c r="AF8" s="11">
        <f>AE8-'Monthly CF'!AE28</f>
        <v>13</v>
      </c>
      <c r="AG8" s="11">
        <f>AF8-'Monthly CF'!AF28</f>
        <v>13</v>
      </c>
      <c r="AH8" s="11">
        <f>AG8-'Monthly CF'!AG28</f>
        <v>13</v>
      </c>
      <c r="AI8" s="11">
        <f>AH8-'Monthly CF'!AH28</f>
        <v>13</v>
      </c>
      <c r="AJ8" s="11">
        <f>AI8-'Monthly CF'!AI28</f>
        <v>13</v>
      </c>
      <c r="AK8" s="11">
        <f>AJ8-'Monthly CF'!AJ28</f>
        <v>13</v>
      </c>
      <c r="AL8" s="11">
        <f>AK8-'Monthly CF'!AK28</f>
        <v>13</v>
      </c>
      <c r="AM8" s="11">
        <f>AL8-'Monthly CF'!AL28</f>
        <v>13</v>
      </c>
      <c r="AN8" s="11">
        <f>AM8-'Monthly CF'!AM28</f>
        <v>13</v>
      </c>
      <c r="AO8" s="11">
        <f>AN8-'Monthly CF'!AN28</f>
        <v>13</v>
      </c>
      <c r="AP8" s="11">
        <f>AO8-'Monthly CF'!AO28</f>
        <v>13</v>
      </c>
      <c r="AQ8" s="11">
        <f>AP8-'Monthly CF'!AP28</f>
        <v>13</v>
      </c>
      <c r="AR8" s="11">
        <f>AQ8-'Monthly CF'!AQ28</f>
        <v>13</v>
      </c>
      <c r="AS8" s="11">
        <f>AR8-'Monthly CF'!AR28</f>
        <v>13</v>
      </c>
      <c r="AT8" s="11">
        <f>AS8-'Monthly CF'!AS28</f>
        <v>13</v>
      </c>
      <c r="AU8" s="11">
        <f>AT8-'Monthly CF'!AT28</f>
        <v>13</v>
      </c>
      <c r="AV8" s="11">
        <f>AU8-'Monthly CF'!AU28</f>
        <v>13</v>
      </c>
      <c r="AW8" s="11">
        <f>AV8-'Monthly CF'!AV28</f>
        <v>13</v>
      </c>
      <c r="AX8" s="11">
        <f>AW8-'Monthly CF'!AW28</f>
        <v>13</v>
      </c>
      <c r="AY8" s="11">
        <f>AX8-'Monthly CF'!AX28</f>
        <v>13</v>
      </c>
      <c r="AZ8" s="11">
        <f>AY8-'Monthly CF'!AY28</f>
        <v>13</v>
      </c>
      <c r="BA8" s="11">
        <f>AZ8-'Monthly CF'!AZ28</f>
        <v>13</v>
      </c>
      <c r="BB8" s="11">
        <f>BA8-'Monthly CF'!BA28</f>
        <v>13</v>
      </c>
      <c r="BC8" s="11">
        <f>BB8-'Monthly CF'!BB28</f>
        <v>13</v>
      </c>
      <c r="BD8" s="11">
        <f>BC8-'Monthly CF'!BC28</f>
        <v>13</v>
      </c>
      <c r="BE8" s="11">
        <f>BD8-'Monthly CF'!BD28</f>
        <v>13</v>
      </c>
      <c r="BF8" s="11">
        <f>BE8-'Monthly CF'!BE28</f>
        <v>13</v>
      </c>
      <c r="BG8" s="11">
        <f>BF8-'Monthly CF'!BF28</f>
        <v>13</v>
      </c>
      <c r="BH8" s="11">
        <f>BG8-'Monthly CF'!BG28</f>
        <v>13</v>
      </c>
      <c r="BI8" s="11">
        <f>BH8-'Monthly CF'!BH28</f>
        <v>13</v>
      </c>
      <c r="BJ8" s="11">
        <f>BI8-'Monthly CF'!BI28</f>
        <v>13</v>
      </c>
      <c r="BK8" s="11">
        <f>BJ8-'Monthly CF'!BJ28</f>
        <v>13</v>
      </c>
      <c r="BL8" s="11">
        <f>BK8-'Monthly CF'!BK28</f>
        <v>13</v>
      </c>
      <c r="BM8" s="11">
        <f>BL8-'Monthly CF'!BL28</f>
        <v>13</v>
      </c>
      <c r="BN8" s="11">
        <f>BM8-'Monthly CF'!BM28</f>
        <v>13</v>
      </c>
      <c r="BO8" s="11">
        <f>BN8-'Monthly CF'!BN28</f>
        <v>13</v>
      </c>
      <c r="BP8" s="11">
        <f>BO8-'Monthly CF'!BO28</f>
        <v>13</v>
      </c>
      <c r="BQ8" s="11">
        <f>BP8-'Monthly CF'!BP28</f>
        <v>13</v>
      </c>
      <c r="BR8" s="11">
        <f>BQ8-'Monthly CF'!BQ28</f>
        <v>13</v>
      </c>
      <c r="BS8" s="11">
        <f>BR8-'Monthly CF'!BR28</f>
        <v>13</v>
      </c>
      <c r="BT8" s="11">
        <f>BS8-'Monthly CF'!BS28</f>
        <v>13</v>
      </c>
      <c r="BU8" s="11">
        <f>BT8-'Monthly CF'!BT28</f>
        <v>13</v>
      </c>
      <c r="BV8" s="11">
        <f>BU8-'Monthly CF'!BU28</f>
        <v>13</v>
      </c>
      <c r="BW8" s="11">
        <f>BV8-'Monthly CF'!BV28</f>
        <v>13</v>
      </c>
      <c r="BX8" s="11">
        <f>BW8-'Monthly CF'!BW28</f>
        <v>13</v>
      </c>
      <c r="BY8" s="11">
        <f>BX8-'Monthly CF'!BX28</f>
        <v>13</v>
      </c>
      <c r="BZ8" s="11">
        <f>BY8-'Monthly CF'!BY28</f>
        <v>13</v>
      </c>
      <c r="CA8" s="11">
        <f>BZ8-'Monthly CF'!BZ28</f>
        <v>13</v>
      </c>
      <c r="CB8" s="11">
        <f>CA8-'Monthly CF'!CA28</f>
        <v>13</v>
      </c>
      <c r="CC8" s="11">
        <f>CB8-'Monthly CF'!CB28</f>
        <v>13</v>
      </c>
      <c r="CD8" s="11">
        <f>CC8-'Monthly CF'!CC28</f>
        <v>13</v>
      </c>
      <c r="CE8" s="11">
        <f>CD8-'Monthly CF'!CD28</f>
        <v>13</v>
      </c>
      <c r="CF8" s="11">
        <f>CE8-'Monthly CF'!CE28</f>
        <v>13</v>
      </c>
      <c r="CG8" s="11">
        <f>CF8-'Monthly CF'!CF28</f>
        <v>13</v>
      </c>
      <c r="CH8" s="11">
        <f>CG8-'Monthly CF'!CG28</f>
        <v>13</v>
      </c>
      <c r="CI8" s="11">
        <f>CH8-'Monthly CF'!CH28</f>
        <v>13</v>
      </c>
      <c r="CJ8" s="11">
        <f>CI8-'Monthly CF'!CI28</f>
        <v>13</v>
      </c>
      <c r="CK8" s="11">
        <f>CJ8-'Monthly CF'!CJ28</f>
        <v>13</v>
      </c>
      <c r="CL8" s="11">
        <f>CK8-'Monthly CF'!CK28</f>
        <v>13</v>
      </c>
      <c r="CM8" s="11">
        <f>CL8-'Monthly CF'!CL28</f>
        <v>13</v>
      </c>
      <c r="CN8" s="11">
        <f>CM8-'Monthly CF'!CM28</f>
        <v>13</v>
      </c>
      <c r="CO8" s="11">
        <f>CN8-'Monthly CF'!CN28</f>
        <v>13</v>
      </c>
      <c r="CP8" s="11">
        <f>CO8-'Monthly CF'!CO28</f>
        <v>13</v>
      </c>
      <c r="CQ8" s="11">
        <f>CP8-'Monthly CF'!CP28</f>
        <v>13</v>
      </c>
      <c r="CR8" s="11">
        <f>CQ8-'Monthly CF'!CQ28</f>
        <v>13</v>
      </c>
      <c r="CS8" s="11">
        <f>CR8-'Monthly CF'!CR28</f>
        <v>13</v>
      </c>
      <c r="CT8" s="11">
        <f>CS8-'Monthly CF'!CS28</f>
        <v>13</v>
      </c>
      <c r="CU8" s="11">
        <f>CT8-'Monthly CF'!CT28</f>
        <v>13</v>
      </c>
      <c r="CV8" s="11">
        <f>CU8-'Monthly CF'!CU28</f>
        <v>13</v>
      </c>
      <c r="CW8" s="11">
        <f>CV8-'Monthly CF'!CV28</f>
        <v>13</v>
      </c>
      <c r="CX8" s="11">
        <f>CW8-'Monthly CF'!CW28</f>
        <v>13</v>
      </c>
      <c r="CY8" s="11">
        <f>CX8-'Monthly CF'!CX28</f>
        <v>13</v>
      </c>
      <c r="CZ8" s="11">
        <f>CY8-'Monthly CF'!CY28</f>
        <v>13</v>
      </c>
      <c r="DA8" s="11">
        <f>CZ8-'Monthly CF'!CZ28</f>
        <v>13</v>
      </c>
      <c r="DB8" s="11">
        <f>DA8-'Monthly CF'!DA28</f>
        <v>13</v>
      </c>
    </row>
    <row r="9" spans="1:106">
      <c r="A9" t="s">
        <v>22</v>
      </c>
      <c r="B9" s="30"/>
      <c r="C9" s="11"/>
      <c r="D9" s="11"/>
      <c r="E9" s="11"/>
      <c r="F9" s="11"/>
      <c r="G9" s="11"/>
      <c r="H9" s="11"/>
      <c r="I9" s="11"/>
      <c r="J9" s="11">
        <v>2</v>
      </c>
      <c r="K9" s="11">
        <v>3</v>
      </c>
      <c r="L9" s="11">
        <v>3</v>
      </c>
      <c r="M9" s="11">
        <v>3</v>
      </c>
      <c r="N9" s="11">
        <v>3</v>
      </c>
      <c r="O9" s="11">
        <v>3</v>
      </c>
      <c r="P9" s="11">
        <v>3</v>
      </c>
      <c r="Q9" s="11">
        <v>3</v>
      </c>
      <c r="R9" s="11">
        <v>3</v>
      </c>
      <c r="S9" s="11">
        <v>3</v>
      </c>
      <c r="T9" s="11">
        <f>S9-'Monthly CF'!S32</f>
        <v>3</v>
      </c>
      <c r="U9" s="11">
        <f>T9-'Monthly CF'!T32</f>
        <v>3</v>
      </c>
      <c r="V9" s="11">
        <f>U9-'Monthly CF'!U32</f>
        <v>3</v>
      </c>
      <c r="W9" s="11">
        <f>V9-'Monthly CF'!V32</f>
        <v>3</v>
      </c>
      <c r="X9" s="11">
        <f>W9-'Monthly CF'!W32</f>
        <v>3</v>
      </c>
      <c r="Y9" s="11">
        <f>X9-'Monthly CF'!X32</f>
        <v>3</v>
      </c>
      <c r="Z9" s="11">
        <f>Y9-'Monthly CF'!Y32</f>
        <v>3</v>
      </c>
      <c r="AA9" s="11">
        <f>Z9-'Monthly CF'!Z32</f>
        <v>3</v>
      </c>
      <c r="AB9" s="11">
        <f>AA9-'Monthly CF'!AA32</f>
        <v>3</v>
      </c>
      <c r="AC9" s="11">
        <f>AB9-'Monthly CF'!AB32</f>
        <v>3</v>
      </c>
      <c r="AD9" s="11">
        <f>AC9-'Monthly CF'!AC32</f>
        <v>3</v>
      </c>
      <c r="AE9" s="11">
        <f>AD9-'Monthly CF'!AD32</f>
        <v>3</v>
      </c>
      <c r="AF9" s="11">
        <f>AE9-'Monthly CF'!AE32</f>
        <v>3</v>
      </c>
      <c r="AG9" s="11">
        <f>AF9-'Monthly CF'!AF32</f>
        <v>3</v>
      </c>
      <c r="AH9" s="11">
        <f>AG9-'Monthly CF'!AG32</f>
        <v>0</v>
      </c>
      <c r="AI9" s="11">
        <f>AH9-'Monthly CF'!AH32</f>
        <v>0</v>
      </c>
      <c r="AJ9" s="11">
        <f>AI9-'Monthly CF'!AI32</f>
        <v>0</v>
      </c>
      <c r="AK9" s="11">
        <f>AJ9-'Monthly CF'!AJ32</f>
        <v>0</v>
      </c>
      <c r="AL9" s="11">
        <f>AK9-'Monthly CF'!AK32</f>
        <v>0</v>
      </c>
      <c r="AM9" s="11">
        <f>AL9-'Monthly CF'!AL32</f>
        <v>0</v>
      </c>
      <c r="AN9" s="11">
        <f>AM9-'Monthly CF'!AM32</f>
        <v>0</v>
      </c>
      <c r="AO9" s="11">
        <f>AN9-'Monthly CF'!AN32</f>
        <v>0</v>
      </c>
      <c r="AP9" s="11">
        <f>AO9-'Monthly CF'!AO32</f>
        <v>0</v>
      </c>
      <c r="AQ9" s="11">
        <f>AP9-'Monthly CF'!AP32</f>
        <v>0</v>
      </c>
      <c r="AR9" s="11">
        <f>AQ9-'Monthly CF'!AQ32</f>
        <v>0</v>
      </c>
      <c r="AS9" s="11">
        <f>AR9-'Monthly CF'!AR32</f>
        <v>0</v>
      </c>
      <c r="AT9" s="11">
        <f>AS9-'Monthly CF'!AS32</f>
        <v>0</v>
      </c>
      <c r="AU9" s="11">
        <f>AT9-'Monthly CF'!AT32</f>
        <v>0</v>
      </c>
      <c r="AV9" s="11">
        <f>AU9-'Monthly CF'!AU32</f>
        <v>0</v>
      </c>
      <c r="AW9" s="11">
        <f>AV9-'Monthly CF'!AV32</f>
        <v>0</v>
      </c>
      <c r="AX9" s="11">
        <f>AW9-'Monthly CF'!AW32</f>
        <v>0</v>
      </c>
      <c r="AY9" s="11">
        <f>AX9-'Monthly CF'!AX32</f>
        <v>0</v>
      </c>
      <c r="AZ9" s="11">
        <f>AY9-'Monthly CF'!AY32</f>
        <v>0</v>
      </c>
      <c r="BA9" s="11">
        <f>AZ9-'Monthly CF'!AZ32</f>
        <v>0</v>
      </c>
      <c r="BB9" s="11">
        <f>BA9-'Monthly CF'!BA32</f>
        <v>0</v>
      </c>
      <c r="BC9" s="11">
        <f>BB9-'Monthly CF'!BB32</f>
        <v>0</v>
      </c>
      <c r="BD9" s="11">
        <f>BC9-'Monthly CF'!BC32</f>
        <v>0</v>
      </c>
      <c r="BE9" s="11">
        <f>BD9-'Monthly CF'!BD32</f>
        <v>0</v>
      </c>
      <c r="BF9" s="11">
        <f>BE9-'Monthly CF'!BE32</f>
        <v>0</v>
      </c>
      <c r="BG9" s="11">
        <f>BF9-'Monthly CF'!BF32</f>
        <v>0</v>
      </c>
      <c r="BH9" s="11">
        <f>BG9-'Monthly CF'!BG32</f>
        <v>0</v>
      </c>
      <c r="BI9" s="11">
        <f>BH9-'Monthly CF'!BH32</f>
        <v>0</v>
      </c>
      <c r="BJ9" s="11">
        <f>BI9-'Monthly CF'!BI32</f>
        <v>0</v>
      </c>
      <c r="BK9" s="11">
        <f>BJ9-'Monthly CF'!BJ32</f>
        <v>0</v>
      </c>
      <c r="BL9" s="11">
        <f>BK9-'Monthly CF'!BK32</f>
        <v>0</v>
      </c>
      <c r="BM9" s="11">
        <f>BL9-'Monthly CF'!BL32</f>
        <v>0</v>
      </c>
      <c r="BN9" s="11">
        <f>BM9-'Monthly CF'!BM32</f>
        <v>0</v>
      </c>
      <c r="BO9" s="11">
        <f>BN9-'Monthly CF'!BN32</f>
        <v>0</v>
      </c>
      <c r="BP9" s="11">
        <f>BO9-'Monthly CF'!BO32</f>
        <v>0</v>
      </c>
      <c r="BQ9" s="11">
        <f>BP9-'Monthly CF'!BP32</f>
        <v>0</v>
      </c>
      <c r="BR9" s="11">
        <f>BQ9-'Monthly CF'!BQ32</f>
        <v>0</v>
      </c>
      <c r="BS9" s="11">
        <f>BR9-'Monthly CF'!BR32</f>
        <v>0</v>
      </c>
      <c r="BT9" s="11">
        <f>BS9-'Monthly CF'!BS32</f>
        <v>0</v>
      </c>
      <c r="BU9" s="11">
        <f>BT9-'Monthly CF'!BT32</f>
        <v>0</v>
      </c>
      <c r="BV9" s="11">
        <f>BU9-'Monthly CF'!BU32</f>
        <v>0</v>
      </c>
      <c r="BW9" s="11">
        <f>BV9-'Monthly CF'!BV32</f>
        <v>0</v>
      </c>
      <c r="BX9" s="11">
        <f>BW9-'Monthly CF'!BW32</f>
        <v>0</v>
      </c>
      <c r="BY9" s="11">
        <f>BX9-'Monthly CF'!BX32</f>
        <v>0</v>
      </c>
      <c r="BZ9" s="11">
        <f>BY9-'Monthly CF'!BY32</f>
        <v>0</v>
      </c>
      <c r="CA9" s="11">
        <f>BZ9-'Monthly CF'!BZ32</f>
        <v>0</v>
      </c>
      <c r="CB9" s="11">
        <f>CA9-'Monthly CF'!CA32</f>
        <v>0</v>
      </c>
      <c r="CC9" s="11">
        <f>CB9-'Monthly CF'!CB32</f>
        <v>0</v>
      </c>
      <c r="CD9" s="11">
        <f>CC9-'Monthly CF'!CC32</f>
        <v>0</v>
      </c>
      <c r="CE9" s="11">
        <f>CD9-'Monthly CF'!CD32</f>
        <v>0</v>
      </c>
      <c r="CF9" s="11">
        <f>CE9-'Monthly CF'!CE32</f>
        <v>0</v>
      </c>
      <c r="CG9" s="11">
        <f>CF9-'Monthly CF'!CF32</f>
        <v>0</v>
      </c>
      <c r="CH9" s="11">
        <f>CG9-'Monthly CF'!CG32</f>
        <v>0</v>
      </c>
      <c r="CI9" s="11">
        <f>CH9-'Monthly CF'!CH32</f>
        <v>0</v>
      </c>
      <c r="CJ9" s="11">
        <f>CI9-'Monthly CF'!CI32</f>
        <v>0</v>
      </c>
      <c r="CK9" s="11">
        <f>CJ9-'Monthly CF'!CJ32</f>
        <v>0</v>
      </c>
      <c r="CL9" s="11">
        <f>CK9-'Monthly CF'!CK32</f>
        <v>0</v>
      </c>
      <c r="CM9" s="11">
        <f>CL9-'Monthly CF'!CL32</f>
        <v>0</v>
      </c>
      <c r="CN9" s="11">
        <f>CM9-'Monthly CF'!CM32</f>
        <v>0</v>
      </c>
      <c r="CO9" s="11">
        <f>CN9-'Monthly CF'!CN32</f>
        <v>0</v>
      </c>
      <c r="CP9" s="11">
        <f>CO9-'Monthly CF'!CO32</f>
        <v>0</v>
      </c>
      <c r="CQ9" s="11">
        <f>CP9-'Monthly CF'!CP32</f>
        <v>0</v>
      </c>
      <c r="CR9" s="11">
        <f>CQ9-'Monthly CF'!CQ32</f>
        <v>0</v>
      </c>
      <c r="CS9" s="11">
        <f>CR9-'Monthly CF'!CR32</f>
        <v>0</v>
      </c>
      <c r="CT9" s="11">
        <f>CS9-'Monthly CF'!CS32</f>
        <v>0</v>
      </c>
      <c r="CU9" s="11">
        <f>CT9-'Monthly CF'!CT32</f>
        <v>0</v>
      </c>
      <c r="CV9" s="11">
        <f>CU9-'Monthly CF'!CU32</f>
        <v>0</v>
      </c>
      <c r="CW9" s="11">
        <f>CV9-'Monthly CF'!CV32</f>
        <v>0</v>
      </c>
      <c r="CX9" s="11">
        <f>CW9-'Monthly CF'!CW32</f>
        <v>0</v>
      </c>
      <c r="CY9" s="11">
        <f>CX9-'Monthly CF'!CX32</f>
        <v>0</v>
      </c>
      <c r="CZ9" s="11">
        <f>CY9-'Monthly CF'!CY32</f>
        <v>0</v>
      </c>
      <c r="DA9" s="11">
        <f>CZ9-'Monthly CF'!CZ32</f>
        <v>0</v>
      </c>
      <c r="DB9" s="11">
        <f>DA9-'Monthly CF'!DA32</f>
        <v>0</v>
      </c>
    </row>
    <row r="10" spans="1:106">
      <c r="A10" t="s">
        <v>90</v>
      </c>
      <c r="B10" s="30">
        <v>30</v>
      </c>
      <c r="C10" s="11">
        <f t="shared" ref="C10:R10" si="3">B10</f>
        <v>30</v>
      </c>
      <c r="D10" s="11">
        <f t="shared" si="3"/>
        <v>30</v>
      </c>
      <c r="E10" s="11">
        <f t="shared" si="3"/>
        <v>30</v>
      </c>
      <c r="F10" s="11">
        <f t="shared" si="3"/>
        <v>30</v>
      </c>
      <c r="G10" s="11">
        <f t="shared" si="3"/>
        <v>30</v>
      </c>
      <c r="H10" s="11">
        <f t="shared" si="3"/>
        <v>30</v>
      </c>
      <c r="I10" s="11">
        <f t="shared" si="3"/>
        <v>30</v>
      </c>
      <c r="J10" s="11">
        <f t="shared" si="3"/>
        <v>30</v>
      </c>
      <c r="K10" s="11">
        <f t="shared" si="3"/>
        <v>30</v>
      </c>
      <c r="L10" s="11">
        <f t="shared" si="3"/>
        <v>30</v>
      </c>
      <c r="M10" s="11">
        <f t="shared" si="3"/>
        <v>30</v>
      </c>
      <c r="N10" s="11">
        <f t="shared" si="3"/>
        <v>30</v>
      </c>
      <c r="O10" s="11">
        <f t="shared" si="3"/>
        <v>30</v>
      </c>
      <c r="P10" s="11">
        <f t="shared" si="3"/>
        <v>30</v>
      </c>
      <c r="Q10" s="11">
        <f t="shared" si="3"/>
        <v>30</v>
      </c>
      <c r="R10" s="11">
        <f t="shared" si="3"/>
        <v>30</v>
      </c>
      <c r="S10" s="11">
        <v>0</v>
      </c>
      <c r="T10" s="11">
        <f>S10</f>
        <v>0</v>
      </c>
      <c r="U10" s="11">
        <f>T10</f>
        <v>0</v>
      </c>
      <c r="V10" s="11">
        <f>U10</f>
        <v>0</v>
      </c>
      <c r="W10" s="11">
        <f>V10</f>
        <v>0</v>
      </c>
      <c r="X10" s="11">
        <f>W10</f>
        <v>0</v>
      </c>
      <c r="Y10" s="11">
        <v>0</v>
      </c>
      <c r="Z10" s="11">
        <v>0</v>
      </c>
      <c r="AA10" s="11">
        <v>0</v>
      </c>
      <c r="AB10" s="11">
        <v>0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0</v>
      </c>
      <c r="AJ10" s="11">
        <v>0</v>
      </c>
      <c r="AK10" s="11">
        <v>0</v>
      </c>
      <c r="AL10" s="11">
        <v>0</v>
      </c>
      <c r="AM10" s="11">
        <v>0</v>
      </c>
      <c r="AN10" s="11">
        <v>0</v>
      </c>
      <c r="AO10" s="11">
        <v>0</v>
      </c>
      <c r="AP10" s="11">
        <v>0</v>
      </c>
      <c r="AQ10" s="11">
        <v>0</v>
      </c>
      <c r="AR10" s="11">
        <v>0</v>
      </c>
      <c r="AS10" s="11">
        <v>0</v>
      </c>
      <c r="AT10" s="11">
        <v>0</v>
      </c>
      <c r="AU10" s="11">
        <v>0</v>
      </c>
      <c r="AV10" s="11">
        <v>0</v>
      </c>
      <c r="AW10" s="11">
        <v>0</v>
      </c>
      <c r="AX10" s="11">
        <v>0</v>
      </c>
      <c r="AY10" s="11">
        <v>0</v>
      </c>
      <c r="AZ10" s="11">
        <v>0</v>
      </c>
      <c r="BA10" s="11">
        <v>0</v>
      </c>
      <c r="BB10" s="11">
        <v>0</v>
      </c>
      <c r="BC10" s="11">
        <v>0</v>
      </c>
      <c r="BD10" s="11">
        <v>0</v>
      </c>
      <c r="BE10" s="11">
        <v>0</v>
      </c>
      <c r="BF10" s="11">
        <v>0</v>
      </c>
      <c r="BG10" s="11">
        <v>0</v>
      </c>
      <c r="BH10" s="11">
        <v>0</v>
      </c>
      <c r="BI10" s="11">
        <v>0</v>
      </c>
      <c r="BJ10" s="11">
        <v>0</v>
      </c>
      <c r="BK10" s="11">
        <v>0</v>
      </c>
      <c r="BL10" s="11">
        <v>0</v>
      </c>
      <c r="BM10" s="11">
        <v>0</v>
      </c>
      <c r="BN10" s="11">
        <v>0</v>
      </c>
      <c r="BO10" s="11">
        <v>0</v>
      </c>
      <c r="BP10" s="11">
        <v>0</v>
      </c>
      <c r="BQ10" s="11">
        <v>0</v>
      </c>
      <c r="BR10" s="11">
        <v>0</v>
      </c>
      <c r="BS10" s="11">
        <v>0</v>
      </c>
      <c r="BT10" s="11">
        <v>0</v>
      </c>
      <c r="BU10" s="11">
        <v>0</v>
      </c>
      <c r="BV10" s="11">
        <v>0</v>
      </c>
      <c r="BW10" s="11">
        <v>0</v>
      </c>
      <c r="BX10" s="11">
        <v>0</v>
      </c>
      <c r="BY10" s="11">
        <v>0</v>
      </c>
      <c r="BZ10" s="11">
        <v>0</v>
      </c>
      <c r="CA10" s="11">
        <v>0</v>
      </c>
      <c r="CB10" s="11">
        <v>0</v>
      </c>
      <c r="CC10" s="11">
        <v>0</v>
      </c>
      <c r="CD10" s="11">
        <v>0</v>
      </c>
      <c r="CE10" s="11">
        <v>0</v>
      </c>
      <c r="CF10" s="11">
        <v>0</v>
      </c>
      <c r="CG10" s="11">
        <v>0</v>
      </c>
      <c r="CH10" s="11">
        <v>0</v>
      </c>
      <c r="CI10" s="11">
        <v>0</v>
      </c>
      <c r="CJ10" s="11">
        <v>0</v>
      </c>
      <c r="CK10" s="11">
        <v>0</v>
      </c>
      <c r="CL10" s="11">
        <v>0</v>
      </c>
      <c r="CM10" s="11">
        <v>0</v>
      </c>
      <c r="CN10" s="11">
        <v>0</v>
      </c>
      <c r="CO10" s="11">
        <v>0</v>
      </c>
      <c r="CP10" s="11">
        <v>0</v>
      </c>
      <c r="CQ10" s="11">
        <v>0</v>
      </c>
      <c r="CR10" s="11">
        <v>0</v>
      </c>
      <c r="CS10" s="11">
        <v>0</v>
      </c>
      <c r="CT10" s="11">
        <v>0</v>
      </c>
      <c r="CU10" s="11">
        <v>0</v>
      </c>
      <c r="CV10" s="11">
        <v>0</v>
      </c>
      <c r="CW10" s="11">
        <v>0</v>
      </c>
      <c r="CX10" s="11">
        <v>0</v>
      </c>
      <c r="CY10" s="11">
        <v>0</v>
      </c>
      <c r="CZ10" s="11">
        <v>0</v>
      </c>
      <c r="DA10" s="11">
        <v>0</v>
      </c>
      <c r="DB10" s="11">
        <v>0</v>
      </c>
    </row>
    <row r="11" spans="1:106">
      <c r="A11" t="s">
        <v>577</v>
      </c>
      <c r="B11" s="11">
        <f>-'CF Capex'!B23</f>
        <v>34.229999999999997</v>
      </c>
      <c r="C11" s="11">
        <f>B11-'Monthly CF'!B36</f>
        <v>34.229999999999997</v>
      </c>
      <c r="D11" s="11">
        <f>C11-'Monthly CF'!C36</f>
        <v>34.229999999999997</v>
      </c>
      <c r="E11" s="11">
        <f>D11-'Monthly CF'!D36</f>
        <v>34.229999999999997</v>
      </c>
      <c r="F11" s="11">
        <f>E11-'Monthly CF'!E36</f>
        <v>34.229999999999997</v>
      </c>
      <c r="G11" s="11">
        <f>F11-'Monthly CF'!F36</f>
        <v>34.229999999999997</v>
      </c>
      <c r="H11" s="11">
        <f>G11-'Monthly CF'!G36</f>
        <v>34.229999999999997</v>
      </c>
      <c r="I11" s="11">
        <f>H11-'Monthly CF'!H36</f>
        <v>34.229999999999997</v>
      </c>
      <c r="J11" s="11">
        <v>29.56</v>
      </c>
      <c r="K11" s="11">
        <f>J11-'Monthly CF'!J36</f>
        <v>29.56</v>
      </c>
      <c r="L11" s="11">
        <f>K11-'Monthly CF'!K36</f>
        <v>29.56</v>
      </c>
      <c r="M11" s="11">
        <f>L11-'Monthly CF'!L36</f>
        <v>29.56</v>
      </c>
      <c r="N11" s="11">
        <f>M11-'Monthly CF'!M36</f>
        <v>29.56</v>
      </c>
      <c r="O11" s="11">
        <f>N11-'Monthly CF'!N36</f>
        <v>29.56</v>
      </c>
      <c r="P11" s="11">
        <f>O11-'Monthly CF'!O36</f>
        <v>29.56</v>
      </c>
      <c r="Q11" s="11">
        <v>48.35</v>
      </c>
      <c r="R11" s="11">
        <f>Q11-'Monthly CF'!Q36+3.81</f>
        <v>52.160000000000004</v>
      </c>
      <c r="S11" s="11">
        <f>R11-'Monthly CF'!R36-6.53-1.17-3</f>
        <v>41.46</v>
      </c>
      <c r="T11" s="11">
        <f>S11-'Monthly CF'!S36-0.57</f>
        <v>40.89</v>
      </c>
      <c r="U11" s="11">
        <f>T11-'Monthly CF'!T36+10</f>
        <v>50.89</v>
      </c>
      <c r="V11" s="11">
        <v>49.98</v>
      </c>
      <c r="W11" s="11">
        <f>V11-'Monthly CF'!V36</f>
        <v>49.98</v>
      </c>
      <c r="X11" s="11">
        <f>W11-'Monthly CF'!W36</f>
        <v>49.98</v>
      </c>
      <c r="Y11" s="11">
        <f>X11-'Monthly CF'!X36</f>
        <v>49.98</v>
      </c>
      <c r="Z11" s="11">
        <f>Y11-'Monthly CF'!Y36-'CF Capex'!P23</f>
        <v>49.48</v>
      </c>
      <c r="AA11" s="11">
        <f>Z11-'Monthly CF'!Z36-'CF Capex'!Q23</f>
        <v>48.98</v>
      </c>
      <c r="AB11" s="11">
        <f>AA11-'Monthly CF'!AA36-'CF Capex'!R23</f>
        <v>48.48</v>
      </c>
      <c r="AC11" s="11">
        <f>AB11-'Monthly CF'!AB36-'CF Capex'!S23</f>
        <v>47.48</v>
      </c>
      <c r="AD11" s="11">
        <f>AC11-'Monthly CF'!AC36-'CF Capex'!T23</f>
        <v>46.48</v>
      </c>
      <c r="AE11" s="11">
        <f>AD11-'Monthly CF'!AD36-'CF Capex'!U23</f>
        <v>45.48</v>
      </c>
      <c r="AF11" s="11">
        <f>AE11-'Monthly CF'!AE36-'CF Capex'!V23</f>
        <v>44.48</v>
      </c>
      <c r="AG11" s="11">
        <f>AF11-'Monthly CF'!AF36-'CF Capex'!W23</f>
        <v>43.48</v>
      </c>
      <c r="AH11" s="11">
        <f>AG11-'Monthly CF'!AG36-'CF Capex'!X23</f>
        <v>42.48</v>
      </c>
      <c r="AI11" s="11">
        <f>AH11-'Monthly CF'!AH36-'CF Capex'!Y23</f>
        <v>39.229999999999997</v>
      </c>
      <c r="AJ11" s="11">
        <f>AI11-'Monthly CF'!AI36-'CF Capex'!Z23</f>
        <v>35.979999999999997</v>
      </c>
      <c r="AK11" s="11">
        <f>AJ11-'Monthly CF'!AJ36-'CF Capex'!AA23</f>
        <v>32.729999999999997</v>
      </c>
      <c r="AL11" s="11">
        <f>AK11-'Monthly CF'!AK36-'CF Capex'!AB23</f>
        <v>29.479999999999997</v>
      </c>
      <c r="AM11" s="11">
        <f>AL11-'Monthly CF'!AL36-'CF Capex'!AC23</f>
        <v>26.229999999999997</v>
      </c>
      <c r="AN11" s="11">
        <f>AM11-'Monthly CF'!AM36-'CF Capex'!AD23</f>
        <v>22.979999999999997</v>
      </c>
      <c r="AO11" s="11">
        <f>AN11-'Monthly CF'!AN36-'CF Capex'!AE23</f>
        <v>19.729999999999997</v>
      </c>
      <c r="AP11" s="11">
        <f>AO11-'Monthly CF'!AO36-'CF Capex'!AF23</f>
        <v>16.479999999999997</v>
      </c>
      <c r="AQ11" s="11">
        <f>AP11-'Monthly CF'!AP36-'CF Capex'!AG23</f>
        <v>13.499999999999996</v>
      </c>
      <c r="AR11" s="11">
        <f>AQ11-'Monthly CF'!AQ36-'CF Capex'!AH23</f>
        <v>13.249999999999996</v>
      </c>
      <c r="AS11" s="11">
        <f>AR11-'Monthly CF'!AR36-'CF Capex'!AI23</f>
        <v>12.999999999999996</v>
      </c>
      <c r="AT11" s="11">
        <f>AS11-'Monthly CF'!AS36-'CF Capex'!AJ23</f>
        <v>12.749999999999996</v>
      </c>
      <c r="AU11" s="11">
        <f>AT11-'Monthly CF'!AT36-'CF Capex'!AK23</f>
        <v>12.499999999999996</v>
      </c>
      <c r="AV11" s="11">
        <f>AU11-'Monthly CF'!AU36-'CF Capex'!AL23</f>
        <v>12.249999999999996</v>
      </c>
      <c r="AW11" s="11">
        <f>AV11-'Monthly CF'!AV36-'CF Capex'!AM23</f>
        <v>11.999999999999996</v>
      </c>
      <c r="AX11" s="11">
        <f>AW11-'Monthly CF'!AW36-'CF Capex'!AN23</f>
        <v>11.749999999999996</v>
      </c>
      <c r="AY11" s="11">
        <f>AX11-'Monthly CF'!AX36-'CF Capex'!AO23</f>
        <v>11.499999999999996</v>
      </c>
      <c r="AZ11" s="11">
        <f>AY11-'Monthly CF'!AY36-'CF Capex'!AP23</f>
        <v>11.249999999999996</v>
      </c>
      <c r="BA11" s="11">
        <f>AZ11-'Monthly CF'!AZ36-'CF Capex'!AQ23</f>
        <v>10.999999999999996</v>
      </c>
      <c r="BB11" s="11">
        <f>BA11-'Monthly CF'!BA36-'CF Capex'!AR23</f>
        <v>10.749999999999996</v>
      </c>
      <c r="BC11" s="11">
        <f>BB11-'Monthly CF'!BB36-'CF Capex'!AS23</f>
        <v>10.499999999999996</v>
      </c>
      <c r="BD11" s="11">
        <f>BC11-'Monthly CF'!BC36-'CF Capex'!AT23</f>
        <v>10.249999999999996</v>
      </c>
      <c r="BE11" s="11">
        <f>BD11-'Monthly CF'!BD36-'CF Capex'!AU23</f>
        <v>9.9999999999999964</v>
      </c>
      <c r="BF11" s="11">
        <f>BE11-'Monthly CF'!BE36-'CF Capex'!AV23</f>
        <v>9.7499999999999964</v>
      </c>
      <c r="BG11" s="11">
        <f>BF11-'Monthly CF'!BF36-'CF Capex'!AW23</f>
        <v>9.4999999999999964</v>
      </c>
      <c r="BH11" s="11">
        <f>BG11-'Monthly CF'!BG36-'CF Capex'!AX23</f>
        <v>9.2499999999999964</v>
      </c>
      <c r="BI11" s="11">
        <f>BH11-'Monthly CF'!BH36-'CF Capex'!AY23</f>
        <v>8.9999999999999964</v>
      </c>
      <c r="BJ11" s="11">
        <f>BI11-'Monthly CF'!BI36-'CF Capex'!AZ23</f>
        <v>8.7499999999999964</v>
      </c>
      <c r="BK11" s="11">
        <f>BJ11-'Monthly CF'!BJ36-'CF Capex'!BA23</f>
        <v>8.4999999999999964</v>
      </c>
      <c r="BL11" s="11">
        <f>BK11-'Monthly CF'!BK36-'CF Capex'!BB23</f>
        <v>8.2499999999999964</v>
      </c>
      <c r="BM11" s="11">
        <f>BL11-'Monthly CF'!BL36-'CF Capex'!BC23</f>
        <v>7.9999999999999964</v>
      </c>
      <c r="BN11" s="11">
        <f>BM11-'Monthly CF'!BM36-'CF Capex'!BD23</f>
        <v>7.7499999999999964</v>
      </c>
      <c r="BO11" s="11">
        <f>BN11-'Monthly CF'!BN36-'CF Capex'!BE23</f>
        <v>7.4999999999999964</v>
      </c>
      <c r="BP11" s="11">
        <f>BO11-'Monthly CF'!BO36-'CF Capex'!BF23</f>
        <v>7.2499999999999964</v>
      </c>
      <c r="BQ11" s="11">
        <f>BP11-'Monthly CF'!BP36-'CF Capex'!BG23</f>
        <v>6.9999999999999964</v>
      </c>
      <c r="BR11" s="11">
        <f>BQ11-'Monthly CF'!BQ36-'CF Capex'!BH23</f>
        <v>6.7499999999999964</v>
      </c>
      <c r="BS11" s="11">
        <f>BR11-'Monthly CF'!BR36-'CF Capex'!BI23</f>
        <v>6.4999999999999964</v>
      </c>
      <c r="BT11" s="11">
        <f>BS11-'Monthly CF'!BS36-'CF Capex'!BJ23</f>
        <v>6.2499999999999964</v>
      </c>
      <c r="BU11" s="11">
        <f>BT11-'Monthly CF'!BT36-'CF Capex'!BK23</f>
        <v>5.9999999999999964</v>
      </c>
      <c r="BV11" s="11">
        <f>BU11-'Monthly CF'!BU36-'CF Capex'!BL23</f>
        <v>5.7499999999999964</v>
      </c>
      <c r="BW11" s="11">
        <f>BV11-'Monthly CF'!BV36-'CF Capex'!BM23</f>
        <v>5.4999999999999964</v>
      </c>
      <c r="BX11" s="11">
        <f>BW11-'Monthly CF'!BW36-'CF Capex'!BN23</f>
        <v>5.2499999999999964</v>
      </c>
      <c r="BY11" s="11">
        <f>BX11-'Monthly CF'!BX36-'CF Capex'!BO23</f>
        <v>4.9999999999999964</v>
      </c>
      <c r="BZ11" s="11">
        <f>BY11-'Monthly CF'!BY36-'CF Capex'!BP23</f>
        <v>4.7499999999999964</v>
      </c>
      <c r="CA11" s="11">
        <f>BZ11-'Monthly CF'!BZ36-'CF Capex'!BQ23</f>
        <v>4.4999999999999964</v>
      </c>
      <c r="CB11" s="11">
        <f>CA11-'Monthly CF'!CA36-'CF Capex'!BR23</f>
        <v>4.2499999999999964</v>
      </c>
      <c r="CC11" s="11">
        <f>CB11-'Monthly CF'!CB36-'CF Capex'!BS23</f>
        <v>3.9999999999999964</v>
      </c>
      <c r="CD11" s="11">
        <f>CC11-'Monthly CF'!CC36-'CF Capex'!BT23</f>
        <v>3.7499999999999964</v>
      </c>
      <c r="CE11" s="11">
        <f>CD11-'Monthly CF'!CD36-'CF Capex'!BU23</f>
        <v>3.4999999999999964</v>
      </c>
      <c r="CF11" s="11">
        <f>CE11-'Monthly CF'!CE36-'CF Capex'!BV23</f>
        <v>3.2499999999999964</v>
      </c>
      <c r="CG11" s="11">
        <f>CF11-'Monthly CF'!CF36-'CF Capex'!BW23</f>
        <v>2.9999999999999964</v>
      </c>
      <c r="CH11" s="11">
        <f>CG11-'Monthly CF'!CG36-'CF Capex'!BX23</f>
        <v>2.7499999999999964</v>
      </c>
      <c r="CI11" s="11">
        <f>CH11-'Monthly CF'!CH36-'CF Capex'!BY23</f>
        <v>2.4999999999999964</v>
      </c>
      <c r="CJ11" s="11">
        <f>CI11-'Monthly CF'!CI36-'CF Capex'!BZ23</f>
        <v>2.2499999999999964</v>
      </c>
      <c r="CK11" s="11">
        <f>CJ11-'Monthly CF'!CJ36-'CF Capex'!CA23</f>
        <v>1.9999999999999964</v>
      </c>
      <c r="CL11" s="11">
        <f>CK11-'Monthly CF'!CK36-'CF Capex'!CB23</f>
        <v>1.7499999999999964</v>
      </c>
      <c r="CM11" s="11">
        <f>CL11-'Monthly CF'!CL36-'CF Capex'!CC23</f>
        <v>1.4999999999999964</v>
      </c>
      <c r="CN11" s="11">
        <f>CM11-'Monthly CF'!CM36-'CF Capex'!CD23</f>
        <v>1.2499999999999964</v>
      </c>
      <c r="CO11" s="11">
        <f>CN11-'Monthly CF'!CN36-'CF Capex'!CE23</f>
        <v>0.99999999999999645</v>
      </c>
      <c r="CP11" s="11">
        <f>CO11-'Monthly CF'!CO36-'CF Capex'!CF23</f>
        <v>0.74999999999999645</v>
      </c>
      <c r="CQ11" s="11">
        <f>CP11-'Monthly CF'!CP36-'CF Capex'!CG23</f>
        <v>0.49999999999999645</v>
      </c>
      <c r="CR11" s="11">
        <f>CQ11-'Monthly CF'!CQ36-'CF Capex'!CH23</f>
        <v>0.24999999999999645</v>
      </c>
      <c r="CS11" s="11">
        <f>CR11-'Monthly CF'!CR36-'CF Capex'!CI23</f>
        <v>-3.5527136788005009E-15</v>
      </c>
      <c r="CT11" s="11">
        <f>CS11-'Monthly CF'!CS36-'CF Capex'!CJ23</f>
        <v>-3.5527136788005009E-15</v>
      </c>
      <c r="CU11" s="11">
        <f>CT11-'Monthly CF'!CT36-'CF Capex'!CK23</f>
        <v>-3.5527136788005009E-15</v>
      </c>
      <c r="CV11" s="11">
        <f>CU11-'Monthly CF'!CU36-'CF Capex'!CL23</f>
        <v>-3.5527136788005009E-15</v>
      </c>
      <c r="CW11" s="11">
        <f>CV11-'Monthly CF'!CV36-'CF Capex'!CM23</f>
        <v>-3.5527136788005009E-15</v>
      </c>
      <c r="CX11" s="11">
        <f>CW11-'Monthly CF'!CW36-'CF Capex'!CN23</f>
        <v>-3.5527136788005009E-15</v>
      </c>
      <c r="CY11" s="11">
        <f>CX11-'Monthly CF'!CX36-'CF Capex'!CO23</f>
        <v>-3.5527136788005009E-15</v>
      </c>
      <c r="CZ11" s="11">
        <f>CY11-'Monthly CF'!CY36-'CF Capex'!CP23</f>
        <v>-3.5527136788005009E-15</v>
      </c>
      <c r="DA11" s="11">
        <f>CZ11-'Monthly CF'!CZ36-'CF Capex'!CQ23</f>
        <v>-3.5527136788005009E-15</v>
      </c>
      <c r="DB11" s="11">
        <f>DA11-'Monthly CF'!DA36-'CF Capex'!CR23</f>
        <v>-3.5527136788005009E-15</v>
      </c>
    </row>
    <row r="12" spans="1:106">
      <c r="A12" t="s">
        <v>576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>
        <v>82.35</v>
      </c>
      <c r="W12" s="11">
        <f>V12</f>
        <v>82.35</v>
      </c>
      <c r="X12" s="11">
        <f t="shared" ref="X12:CI12" si="4">W12</f>
        <v>82.35</v>
      </c>
      <c r="Y12" s="11">
        <f t="shared" si="4"/>
        <v>82.35</v>
      </c>
      <c r="Z12" s="11">
        <f t="shared" si="4"/>
        <v>82.35</v>
      </c>
      <c r="AA12" s="11">
        <f t="shared" si="4"/>
        <v>82.35</v>
      </c>
      <c r="AB12" s="11">
        <f t="shared" si="4"/>
        <v>82.35</v>
      </c>
      <c r="AC12" s="11">
        <f t="shared" si="4"/>
        <v>82.35</v>
      </c>
      <c r="AD12" s="11">
        <f t="shared" si="4"/>
        <v>82.35</v>
      </c>
      <c r="AE12" s="11">
        <f t="shared" si="4"/>
        <v>82.35</v>
      </c>
      <c r="AF12" s="11">
        <f t="shared" si="4"/>
        <v>82.35</v>
      </c>
      <c r="AG12" s="11">
        <f t="shared" si="4"/>
        <v>82.35</v>
      </c>
      <c r="AH12" s="11">
        <f t="shared" si="4"/>
        <v>82.35</v>
      </c>
      <c r="AI12" s="11">
        <f t="shared" si="4"/>
        <v>82.35</v>
      </c>
      <c r="AJ12" s="11">
        <f t="shared" si="4"/>
        <v>82.35</v>
      </c>
      <c r="AK12" s="11">
        <f t="shared" si="4"/>
        <v>82.35</v>
      </c>
      <c r="AL12" s="11">
        <f t="shared" si="4"/>
        <v>82.35</v>
      </c>
      <c r="AM12" s="11">
        <f t="shared" si="4"/>
        <v>82.35</v>
      </c>
      <c r="AN12" s="11">
        <f t="shared" si="4"/>
        <v>82.35</v>
      </c>
      <c r="AO12" s="11">
        <f t="shared" si="4"/>
        <v>82.35</v>
      </c>
      <c r="AP12" s="11">
        <f t="shared" si="4"/>
        <v>82.35</v>
      </c>
      <c r="AQ12" s="11">
        <f t="shared" si="4"/>
        <v>82.35</v>
      </c>
      <c r="AR12" s="11">
        <f t="shared" si="4"/>
        <v>82.35</v>
      </c>
      <c r="AS12" s="11">
        <f t="shared" si="4"/>
        <v>82.35</v>
      </c>
      <c r="AT12" s="11">
        <f t="shared" si="4"/>
        <v>82.35</v>
      </c>
      <c r="AU12" s="11">
        <f t="shared" si="4"/>
        <v>82.35</v>
      </c>
      <c r="AV12" s="11">
        <f t="shared" si="4"/>
        <v>82.35</v>
      </c>
      <c r="AW12" s="11">
        <f t="shared" si="4"/>
        <v>82.35</v>
      </c>
      <c r="AX12" s="11">
        <f t="shared" si="4"/>
        <v>82.35</v>
      </c>
      <c r="AY12" s="11">
        <f t="shared" si="4"/>
        <v>82.35</v>
      </c>
      <c r="AZ12" s="11">
        <f t="shared" si="4"/>
        <v>82.35</v>
      </c>
      <c r="BA12" s="11">
        <f t="shared" si="4"/>
        <v>82.35</v>
      </c>
      <c r="BB12" s="11">
        <f t="shared" si="4"/>
        <v>82.35</v>
      </c>
      <c r="BC12" s="11">
        <f t="shared" si="4"/>
        <v>82.35</v>
      </c>
      <c r="BD12" s="11">
        <f t="shared" si="4"/>
        <v>82.35</v>
      </c>
      <c r="BE12" s="11">
        <f t="shared" si="4"/>
        <v>82.35</v>
      </c>
      <c r="BF12" s="11">
        <f t="shared" si="4"/>
        <v>82.35</v>
      </c>
      <c r="BG12" s="11">
        <f t="shared" si="4"/>
        <v>82.35</v>
      </c>
      <c r="BH12" s="11">
        <f t="shared" si="4"/>
        <v>82.35</v>
      </c>
      <c r="BI12" s="11">
        <f t="shared" si="4"/>
        <v>82.35</v>
      </c>
      <c r="BJ12" s="11">
        <f t="shared" si="4"/>
        <v>82.35</v>
      </c>
      <c r="BK12" s="11">
        <f t="shared" si="4"/>
        <v>82.35</v>
      </c>
      <c r="BL12" s="11">
        <f t="shared" si="4"/>
        <v>82.35</v>
      </c>
      <c r="BM12" s="11">
        <f t="shared" si="4"/>
        <v>82.35</v>
      </c>
      <c r="BN12" s="11">
        <f t="shared" si="4"/>
        <v>82.35</v>
      </c>
      <c r="BO12" s="11">
        <f t="shared" si="4"/>
        <v>82.35</v>
      </c>
      <c r="BP12" s="11">
        <f t="shared" si="4"/>
        <v>82.35</v>
      </c>
      <c r="BQ12" s="11">
        <f t="shared" si="4"/>
        <v>82.35</v>
      </c>
      <c r="BR12" s="11">
        <f t="shared" si="4"/>
        <v>82.35</v>
      </c>
      <c r="BS12" s="11">
        <f t="shared" si="4"/>
        <v>82.35</v>
      </c>
      <c r="BT12" s="11">
        <f t="shared" si="4"/>
        <v>82.35</v>
      </c>
      <c r="BU12" s="11">
        <f t="shared" si="4"/>
        <v>82.35</v>
      </c>
      <c r="BV12" s="11">
        <f t="shared" si="4"/>
        <v>82.35</v>
      </c>
      <c r="BW12" s="11">
        <f t="shared" si="4"/>
        <v>82.35</v>
      </c>
      <c r="BX12" s="11">
        <f t="shared" si="4"/>
        <v>82.35</v>
      </c>
      <c r="BY12" s="11">
        <f t="shared" si="4"/>
        <v>82.35</v>
      </c>
      <c r="BZ12" s="11">
        <f t="shared" si="4"/>
        <v>82.35</v>
      </c>
      <c r="CA12" s="11">
        <f t="shared" si="4"/>
        <v>82.35</v>
      </c>
      <c r="CB12" s="11">
        <f t="shared" si="4"/>
        <v>82.35</v>
      </c>
      <c r="CC12" s="11">
        <f t="shared" si="4"/>
        <v>82.35</v>
      </c>
      <c r="CD12" s="11">
        <f t="shared" si="4"/>
        <v>82.35</v>
      </c>
      <c r="CE12" s="11">
        <f t="shared" si="4"/>
        <v>82.35</v>
      </c>
      <c r="CF12" s="11">
        <f t="shared" si="4"/>
        <v>82.35</v>
      </c>
      <c r="CG12" s="11">
        <f t="shared" si="4"/>
        <v>82.35</v>
      </c>
      <c r="CH12" s="11">
        <f t="shared" si="4"/>
        <v>82.35</v>
      </c>
      <c r="CI12" s="11">
        <f t="shared" si="4"/>
        <v>82.35</v>
      </c>
      <c r="CJ12" s="11">
        <f t="shared" ref="CJ12:DB12" si="5">CI12</f>
        <v>82.35</v>
      </c>
      <c r="CK12" s="11">
        <f t="shared" si="5"/>
        <v>82.35</v>
      </c>
      <c r="CL12" s="11">
        <f t="shared" si="5"/>
        <v>82.35</v>
      </c>
      <c r="CM12" s="11">
        <f t="shared" si="5"/>
        <v>82.35</v>
      </c>
      <c r="CN12" s="11">
        <f t="shared" si="5"/>
        <v>82.35</v>
      </c>
      <c r="CO12" s="11">
        <f t="shared" si="5"/>
        <v>82.35</v>
      </c>
      <c r="CP12" s="11">
        <f t="shared" si="5"/>
        <v>82.35</v>
      </c>
      <c r="CQ12" s="11">
        <f t="shared" si="5"/>
        <v>82.35</v>
      </c>
      <c r="CR12" s="11">
        <f t="shared" si="5"/>
        <v>82.35</v>
      </c>
      <c r="CS12" s="11">
        <f t="shared" si="5"/>
        <v>82.35</v>
      </c>
      <c r="CT12" s="11">
        <f t="shared" si="5"/>
        <v>82.35</v>
      </c>
      <c r="CU12" s="11">
        <f t="shared" si="5"/>
        <v>82.35</v>
      </c>
      <c r="CV12" s="11">
        <f t="shared" si="5"/>
        <v>82.35</v>
      </c>
      <c r="CW12" s="11">
        <f t="shared" si="5"/>
        <v>82.35</v>
      </c>
      <c r="CX12" s="11">
        <f t="shared" si="5"/>
        <v>82.35</v>
      </c>
      <c r="CY12" s="11">
        <f t="shared" si="5"/>
        <v>82.35</v>
      </c>
      <c r="CZ12" s="11">
        <f t="shared" si="5"/>
        <v>82.35</v>
      </c>
      <c r="DA12" s="11">
        <f t="shared" si="5"/>
        <v>82.35</v>
      </c>
      <c r="DB12" s="11">
        <f t="shared" si="5"/>
        <v>82.35</v>
      </c>
    </row>
    <row r="13" spans="1:106">
      <c r="A13" t="s">
        <v>92</v>
      </c>
      <c r="B13" s="30">
        <v>1.44</v>
      </c>
      <c r="C13" s="30">
        <f t="shared" ref="C13:BN13" si="6">B13</f>
        <v>1.44</v>
      </c>
      <c r="D13" s="30">
        <f t="shared" si="6"/>
        <v>1.44</v>
      </c>
      <c r="E13" s="30">
        <f t="shared" si="6"/>
        <v>1.44</v>
      </c>
      <c r="F13" s="30">
        <f t="shared" si="6"/>
        <v>1.44</v>
      </c>
      <c r="G13" s="30">
        <f t="shared" si="6"/>
        <v>1.44</v>
      </c>
      <c r="H13" s="30">
        <f t="shared" si="6"/>
        <v>1.44</v>
      </c>
      <c r="I13" s="30">
        <f t="shared" si="6"/>
        <v>1.44</v>
      </c>
      <c r="J13" s="30">
        <v>1.92</v>
      </c>
      <c r="K13" s="30">
        <f t="shared" si="6"/>
        <v>1.92</v>
      </c>
      <c r="L13" s="30">
        <f t="shared" si="6"/>
        <v>1.92</v>
      </c>
      <c r="M13" s="30">
        <f t="shared" si="6"/>
        <v>1.92</v>
      </c>
      <c r="N13" s="30">
        <f t="shared" si="6"/>
        <v>1.92</v>
      </c>
      <c r="O13" s="30">
        <f t="shared" si="6"/>
        <v>1.92</v>
      </c>
      <c r="P13" s="30">
        <f t="shared" si="6"/>
        <v>1.92</v>
      </c>
      <c r="Q13" s="30">
        <f t="shared" si="6"/>
        <v>1.92</v>
      </c>
      <c r="R13" s="30">
        <f t="shared" si="6"/>
        <v>1.92</v>
      </c>
      <c r="S13" s="30">
        <f t="shared" si="6"/>
        <v>1.92</v>
      </c>
      <c r="T13" s="30">
        <f t="shared" si="6"/>
        <v>1.92</v>
      </c>
      <c r="U13" s="30">
        <f t="shared" si="6"/>
        <v>1.92</v>
      </c>
      <c r="V13" s="30">
        <f t="shared" si="6"/>
        <v>1.92</v>
      </c>
      <c r="W13" s="30">
        <f t="shared" si="6"/>
        <v>1.92</v>
      </c>
      <c r="X13" s="30">
        <f t="shared" si="6"/>
        <v>1.92</v>
      </c>
      <c r="Y13" s="30">
        <f t="shared" si="6"/>
        <v>1.92</v>
      </c>
      <c r="Z13" s="30">
        <f t="shared" si="6"/>
        <v>1.92</v>
      </c>
      <c r="AA13" s="30">
        <f t="shared" si="6"/>
        <v>1.92</v>
      </c>
      <c r="AB13" s="30">
        <f t="shared" si="6"/>
        <v>1.92</v>
      </c>
      <c r="AC13" s="30">
        <f t="shared" si="6"/>
        <v>1.92</v>
      </c>
      <c r="AD13" s="30">
        <f t="shared" si="6"/>
        <v>1.92</v>
      </c>
      <c r="AE13" s="30">
        <f t="shared" si="6"/>
        <v>1.92</v>
      </c>
      <c r="AF13" s="30">
        <f t="shared" si="6"/>
        <v>1.92</v>
      </c>
      <c r="AG13" s="30">
        <f t="shared" si="6"/>
        <v>1.92</v>
      </c>
      <c r="AH13" s="30">
        <f t="shared" si="6"/>
        <v>1.92</v>
      </c>
      <c r="AI13" s="30">
        <f t="shared" si="6"/>
        <v>1.92</v>
      </c>
      <c r="AJ13" s="30">
        <f t="shared" si="6"/>
        <v>1.92</v>
      </c>
      <c r="AK13" s="30">
        <f t="shared" si="6"/>
        <v>1.92</v>
      </c>
      <c r="AL13" s="30">
        <f t="shared" si="6"/>
        <v>1.92</v>
      </c>
      <c r="AM13" s="30">
        <f t="shared" si="6"/>
        <v>1.92</v>
      </c>
      <c r="AN13" s="30">
        <f t="shared" si="6"/>
        <v>1.92</v>
      </c>
      <c r="AO13" s="30">
        <f t="shared" si="6"/>
        <v>1.92</v>
      </c>
      <c r="AP13" s="30">
        <f t="shared" si="6"/>
        <v>1.92</v>
      </c>
      <c r="AQ13" s="30">
        <f t="shared" si="6"/>
        <v>1.92</v>
      </c>
      <c r="AR13" s="30">
        <f t="shared" si="6"/>
        <v>1.92</v>
      </c>
      <c r="AS13" s="30">
        <f t="shared" si="6"/>
        <v>1.92</v>
      </c>
      <c r="AT13" s="30">
        <f t="shared" si="6"/>
        <v>1.92</v>
      </c>
      <c r="AU13" s="30">
        <f t="shared" si="6"/>
        <v>1.92</v>
      </c>
      <c r="AV13" s="30">
        <f t="shared" si="6"/>
        <v>1.92</v>
      </c>
      <c r="AW13" s="30">
        <f t="shared" si="6"/>
        <v>1.92</v>
      </c>
      <c r="AX13" s="30">
        <f t="shared" si="6"/>
        <v>1.92</v>
      </c>
      <c r="AY13" s="30">
        <f t="shared" si="6"/>
        <v>1.92</v>
      </c>
      <c r="AZ13" s="30">
        <f t="shared" si="6"/>
        <v>1.92</v>
      </c>
      <c r="BA13" s="30">
        <f t="shared" si="6"/>
        <v>1.92</v>
      </c>
      <c r="BB13" s="30">
        <f t="shared" si="6"/>
        <v>1.92</v>
      </c>
      <c r="BC13" s="30">
        <f t="shared" si="6"/>
        <v>1.92</v>
      </c>
      <c r="BD13" s="30">
        <f t="shared" si="6"/>
        <v>1.92</v>
      </c>
      <c r="BE13" s="30">
        <f t="shared" si="6"/>
        <v>1.92</v>
      </c>
      <c r="BF13" s="30">
        <f t="shared" si="6"/>
        <v>1.92</v>
      </c>
      <c r="BG13" s="30">
        <f t="shared" si="6"/>
        <v>1.92</v>
      </c>
      <c r="BH13" s="30">
        <f t="shared" si="6"/>
        <v>1.92</v>
      </c>
      <c r="BI13" s="30">
        <f t="shared" si="6"/>
        <v>1.92</v>
      </c>
      <c r="BJ13" s="30">
        <f t="shared" si="6"/>
        <v>1.92</v>
      </c>
      <c r="BK13" s="30">
        <f t="shared" si="6"/>
        <v>1.92</v>
      </c>
      <c r="BL13" s="30">
        <f t="shared" si="6"/>
        <v>1.92</v>
      </c>
      <c r="BM13" s="30">
        <f t="shared" si="6"/>
        <v>1.92</v>
      </c>
      <c r="BN13" s="30">
        <f t="shared" si="6"/>
        <v>1.92</v>
      </c>
      <c r="BO13" s="30">
        <f t="shared" ref="BO13:DB13" si="7">BN13</f>
        <v>1.92</v>
      </c>
      <c r="BP13" s="30">
        <f t="shared" si="7"/>
        <v>1.92</v>
      </c>
      <c r="BQ13" s="30">
        <f t="shared" si="7"/>
        <v>1.92</v>
      </c>
      <c r="BR13" s="30">
        <f t="shared" si="7"/>
        <v>1.92</v>
      </c>
      <c r="BS13" s="30">
        <f t="shared" si="7"/>
        <v>1.92</v>
      </c>
      <c r="BT13" s="30">
        <f t="shared" si="7"/>
        <v>1.92</v>
      </c>
      <c r="BU13" s="30">
        <f t="shared" si="7"/>
        <v>1.92</v>
      </c>
      <c r="BV13" s="30">
        <f t="shared" si="7"/>
        <v>1.92</v>
      </c>
      <c r="BW13" s="30">
        <f t="shared" si="7"/>
        <v>1.92</v>
      </c>
      <c r="BX13" s="30">
        <f t="shared" si="7"/>
        <v>1.92</v>
      </c>
      <c r="BY13" s="30">
        <f t="shared" si="7"/>
        <v>1.92</v>
      </c>
      <c r="BZ13" s="30">
        <f t="shared" si="7"/>
        <v>1.92</v>
      </c>
      <c r="CA13" s="30">
        <f t="shared" si="7"/>
        <v>1.92</v>
      </c>
      <c r="CB13" s="30">
        <f t="shared" si="7"/>
        <v>1.92</v>
      </c>
      <c r="CC13" s="30">
        <f t="shared" si="7"/>
        <v>1.92</v>
      </c>
      <c r="CD13" s="30">
        <f t="shared" si="7"/>
        <v>1.92</v>
      </c>
      <c r="CE13" s="30">
        <f t="shared" si="7"/>
        <v>1.92</v>
      </c>
      <c r="CF13" s="30">
        <f t="shared" si="7"/>
        <v>1.92</v>
      </c>
      <c r="CG13" s="30">
        <f t="shared" si="7"/>
        <v>1.92</v>
      </c>
      <c r="CH13" s="30">
        <f t="shared" si="7"/>
        <v>1.92</v>
      </c>
      <c r="CI13" s="30">
        <f t="shared" si="7"/>
        <v>1.92</v>
      </c>
      <c r="CJ13" s="30">
        <f t="shared" si="7"/>
        <v>1.92</v>
      </c>
      <c r="CK13" s="30">
        <f t="shared" si="7"/>
        <v>1.92</v>
      </c>
      <c r="CL13" s="30">
        <f t="shared" si="7"/>
        <v>1.92</v>
      </c>
      <c r="CM13" s="30">
        <f t="shared" si="7"/>
        <v>1.92</v>
      </c>
      <c r="CN13" s="30">
        <f t="shared" si="7"/>
        <v>1.92</v>
      </c>
      <c r="CO13" s="30">
        <f t="shared" si="7"/>
        <v>1.92</v>
      </c>
      <c r="CP13" s="30">
        <f t="shared" si="7"/>
        <v>1.92</v>
      </c>
      <c r="CQ13" s="30">
        <f t="shared" si="7"/>
        <v>1.92</v>
      </c>
      <c r="CR13" s="30">
        <f t="shared" si="7"/>
        <v>1.92</v>
      </c>
      <c r="CS13" s="30">
        <f t="shared" si="7"/>
        <v>1.92</v>
      </c>
      <c r="CT13" s="30">
        <f t="shared" si="7"/>
        <v>1.92</v>
      </c>
      <c r="CU13" s="30">
        <f t="shared" si="7"/>
        <v>1.92</v>
      </c>
      <c r="CV13" s="30">
        <f t="shared" si="7"/>
        <v>1.92</v>
      </c>
      <c r="CW13" s="30">
        <f t="shared" si="7"/>
        <v>1.92</v>
      </c>
      <c r="CX13" s="30">
        <f t="shared" si="7"/>
        <v>1.92</v>
      </c>
      <c r="CY13" s="30">
        <f t="shared" si="7"/>
        <v>1.92</v>
      </c>
      <c r="CZ13" s="30">
        <f t="shared" si="7"/>
        <v>1.92</v>
      </c>
      <c r="DA13" s="30">
        <f t="shared" si="7"/>
        <v>1.92</v>
      </c>
      <c r="DB13" s="30">
        <f t="shared" si="7"/>
        <v>1.92</v>
      </c>
    </row>
    <row r="14" spans="1:106">
      <c r="A14" t="s">
        <v>643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0">
        <v>0</v>
      </c>
      <c r="AN14" s="30">
        <v>0</v>
      </c>
      <c r="AO14" s="30">
        <v>0</v>
      </c>
      <c r="AP14" s="9">
        <v>3.5915891423304744</v>
      </c>
      <c r="AQ14" s="9">
        <v>4.9010507664473186</v>
      </c>
      <c r="AR14" s="9">
        <v>6.9906156606318977</v>
      </c>
      <c r="AS14" s="9">
        <v>4.5351497310567543</v>
      </c>
      <c r="AT14" s="9">
        <v>9.7355523982324712</v>
      </c>
      <c r="AU14" s="9">
        <v>7.5226902624972709</v>
      </c>
      <c r="AV14" s="9">
        <v>9.5811449233268604</v>
      </c>
      <c r="AW14" s="9">
        <v>8.7433819856636354</v>
      </c>
      <c r="AX14" s="9">
        <v>10.324126965485899</v>
      </c>
      <c r="AY14" s="9">
        <v>6.2928135020380589</v>
      </c>
      <c r="AZ14" s="9">
        <v>12.205305130087918</v>
      </c>
      <c r="BA14" s="9">
        <v>8.531351034965585</v>
      </c>
      <c r="BB14" s="9">
        <v>9.8242347738354994</v>
      </c>
      <c r="BC14" s="9">
        <v>10.511039733565571</v>
      </c>
      <c r="BD14" s="9">
        <v>11.784362373262031</v>
      </c>
      <c r="BE14" s="9">
        <v>7.3720429899928215</v>
      </c>
      <c r="BF14" s="9">
        <v>13.446731276666423</v>
      </c>
      <c r="BG14" s="9">
        <v>9.4052948516138155</v>
      </c>
      <c r="BH14" s="9">
        <v>11.149027640715708</v>
      </c>
      <c r="BI14" s="9">
        <v>11.010778762114095</v>
      </c>
      <c r="BJ14" s="9">
        <v>12.013945244695641</v>
      </c>
      <c r="BK14" s="9">
        <v>6.9787087291925856</v>
      </c>
      <c r="BL14" s="9">
        <v>13.772929324142215</v>
      </c>
      <c r="BM14" s="9">
        <v>9.242577059612735</v>
      </c>
      <c r="BN14" s="9">
        <v>10.062047360415448</v>
      </c>
      <c r="BO14" s="9">
        <v>11.368720382581676</v>
      </c>
      <c r="BP14" s="9">
        <v>12.171450046127216</v>
      </c>
      <c r="BQ14" s="9">
        <v>9.0425019832673605</v>
      </c>
      <c r="BR14" s="9">
        <v>16.354680462310526</v>
      </c>
      <c r="BS14" s="9">
        <v>12.462466544995301</v>
      </c>
      <c r="BT14" s="9">
        <v>14.669355659630172</v>
      </c>
      <c r="BU14" s="9">
        <v>15.709877337179281</v>
      </c>
      <c r="BV14" s="9">
        <v>17.425790708225787</v>
      </c>
      <c r="BW14" s="9">
        <v>12.362128184930182</v>
      </c>
      <c r="BX14" s="9">
        <v>22.765340526519847</v>
      </c>
      <c r="BY14" s="9">
        <v>18.106260293731157</v>
      </c>
      <c r="BZ14" s="9">
        <v>19.483992197361097</v>
      </c>
      <c r="CA14" s="9">
        <v>23.556527553293513</v>
      </c>
      <c r="CB14" s="9">
        <v>24.850079933720625</v>
      </c>
      <c r="CC14" s="9">
        <v>19.343316842094861</v>
      </c>
      <c r="CD14" s="9">
        <v>29.906005255017796</v>
      </c>
      <c r="CE14" s="9">
        <v>24.845432279511268</v>
      </c>
      <c r="CF14" s="9">
        <v>26.61547817725652</v>
      </c>
      <c r="CG14" s="9">
        <v>28.882356531374469</v>
      </c>
      <c r="CH14" s="9">
        <v>29.293390927561557</v>
      </c>
      <c r="CI14" s="9">
        <v>22.508750114301176</v>
      </c>
      <c r="CJ14" s="9">
        <v>33.046936066282164</v>
      </c>
      <c r="CK14" s="9">
        <v>26.677849282047561</v>
      </c>
      <c r="CL14" s="9">
        <v>26.719483581681231</v>
      </c>
      <c r="CM14" s="9">
        <v>31.982336386450967</v>
      </c>
      <c r="CN14" s="9">
        <v>31.960451272955311</v>
      </c>
      <c r="CO14" s="9">
        <v>24.748799867364635</v>
      </c>
      <c r="CP14" s="9">
        <v>36.74362565821837</v>
      </c>
      <c r="CQ14" s="9">
        <v>29.853329813789902</v>
      </c>
      <c r="CR14" s="9">
        <v>30.076369752469173</v>
      </c>
      <c r="CS14" s="9">
        <v>33.927956156514945</v>
      </c>
      <c r="CT14" s="9">
        <v>33.252793657879522</v>
      </c>
      <c r="CU14" s="9">
        <v>24.94773728838214</v>
      </c>
      <c r="CV14" s="9">
        <v>22.247672359433746</v>
      </c>
      <c r="CW14" s="30"/>
      <c r="CX14" s="30"/>
      <c r="CY14" s="30"/>
      <c r="CZ14" s="30"/>
      <c r="DA14" s="30"/>
      <c r="DB14" s="30"/>
    </row>
    <row r="15" spans="1:106">
      <c r="A15" t="s">
        <v>33</v>
      </c>
      <c r="B15" s="30">
        <f>1.52+1.38</f>
        <v>2.9</v>
      </c>
      <c r="C15" s="30">
        <f>B15</f>
        <v>2.9</v>
      </c>
      <c r="D15" s="30">
        <f t="shared" ref="D15:BO15" si="8">C15</f>
        <v>2.9</v>
      </c>
      <c r="E15" s="30">
        <f t="shared" si="8"/>
        <v>2.9</v>
      </c>
      <c r="F15" s="30">
        <f t="shared" si="8"/>
        <v>2.9</v>
      </c>
      <c r="G15" s="30">
        <f t="shared" si="8"/>
        <v>2.9</v>
      </c>
      <c r="H15" s="30">
        <f t="shared" si="8"/>
        <v>2.9</v>
      </c>
      <c r="I15" s="30">
        <f t="shared" si="8"/>
        <v>2.9</v>
      </c>
      <c r="J15" s="30">
        <v>2.9</v>
      </c>
      <c r="K15" s="30">
        <f t="shared" si="8"/>
        <v>2.9</v>
      </c>
      <c r="L15" s="30">
        <f t="shared" si="8"/>
        <v>2.9</v>
      </c>
      <c r="M15" s="30">
        <f t="shared" si="8"/>
        <v>2.9</v>
      </c>
      <c r="N15" s="30">
        <f t="shared" si="8"/>
        <v>2.9</v>
      </c>
      <c r="O15" s="30">
        <f t="shared" si="8"/>
        <v>2.9</v>
      </c>
      <c r="P15" s="30">
        <f t="shared" si="8"/>
        <v>2.9</v>
      </c>
      <c r="Q15" s="30">
        <f t="shared" si="8"/>
        <v>2.9</v>
      </c>
      <c r="R15" s="30">
        <f t="shared" si="8"/>
        <v>2.9</v>
      </c>
      <c r="S15" s="30">
        <v>0</v>
      </c>
      <c r="T15" s="30">
        <f t="shared" si="8"/>
        <v>0</v>
      </c>
      <c r="U15" s="30">
        <f t="shared" si="8"/>
        <v>0</v>
      </c>
      <c r="V15" s="30">
        <f t="shared" si="8"/>
        <v>0</v>
      </c>
      <c r="W15" s="30">
        <f t="shared" si="8"/>
        <v>0</v>
      </c>
      <c r="X15" s="30">
        <f t="shared" si="8"/>
        <v>0</v>
      </c>
      <c r="Y15" s="30">
        <f t="shared" si="8"/>
        <v>0</v>
      </c>
      <c r="Z15" s="30">
        <f t="shared" si="8"/>
        <v>0</v>
      </c>
      <c r="AA15" s="30">
        <f t="shared" si="8"/>
        <v>0</v>
      </c>
      <c r="AB15" s="30">
        <f t="shared" si="8"/>
        <v>0</v>
      </c>
      <c r="AC15" s="30">
        <f t="shared" si="8"/>
        <v>0</v>
      </c>
      <c r="AD15" s="30">
        <f t="shared" si="8"/>
        <v>0</v>
      </c>
      <c r="AE15" s="30">
        <f t="shared" si="8"/>
        <v>0</v>
      </c>
      <c r="AF15" s="30">
        <f t="shared" si="8"/>
        <v>0</v>
      </c>
      <c r="AG15" s="30">
        <f t="shared" si="8"/>
        <v>0</v>
      </c>
      <c r="AH15" s="30">
        <f t="shared" si="8"/>
        <v>0</v>
      </c>
      <c r="AI15" s="30">
        <f t="shared" si="8"/>
        <v>0</v>
      </c>
      <c r="AJ15" s="30">
        <f t="shared" si="8"/>
        <v>0</v>
      </c>
      <c r="AK15" s="30">
        <f t="shared" si="8"/>
        <v>0</v>
      </c>
      <c r="AL15" s="30">
        <f t="shared" si="8"/>
        <v>0</v>
      </c>
      <c r="AM15" s="30">
        <f t="shared" si="8"/>
        <v>0</v>
      </c>
      <c r="AN15" s="30">
        <f t="shared" si="8"/>
        <v>0</v>
      </c>
      <c r="AO15" s="30">
        <f t="shared" si="8"/>
        <v>0</v>
      </c>
      <c r="AP15" s="30">
        <f t="shared" si="8"/>
        <v>0</v>
      </c>
      <c r="AQ15" s="30">
        <f t="shared" si="8"/>
        <v>0</v>
      </c>
      <c r="AR15" s="30">
        <f t="shared" si="8"/>
        <v>0</v>
      </c>
      <c r="AS15" s="30">
        <f t="shared" si="8"/>
        <v>0</v>
      </c>
      <c r="AT15" s="30">
        <f t="shared" si="8"/>
        <v>0</v>
      </c>
      <c r="AU15" s="30">
        <f t="shared" si="8"/>
        <v>0</v>
      </c>
      <c r="AV15" s="30">
        <f t="shared" si="8"/>
        <v>0</v>
      </c>
      <c r="AW15" s="30">
        <f t="shared" si="8"/>
        <v>0</v>
      </c>
      <c r="AX15" s="30">
        <f t="shared" si="8"/>
        <v>0</v>
      </c>
      <c r="AY15" s="30">
        <f t="shared" si="8"/>
        <v>0</v>
      </c>
      <c r="AZ15" s="30">
        <f t="shared" si="8"/>
        <v>0</v>
      </c>
      <c r="BA15" s="30">
        <f t="shared" si="8"/>
        <v>0</v>
      </c>
      <c r="BB15" s="30">
        <f t="shared" si="8"/>
        <v>0</v>
      </c>
      <c r="BC15" s="30">
        <f t="shared" si="8"/>
        <v>0</v>
      </c>
      <c r="BD15" s="30">
        <f t="shared" si="8"/>
        <v>0</v>
      </c>
      <c r="BE15" s="30">
        <f t="shared" si="8"/>
        <v>0</v>
      </c>
      <c r="BF15" s="30">
        <f t="shared" si="8"/>
        <v>0</v>
      </c>
      <c r="BG15" s="30">
        <f t="shared" si="8"/>
        <v>0</v>
      </c>
      <c r="BH15" s="30">
        <f t="shared" si="8"/>
        <v>0</v>
      </c>
      <c r="BI15" s="30">
        <f t="shared" si="8"/>
        <v>0</v>
      </c>
      <c r="BJ15" s="30">
        <f t="shared" si="8"/>
        <v>0</v>
      </c>
      <c r="BK15" s="30">
        <f t="shared" si="8"/>
        <v>0</v>
      </c>
      <c r="BL15" s="30">
        <f t="shared" si="8"/>
        <v>0</v>
      </c>
      <c r="BM15" s="30">
        <f t="shared" si="8"/>
        <v>0</v>
      </c>
      <c r="BN15" s="30">
        <f t="shared" si="8"/>
        <v>0</v>
      </c>
      <c r="BO15" s="30">
        <f t="shared" si="8"/>
        <v>0</v>
      </c>
      <c r="BP15" s="30">
        <f t="shared" ref="BP15:DB15" si="9">BO15</f>
        <v>0</v>
      </c>
      <c r="BQ15" s="30">
        <f t="shared" si="9"/>
        <v>0</v>
      </c>
      <c r="BR15" s="30">
        <f t="shared" si="9"/>
        <v>0</v>
      </c>
      <c r="BS15" s="30">
        <f t="shared" si="9"/>
        <v>0</v>
      </c>
      <c r="BT15" s="30">
        <f t="shared" si="9"/>
        <v>0</v>
      </c>
      <c r="BU15" s="30">
        <f t="shared" si="9"/>
        <v>0</v>
      </c>
      <c r="BV15" s="30">
        <f t="shared" si="9"/>
        <v>0</v>
      </c>
      <c r="BW15" s="30">
        <f t="shared" si="9"/>
        <v>0</v>
      </c>
      <c r="BX15" s="30">
        <f t="shared" si="9"/>
        <v>0</v>
      </c>
      <c r="BY15" s="30">
        <f t="shared" si="9"/>
        <v>0</v>
      </c>
      <c r="BZ15" s="30">
        <f t="shared" si="9"/>
        <v>0</v>
      </c>
      <c r="CA15" s="30">
        <f t="shared" si="9"/>
        <v>0</v>
      </c>
      <c r="CB15" s="30">
        <f t="shared" si="9"/>
        <v>0</v>
      </c>
      <c r="CC15" s="30">
        <f t="shared" si="9"/>
        <v>0</v>
      </c>
      <c r="CD15" s="30">
        <f t="shared" si="9"/>
        <v>0</v>
      </c>
      <c r="CE15" s="30">
        <f t="shared" si="9"/>
        <v>0</v>
      </c>
      <c r="CF15" s="30">
        <f t="shared" si="9"/>
        <v>0</v>
      </c>
      <c r="CG15" s="30">
        <f t="shared" si="9"/>
        <v>0</v>
      </c>
      <c r="CH15" s="30">
        <f t="shared" si="9"/>
        <v>0</v>
      </c>
      <c r="CI15" s="30">
        <f t="shared" si="9"/>
        <v>0</v>
      </c>
      <c r="CJ15" s="30">
        <f t="shared" si="9"/>
        <v>0</v>
      </c>
      <c r="CK15" s="30">
        <f t="shared" si="9"/>
        <v>0</v>
      </c>
      <c r="CL15" s="30">
        <f t="shared" si="9"/>
        <v>0</v>
      </c>
      <c r="CM15" s="30">
        <f t="shared" si="9"/>
        <v>0</v>
      </c>
      <c r="CN15" s="30">
        <f t="shared" si="9"/>
        <v>0</v>
      </c>
      <c r="CO15" s="30">
        <f t="shared" si="9"/>
        <v>0</v>
      </c>
      <c r="CP15" s="30">
        <f t="shared" si="9"/>
        <v>0</v>
      </c>
      <c r="CQ15" s="30">
        <f t="shared" si="9"/>
        <v>0</v>
      </c>
      <c r="CR15" s="30">
        <f t="shared" si="9"/>
        <v>0</v>
      </c>
      <c r="CS15" s="30">
        <f t="shared" si="9"/>
        <v>0</v>
      </c>
      <c r="CT15" s="30">
        <f t="shared" si="9"/>
        <v>0</v>
      </c>
      <c r="CU15" s="30">
        <f t="shared" si="9"/>
        <v>0</v>
      </c>
      <c r="CV15" s="30">
        <f t="shared" si="9"/>
        <v>0</v>
      </c>
      <c r="CW15" s="30">
        <f t="shared" si="9"/>
        <v>0</v>
      </c>
      <c r="CX15" s="30">
        <f t="shared" si="9"/>
        <v>0</v>
      </c>
      <c r="CY15" s="30">
        <f t="shared" si="9"/>
        <v>0</v>
      </c>
      <c r="CZ15" s="30">
        <f t="shared" si="9"/>
        <v>0</v>
      </c>
      <c r="DA15" s="30">
        <f t="shared" si="9"/>
        <v>0</v>
      </c>
      <c r="DB15" s="30">
        <f t="shared" si="9"/>
        <v>0</v>
      </c>
    </row>
    <row r="16" spans="1:106" ht="12.75" thickBot="1">
      <c r="A16" s="7" t="s">
        <v>23</v>
      </c>
      <c r="B16" s="10">
        <f t="shared" ref="B16:AG16" si="10">SUM(B4:B15)</f>
        <v>313.41499999999996</v>
      </c>
      <c r="C16" s="10">
        <f t="shared" si="10"/>
        <v>331.5650057326003</v>
      </c>
      <c r="D16" s="10">
        <f t="shared" si="10"/>
        <v>334.16653847661058</v>
      </c>
      <c r="E16" s="10">
        <f t="shared" si="10"/>
        <v>334.092995751834</v>
      </c>
      <c r="F16" s="10">
        <f t="shared" si="10"/>
        <v>335.58793406919227</v>
      </c>
      <c r="G16" s="10">
        <f t="shared" si="10"/>
        <v>335.45483905662826</v>
      </c>
      <c r="H16" s="10">
        <f t="shared" si="10"/>
        <v>337.82274003644812</v>
      </c>
      <c r="I16" s="10">
        <f t="shared" si="10"/>
        <v>339.06588167191666</v>
      </c>
      <c r="J16" s="10">
        <f t="shared" si="10"/>
        <v>246.18709999999999</v>
      </c>
      <c r="K16" s="10">
        <f t="shared" si="10"/>
        <v>245.13524304667033</v>
      </c>
      <c r="L16" s="10">
        <f t="shared" si="10"/>
        <v>245.08742659013893</v>
      </c>
      <c r="M16" s="10">
        <f t="shared" si="10"/>
        <v>242.80852139880091</v>
      </c>
      <c r="N16" s="10">
        <f t="shared" si="10"/>
        <v>243.6714273432639</v>
      </c>
      <c r="O16" s="10">
        <f t="shared" si="10"/>
        <v>241.91641488322171</v>
      </c>
      <c r="P16" s="10">
        <f t="shared" si="10"/>
        <v>242.65517490466141</v>
      </c>
      <c r="Q16" s="10">
        <f t="shared" si="10"/>
        <v>258.75532912929009</v>
      </c>
      <c r="R16" s="10">
        <f t="shared" si="10"/>
        <v>262.91942644272217</v>
      </c>
      <c r="S16" s="10">
        <f t="shared" si="10"/>
        <v>257.10665622467451</v>
      </c>
      <c r="T16" s="10">
        <f t="shared" si="10"/>
        <v>256.45160031565558</v>
      </c>
      <c r="U16" s="10">
        <f t="shared" si="10"/>
        <v>263.0691209015568</v>
      </c>
      <c r="V16" s="10">
        <f t="shared" si="10"/>
        <v>281.305351993957</v>
      </c>
      <c r="W16" s="10">
        <f t="shared" si="10"/>
        <v>278.49754734429894</v>
      </c>
      <c r="X16" s="10">
        <f t="shared" si="10"/>
        <v>278.63300594537537</v>
      </c>
      <c r="Y16" s="10">
        <f t="shared" si="10"/>
        <v>274.52001509496688</v>
      </c>
      <c r="Z16" s="10">
        <f t="shared" si="10"/>
        <v>274.65751118832299</v>
      </c>
      <c r="AA16" s="10">
        <f>SUM(AA4:AA15)</f>
        <v>325.3616219999364</v>
      </c>
      <c r="AB16" s="10">
        <f t="shared" si="10"/>
        <v>326.01343339630893</v>
      </c>
      <c r="AC16" s="10">
        <f t="shared" si="10"/>
        <v>322.70504105485423</v>
      </c>
      <c r="AD16" s="10">
        <f t="shared" si="10"/>
        <v>322.86623554158598</v>
      </c>
      <c r="AE16" s="10">
        <f t="shared" si="10"/>
        <v>319.39976269591813</v>
      </c>
      <c r="AF16" s="10">
        <f t="shared" si="10"/>
        <v>320.06812812868367</v>
      </c>
      <c r="AG16" s="10">
        <f t="shared" si="10"/>
        <v>319.83914644079556</v>
      </c>
      <c r="AH16" s="10">
        <f t="shared" ref="AH16:BM16" si="11">SUM(AH4:AH15)</f>
        <v>271.6922812758292</v>
      </c>
      <c r="AI16" s="10">
        <f t="shared" si="11"/>
        <v>266.62520950127168</v>
      </c>
      <c r="AJ16" s="10">
        <f t="shared" si="11"/>
        <v>264.73842454815372</v>
      </c>
      <c r="AK16" s="10">
        <f t="shared" si="11"/>
        <v>259.61026645744033</v>
      </c>
      <c r="AL16" s="10">
        <f t="shared" si="11"/>
        <v>258.27777386145522</v>
      </c>
      <c r="AM16" s="10">
        <f t="shared" si="11"/>
        <v>253.52144448716575</v>
      </c>
      <c r="AN16" s="10">
        <f t="shared" si="11"/>
        <v>251.6569059286264</v>
      </c>
      <c r="AO16" s="10">
        <f t="shared" si="11"/>
        <v>246.73225263870552</v>
      </c>
      <c r="AP16" s="10">
        <f t="shared" si="11"/>
        <v>249.19477603611202</v>
      </c>
      <c r="AQ16" s="10">
        <f t="shared" si="11"/>
        <v>245.79069882797995</v>
      </c>
      <c r="AR16" s="10">
        <f t="shared" si="11"/>
        <v>250.03456336829706</v>
      </c>
      <c r="AS16" s="10">
        <f t="shared" si="11"/>
        <v>245.80550697740907</v>
      </c>
      <c r="AT16" s="10">
        <f t="shared" si="11"/>
        <v>206.19371009221834</v>
      </c>
      <c r="AU16" s="10">
        <f t="shared" si="11"/>
        <v>202.91409276511476</v>
      </c>
      <c r="AV16" s="10">
        <f t="shared" si="11"/>
        <v>208.12094421533618</v>
      </c>
      <c r="AW16" s="10">
        <f t="shared" si="11"/>
        <v>201.73877543242014</v>
      </c>
      <c r="AX16" s="10">
        <f t="shared" si="11"/>
        <v>206.99419314557548</v>
      </c>
      <c r="AY16" s="10">
        <f t="shared" si="11"/>
        <v>202.21003721666429</v>
      </c>
      <c r="AZ16" s="10">
        <f t="shared" si="11"/>
        <v>207.17459696863409</v>
      </c>
      <c r="BA16" s="10">
        <f t="shared" si="11"/>
        <v>202.51786239807976</v>
      </c>
      <c r="BB16" s="10">
        <f t="shared" si="11"/>
        <v>207.51576077596116</v>
      </c>
      <c r="BC16" s="10">
        <f t="shared" si="11"/>
        <v>202.82568757949525</v>
      </c>
      <c r="BD16" s="10">
        <f t="shared" si="11"/>
        <v>208.10801263282048</v>
      </c>
      <c r="BE16" s="10">
        <f t="shared" si="11"/>
        <v>202.63492779359436</v>
      </c>
      <c r="BF16" s="10">
        <f t="shared" si="11"/>
        <v>161.23757205788061</v>
      </c>
      <c r="BG16" s="10">
        <f t="shared" si="11"/>
        <v>156.51794389336766</v>
      </c>
      <c r="BH16" s="10">
        <f t="shared" si="11"/>
        <v>162.15973442485361</v>
      </c>
      <c r="BI16" s="10">
        <f t="shared" si="11"/>
        <v>155.3911209668525</v>
      </c>
      <c r="BJ16" s="10">
        <f t="shared" si="11"/>
        <v>161.06439030283906</v>
      </c>
      <c r="BK16" s="10">
        <f t="shared" si="11"/>
        <v>155.92304263349232</v>
      </c>
      <c r="BL16" s="10">
        <f t="shared" si="11"/>
        <v>161.26458341010584</v>
      </c>
      <c r="BM16" s="10">
        <f t="shared" si="11"/>
        <v>156.27881976208934</v>
      </c>
      <c r="BN16" s="10">
        <f t="shared" ref="BN16:CS16" si="12">SUM(BN4:BN15)</f>
        <v>161.63769662417693</v>
      </c>
      <c r="BO16" s="10">
        <f t="shared" si="12"/>
        <v>156.63459689068642</v>
      </c>
      <c r="BP16" s="10">
        <f t="shared" si="12"/>
        <v>162.2781118808625</v>
      </c>
      <c r="BQ16" s="10">
        <f t="shared" si="12"/>
        <v>156.46038620694418</v>
      </c>
      <c r="BR16" s="10">
        <f t="shared" si="12"/>
        <v>115.78680782489194</v>
      </c>
      <c r="BS16" s="10">
        <f t="shared" si="12"/>
        <v>111.12280700259038</v>
      </c>
      <c r="BT16" s="10">
        <f t="shared" si="12"/>
        <v>117.48161383971738</v>
      </c>
      <c r="BU16" s="10">
        <f t="shared" si="12"/>
        <v>110.44110401549268</v>
      </c>
      <c r="BV16" s="10">
        <f t="shared" si="12"/>
        <v>116.8300207287844</v>
      </c>
      <c r="BW16" s="10">
        <f t="shared" si="12"/>
        <v>111.06940639423449</v>
      </c>
      <c r="BX16" s="10">
        <f t="shared" si="12"/>
        <v>118.90536297422378</v>
      </c>
      <c r="BY16" s="10">
        <f t="shared" si="12"/>
        <v>113.30374759421569</v>
      </c>
      <c r="BZ16" s="10">
        <f t="shared" si="12"/>
        <v>119.32248801362107</v>
      </c>
      <c r="CA16" s="10">
        <f t="shared" si="12"/>
        <v>115.5218795551996</v>
      </c>
      <c r="CB16" s="10">
        <f t="shared" si="12"/>
        <v>121.94031461455582</v>
      </c>
      <c r="CC16" s="10">
        <f t="shared" si="12"/>
        <v>115.4471681827593</v>
      </c>
      <c r="CD16" s="10">
        <f t="shared" si="12"/>
        <v>78.52376464546785</v>
      </c>
      <c r="CE16" s="10">
        <f t="shared" si="12"/>
        <v>72.937350171053737</v>
      </c>
      <c r="CF16" s="10">
        <f t="shared" si="12"/>
        <v>79.772108587130973</v>
      </c>
      <c r="CG16" s="10">
        <f t="shared" si="12"/>
        <v>72.756514012039872</v>
      </c>
      <c r="CH16" s="10">
        <f t="shared" si="12"/>
        <v>79.61938463899557</v>
      </c>
      <c r="CI16" s="10">
        <f t="shared" si="12"/>
        <v>73.529981868696638</v>
      </c>
      <c r="CJ16" s="10">
        <f t="shared" si="12"/>
        <v>80.723073490235691</v>
      </c>
      <c r="CK16" s="10">
        <f t="shared" si="12"/>
        <v>74.81365773259941</v>
      </c>
      <c r="CL16" s="10">
        <f t="shared" si="12"/>
        <v>81.292502383826388</v>
      </c>
      <c r="CM16" s="10">
        <f t="shared" si="12"/>
        <v>73.907371472123344</v>
      </c>
      <c r="CN16" s="10">
        <f t="shared" si="12"/>
        <v>80.74099871914423</v>
      </c>
      <c r="CO16" s="10">
        <f t="shared" si="12"/>
        <v>74.063937184307349</v>
      </c>
      <c r="CP16" s="10">
        <f t="shared" si="12"/>
        <v>33.624673597567586</v>
      </c>
      <c r="CQ16" s="10">
        <f t="shared" si="12"/>
        <v>27.620703419601796</v>
      </c>
      <c r="CR16" s="10">
        <f t="shared" si="12"/>
        <v>34.890872042213594</v>
      </c>
      <c r="CS16" s="10">
        <f t="shared" si="12"/>
        <v>26.063774649497169</v>
      </c>
      <c r="CT16" s="10">
        <f t="shared" ref="CT16:DB16" si="13">SUM(CT4:CT15)</f>
        <v>33.375888014796459</v>
      </c>
      <c r="CU16" s="10">
        <f t="shared" si="13"/>
        <v>26.955937268332654</v>
      </c>
      <c r="CV16" s="10">
        <f t="shared" si="13"/>
        <v>17.785070103281619</v>
      </c>
      <c r="CW16" s="10">
        <f t="shared" si="13"/>
        <v>-4.4626022561520688</v>
      </c>
      <c r="CX16" s="10">
        <f t="shared" si="13"/>
        <v>-4.4626022561520688</v>
      </c>
      <c r="CY16" s="10">
        <f t="shared" si="13"/>
        <v>-4.4626022561520688</v>
      </c>
      <c r="CZ16" s="10">
        <f t="shared" si="13"/>
        <v>-4.4626022561520688</v>
      </c>
      <c r="DA16" s="10">
        <f t="shared" si="13"/>
        <v>-4.4626022561520688</v>
      </c>
      <c r="DB16" s="10">
        <f t="shared" si="13"/>
        <v>-4.4626022561520688</v>
      </c>
    </row>
    <row r="17" spans="1:106" ht="12.75" thickTop="1">
      <c r="H17" s="11"/>
      <c r="J17" s="11"/>
      <c r="N17" s="11"/>
      <c r="U17" s="11"/>
      <c r="AA17" s="11"/>
      <c r="AH17" s="11"/>
      <c r="AP17">
        <v>-1</v>
      </c>
    </row>
    <row r="18" spans="1:106">
      <c r="A18" s="7" t="s">
        <v>24</v>
      </c>
      <c r="B18" s="8">
        <v>44043</v>
      </c>
      <c r="C18" s="8">
        <f t="shared" ref="C18:AH18" si="14">C3</f>
        <v>44074</v>
      </c>
      <c r="D18" s="8">
        <f t="shared" si="14"/>
        <v>44104</v>
      </c>
      <c r="E18" s="8">
        <f t="shared" si="14"/>
        <v>44135</v>
      </c>
      <c r="F18" s="8">
        <f t="shared" si="14"/>
        <v>44165</v>
      </c>
      <c r="G18" s="8">
        <f t="shared" si="14"/>
        <v>44196</v>
      </c>
      <c r="H18" s="8">
        <f t="shared" si="14"/>
        <v>44227</v>
      </c>
      <c r="I18" s="8">
        <f t="shared" si="14"/>
        <v>44255</v>
      </c>
      <c r="J18" s="8">
        <f t="shared" si="14"/>
        <v>44286</v>
      </c>
      <c r="K18" s="8">
        <f t="shared" si="14"/>
        <v>44316</v>
      </c>
      <c r="L18" s="8">
        <f t="shared" si="14"/>
        <v>44347</v>
      </c>
      <c r="M18" s="8">
        <f t="shared" si="14"/>
        <v>44377</v>
      </c>
      <c r="N18" s="8">
        <f t="shared" si="14"/>
        <v>44408</v>
      </c>
      <c r="O18" s="8">
        <f t="shared" si="14"/>
        <v>44439</v>
      </c>
      <c r="P18" s="8">
        <f t="shared" si="14"/>
        <v>44469</v>
      </c>
      <c r="Q18" s="8">
        <f t="shared" si="14"/>
        <v>44500</v>
      </c>
      <c r="R18" s="8">
        <f t="shared" si="14"/>
        <v>44530</v>
      </c>
      <c r="S18" s="8">
        <f t="shared" si="14"/>
        <v>44561</v>
      </c>
      <c r="T18" s="8">
        <f t="shared" si="14"/>
        <v>44592</v>
      </c>
      <c r="U18" s="8">
        <f t="shared" si="14"/>
        <v>44620</v>
      </c>
      <c r="V18" s="8">
        <f t="shared" si="14"/>
        <v>44651</v>
      </c>
      <c r="W18" s="8">
        <f t="shared" si="14"/>
        <v>44681</v>
      </c>
      <c r="X18" s="8">
        <f t="shared" si="14"/>
        <v>44712</v>
      </c>
      <c r="Y18" s="8">
        <f t="shared" si="14"/>
        <v>44742</v>
      </c>
      <c r="Z18" s="8">
        <f t="shared" si="14"/>
        <v>44773</v>
      </c>
      <c r="AA18" s="8">
        <f t="shared" si="14"/>
        <v>44804</v>
      </c>
      <c r="AB18" s="8">
        <f t="shared" si="14"/>
        <v>44834</v>
      </c>
      <c r="AC18" s="8">
        <f t="shared" si="14"/>
        <v>44865</v>
      </c>
      <c r="AD18" s="8">
        <f t="shared" si="14"/>
        <v>44895</v>
      </c>
      <c r="AE18" s="8">
        <f t="shared" si="14"/>
        <v>44926</v>
      </c>
      <c r="AF18" s="8">
        <f t="shared" si="14"/>
        <v>44957</v>
      </c>
      <c r="AG18" s="8">
        <f t="shared" si="14"/>
        <v>44985</v>
      </c>
      <c r="AH18" s="8">
        <f t="shared" si="14"/>
        <v>45016</v>
      </c>
      <c r="AI18" s="8">
        <f t="shared" ref="AI18:BN18" si="15">AI3</f>
        <v>45046</v>
      </c>
      <c r="AJ18" s="8">
        <f t="shared" si="15"/>
        <v>45077</v>
      </c>
      <c r="AK18" s="8">
        <f t="shared" si="15"/>
        <v>45107</v>
      </c>
      <c r="AL18" s="8">
        <f t="shared" si="15"/>
        <v>45138</v>
      </c>
      <c r="AM18" s="8">
        <f t="shared" si="15"/>
        <v>45169</v>
      </c>
      <c r="AN18" s="8">
        <f t="shared" si="15"/>
        <v>45199</v>
      </c>
      <c r="AO18" s="8">
        <f t="shared" si="15"/>
        <v>45230</v>
      </c>
      <c r="AP18" s="8">
        <f t="shared" si="15"/>
        <v>45260</v>
      </c>
      <c r="AQ18" s="8">
        <f t="shared" si="15"/>
        <v>45291</v>
      </c>
      <c r="AR18" s="8">
        <f t="shared" si="15"/>
        <v>45322</v>
      </c>
      <c r="AS18" s="8">
        <f t="shared" si="15"/>
        <v>45351</v>
      </c>
      <c r="AT18" s="8">
        <f t="shared" si="15"/>
        <v>45382</v>
      </c>
      <c r="AU18" s="8">
        <f t="shared" si="15"/>
        <v>45412</v>
      </c>
      <c r="AV18" s="8">
        <f t="shared" si="15"/>
        <v>45443</v>
      </c>
      <c r="AW18" s="8">
        <f t="shared" si="15"/>
        <v>45473</v>
      </c>
      <c r="AX18" s="8">
        <f t="shared" si="15"/>
        <v>45504</v>
      </c>
      <c r="AY18" s="8">
        <f t="shared" si="15"/>
        <v>45535</v>
      </c>
      <c r="AZ18" s="8">
        <f t="shared" si="15"/>
        <v>45565</v>
      </c>
      <c r="BA18" s="8">
        <f t="shared" si="15"/>
        <v>45596</v>
      </c>
      <c r="BB18" s="8">
        <f t="shared" si="15"/>
        <v>45626</v>
      </c>
      <c r="BC18" s="8">
        <f t="shared" si="15"/>
        <v>45657</v>
      </c>
      <c r="BD18" s="8">
        <f t="shared" si="15"/>
        <v>45688</v>
      </c>
      <c r="BE18" s="8">
        <f t="shared" si="15"/>
        <v>45716</v>
      </c>
      <c r="BF18" s="8">
        <f t="shared" si="15"/>
        <v>45747</v>
      </c>
      <c r="BG18" s="8">
        <f t="shared" si="15"/>
        <v>45777</v>
      </c>
      <c r="BH18" s="8">
        <f t="shared" si="15"/>
        <v>45808</v>
      </c>
      <c r="BI18" s="8">
        <f t="shared" si="15"/>
        <v>45838</v>
      </c>
      <c r="BJ18" s="8">
        <f t="shared" si="15"/>
        <v>45869</v>
      </c>
      <c r="BK18" s="8">
        <f t="shared" si="15"/>
        <v>45900</v>
      </c>
      <c r="BL18" s="8">
        <f t="shared" si="15"/>
        <v>45930</v>
      </c>
      <c r="BM18" s="8">
        <f t="shared" si="15"/>
        <v>45961</v>
      </c>
      <c r="BN18" s="8">
        <f t="shared" si="15"/>
        <v>45991</v>
      </c>
      <c r="BO18" s="8">
        <f t="shared" ref="BO18:CT18" si="16">BO3</f>
        <v>46022</v>
      </c>
      <c r="BP18" s="8">
        <f t="shared" si="16"/>
        <v>46053</v>
      </c>
      <c r="BQ18" s="8">
        <f t="shared" si="16"/>
        <v>46081</v>
      </c>
      <c r="BR18" s="8">
        <f t="shared" si="16"/>
        <v>46112</v>
      </c>
      <c r="BS18" s="8">
        <f t="shared" si="16"/>
        <v>46142</v>
      </c>
      <c r="BT18" s="8">
        <f t="shared" si="16"/>
        <v>46173</v>
      </c>
      <c r="BU18" s="8">
        <f t="shared" si="16"/>
        <v>46203</v>
      </c>
      <c r="BV18" s="8">
        <f t="shared" si="16"/>
        <v>46234</v>
      </c>
      <c r="BW18" s="8">
        <f t="shared" si="16"/>
        <v>46265</v>
      </c>
      <c r="BX18" s="8">
        <f t="shared" si="16"/>
        <v>46295</v>
      </c>
      <c r="BY18" s="8">
        <f t="shared" si="16"/>
        <v>46326</v>
      </c>
      <c r="BZ18" s="8">
        <f t="shared" si="16"/>
        <v>46356</v>
      </c>
      <c r="CA18" s="8">
        <f t="shared" si="16"/>
        <v>46387</v>
      </c>
      <c r="CB18" s="8">
        <f t="shared" si="16"/>
        <v>46418</v>
      </c>
      <c r="CC18" s="8">
        <f t="shared" si="16"/>
        <v>46446</v>
      </c>
      <c r="CD18" s="8">
        <f t="shared" si="16"/>
        <v>46477</v>
      </c>
      <c r="CE18" s="8">
        <f t="shared" si="16"/>
        <v>46507</v>
      </c>
      <c r="CF18" s="8">
        <f t="shared" si="16"/>
        <v>46538</v>
      </c>
      <c r="CG18" s="8">
        <f t="shared" si="16"/>
        <v>46568</v>
      </c>
      <c r="CH18" s="8">
        <f t="shared" si="16"/>
        <v>46599</v>
      </c>
      <c r="CI18" s="8">
        <f t="shared" si="16"/>
        <v>46630</v>
      </c>
      <c r="CJ18" s="8">
        <f t="shared" si="16"/>
        <v>46660</v>
      </c>
      <c r="CK18" s="8">
        <f t="shared" si="16"/>
        <v>46691</v>
      </c>
      <c r="CL18" s="8">
        <f t="shared" si="16"/>
        <v>46721</v>
      </c>
      <c r="CM18" s="8">
        <f t="shared" si="16"/>
        <v>46752</v>
      </c>
      <c r="CN18" s="8">
        <f t="shared" si="16"/>
        <v>46783</v>
      </c>
      <c r="CO18" s="8">
        <f t="shared" si="16"/>
        <v>46812</v>
      </c>
      <c r="CP18" s="8">
        <f t="shared" si="16"/>
        <v>46843</v>
      </c>
      <c r="CQ18" s="8">
        <f t="shared" si="16"/>
        <v>46873</v>
      </c>
      <c r="CR18" s="8">
        <f t="shared" si="16"/>
        <v>46904</v>
      </c>
      <c r="CS18" s="8">
        <f t="shared" si="16"/>
        <v>46934</v>
      </c>
      <c r="CT18" s="8">
        <f t="shared" si="16"/>
        <v>46965</v>
      </c>
      <c r="CU18" s="8">
        <f t="shared" ref="CU18:DB18" si="17">CU3</f>
        <v>46996</v>
      </c>
      <c r="CV18" s="8">
        <f t="shared" si="17"/>
        <v>47026</v>
      </c>
      <c r="CW18" s="8">
        <f t="shared" si="17"/>
        <v>47056</v>
      </c>
      <c r="CX18" s="8">
        <f t="shared" si="17"/>
        <v>47087</v>
      </c>
      <c r="CY18" s="8">
        <f t="shared" si="17"/>
        <v>47117</v>
      </c>
      <c r="CZ18" s="8">
        <f t="shared" si="17"/>
        <v>47148</v>
      </c>
      <c r="DA18" s="8">
        <f t="shared" si="17"/>
        <v>47177</v>
      </c>
      <c r="DB18" s="8">
        <f t="shared" si="17"/>
        <v>47208</v>
      </c>
    </row>
    <row r="19" spans="1:106">
      <c r="A19" t="s">
        <v>93</v>
      </c>
      <c r="B19" s="30">
        <f>'CF Capex'!B28</f>
        <v>338.55986376900012</v>
      </c>
      <c r="C19" s="30">
        <f>B19+'CF Capex'!C28+'Monthly CF'!B34</f>
        <v>338.55986376900012</v>
      </c>
      <c r="D19" s="30">
        <f>C19+'CF Capex'!D28+'Monthly CF'!C34</f>
        <v>338.55986376900012</v>
      </c>
      <c r="E19" s="30">
        <f>D19+'CF Capex'!E28+'Monthly CF'!D34</f>
        <v>338.55986376900012</v>
      </c>
      <c r="F19" s="30">
        <f>E19+'CF Capex'!F28+'Monthly CF'!E34</f>
        <v>338.55986376900012</v>
      </c>
      <c r="G19" s="30">
        <f>F19+'CF Capex'!G28+'Monthly CF'!F34</f>
        <v>338.55986376900012</v>
      </c>
      <c r="H19" s="30">
        <f>G19+'CF Capex'!H28+'Monthly CF'!G34</f>
        <v>338.55986376900012</v>
      </c>
      <c r="I19" s="30">
        <f>H19+'CF Capex'!I28+'Monthly CF'!H34</f>
        <v>338.55986376900012</v>
      </c>
      <c r="J19" s="30">
        <f>296.888004576863+2.8+2+14.16-47.44</f>
        <v>268.40800457686305</v>
      </c>
      <c r="K19" s="30">
        <f>J19+'CF Capex'!K28+'Monthly CF'!J34+1</f>
        <v>269.40800457686305</v>
      </c>
      <c r="L19" s="30">
        <f>K19+'CF Capex'!L28+'Monthly CF'!K34-0.48</f>
        <v>268.92800457686303</v>
      </c>
      <c r="M19" s="30">
        <f>L19+'CF Capex'!M28+'Monthly CF'!L34-2.71</f>
        <v>266.21800457686305</v>
      </c>
      <c r="N19" s="30">
        <f>M19+'CF Capex'!N28+'Monthly CF'!M34+0.03</f>
        <v>266.24800457686302</v>
      </c>
      <c r="O19" s="30">
        <f>N19+'CF Capex'!O28+'Monthly CF'!N34-1.55+0.02</f>
        <v>264.718004576863</v>
      </c>
      <c r="P19" s="30">
        <f>O19+'CF Capex'!P28+'Monthly CF'!O34-2.88-1.34+0.03</f>
        <v>262.85136369168441</v>
      </c>
      <c r="Q19" s="30">
        <v>314</v>
      </c>
      <c r="R19" s="30">
        <f>Q19+'CF Capex'!R28+'Monthly CF'!Q34</f>
        <v>322.41242012072968</v>
      </c>
      <c r="S19" s="30">
        <f>R19+'CF Capex'!S28+'Monthly CF'!R34-41.14</f>
        <v>293.73116629915779</v>
      </c>
      <c r="T19" s="30">
        <f>S19+'CF Capex'!T28+'Monthly CF'!S34+6.75-22.75+0.68</f>
        <v>277.89385903889354</v>
      </c>
      <c r="U19" s="30">
        <f>T19+'CF Capex'!U28+'Monthly CF'!T34</f>
        <v>293.68219215662731</v>
      </c>
      <c r="V19" s="30">
        <v>301.79370236311502</v>
      </c>
      <c r="W19" s="30">
        <f>V19-'CF Capex'!M26+V24-W24+'Monthly CF'!V34</f>
        <v>301.83370236311504</v>
      </c>
      <c r="X19" s="30">
        <f>W19-'CF Capex'!N26+W24-X24+'Monthly CF'!W34</f>
        <v>301.87370236311506</v>
      </c>
      <c r="Y19" s="30">
        <f>X19-'CF Capex'!O26+X24-Y24+'Monthly CF'!X34</f>
        <v>301.91370236311508</v>
      </c>
      <c r="Z19" s="30">
        <f>Y19-'CF Capex'!P26+Y24-Z24+'Monthly CF'!Y34-'CF Capex'!P23</f>
        <v>302.27706147793651</v>
      </c>
      <c r="AA19" s="30">
        <f>Z19-'CF Capex'!Q26+Z24-AA24+'Monthly CF'!Z34-'CF Capex'!Q23+'CF Capex'!Q11</f>
        <v>305.88797970875794</v>
      </c>
      <c r="AB19" s="30">
        <f>AA19-'CF Capex'!R26+AA24-AB24+'Monthly CF'!AA34-'CF Capex'!R23</f>
        <v>313.31823982948765</v>
      </c>
      <c r="AC19" s="30">
        <f>AB19-'CF Capex'!S26+AB24-AC24+'Monthly CF'!AB34-'CF Capex'!S23</f>
        <v>319.43153237426191</v>
      </c>
      <c r="AD19" s="30">
        <f>AC19-'CF Capex'!T26+AC24-AD24+'Monthly CF'!AC34-'CF Capex'!T23</f>
        <v>328.40454193564756</v>
      </c>
      <c r="AE19" s="30">
        <f>AD19-'CF Capex'!U26+AD24-AE24+'Monthly CF'!AD34-'CF Capex'!U23-0.32</f>
        <v>330.99000976448536</v>
      </c>
      <c r="AF19" s="30">
        <f>AE19-'CF Capex'!V26+AE24-AF24+'Monthly CF'!AE34-'CF Capex'!V23</f>
        <v>341.37278815754723</v>
      </c>
      <c r="AG19" s="30">
        <f>AF19-'CF Capex'!W26+AF24-AG24+'Monthly CF'!AF34-'CF Capex'!W23</f>
        <v>348.96035613611701</v>
      </c>
      <c r="AH19" s="30">
        <f>AG19-'CF Capex'!X26+AG24-AH24+'Monthly CF'!AG34-'CF Capex'!X23</f>
        <v>344.4076644232187</v>
      </c>
      <c r="AI19" s="30">
        <f>AH19-'CF Capex'!Y26+AH24-AI24+'Monthly CF'!AH34-'CF Capex'!Y23</f>
        <v>346.80860383823733</v>
      </c>
      <c r="AJ19" s="30">
        <f>AI19-'CF Capex'!Z26+AI24-AJ24+'Monthly CF'!AI34-'CF Capex'!Z23</f>
        <v>345.07156455303988</v>
      </c>
      <c r="AK19" s="30">
        <f>AJ19-'CF Capex'!AA26+AJ24-AK24+'Monthly CF'!AJ34-'CF Capex'!AA23</f>
        <v>347.15886367195628</v>
      </c>
      <c r="AL19" s="30">
        <f>AK19-'CF Capex'!AB26+AK24-AL24+'Monthly CF'!AK34-'CF Capex'!AB23</f>
        <v>347.18293123591741</v>
      </c>
      <c r="AM19" s="30">
        <f>AL19-'CF Capex'!AC26+AL24-AM24+'Monthly CF'!AL34-'CF Capex'!AC23</f>
        <v>348.29837116710837</v>
      </c>
      <c r="AN19" s="30">
        <f>AM19-'CF Capex'!AD26+AM24-AN24+'Monthly CF'!AM34-'CF Capex'!AD23+15</f>
        <v>346.39335531710839</v>
      </c>
      <c r="AO19" s="30">
        <f>AN19-'CF Capex'!AE26+AN24-AO24+'Monthly CF'!AN34-'CF Capex'!AE23</f>
        <v>345.73809441710841</v>
      </c>
      <c r="AP19" s="30">
        <f>AO19-'CF Capex'!AF26+AO24-AP24+'Monthly CF'!AO34-'CF Capex'!AF23</f>
        <v>345.0316285441084</v>
      </c>
      <c r="AQ19" s="30">
        <f>AP19-'CF Capex'!AG26+AP24-AQ24+'Monthly CF'!AP34-'CF Capex'!AG23</f>
        <v>343.07469027110841</v>
      </c>
      <c r="AR19" s="30">
        <f>AQ19-'CF Capex'!AH26+AQ24-AR24+'Monthly CF'!AQ34-'CF Capex'!AH23</f>
        <v>343.79128654410846</v>
      </c>
      <c r="AS19" s="30">
        <f>AR19-'CF Capex'!AI26+AR24-AS24+'Monthly CF'!AR34-'CF Capex'!AI23</f>
        <v>343.83052048549303</v>
      </c>
      <c r="AT19" s="30">
        <f>AS19-'CF Capex'!AJ26+AS24-AT24+'Monthly CF'!AS34-'CF Capex'!AJ23</f>
        <v>343.87052048549305</v>
      </c>
      <c r="AU19" s="30">
        <f>AT19-'CF Capex'!AK26+AT24-AU24+'Monthly CF'!AT34-'CF Capex'!AK23</f>
        <v>343.91052048549307</v>
      </c>
      <c r="AV19" s="30">
        <f>AU19-'CF Capex'!AL26+AU24-AV24+'Monthly CF'!AU34-'CF Capex'!AL23</f>
        <v>343.95052048549309</v>
      </c>
      <c r="AW19" s="30">
        <f>AV19-'CF Capex'!AM26+AV24-AW24+'Monthly CF'!AV34-'CF Capex'!AM23</f>
        <v>343.99052048549311</v>
      </c>
      <c r="AX19" s="30">
        <f>AW19-'CF Capex'!AN26+AW24-AX24+'Monthly CF'!AW34-'CF Capex'!AN23</f>
        <v>344.03052048549313</v>
      </c>
      <c r="AY19" s="30">
        <f>AX19-'CF Capex'!AO26+AX24-AY24+'Monthly CF'!AX34-'CF Capex'!AO23</f>
        <v>344.07052048549315</v>
      </c>
      <c r="AZ19" s="30">
        <f>AY19-'CF Capex'!AP26+AY24-AZ24+'Monthly CF'!AY34-'CF Capex'!AP23</f>
        <v>344.11052048549317</v>
      </c>
      <c r="BA19" s="30">
        <f>AZ19-'CF Capex'!AQ26+AZ24-BA24+'Monthly CF'!AZ34-'CF Capex'!AQ23</f>
        <v>344.15052048549319</v>
      </c>
      <c r="BB19" s="30">
        <f>BA19-'CF Capex'!AR26+BA24-BB24+'Monthly CF'!BA34-'CF Capex'!AR23</f>
        <v>344.19052048549321</v>
      </c>
      <c r="BC19" s="30">
        <f>BB19-'CF Capex'!AS26+BB24-BC24+'Monthly CF'!BB34-'CF Capex'!AS23</f>
        <v>344.23052048549323</v>
      </c>
      <c r="BD19" s="30">
        <f>BC19-'CF Capex'!AT26+BC24-BD24+'Monthly CF'!BC34-'CF Capex'!AT23</f>
        <v>344.27052048549325</v>
      </c>
      <c r="BE19" s="30">
        <f>BD19-'CF Capex'!AU26+BD24-BE24+'Monthly CF'!BD34-'CF Capex'!AU23</f>
        <v>344.31052048549327</v>
      </c>
      <c r="BF19" s="30">
        <f>BE19-'CF Capex'!AV26+BE24-BF24+'Monthly CF'!BE34-'CF Capex'!AV23</f>
        <v>344.35052048549329</v>
      </c>
      <c r="BG19" s="30">
        <f>BF19-'CF Capex'!AW26+BF24-BG24+'Monthly CF'!BF34-'CF Capex'!AW23</f>
        <v>344.39052048549331</v>
      </c>
      <c r="BH19" s="30">
        <f>BG19-'CF Capex'!AX26+BG24-BH24+'Monthly CF'!BG34-'CF Capex'!AX23</f>
        <v>344.43052048549333</v>
      </c>
      <c r="BI19" s="30">
        <f>BH19-'CF Capex'!AY26+BH24-BI24+'Monthly CF'!BH34-'CF Capex'!AY23</f>
        <v>344.47052048549335</v>
      </c>
      <c r="BJ19" s="30">
        <f>BI19-'CF Capex'!AZ26+BI24-BJ24+'Monthly CF'!BI34-'CF Capex'!AZ23</f>
        <v>344.51052048549337</v>
      </c>
      <c r="BK19" s="30">
        <f>BJ19-'CF Capex'!BA26+BJ24-BK24+'Monthly CF'!BJ34-'CF Capex'!BA23</f>
        <v>344.55052048549339</v>
      </c>
      <c r="BL19" s="30">
        <f>BK19-'CF Capex'!BB26+BK24-BL24+'Monthly CF'!BK34-'CF Capex'!BB23</f>
        <v>344.59052048549341</v>
      </c>
      <c r="BM19" s="30">
        <f>BL19-'CF Capex'!BC26+BL24-BM24+'Monthly CF'!BL34-'CF Capex'!BC23</f>
        <v>344.63052048549343</v>
      </c>
      <c r="BN19" s="30">
        <f>BM19-'CF Capex'!BD26+BM24-BN24+'Monthly CF'!BM34-'CF Capex'!BD23</f>
        <v>344.67052048549345</v>
      </c>
      <c r="BO19" s="30">
        <f>BN19-'CF Capex'!BE26+BN24-BO24+'Monthly CF'!BN34-'CF Capex'!BE23</f>
        <v>344.71052048549348</v>
      </c>
      <c r="BP19" s="30">
        <f>BO19-'CF Capex'!BF26+BO24-BP24+'Monthly CF'!BO34-'CF Capex'!BF23</f>
        <v>344.7505204854935</v>
      </c>
      <c r="BQ19" s="30">
        <f>BP19-'CF Capex'!BG26+BP24-BQ24+'Monthly CF'!BP34-'CF Capex'!BG23</f>
        <v>344.79052048549352</v>
      </c>
      <c r="BR19" s="30">
        <f>BQ19-'CF Capex'!BH26+BQ24-BR24+'Monthly CF'!BQ34-'CF Capex'!BH23</f>
        <v>344.83052048549354</v>
      </c>
      <c r="BS19" s="30">
        <f>BR19-'CF Capex'!BI26+BR24-BS24+'Monthly CF'!BR34-'CF Capex'!BI23</f>
        <v>344.87052048549356</v>
      </c>
      <c r="BT19" s="30">
        <f>BS19-'CF Capex'!BJ26+BS24-BT24+'Monthly CF'!BS34-'CF Capex'!BJ23</f>
        <v>344.91052048549358</v>
      </c>
      <c r="BU19" s="30">
        <f>BT19-'CF Capex'!BK26+BT24-BU24+'Monthly CF'!BT34-'CF Capex'!BK23</f>
        <v>344.9505204854936</v>
      </c>
      <c r="BV19" s="30">
        <f>BU19-'CF Capex'!BL26+BU24-BV24+'Monthly CF'!BU34-'CF Capex'!BL23</f>
        <v>344.99052048549362</v>
      </c>
      <c r="BW19" s="30">
        <f>BV19-'CF Capex'!BM26+BV24-BW24+'Monthly CF'!BV34-'CF Capex'!BM23</f>
        <v>345.03052048549364</v>
      </c>
      <c r="BX19" s="30">
        <f>BW19-'CF Capex'!BN26+BW24-BX24+'Monthly CF'!BW34-'CF Capex'!BN23</f>
        <v>345.07052048549366</v>
      </c>
      <c r="BY19" s="30">
        <f>BX19-'CF Capex'!BO26+BX24-BY24+'Monthly CF'!BX34-'CF Capex'!BO23</f>
        <v>345.11052048549368</v>
      </c>
      <c r="BZ19" s="30">
        <f>BY19-'CF Capex'!BP26+BY24-BZ24+'Monthly CF'!BY34-'CF Capex'!BP23</f>
        <v>345.1505204854937</v>
      </c>
      <c r="CA19" s="30">
        <f>BZ19-'CF Capex'!BQ26+BZ24-CA24+'Monthly CF'!BZ34-'CF Capex'!BQ23</f>
        <v>345.19052048549372</v>
      </c>
      <c r="CB19" s="30">
        <f>CA19-'CF Capex'!BR26+CA24-CB24+'Monthly CF'!CA34-'CF Capex'!BR23</f>
        <v>345.23052048549374</v>
      </c>
      <c r="CC19" s="30">
        <f>CB19-'CF Capex'!BS26+CB24-CC24+'Monthly CF'!CB34-'CF Capex'!BS23</f>
        <v>345.27052048549376</v>
      </c>
      <c r="CD19" s="30">
        <f>CC19-'CF Capex'!BT26+CC24-CD24+'Monthly CF'!CC34-'CF Capex'!BT23</f>
        <v>345.31052048549378</v>
      </c>
      <c r="CE19" s="30">
        <f>CD19-'CF Capex'!BU26+CD24-CE24+'Monthly CF'!CD34-'CF Capex'!BU23</f>
        <v>345.3505204854938</v>
      </c>
      <c r="CF19" s="30">
        <f>CE19-'CF Capex'!BV26+CE24-CF24+'Monthly CF'!CE34-'CF Capex'!BV23</f>
        <v>345.39052048549382</v>
      </c>
      <c r="CG19" s="30">
        <f>CF19-'CF Capex'!BW26+CF24-CG24+'Monthly CF'!CF34-'CF Capex'!BW23</f>
        <v>345.43052048549384</v>
      </c>
      <c r="CH19" s="30">
        <f>CG19-'CF Capex'!BX26+CG24-CH24+'Monthly CF'!CG34-'CF Capex'!BX23</f>
        <v>345.47052048549386</v>
      </c>
      <c r="CI19" s="30">
        <f>CH19-'CF Capex'!BY26+CH24-CI24+'Monthly CF'!CH34-'CF Capex'!BY23</f>
        <v>345.51052048549388</v>
      </c>
      <c r="CJ19" s="30">
        <f>CI19-'CF Capex'!BZ26+CI24-CJ24+'Monthly CF'!CI34-'CF Capex'!BZ23</f>
        <v>345.55052048549391</v>
      </c>
      <c r="CK19" s="30">
        <f>CJ19-'CF Capex'!CA26+CJ24-CK24+'Monthly CF'!CJ34-'CF Capex'!CA23</f>
        <v>345.59052048549393</v>
      </c>
      <c r="CL19" s="30">
        <f>CK19-'CF Capex'!CB26+CK24-CL24+'Monthly CF'!CK34-'CF Capex'!CB23</f>
        <v>345.63052048549395</v>
      </c>
      <c r="CM19" s="30">
        <f>CL19-'CF Capex'!CC26+CL24-CM24+'Monthly CF'!CL34-'CF Capex'!CC23</f>
        <v>345.67052048549397</v>
      </c>
      <c r="CN19" s="30">
        <f>CM19-'CF Capex'!CD26+CM24-CN24+'Monthly CF'!CM34-'CF Capex'!CD23</f>
        <v>345.71052048549399</v>
      </c>
      <c r="CO19" s="30">
        <f>CN19-'CF Capex'!CE26+CN24-CO24+'Monthly CF'!CN34-'CF Capex'!CE23</f>
        <v>345.75052048549401</v>
      </c>
      <c r="CP19" s="30">
        <f>CO19-'CF Capex'!CF26+CO24-CP24+'Monthly CF'!CO34-'CF Capex'!CF23</f>
        <v>345.79052048549403</v>
      </c>
      <c r="CQ19" s="30">
        <f>CP19-'CF Capex'!CG26+CP24-CQ24+'Monthly CF'!CP34-'CF Capex'!CG23</f>
        <v>345.83052048549405</v>
      </c>
      <c r="CR19" s="30">
        <f>CQ19-'CF Capex'!CH26+CQ24-CR24+'Monthly CF'!CQ34-'CF Capex'!CH23</f>
        <v>345.87052048549407</v>
      </c>
      <c r="CS19" s="30">
        <f>CR19-'CF Capex'!CI26+CR24-CS24+'Monthly CF'!CR34-'CF Capex'!CI23</f>
        <v>345.91052048549409</v>
      </c>
      <c r="CT19" s="30">
        <f>CS19-'CF Capex'!CJ26+CS24-CT24+'Monthly CF'!CS34-'CF Capex'!CJ23</f>
        <v>345.95052048549411</v>
      </c>
      <c r="CU19" s="30">
        <f>CT19-'CF Capex'!CK26+CT24-CU24+'Monthly CF'!CT34-'CF Capex'!CK23</f>
        <v>345.99052048549413</v>
      </c>
      <c r="CV19" s="30">
        <f>CU19-'CF Capex'!CL26+CU24-CV24+'Monthly CF'!CU34-'CF Capex'!CL23</f>
        <v>346.03052048549415</v>
      </c>
      <c r="CW19" s="30">
        <f>CV19-'CF Capex'!CM26+CV24-CW24+'Monthly CF'!CV34-'CF Capex'!CM23</f>
        <v>346.03052048549415</v>
      </c>
      <c r="CX19" s="30">
        <f>CW19-'CF Capex'!CN26+CW24-CX24+'Monthly CF'!CW34-'CF Capex'!CN23</f>
        <v>346.03052048549415</v>
      </c>
      <c r="CY19" s="30">
        <f>CX19-'CF Capex'!CO26+CX24-CY24+'Monthly CF'!CX34-'CF Capex'!CO23</f>
        <v>346.03052048549415</v>
      </c>
      <c r="CZ19" s="30">
        <f>CY19-'CF Capex'!CP26+CY24-CZ24+'Monthly CF'!CY34-'CF Capex'!CP23</f>
        <v>346.03052048549415</v>
      </c>
      <c r="DA19" s="30">
        <f>CZ19-'CF Capex'!CQ26+CZ24-DA24+'Monthly CF'!CZ34-'CF Capex'!CQ23</f>
        <v>346.03052048549415</v>
      </c>
      <c r="DB19" s="30">
        <f>DA19-'CF Capex'!CR26+DA24-DB24+'Monthly CF'!DA34-'CF Capex'!CR23</f>
        <v>346.03052048549415</v>
      </c>
    </row>
    <row r="20" spans="1:106">
      <c r="A20" t="s">
        <v>94</v>
      </c>
      <c r="B20" s="30">
        <f>SUM(PL!B21:H21)+SUM('Monthly PL'!B23:C23)</f>
        <v>6.8208269652606086</v>
      </c>
      <c r="C20" s="30">
        <f>'Monthly PL'!D23+B20</f>
        <v>6.8608269652606086</v>
      </c>
      <c r="D20" s="30">
        <f>'Monthly PL'!E23+C20</f>
        <v>6.9008269652606087</v>
      </c>
      <c r="E20" s="30">
        <f>'Monthly PL'!F23+D20</f>
        <v>6.9408269652606087</v>
      </c>
      <c r="F20" s="30">
        <f>'Monthly PL'!G23+E20</f>
        <v>6.9808269652606088</v>
      </c>
      <c r="G20" s="30">
        <f>'Monthly PL'!H23+F20</f>
        <v>7.0208269652606088</v>
      </c>
      <c r="H20" s="30">
        <f>'Monthly PL'!I23+G20</f>
        <v>7.0608269652606088</v>
      </c>
      <c r="I20" s="30">
        <f>'Monthly PL'!J23+H20</f>
        <v>7.1008269652606089</v>
      </c>
      <c r="J20" s="30">
        <v>41.740826965260602</v>
      </c>
      <c r="K20" s="30">
        <f>'Monthly PL'!L23+J20</f>
        <v>41.740826965260602</v>
      </c>
      <c r="L20" s="30">
        <f>'Monthly PL'!M23+K20</f>
        <v>41.740826965260602</v>
      </c>
      <c r="M20" s="30">
        <f>'Monthly PL'!N23+L20</f>
        <v>41.740826965260602</v>
      </c>
      <c r="N20" s="30">
        <f>'Monthly PL'!O23+M20</f>
        <v>41.740826965260602</v>
      </c>
      <c r="O20" s="30">
        <f>'Monthly PL'!P23+N20</f>
        <v>41.740826965260602</v>
      </c>
      <c r="P20" s="30">
        <f>'Monthly PL'!Q23+O20</f>
        <v>41.740826965260602</v>
      </c>
      <c r="Q20" s="30">
        <f>'Monthly PL'!R23+P20</f>
        <v>41.740826965260602</v>
      </c>
      <c r="R20" s="30">
        <f>'Monthly PL'!S23+Q20</f>
        <v>41.740826965260602</v>
      </c>
      <c r="S20" s="30">
        <f>'Monthly PL'!T23+R20</f>
        <v>41.740826965260602</v>
      </c>
      <c r="T20" s="30">
        <f>'Monthly PL'!U23+S20</f>
        <v>41.740826965260602</v>
      </c>
      <c r="U20" s="30">
        <f>'Monthly PL'!V23+T20</f>
        <v>41.740826965260602</v>
      </c>
      <c r="V20" s="30">
        <f>'Monthly PL'!W23+U20</f>
        <v>72.490826965260595</v>
      </c>
      <c r="W20" s="30">
        <f>'Monthly PL'!X23+V20</f>
        <v>72.490826965260595</v>
      </c>
      <c r="X20" s="30">
        <f>'Monthly PL'!Y23+W20</f>
        <v>72.490826965260595</v>
      </c>
      <c r="Y20" s="30">
        <f>'Monthly PL'!Z23+X20</f>
        <v>72.490826965260595</v>
      </c>
      <c r="Z20" s="30">
        <f>'Monthly PL'!AA23+Y20</f>
        <v>72.490826965260595</v>
      </c>
      <c r="AA20" s="30">
        <f>'Monthly PL'!AB23+Z20</f>
        <v>72.490826965260595</v>
      </c>
      <c r="AB20" s="30">
        <f>'Monthly PL'!AC23+AA20</f>
        <v>72.490826965260595</v>
      </c>
      <c r="AC20" s="30">
        <f>'Monthly PL'!AD23+AB20</f>
        <v>72.490826965260595</v>
      </c>
      <c r="AD20" s="30">
        <f>'Monthly PL'!AE23+AC20</f>
        <v>72.490826965260595</v>
      </c>
      <c r="AE20" s="30">
        <f>'Monthly PL'!AF23+AD20</f>
        <v>72.490826965260595</v>
      </c>
      <c r="AF20" s="30">
        <f>'Monthly PL'!AG23+AE20</f>
        <v>72.490826965260595</v>
      </c>
      <c r="AG20" s="30">
        <f>'Monthly PL'!AH23+AF20</f>
        <v>72.490826965260595</v>
      </c>
      <c r="AH20" s="30">
        <f>'Monthly PL'!AI23+AG20</f>
        <v>117.9908269652606</v>
      </c>
      <c r="AI20" s="30">
        <f>'Monthly PL'!AJ23+AH20</f>
        <v>117.9908269652606</v>
      </c>
      <c r="AJ20" s="30">
        <f>'Monthly PL'!AK23+AI20</f>
        <v>117.9908269652606</v>
      </c>
      <c r="AK20" s="30">
        <f>'Monthly PL'!AL23+AJ20</f>
        <v>117.9908269652606</v>
      </c>
      <c r="AL20" s="30">
        <f>'Monthly PL'!AM23+AK20</f>
        <v>117.9908269652606</v>
      </c>
      <c r="AM20" s="30">
        <f>'Monthly PL'!AN23+AL20</f>
        <v>117.9908269652606</v>
      </c>
      <c r="AN20" s="30">
        <f>'Monthly PL'!AO23+AM20</f>
        <v>117.9908269652606</v>
      </c>
      <c r="AO20" s="30">
        <f>'Monthly PL'!AP23+AN20</f>
        <v>117.9908269652606</v>
      </c>
      <c r="AP20" s="30">
        <f>'Monthly PL'!AQ23+AO20</f>
        <v>117.9908269652606</v>
      </c>
      <c r="AQ20" s="30">
        <f>'Monthly PL'!AR23+AP20</f>
        <v>117.9908269652606</v>
      </c>
      <c r="AR20" s="30">
        <f>'Monthly PL'!AS23+AQ20</f>
        <v>117.9908269652606</v>
      </c>
      <c r="AS20" s="30">
        <f>'Monthly PL'!AT23+AR20</f>
        <v>117.9908269652606</v>
      </c>
      <c r="AT20" s="30">
        <f>'Monthly PL'!AU23+AS20</f>
        <v>163.4908269652606</v>
      </c>
      <c r="AU20" s="30">
        <f>'Monthly PL'!AV23+AT20</f>
        <v>163.4908269652606</v>
      </c>
      <c r="AV20" s="30">
        <f>'Monthly PL'!AW23+AU20</f>
        <v>163.4908269652606</v>
      </c>
      <c r="AW20" s="30">
        <f>'Monthly PL'!AX23+AV20</f>
        <v>163.4908269652606</v>
      </c>
      <c r="AX20" s="30">
        <f>'Monthly PL'!AY23+AW20</f>
        <v>163.4908269652606</v>
      </c>
      <c r="AY20" s="30">
        <f>'Monthly PL'!AZ23+AX20</f>
        <v>163.4908269652606</v>
      </c>
      <c r="AZ20" s="30">
        <f>'Monthly PL'!BA23+AY20</f>
        <v>163.4908269652606</v>
      </c>
      <c r="BA20" s="30">
        <f>'Monthly PL'!BB23+AZ20</f>
        <v>163.4908269652606</v>
      </c>
      <c r="BB20" s="30">
        <f>'Monthly PL'!BC23+BA20</f>
        <v>163.4908269652606</v>
      </c>
      <c r="BC20" s="30">
        <f>'Monthly PL'!BD23+BB20</f>
        <v>163.4908269652606</v>
      </c>
      <c r="BD20" s="30">
        <f>'Monthly PL'!BE23+BC20</f>
        <v>163.4908269652606</v>
      </c>
      <c r="BE20" s="30">
        <f>'Monthly PL'!BF23+BD20</f>
        <v>163.4908269652606</v>
      </c>
      <c r="BF20" s="30">
        <f>'Monthly PL'!BG23+BE20</f>
        <v>208.9908269652606</v>
      </c>
      <c r="BG20" s="30">
        <f>'Monthly PL'!BH23+BF20</f>
        <v>208.9908269652606</v>
      </c>
      <c r="BH20" s="30">
        <f>'Monthly PL'!BI23+BG20</f>
        <v>208.9908269652606</v>
      </c>
      <c r="BI20" s="30">
        <f>'Monthly PL'!BJ23+BH20</f>
        <v>208.9908269652606</v>
      </c>
      <c r="BJ20" s="30">
        <f>'Monthly PL'!BK23+BI20</f>
        <v>208.9908269652606</v>
      </c>
      <c r="BK20" s="30">
        <f>'Monthly PL'!BL23+BJ20</f>
        <v>208.9908269652606</v>
      </c>
      <c r="BL20" s="30">
        <f>'Monthly PL'!BM23+BK20</f>
        <v>208.9908269652606</v>
      </c>
      <c r="BM20" s="30">
        <f>'Monthly PL'!BN23+BL20</f>
        <v>208.9908269652606</v>
      </c>
      <c r="BN20" s="30">
        <f>'Monthly PL'!BO23+BM20</f>
        <v>208.9908269652606</v>
      </c>
      <c r="BO20" s="30">
        <f>'Monthly PL'!BP23+BN20</f>
        <v>208.9908269652606</v>
      </c>
      <c r="BP20" s="30">
        <f>'Monthly PL'!BQ23+BO20</f>
        <v>208.9908269652606</v>
      </c>
      <c r="BQ20" s="30">
        <f>'Monthly PL'!BR23+BP20</f>
        <v>208.9908269652606</v>
      </c>
      <c r="BR20" s="30">
        <f>'Monthly PL'!BS23+BQ20</f>
        <v>254.4908269652606</v>
      </c>
      <c r="BS20" s="30">
        <f>'Monthly PL'!BT23+BR20</f>
        <v>254.4908269652606</v>
      </c>
      <c r="BT20" s="30">
        <f>'Monthly PL'!BU23+BS20</f>
        <v>254.4908269652606</v>
      </c>
      <c r="BU20" s="30">
        <f>'Monthly PL'!BV23+BT20</f>
        <v>254.4908269652606</v>
      </c>
      <c r="BV20" s="30">
        <f>'Monthly PL'!BW23+BU20</f>
        <v>254.4908269652606</v>
      </c>
      <c r="BW20" s="30">
        <f>'Monthly PL'!BX23+BV20</f>
        <v>254.4908269652606</v>
      </c>
      <c r="BX20" s="30">
        <f>'Monthly PL'!BY23+BW20</f>
        <v>254.4908269652606</v>
      </c>
      <c r="BY20" s="30">
        <f>'Monthly PL'!BZ23+BX20</f>
        <v>254.4908269652606</v>
      </c>
      <c r="BZ20" s="30">
        <f>'Monthly PL'!CA23+BY20</f>
        <v>254.4908269652606</v>
      </c>
      <c r="CA20" s="30">
        <f>'Monthly PL'!CB23+BZ20</f>
        <v>254.4908269652606</v>
      </c>
      <c r="CB20" s="30">
        <f>'Monthly PL'!CC23+CA20</f>
        <v>254.4908269652606</v>
      </c>
      <c r="CC20" s="30">
        <f>'Monthly PL'!CD23+CB20</f>
        <v>254.4908269652606</v>
      </c>
      <c r="CD20" s="30">
        <f>'Monthly PL'!CE23+CC20</f>
        <v>299.99082696526057</v>
      </c>
      <c r="CE20" s="30">
        <f>'Monthly PL'!CF23+CD20</f>
        <v>299.99082696526057</v>
      </c>
      <c r="CF20" s="30">
        <f>'Monthly PL'!CG23+CE20</f>
        <v>299.99082696526057</v>
      </c>
      <c r="CG20" s="30">
        <f>'Monthly PL'!CH23+CF20</f>
        <v>299.99082696526057</v>
      </c>
      <c r="CH20" s="30">
        <f>'Monthly PL'!CI23+CG20</f>
        <v>299.99082696526057</v>
      </c>
      <c r="CI20" s="30">
        <f>'Monthly PL'!CJ23+CH20</f>
        <v>299.99082696526057</v>
      </c>
      <c r="CJ20" s="30">
        <f>'Monthly PL'!CK23+CI20</f>
        <v>299.99082696526057</v>
      </c>
      <c r="CK20" s="30">
        <f>'Monthly PL'!CL23+CJ20</f>
        <v>299.99082696526057</v>
      </c>
      <c r="CL20" s="30">
        <f>'Monthly PL'!CM23+CK20</f>
        <v>299.99082696526057</v>
      </c>
      <c r="CM20" s="30">
        <f>'Monthly PL'!CN23+CL20</f>
        <v>299.99082696526057</v>
      </c>
      <c r="CN20" s="30">
        <f>'Monthly PL'!CO23+CM20</f>
        <v>299.99082696526057</v>
      </c>
      <c r="CO20" s="30">
        <f>'Monthly PL'!CP23+CN20</f>
        <v>299.99082696526057</v>
      </c>
      <c r="CP20" s="30">
        <f>'Monthly PL'!CQ23+CO20</f>
        <v>346.03082696526059</v>
      </c>
      <c r="CQ20" s="30">
        <f>'Monthly PL'!CR23+CP20</f>
        <v>346.03082696526059</v>
      </c>
      <c r="CR20" s="30">
        <f>'Monthly PL'!CS23+CQ20</f>
        <v>346.03082696526059</v>
      </c>
      <c r="CS20" s="30">
        <f>'Monthly PL'!CT23+CR20</f>
        <v>346.03082696526059</v>
      </c>
      <c r="CT20" s="30">
        <f>'Monthly PL'!CU23+CS20</f>
        <v>346.03082696526059</v>
      </c>
      <c r="CU20" s="30">
        <f>'Monthly PL'!CV23+CT20</f>
        <v>346.03082696526059</v>
      </c>
      <c r="CV20" s="30">
        <f>'Monthly PL'!CW23+CU20</f>
        <v>346.03082696526059</v>
      </c>
      <c r="CW20" s="30">
        <f>'Monthly PL'!CX23+CV20</f>
        <v>346.03082696526059</v>
      </c>
      <c r="CX20" s="30">
        <f>'Monthly PL'!CY23+CW20</f>
        <v>346.03082696526059</v>
      </c>
      <c r="CY20" s="30">
        <f>'Monthly PL'!CZ23+CX20</f>
        <v>346.03082696526059</v>
      </c>
      <c r="CZ20" s="30">
        <f>'Monthly PL'!DA23+CY20</f>
        <v>346.03082696526059</v>
      </c>
      <c r="DA20" s="30">
        <f>'Monthly PL'!DB23+CZ20</f>
        <v>346.03082696526059</v>
      </c>
      <c r="DB20" s="30">
        <f>'Monthly PL'!DC23+DA20</f>
        <v>346.03082696526059</v>
      </c>
    </row>
    <row r="21" spans="1:106">
      <c r="A21" s="7" t="s">
        <v>95</v>
      </c>
      <c r="B21" s="30">
        <f t="shared" ref="B21:BN21" si="18">B19-B20</f>
        <v>331.73903680373951</v>
      </c>
      <c r="C21" s="30">
        <f t="shared" si="18"/>
        <v>331.69903680373949</v>
      </c>
      <c r="D21" s="30">
        <f t="shared" si="18"/>
        <v>331.65903680373953</v>
      </c>
      <c r="E21" s="30">
        <f t="shared" si="18"/>
        <v>331.6190368037395</v>
      </c>
      <c r="F21" s="30">
        <f t="shared" si="18"/>
        <v>331.57903680373948</v>
      </c>
      <c r="G21" s="30">
        <f t="shared" si="18"/>
        <v>331.53903680373952</v>
      </c>
      <c r="H21" s="30">
        <f t="shared" si="18"/>
        <v>331.4990368037395</v>
      </c>
      <c r="I21" s="30">
        <f t="shared" si="18"/>
        <v>331.45903680373954</v>
      </c>
      <c r="J21" s="30">
        <f t="shared" si="18"/>
        <v>226.66717761160245</v>
      </c>
      <c r="K21" s="30">
        <f t="shared" si="18"/>
        <v>227.66717761160245</v>
      </c>
      <c r="L21" s="30">
        <f t="shared" si="18"/>
        <v>227.18717761160244</v>
      </c>
      <c r="M21" s="30">
        <f t="shared" si="18"/>
        <v>224.47717761160246</v>
      </c>
      <c r="N21" s="30">
        <f t="shared" si="18"/>
        <v>224.50717761160243</v>
      </c>
      <c r="O21" s="30">
        <f t="shared" si="18"/>
        <v>222.9771776116024</v>
      </c>
      <c r="P21" s="30">
        <f t="shared" si="18"/>
        <v>221.11053672642382</v>
      </c>
      <c r="Q21" s="30">
        <f t="shared" si="18"/>
        <v>272.25917303473938</v>
      </c>
      <c r="R21" s="30">
        <f t="shared" si="18"/>
        <v>280.67159315546905</v>
      </c>
      <c r="S21" s="30">
        <f t="shared" si="18"/>
        <v>251.9903393338972</v>
      </c>
      <c r="T21" s="30">
        <f t="shared" si="18"/>
        <v>236.15303207363294</v>
      </c>
      <c r="U21" s="30">
        <f t="shared" si="18"/>
        <v>251.94136519136671</v>
      </c>
      <c r="V21" s="30">
        <f t="shared" si="18"/>
        <v>229.30287539785442</v>
      </c>
      <c r="W21" s="30">
        <f t="shared" si="18"/>
        <v>229.34287539785444</v>
      </c>
      <c r="X21" s="30">
        <f t="shared" si="18"/>
        <v>229.38287539785446</v>
      </c>
      <c r="Y21" s="30">
        <f t="shared" si="18"/>
        <v>229.42287539785448</v>
      </c>
      <c r="Z21" s="30">
        <f t="shared" si="18"/>
        <v>229.78623451267592</v>
      </c>
      <c r="AA21" s="30">
        <f t="shared" si="18"/>
        <v>233.39715274349734</v>
      </c>
      <c r="AB21" s="30">
        <f t="shared" si="18"/>
        <v>240.82741286422706</v>
      </c>
      <c r="AC21" s="30">
        <f t="shared" si="18"/>
        <v>246.94070540900131</v>
      </c>
      <c r="AD21" s="30">
        <f t="shared" si="18"/>
        <v>255.91371497038696</v>
      </c>
      <c r="AE21" s="30">
        <f t="shared" si="18"/>
        <v>258.49918279922474</v>
      </c>
      <c r="AF21" s="30">
        <f t="shared" si="18"/>
        <v>268.88196119228667</v>
      </c>
      <c r="AG21" s="30">
        <f t="shared" si="18"/>
        <v>276.46952917085639</v>
      </c>
      <c r="AH21" s="30">
        <f t="shared" si="18"/>
        <v>226.41683745795811</v>
      </c>
      <c r="AI21" s="30">
        <f t="shared" si="18"/>
        <v>228.81777687297674</v>
      </c>
      <c r="AJ21" s="30">
        <f t="shared" si="18"/>
        <v>227.08073758777928</v>
      </c>
      <c r="AK21" s="30">
        <f t="shared" si="18"/>
        <v>229.16803670669569</v>
      </c>
      <c r="AL21" s="30">
        <f t="shared" si="18"/>
        <v>229.19210427065681</v>
      </c>
      <c r="AM21" s="30">
        <f t="shared" si="18"/>
        <v>230.30754420184778</v>
      </c>
      <c r="AN21" s="30">
        <f t="shared" si="18"/>
        <v>228.40252835184779</v>
      </c>
      <c r="AO21" s="30">
        <f t="shared" si="18"/>
        <v>227.74726745184782</v>
      </c>
      <c r="AP21" s="30">
        <f t="shared" si="18"/>
        <v>227.04080157884781</v>
      </c>
      <c r="AQ21" s="30">
        <f t="shared" si="18"/>
        <v>225.08386330584781</v>
      </c>
      <c r="AR21" s="30">
        <f t="shared" si="18"/>
        <v>225.80045957884786</v>
      </c>
      <c r="AS21" s="30">
        <f t="shared" si="18"/>
        <v>225.83969352023243</v>
      </c>
      <c r="AT21" s="30">
        <f t="shared" si="18"/>
        <v>180.37969352023245</v>
      </c>
      <c r="AU21" s="30">
        <f t="shared" si="18"/>
        <v>180.41969352023247</v>
      </c>
      <c r="AV21" s="30">
        <f t="shared" si="18"/>
        <v>180.45969352023249</v>
      </c>
      <c r="AW21" s="30">
        <f t="shared" si="18"/>
        <v>180.49969352023251</v>
      </c>
      <c r="AX21" s="30">
        <f t="shared" si="18"/>
        <v>180.53969352023253</v>
      </c>
      <c r="AY21" s="30">
        <f t="shared" si="18"/>
        <v>180.57969352023255</v>
      </c>
      <c r="AZ21" s="30">
        <f t="shared" si="18"/>
        <v>180.61969352023257</v>
      </c>
      <c r="BA21" s="30">
        <f t="shared" si="18"/>
        <v>180.65969352023259</v>
      </c>
      <c r="BB21" s="30">
        <f t="shared" si="18"/>
        <v>180.69969352023261</v>
      </c>
      <c r="BC21" s="30">
        <f t="shared" si="18"/>
        <v>180.73969352023263</v>
      </c>
      <c r="BD21" s="30">
        <f t="shared" si="18"/>
        <v>180.77969352023266</v>
      </c>
      <c r="BE21" s="30">
        <f t="shared" si="18"/>
        <v>180.81969352023268</v>
      </c>
      <c r="BF21" s="30">
        <f t="shared" si="18"/>
        <v>135.3596935202327</v>
      </c>
      <c r="BG21" s="30">
        <f t="shared" si="18"/>
        <v>135.39969352023272</v>
      </c>
      <c r="BH21" s="30">
        <f t="shared" si="18"/>
        <v>135.43969352023274</v>
      </c>
      <c r="BI21" s="30">
        <f t="shared" si="18"/>
        <v>135.47969352023276</v>
      </c>
      <c r="BJ21" s="30">
        <f t="shared" si="18"/>
        <v>135.51969352023278</v>
      </c>
      <c r="BK21" s="30">
        <f t="shared" si="18"/>
        <v>135.5596935202328</v>
      </c>
      <c r="BL21" s="30">
        <f t="shared" si="18"/>
        <v>135.59969352023282</v>
      </c>
      <c r="BM21" s="30">
        <f t="shared" si="18"/>
        <v>135.63969352023284</v>
      </c>
      <c r="BN21" s="30">
        <f t="shared" si="18"/>
        <v>135.67969352023286</v>
      </c>
      <c r="BO21" s="30">
        <f t="shared" ref="BO21:DB21" si="19">BO19-BO20</f>
        <v>135.71969352023288</v>
      </c>
      <c r="BP21" s="30">
        <f t="shared" si="19"/>
        <v>135.7596935202329</v>
      </c>
      <c r="BQ21" s="30">
        <f t="shared" si="19"/>
        <v>135.79969352023292</v>
      </c>
      <c r="BR21" s="30">
        <f t="shared" si="19"/>
        <v>90.339693520232942</v>
      </c>
      <c r="BS21" s="30">
        <f t="shared" si="19"/>
        <v>90.379693520232962</v>
      </c>
      <c r="BT21" s="30">
        <f t="shared" si="19"/>
        <v>90.419693520232983</v>
      </c>
      <c r="BU21" s="30">
        <f t="shared" si="19"/>
        <v>90.459693520233003</v>
      </c>
      <c r="BV21" s="30">
        <f t="shared" si="19"/>
        <v>90.499693520233023</v>
      </c>
      <c r="BW21" s="30">
        <f t="shared" si="19"/>
        <v>90.539693520233044</v>
      </c>
      <c r="BX21" s="30">
        <f t="shared" si="19"/>
        <v>90.579693520233064</v>
      </c>
      <c r="BY21" s="30">
        <f t="shared" si="19"/>
        <v>90.619693520233085</v>
      </c>
      <c r="BZ21" s="30">
        <f t="shared" si="19"/>
        <v>90.659693520233105</v>
      </c>
      <c r="CA21" s="30">
        <f t="shared" si="19"/>
        <v>90.699693520233126</v>
      </c>
      <c r="CB21" s="30">
        <f t="shared" si="19"/>
        <v>90.739693520233146</v>
      </c>
      <c r="CC21" s="30">
        <f t="shared" si="19"/>
        <v>90.779693520233167</v>
      </c>
      <c r="CD21" s="30">
        <f t="shared" si="19"/>
        <v>45.319693520233216</v>
      </c>
      <c r="CE21" s="30">
        <f t="shared" si="19"/>
        <v>45.359693520233236</v>
      </c>
      <c r="CF21" s="30">
        <f t="shared" si="19"/>
        <v>45.399693520233257</v>
      </c>
      <c r="CG21" s="30">
        <f t="shared" si="19"/>
        <v>45.439693520233277</v>
      </c>
      <c r="CH21" s="30">
        <f t="shared" si="19"/>
        <v>45.479693520233297</v>
      </c>
      <c r="CI21" s="30">
        <f t="shared" si="19"/>
        <v>45.519693520233318</v>
      </c>
      <c r="CJ21" s="30">
        <f t="shared" si="19"/>
        <v>45.559693520233338</v>
      </c>
      <c r="CK21" s="30">
        <f t="shared" si="19"/>
        <v>45.599693520233359</v>
      </c>
      <c r="CL21" s="30">
        <f t="shared" si="19"/>
        <v>45.639693520233379</v>
      </c>
      <c r="CM21" s="30">
        <f t="shared" si="19"/>
        <v>45.6796935202334</v>
      </c>
      <c r="CN21" s="30">
        <f t="shared" si="19"/>
        <v>45.71969352023342</v>
      </c>
      <c r="CO21" s="30">
        <f t="shared" si="19"/>
        <v>45.759693520233441</v>
      </c>
      <c r="CP21" s="30">
        <f t="shared" si="19"/>
        <v>-0.24030647976655928</v>
      </c>
      <c r="CQ21" s="30">
        <f t="shared" si="19"/>
        <v>-0.20030647976653881</v>
      </c>
      <c r="CR21" s="30">
        <f t="shared" si="19"/>
        <v>-0.16030647976651835</v>
      </c>
      <c r="CS21" s="30">
        <f t="shared" si="19"/>
        <v>-0.12030647976649789</v>
      </c>
      <c r="CT21" s="30">
        <f t="shared" si="19"/>
        <v>-8.0306479766477423E-2</v>
      </c>
      <c r="CU21" s="30">
        <f t="shared" si="19"/>
        <v>-4.030647976645696E-2</v>
      </c>
      <c r="CV21" s="30">
        <f t="shared" si="19"/>
        <v>-3.0647976643649599E-4</v>
      </c>
      <c r="CW21" s="30">
        <f t="shared" si="19"/>
        <v>-3.0647976643649599E-4</v>
      </c>
      <c r="CX21" s="30">
        <f t="shared" si="19"/>
        <v>-3.0647976643649599E-4</v>
      </c>
      <c r="CY21" s="30">
        <f t="shared" si="19"/>
        <v>-3.0647976643649599E-4</v>
      </c>
      <c r="CZ21" s="30">
        <f t="shared" si="19"/>
        <v>-3.0647976643649599E-4</v>
      </c>
      <c r="DA21" s="30">
        <f t="shared" si="19"/>
        <v>-3.0647976643649599E-4</v>
      </c>
      <c r="DB21" s="30">
        <f t="shared" si="19"/>
        <v>-3.0647976643649599E-4</v>
      </c>
    </row>
    <row r="22" spans="1:106">
      <c r="A22" t="s">
        <v>96</v>
      </c>
      <c r="B22" s="11">
        <v>3.3</v>
      </c>
      <c r="C22" s="11">
        <f>B22+'CF Capex'!C24</f>
        <v>3.3</v>
      </c>
      <c r="D22" s="11">
        <f>C22+'CF Capex'!D24</f>
        <v>3.3</v>
      </c>
      <c r="E22" s="11">
        <f>D22+'CF Capex'!E24</f>
        <v>3.3</v>
      </c>
      <c r="F22" s="11">
        <f>E22+'CF Capex'!F24</f>
        <v>3.3</v>
      </c>
      <c r="G22" s="11">
        <f>F22+'CF Capex'!G24</f>
        <v>3.3</v>
      </c>
      <c r="H22" s="11">
        <f>G22+'CF Capex'!H24</f>
        <v>3.3</v>
      </c>
      <c r="I22" s="11">
        <f>H22+'CF Capex'!I24</f>
        <v>3.3</v>
      </c>
      <c r="J22" s="11">
        <f>I22+'CF Capex'!J24</f>
        <v>3.3</v>
      </c>
      <c r="K22" s="11">
        <f>J22+'CF Capex'!K24</f>
        <v>3.3</v>
      </c>
      <c r="L22" s="11">
        <f>K22+'CF Capex'!L24</f>
        <v>3.3</v>
      </c>
      <c r="M22" s="11">
        <f>L22+'CF Capex'!M24</f>
        <v>3.3</v>
      </c>
      <c r="N22" s="11">
        <f>M22+'CF Capex'!N24</f>
        <v>3.3</v>
      </c>
      <c r="O22" s="11">
        <f>N22+'CF Capex'!O24</f>
        <v>3.3</v>
      </c>
      <c r="P22" s="11">
        <f>O22+'CF Capex'!P24</f>
        <v>3.3</v>
      </c>
      <c r="Q22" s="11">
        <f>P22+'CF Capex'!Q24</f>
        <v>3.3</v>
      </c>
      <c r="R22" s="11">
        <f>Q22+'CF Capex'!R24</f>
        <v>3.3</v>
      </c>
      <c r="S22" s="11">
        <f>R22+'CF Capex'!S24</f>
        <v>3.3</v>
      </c>
      <c r="T22" s="11">
        <f>S22+'CF Capex'!T24</f>
        <v>3.3</v>
      </c>
      <c r="U22" s="11">
        <f>T22+'CF Capex'!U24</f>
        <v>3.3</v>
      </c>
      <c r="V22" s="11">
        <f>U22+'CF Capex'!V24</f>
        <v>3.3</v>
      </c>
      <c r="W22" s="11">
        <f>V22+'CF Capex'!W24</f>
        <v>3.3</v>
      </c>
      <c r="X22" s="11">
        <f>W22+'CF Capex'!X24</f>
        <v>3.3</v>
      </c>
      <c r="Y22" s="11">
        <f>X22+'CF Capex'!Y24</f>
        <v>3.3</v>
      </c>
      <c r="Z22" s="11">
        <f>Y22+'CF Capex'!Z24</f>
        <v>3.3</v>
      </c>
      <c r="AA22" s="11">
        <f>Z22+'CF Capex'!AA24</f>
        <v>3.3</v>
      </c>
      <c r="AB22" s="11">
        <f>AA22+'CF Capex'!AB24</f>
        <v>3.3</v>
      </c>
      <c r="AC22" s="11">
        <f>AB22+'CF Capex'!AC24</f>
        <v>3.3</v>
      </c>
      <c r="AD22" s="11">
        <f>AC22+'CF Capex'!AD24</f>
        <v>3.3</v>
      </c>
      <c r="AE22" s="11">
        <f>AD22+'CF Capex'!AE24</f>
        <v>3.3</v>
      </c>
      <c r="AF22" s="11">
        <f>AE22+'CF Capex'!AF24</f>
        <v>3.3</v>
      </c>
      <c r="AG22" s="11">
        <f>AF22+'CF Capex'!AG24</f>
        <v>3.3</v>
      </c>
      <c r="AH22" s="11">
        <f>AG22+'CF Capex'!AH24</f>
        <v>3.3</v>
      </c>
      <c r="AI22" s="11">
        <f>AH22+'CF Capex'!AI24</f>
        <v>3.3</v>
      </c>
      <c r="AJ22" s="11">
        <f>AI22+'CF Capex'!AJ24</f>
        <v>3.3</v>
      </c>
      <c r="AK22" s="11">
        <f>AJ22+'CF Capex'!AK24</f>
        <v>3.3</v>
      </c>
      <c r="AL22" s="11">
        <f>AK22+'CF Capex'!AL24</f>
        <v>3.3</v>
      </c>
      <c r="AM22" s="11">
        <f>AL22+'CF Capex'!AM24</f>
        <v>3.3</v>
      </c>
      <c r="AN22" s="11">
        <f>AM22+'CF Capex'!AN24</f>
        <v>3.3</v>
      </c>
      <c r="AO22" s="11">
        <f>AN22+'CF Capex'!AO24</f>
        <v>3.3</v>
      </c>
      <c r="AP22" s="11">
        <f>AO22+'CF Capex'!AP24</f>
        <v>3.3</v>
      </c>
      <c r="AQ22" s="11">
        <f>AP22+'CF Capex'!AQ24</f>
        <v>3.3</v>
      </c>
      <c r="AR22" s="11">
        <f>AQ22+'CF Capex'!AR24</f>
        <v>3.3</v>
      </c>
      <c r="AS22" s="11">
        <f>AR22+'CF Capex'!AS24</f>
        <v>3.3</v>
      </c>
      <c r="AT22" s="11">
        <f>AS22+'CF Capex'!AT24</f>
        <v>3.3</v>
      </c>
      <c r="AU22" s="11">
        <f>AT22+'CF Capex'!AU24</f>
        <v>3.3</v>
      </c>
      <c r="AV22" s="11">
        <f>AU22+'CF Capex'!AV24</f>
        <v>3.3</v>
      </c>
      <c r="AW22" s="11">
        <f>AV22+'CF Capex'!AW24</f>
        <v>3.3</v>
      </c>
      <c r="AX22" s="11">
        <f>AW22+'CF Capex'!AX24</f>
        <v>3.3</v>
      </c>
      <c r="AY22" s="11">
        <f>AX22+'CF Capex'!AY24</f>
        <v>3.3</v>
      </c>
      <c r="AZ22" s="11">
        <f>AY22+'CF Capex'!AZ24</f>
        <v>3.3</v>
      </c>
      <c r="BA22" s="11">
        <f>AZ22+'CF Capex'!BA24</f>
        <v>3.3</v>
      </c>
      <c r="BB22" s="11">
        <f>BA22+'CF Capex'!BB24</f>
        <v>3.3</v>
      </c>
      <c r="BC22" s="11">
        <f>BB22+'CF Capex'!BC24</f>
        <v>3.3</v>
      </c>
      <c r="BD22" s="11">
        <f>BC22+'CF Capex'!BD24</f>
        <v>3.3</v>
      </c>
      <c r="BE22" s="11">
        <f>BD22+'CF Capex'!BE24</f>
        <v>3.3</v>
      </c>
      <c r="BF22" s="11">
        <f>BE22+'CF Capex'!BF24</f>
        <v>3.3</v>
      </c>
      <c r="BG22" s="11">
        <f>BF22+'CF Capex'!BG24</f>
        <v>3.3</v>
      </c>
      <c r="BH22" s="11">
        <f>BG22+'CF Capex'!BH24</f>
        <v>3.3</v>
      </c>
      <c r="BI22" s="11">
        <f>BH22+'CF Capex'!BI24</f>
        <v>3.3</v>
      </c>
      <c r="BJ22" s="11">
        <f>BI22+'CF Capex'!BJ24</f>
        <v>3.3</v>
      </c>
      <c r="BK22" s="11">
        <f>BJ22+'CF Capex'!BK24</f>
        <v>3.3</v>
      </c>
      <c r="BL22" s="11">
        <f>BK22+'CF Capex'!BL24</f>
        <v>3.3</v>
      </c>
      <c r="BM22" s="11">
        <f>BL22+'CF Capex'!BM24</f>
        <v>3.3</v>
      </c>
      <c r="BN22" s="11">
        <f>BM22+'CF Capex'!BN24</f>
        <v>3.3</v>
      </c>
      <c r="BO22" s="11">
        <f>BN22+'CF Capex'!BO24</f>
        <v>3.3</v>
      </c>
      <c r="BP22" s="11">
        <f>BO22+'CF Capex'!BP24</f>
        <v>3.3</v>
      </c>
      <c r="BQ22" s="11">
        <f>BP22+'CF Capex'!BQ24</f>
        <v>3.3</v>
      </c>
      <c r="BR22" s="11">
        <f>BQ22+'CF Capex'!BR24</f>
        <v>3.3</v>
      </c>
      <c r="BS22" s="11">
        <f>BR22+'CF Capex'!BS24</f>
        <v>3.3</v>
      </c>
      <c r="BT22" s="11">
        <f>BS22+'CF Capex'!BT24</f>
        <v>3.3</v>
      </c>
      <c r="BU22" s="11">
        <f>BT22+'CF Capex'!BU24</f>
        <v>3.3</v>
      </c>
      <c r="BV22" s="11">
        <f>BU22+'CF Capex'!BV24</f>
        <v>3.3</v>
      </c>
      <c r="BW22" s="11">
        <f>BV22+'CF Capex'!BW24</f>
        <v>3.3</v>
      </c>
      <c r="BX22" s="11">
        <f>BW22+'CF Capex'!BX24</f>
        <v>3.3</v>
      </c>
      <c r="BY22" s="11">
        <f>BX22+'CF Capex'!BY24</f>
        <v>3.3</v>
      </c>
      <c r="BZ22" s="11">
        <f>BY22+'CF Capex'!BZ24</f>
        <v>3.3</v>
      </c>
      <c r="CA22" s="11">
        <f>BZ22+'CF Capex'!CA24</f>
        <v>3.3</v>
      </c>
      <c r="CB22" s="11">
        <f>CA22+'CF Capex'!CB24</f>
        <v>3.3</v>
      </c>
      <c r="CC22" s="11">
        <f>CB22+'CF Capex'!CC24</f>
        <v>3.3</v>
      </c>
      <c r="CD22" s="11">
        <f>CC22+'CF Capex'!CD24</f>
        <v>3.3</v>
      </c>
      <c r="CE22" s="11">
        <f>CD22+'CF Capex'!CE24</f>
        <v>3.3</v>
      </c>
      <c r="CF22" s="11">
        <f>CE22+'CF Capex'!CF24</f>
        <v>3.3</v>
      </c>
      <c r="CG22" s="11">
        <f>CF22+'CF Capex'!CG24</f>
        <v>3.3</v>
      </c>
      <c r="CH22" s="11">
        <f>CG22+'CF Capex'!CH24</f>
        <v>3.3</v>
      </c>
      <c r="CI22" s="11">
        <f>CH22+'CF Capex'!CI24</f>
        <v>3.3</v>
      </c>
      <c r="CJ22" s="11">
        <f>CI22+'CF Capex'!CJ24</f>
        <v>3.3</v>
      </c>
      <c r="CK22" s="11">
        <f>CJ22+'CF Capex'!CK24</f>
        <v>3.3</v>
      </c>
      <c r="CL22" s="11">
        <f>CK22+'CF Capex'!CL24</f>
        <v>3.3</v>
      </c>
      <c r="CM22" s="11">
        <f>CL22+'CF Capex'!CM24</f>
        <v>3.3</v>
      </c>
      <c r="CN22" s="11">
        <f>CM22+'CF Capex'!CN24</f>
        <v>3.3</v>
      </c>
      <c r="CO22" s="11">
        <f>CN22+'CF Capex'!CO24</f>
        <v>3.3</v>
      </c>
      <c r="CP22" s="11">
        <f>CO22+'CF Capex'!CP24</f>
        <v>3.3</v>
      </c>
      <c r="CQ22" s="11">
        <f>CP22+'CF Capex'!CQ24</f>
        <v>3.3</v>
      </c>
      <c r="CR22" s="11">
        <f>CQ22+'CF Capex'!CR24</f>
        <v>3.3</v>
      </c>
      <c r="CS22" s="11">
        <f>CR22+'CF Capex'!CS24</f>
        <v>3.3</v>
      </c>
      <c r="CT22" s="11">
        <f>CS22+'CF Capex'!CT24</f>
        <v>3.3</v>
      </c>
      <c r="CU22" s="11">
        <f>CT22+'CF Capex'!CU24</f>
        <v>3.3</v>
      </c>
      <c r="CV22" s="11">
        <f>CU22+'CF Capex'!CV24</f>
        <v>3.3</v>
      </c>
      <c r="CW22" s="11">
        <f>CV22+'CF Capex'!CW24</f>
        <v>3.3</v>
      </c>
      <c r="CX22" s="11">
        <f>CW22+'CF Capex'!CX24</f>
        <v>3.3</v>
      </c>
      <c r="CY22" s="11">
        <f>CX22+'CF Capex'!CY24</f>
        <v>3.3</v>
      </c>
      <c r="CZ22" s="11">
        <f>CY22+'CF Capex'!CZ24</f>
        <v>3.3</v>
      </c>
      <c r="DA22" s="11">
        <f>CZ22+'CF Capex'!DA24</f>
        <v>3.3</v>
      </c>
      <c r="DB22" s="11">
        <f>DA22+'CF Capex'!DB24</f>
        <v>3.3</v>
      </c>
    </row>
    <row r="23" spans="1:106">
      <c r="A23" t="s">
        <v>97</v>
      </c>
      <c r="B23" s="30">
        <f>0.68+1.38</f>
        <v>2.06</v>
      </c>
      <c r="C23" s="30">
        <f>'Monthly CF'!B40</f>
        <v>0</v>
      </c>
      <c r="D23" s="30">
        <f>'Monthly CF'!C40</f>
        <v>0</v>
      </c>
      <c r="E23" s="30">
        <f>'Monthly CF'!D40</f>
        <v>0</v>
      </c>
      <c r="F23" s="30">
        <f>'Monthly CF'!E40</f>
        <v>0</v>
      </c>
      <c r="G23" s="30">
        <f>'Monthly CF'!F40</f>
        <v>0</v>
      </c>
      <c r="H23" s="30">
        <f>'Monthly CF'!G40</f>
        <v>0</v>
      </c>
      <c r="I23" s="30">
        <f>'Monthly CF'!H40</f>
        <v>0</v>
      </c>
      <c r="J23" s="30">
        <v>2.44</v>
      </c>
      <c r="K23" s="30">
        <f>'Monthly CF'!J40</f>
        <v>0</v>
      </c>
      <c r="L23" s="30">
        <f>'Monthly CF'!K40</f>
        <v>0</v>
      </c>
      <c r="M23" s="30">
        <f>'Monthly CF'!L40</f>
        <v>0</v>
      </c>
      <c r="N23" s="30">
        <f>'Monthly CF'!M40</f>
        <v>0</v>
      </c>
      <c r="O23" s="30">
        <f>'Monthly CF'!N40</f>
        <v>0</v>
      </c>
      <c r="P23" s="30">
        <f>'Monthly CF'!O40</f>
        <v>0</v>
      </c>
      <c r="Q23" s="30">
        <f>'Monthly CF'!P40</f>
        <v>0</v>
      </c>
      <c r="R23" s="30">
        <f>'Monthly CF'!Q40</f>
        <v>0</v>
      </c>
      <c r="S23" s="30">
        <f>'Monthly CF'!R40</f>
        <v>0</v>
      </c>
      <c r="T23" s="30">
        <f>'Monthly CF'!S40</f>
        <v>0</v>
      </c>
      <c r="U23" s="30">
        <f>'Monthly CF'!T40</f>
        <v>0</v>
      </c>
      <c r="V23" s="30">
        <f>'Monthly CF'!U40</f>
        <v>0</v>
      </c>
      <c r="W23" s="30">
        <f>'Monthly CF'!V40</f>
        <v>0.56461202234191976</v>
      </c>
      <c r="X23" s="30">
        <f>'Monthly CF'!W40+X14</f>
        <v>-2.8706167365816326</v>
      </c>
      <c r="Y23" s="30">
        <f>'Monthly CF'!X40+Y14</f>
        <v>-3.5601842269901272</v>
      </c>
      <c r="Z23" s="30">
        <f>'Monthly CF'!Y40+Z14</f>
        <v>-7.3873618084554771</v>
      </c>
      <c r="AA23" s="30">
        <f>'Monthly CF'!Z40+AA14</f>
        <v>45.138536905669852</v>
      </c>
      <c r="AB23" s="30">
        <f>'Monthly CF'!AA40+AB14</f>
        <v>34.953390794646062</v>
      </c>
      <c r="AC23" s="30">
        <f>'Monthly CF'!AB40+AC14</f>
        <v>29.932760841750536</v>
      </c>
      <c r="AD23" s="30">
        <f>'Monthly CF'!AC40+AD14</f>
        <v>25.179769640750592</v>
      </c>
      <c r="AE23" s="30">
        <f>'Monthly CF'!AD40+AE14</f>
        <v>22.496731937438103</v>
      </c>
      <c r="AF23" s="30">
        <f>'Monthly CF'!AE40+AF14</f>
        <v>14.527310304708472</v>
      </c>
      <c r="AG23" s="30">
        <f>'Monthly CF'!AF40+AG14</f>
        <v>11.194700861942646</v>
      </c>
      <c r="AH23" s="30">
        <f>'Monthly CF'!AG40+AH14</f>
        <v>15.550334503489232</v>
      </c>
      <c r="AI23" s="30">
        <f>'Monthly CF'!AH40+AI14</f>
        <v>12.646794493382199</v>
      </c>
      <c r="AJ23" s="30">
        <f>'Monthly CF'!AI40+AJ14</f>
        <v>7.2852115849657562</v>
      </c>
      <c r="AK23" s="30">
        <f>'Monthly CF'!AJ40+AK14</f>
        <v>4.6890936802774696</v>
      </c>
      <c r="AL23" s="30">
        <f>'Monthly CF'!AK40+AL14</f>
        <v>-0.89507737454874459</v>
      </c>
      <c r="AM23" s="30">
        <f>'Monthly CF'!AL40+AM14</f>
        <v>-2.2020879749501994</v>
      </c>
      <c r="AN23" s="30">
        <f>'Monthly CF'!AM40+AN14</f>
        <v>8.7052835928624681</v>
      </c>
      <c r="AO23" s="30">
        <f>'Monthly CF'!AN40+AO14</f>
        <v>7.977829155197572</v>
      </c>
      <c r="AP23" s="30">
        <f>'Monthly CF'!AO40+AP14</f>
        <v>6.5146986630120631</v>
      </c>
      <c r="AQ23" s="30">
        <f>'Monthly CF'!AP40+AQ14</f>
        <v>9.5781533054800008</v>
      </c>
      <c r="AR23" s="30">
        <f>'Monthly CF'!AQ40+AR14</f>
        <v>9.5940342113651162</v>
      </c>
      <c r="AS23" s="30">
        <f>'Monthly CF'!AR40+AS14</f>
        <v>9.7251196444771075</v>
      </c>
      <c r="AT23" s="30">
        <f>'Monthly CF'!AS40+AT14</f>
        <v>11.1907815025824</v>
      </c>
      <c r="AU23" s="30">
        <f>'Monthly CF'!AT40+AU14</f>
        <v>11.303160632356906</v>
      </c>
      <c r="AV23" s="30">
        <f>'Monthly CF'!AU40+AV14</f>
        <v>11.317499194875156</v>
      </c>
      <c r="AW23" s="30">
        <f>'Monthly CF'!AV40+AW14</f>
        <v>10.013939612294616</v>
      </c>
      <c r="AX23" s="30">
        <f>'Monthly CF'!AW40+AX14</f>
        <v>10.041245566010716</v>
      </c>
      <c r="AY23" s="30">
        <f>'Monthly CF'!AX40+AY14</f>
        <v>10.206299763981697</v>
      </c>
      <c r="AZ23" s="30">
        <f>'Monthly CF'!AY40+AZ14</f>
        <v>10.237992367339174</v>
      </c>
      <c r="BA23" s="30">
        <f>'Monthly CF'!AZ40+BA14</f>
        <v>10.399091135117253</v>
      </c>
      <c r="BB23" s="30">
        <f>'Monthly CF'!BA40+BB14</f>
        <v>10.43078373847473</v>
      </c>
      <c r="BC23" s="30">
        <f>'Monthly CF'!BB40+BC14</f>
        <v>10.591882506252809</v>
      </c>
      <c r="BD23" s="30">
        <f>'Monthly CF'!BC40+BD14</f>
        <v>10.622928280437563</v>
      </c>
      <c r="BE23" s="30">
        <f>'Monthly CF'!BD40+BE14</f>
        <v>10.791253851850428</v>
      </c>
      <c r="BF23" s="30">
        <f>'Monthly CF'!BE40+BF14</f>
        <v>9.3550025558270615</v>
      </c>
      <c r="BG23" s="30">
        <f>'Monthly CF'!BF40+BG14</f>
        <v>9.5289824709132915</v>
      </c>
      <c r="BH23" s="30">
        <f>'Monthly CF'!BG40+BH14</f>
        <v>9.5729415322154523</v>
      </c>
      <c r="BI23" s="30">
        <f>'Monthly CF'!BH40+BI14</f>
        <v>8.3045296269669482</v>
      </c>
      <c r="BJ23" s="30">
        <f>'Monthly CF'!BI40+BJ14</f>
        <v>8.3614560794669543</v>
      </c>
      <c r="BK23" s="30">
        <f>'Monthly CF'!BJ40+BK14</f>
        <v>8.561640705992037</v>
      </c>
      <c r="BL23" s="30">
        <f>'Monthly CF'!BK40+BL14</f>
        <v>8.623129274119071</v>
      </c>
      <c r="BM23" s="30">
        <f>'Monthly CF'!BL40+BM14</f>
        <v>8.8192002532435403</v>
      </c>
      <c r="BN23" s="30">
        <f>'Monthly CF'!BM40+BN14</f>
        <v>8.8806888213705797</v>
      </c>
      <c r="BO23" s="30">
        <f>'Monthly CF'!BN40+BO14</f>
        <v>9.0767598004950436</v>
      </c>
      <c r="BP23" s="30">
        <f>'Monthly CF'!BO40+BP14</f>
        <v>9.137575666282455</v>
      </c>
      <c r="BQ23" s="30">
        <f>'Monthly CF'!BP40+BQ14</f>
        <v>9.3411625211870994</v>
      </c>
      <c r="BR23" s="30">
        <f>'Monthly CF'!BQ40+BR14</f>
        <v>8.2982519405106867</v>
      </c>
      <c r="BS23" s="30">
        <f>'Monthly CF'!BR40+BS14</f>
        <v>8.5031356982903574</v>
      </c>
      <c r="BT23" s="30">
        <f>'Monthly CF'!BS40+BT14</f>
        <v>8.5794832963582124</v>
      </c>
      <c r="BU23" s="30">
        <f>'Monthly CF'!BT40+BU14</f>
        <v>7.7220190609390409</v>
      </c>
      <c r="BV23" s="30">
        <f>'Monthly CF'!BU40+BV14</f>
        <v>7.8080922024052839</v>
      </c>
      <c r="BW23" s="30">
        <f>'Monthly CF'!BV40+BW14</f>
        <v>8.0519178743273692</v>
      </c>
      <c r="BX23" s="30">
        <f>'Monthly CF'!BW40+BX14</f>
        <v>9.9631117211808942</v>
      </c>
      <c r="BY23" s="30">
        <f>'Monthly CF'!BX40+BY14</f>
        <v>10.186198302379816</v>
      </c>
      <c r="BZ23" s="30">
        <f>'Monthly CF'!BY40+BZ14</f>
        <v>10.261085899233336</v>
      </c>
      <c r="CA23" s="30">
        <f>'Monthly CF'!BZ40+CA14</f>
        <v>12.304269491434953</v>
      </c>
      <c r="CB23" s="30">
        <f>'Monthly CF'!CA40+CB14</f>
        <v>12.350381932602504</v>
      </c>
      <c r="CC23" s="30">
        <f>'Monthly CF'!CB40+CC14</f>
        <v>12.666871700889132</v>
      </c>
      <c r="CD23" s="30">
        <f>'Monthly CF'!CC40+CD14</f>
        <v>14.582047699383832</v>
      </c>
      <c r="CE23" s="30">
        <f>'Monthly CF'!CD40+CE14</f>
        <v>14.90617211404625</v>
      </c>
      <c r="CF23" s="30">
        <f>'Monthly CF'!CE40+CF14</f>
        <v>15.004605431027493</v>
      </c>
      <c r="CG23" s="30">
        <f>'Monthly CF'!CF40+CG14</f>
        <v>14.624910989044613</v>
      </c>
      <c r="CH23" s="30">
        <f>'Monthly CF'!CG40+CH14</f>
        <v>14.730010302617128</v>
      </c>
      <c r="CI23" s="30">
        <f>'Monthly CF'!CH40+CI14</f>
        <v>15.084512985141217</v>
      </c>
      <c r="CJ23" s="30">
        <f>'Monthly CF'!CI40+CJ14</f>
        <v>15.925779492304379</v>
      </c>
      <c r="CK23" s="30">
        <f>'Monthly CF'!CJ40+CK14</f>
        <v>16.267083050856627</v>
      </c>
      <c r="CL23" s="30">
        <f>'Monthly CF'!CK40+CL14</f>
        <v>16.374018037819717</v>
      </c>
      <c r="CM23" s="30">
        <f>'Monthly CF'!CL40+CM14</f>
        <v>15.259690992193185</v>
      </c>
      <c r="CN23" s="30">
        <f>'Monthly CF'!CM40+CN14</f>
        <v>15.378609562455161</v>
      </c>
      <c r="CO23" s="30">
        <f>'Monthly CF'!CN40+CO14</f>
        <v>15.746117688532113</v>
      </c>
      <c r="CP23" s="30">
        <f>'Monthly CF'!CO40+CP14</f>
        <v>14.395556235674892</v>
      </c>
      <c r="CQ23" s="30">
        <f>'Monthly CF'!CP40+CQ14</f>
        <v>14.767578498622708</v>
      </c>
      <c r="CR23" s="30">
        <f>'Monthly CF'!CQ40+CR14</f>
        <v>14.899744641022696</v>
      </c>
      <c r="CS23" s="30">
        <f>'Monthly CF'!CR40+CS14</f>
        <v>13.109407763890772</v>
      </c>
      <c r="CT23" s="30">
        <f>'Monthly CF'!CS40+CT14</f>
        <v>13.261214586119571</v>
      </c>
      <c r="CU23" s="30">
        <f>'Monthly CF'!CT40+CU14</f>
        <v>13.674101494818213</v>
      </c>
      <c r="CV23" s="30">
        <f>'Monthly CF'!CU40+CV14</f>
        <v>11.740201026469816</v>
      </c>
      <c r="CW23" s="30">
        <f>'Monthly CF'!CV40</f>
        <v>-10.507471332963931</v>
      </c>
      <c r="CX23" s="30">
        <f>'Monthly CF'!CW40</f>
        <v>-10.507471332963931</v>
      </c>
      <c r="CY23" s="30">
        <f>'Monthly CF'!CX40</f>
        <v>-10.507471332963931</v>
      </c>
      <c r="CZ23" s="30">
        <f>'Monthly CF'!CY40</f>
        <v>-10.507471332963931</v>
      </c>
      <c r="DA23" s="30">
        <f>'Monthly CF'!CZ40</f>
        <v>-10.507471332963931</v>
      </c>
      <c r="DB23" s="30">
        <f>'Monthly CF'!DA40</f>
        <v>-10.507471332963931</v>
      </c>
    </row>
    <row r="24" spans="1:106">
      <c r="A24" t="s">
        <v>98</v>
      </c>
      <c r="B24" s="30">
        <v>0.27</v>
      </c>
      <c r="C24" s="30">
        <f>'CF Capex'!C41</f>
        <v>0</v>
      </c>
      <c r="D24" s="30">
        <f>'CF Capex'!D41</f>
        <v>0</v>
      </c>
      <c r="E24" s="30">
        <f>'CF Capex'!E41</f>
        <v>0</v>
      </c>
      <c r="F24" s="30">
        <f>'CF Capex'!F41</f>
        <v>0</v>
      </c>
      <c r="G24" s="30">
        <f>'CF Capex'!G41</f>
        <v>0</v>
      </c>
      <c r="H24" s="30">
        <f>'CF Capex'!H41</f>
        <v>0</v>
      </c>
      <c r="I24" s="30">
        <f>'CF Capex'!I41</f>
        <v>0</v>
      </c>
      <c r="J24" s="30">
        <v>0</v>
      </c>
      <c r="K24" s="30">
        <f>'CF Capex'!K41</f>
        <v>0</v>
      </c>
      <c r="L24" s="30">
        <f>'CF Capex'!L41</f>
        <v>0</v>
      </c>
      <c r="M24" s="30">
        <f>'CF Capex'!M41</f>
        <v>0</v>
      </c>
      <c r="N24" s="30">
        <f>'CF Capex'!N41</f>
        <v>0</v>
      </c>
      <c r="O24" s="30">
        <f>'CF Capex'!O41</f>
        <v>0</v>
      </c>
      <c r="P24" s="30">
        <f>'CF Capex'!P41</f>
        <v>15.41</v>
      </c>
      <c r="Q24" s="30">
        <v>21.74</v>
      </c>
      <c r="R24" s="30">
        <f>'CF Capex'!R41</f>
        <v>14.387840000000001</v>
      </c>
      <c r="S24" s="30">
        <f>'CF Capex'!S41</f>
        <v>6.9802263663460469</v>
      </c>
      <c r="T24" s="30">
        <f>'CF Capex'!T41</f>
        <v>7.0229295543420438</v>
      </c>
      <c r="U24" s="30">
        <f>'CF Capex'!U41</f>
        <v>1.642767453442044</v>
      </c>
      <c r="V24" s="30">
        <v>17.41</v>
      </c>
      <c r="W24" s="30">
        <f>V24</f>
        <v>17.41</v>
      </c>
      <c r="X24" s="30">
        <f>W24</f>
        <v>17.41</v>
      </c>
      <c r="Y24" s="30">
        <f>X24</f>
        <v>17.41</v>
      </c>
      <c r="Z24" s="30">
        <f>Y24</f>
        <v>17.41</v>
      </c>
      <c r="AA24" s="30">
        <f>'CF Capex'!P41</f>
        <v>15.41</v>
      </c>
      <c r="AB24" s="30">
        <f>'CF Capex'!Q41</f>
        <v>15.41</v>
      </c>
      <c r="AC24" s="30">
        <f>'CF Capex'!R41</f>
        <v>14.387840000000001</v>
      </c>
      <c r="AD24" s="30">
        <f>'CF Capex'!S41</f>
        <v>6.9802263663460469</v>
      </c>
      <c r="AE24" s="30">
        <f>'CF Capex'!T41</f>
        <v>7.0229295543420438</v>
      </c>
      <c r="AF24" s="30">
        <f>'CF Capex'!U41</f>
        <v>1.642767453442044</v>
      </c>
      <c r="AG24" s="30">
        <f>'CF Capex'!V41</f>
        <v>-1.8813410902499612</v>
      </c>
      <c r="AH24" s="30">
        <f>'CF Capex'!W41</f>
        <v>1.0770696508020388</v>
      </c>
      <c r="AI24" s="30">
        <f>'CF Capex'!X41</f>
        <v>-4.0452386702760634E-4</v>
      </c>
      <c r="AJ24" s="30">
        <f>'CF Capex'!Y41</f>
        <v>1.1963627636049723</v>
      </c>
      <c r="AK24" s="30">
        <f>'CF Capex'!Z41</f>
        <v>0.5350104907274682</v>
      </c>
      <c r="AL24" s="30">
        <f>'CF Capex'!AA41</f>
        <v>0.68761436557546807</v>
      </c>
      <c r="AM24" s="30">
        <f>'CF Capex'!AB41</f>
        <v>1.0916114384556419E-2</v>
      </c>
      <c r="AN24" s="30">
        <f>'CF Capex'!AC41</f>
        <v>0.27023211438455652</v>
      </c>
      <c r="AO24" s="30">
        <f>'CF Capex'!AD41</f>
        <v>0.61328971438455637</v>
      </c>
      <c r="AP24" s="30">
        <f>'CF Capex'!AE41</f>
        <v>1.3154882143845565</v>
      </c>
      <c r="AQ24" s="30">
        <f>'CF Capex'!AF41</f>
        <v>0.67583021438455659</v>
      </c>
      <c r="AR24" s="30">
        <f>'CF Capex'!AG41</f>
        <v>-7.6605861544343234E-4</v>
      </c>
      <c r="AS24" s="30">
        <f>'CF Capex'!AH41</f>
        <v>0</v>
      </c>
      <c r="AT24" s="30">
        <f>'CF Capex'!AI41</f>
        <v>0</v>
      </c>
      <c r="AU24" s="30">
        <f>'CF Capex'!AJ41</f>
        <v>0</v>
      </c>
      <c r="AV24" s="30">
        <f>'CF Capex'!AK41</f>
        <v>0</v>
      </c>
      <c r="AW24" s="30">
        <f>'CF Capex'!AL41</f>
        <v>0</v>
      </c>
      <c r="AX24" s="30">
        <f>'CF Capex'!AM41</f>
        <v>0</v>
      </c>
      <c r="AY24" s="30">
        <f>'CF Capex'!AN41</f>
        <v>0</v>
      </c>
      <c r="AZ24" s="30">
        <f>'CF Capex'!AO41</f>
        <v>0</v>
      </c>
      <c r="BA24" s="30">
        <f>'CF Capex'!AP41</f>
        <v>0</v>
      </c>
      <c r="BB24" s="30">
        <f>'CF Capex'!AQ41</f>
        <v>0</v>
      </c>
      <c r="BC24" s="30">
        <f>'CF Capex'!AR41</f>
        <v>0</v>
      </c>
      <c r="BD24" s="30">
        <f>'CF Capex'!AS41</f>
        <v>0</v>
      </c>
      <c r="BE24" s="30">
        <f>'CF Capex'!AT41</f>
        <v>0</v>
      </c>
      <c r="BF24" s="30">
        <f>'CF Capex'!AU41</f>
        <v>0</v>
      </c>
      <c r="BG24" s="30">
        <f>'CF Capex'!AV41</f>
        <v>0</v>
      </c>
      <c r="BH24" s="30">
        <f>'CF Capex'!AW41</f>
        <v>0</v>
      </c>
      <c r="BI24" s="30">
        <f>'CF Capex'!AX41</f>
        <v>0</v>
      </c>
      <c r="BJ24" s="30">
        <f>'CF Capex'!AY41</f>
        <v>0</v>
      </c>
      <c r="BK24" s="30">
        <f>'CF Capex'!AZ41</f>
        <v>0</v>
      </c>
      <c r="BL24" s="30">
        <f>'CF Capex'!BA41</f>
        <v>0</v>
      </c>
      <c r="BM24" s="30">
        <f>'CF Capex'!BB41</f>
        <v>0</v>
      </c>
      <c r="BN24" s="30">
        <f>'CF Capex'!BC41</f>
        <v>0</v>
      </c>
      <c r="BO24" s="30">
        <f>'CF Capex'!BD41</f>
        <v>0</v>
      </c>
      <c r="BP24" s="30">
        <f>'CF Capex'!BE41</f>
        <v>0</v>
      </c>
      <c r="BQ24" s="30">
        <f>'CF Capex'!BF41</f>
        <v>0</v>
      </c>
      <c r="BR24" s="30">
        <f>'CF Capex'!BG41</f>
        <v>0</v>
      </c>
      <c r="BS24" s="30">
        <f>'CF Capex'!BH41</f>
        <v>0</v>
      </c>
      <c r="BT24" s="30">
        <f>'CF Capex'!BI41</f>
        <v>0</v>
      </c>
      <c r="BU24" s="30">
        <f>'CF Capex'!BJ41</f>
        <v>0</v>
      </c>
      <c r="BV24" s="30">
        <f>'CF Capex'!BK41</f>
        <v>0</v>
      </c>
      <c r="BW24" s="30">
        <f>'CF Capex'!BL41</f>
        <v>0</v>
      </c>
      <c r="BX24" s="30">
        <f>'CF Capex'!BM41</f>
        <v>0</v>
      </c>
      <c r="BY24" s="30">
        <f>'CF Capex'!BN41</f>
        <v>0</v>
      </c>
      <c r="BZ24" s="30">
        <f>'CF Capex'!BO41</f>
        <v>0</v>
      </c>
      <c r="CA24" s="30">
        <f>'CF Capex'!BP41</f>
        <v>0</v>
      </c>
      <c r="CB24" s="30">
        <f>'CF Capex'!BQ41</f>
        <v>0</v>
      </c>
      <c r="CC24" s="30">
        <f>'CF Capex'!BR41</f>
        <v>0</v>
      </c>
      <c r="CD24" s="30">
        <f>'CF Capex'!BS41</f>
        <v>0</v>
      </c>
      <c r="CE24" s="30">
        <f>'CF Capex'!BT41</f>
        <v>0</v>
      </c>
      <c r="CF24" s="30">
        <f>'CF Capex'!BU41</f>
        <v>0</v>
      </c>
      <c r="CG24" s="30">
        <f>'CF Capex'!BV41</f>
        <v>0</v>
      </c>
      <c r="CH24" s="30">
        <f>'CF Capex'!BW41</f>
        <v>0</v>
      </c>
      <c r="CI24" s="30">
        <f>'CF Capex'!BX41</f>
        <v>0</v>
      </c>
      <c r="CJ24" s="30">
        <f>'CF Capex'!BY41</f>
        <v>0</v>
      </c>
      <c r="CK24" s="30">
        <f>'CF Capex'!BZ41</f>
        <v>0</v>
      </c>
      <c r="CL24" s="30">
        <f>'CF Capex'!CA41</f>
        <v>0</v>
      </c>
      <c r="CM24" s="30">
        <f>'CF Capex'!CB41</f>
        <v>0</v>
      </c>
      <c r="CN24" s="30">
        <f>'CF Capex'!CC41</f>
        <v>0</v>
      </c>
      <c r="CO24" s="30">
        <f>'CF Capex'!CD41</f>
        <v>0</v>
      </c>
      <c r="CP24" s="30">
        <f>'CF Capex'!CE41</f>
        <v>0</v>
      </c>
      <c r="CQ24" s="30">
        <f>'CF Capex'!CF41</f>
        <v>0</v>
      </c>
      <c r="CR24" s="30">
        <f>'CF Capex'!CG41</f>
        <v>0</v>
      </c>
      <c r="CS24" s="30">
        <f>'CF Capex'!CH41</f>
        <v>0</v>
      </c>
      <c r="CT24" s="30">
        <f>'CF Capex'!CI41</f>
        <v>0</v>
      </c>
      <c r="CU24" s="30">
        <f>'CF Capex'!CJ41</f>
        <v>0</v>
      </c>
      <c r="CV24" s="30">
        <f>'CF Capex'!CK41</f>
        <v>0</v>
      </c>
      <c r="CW24" s="30">
        <f>'CF Capex'!CL41</f>
        <v>0</v>
      </c>
      <c r="CX24" s="30">
        <f>'CF Capex'!CM41</f>
        <v>0</v>
      </c>
      <c r="CY24" s="30">
        <f>'CF Capex'!CN41</f>
        <v>0</v>
      </c>
      <c r="CZ24" s="30">
        <f>'CF Capex'!CO41</f>
        <v>0</v>
      </c>
      <c r="DA24" s="30">
        <f>'CF Capex'!CP41</f>
        <v>0</v>
      </c>
      <c r="DB24" s="30">
        <f>'CF Capex'!CQ41</f>
        <v>0</v>
      </c>
    </row>
    <row r="25" spans="1:106">
      <c r="A25" t="s">
        <v>26</v>
      </c>
      <c r="B25" s="30" t="e">
        <f>SUM('CF Capex'!#REF!)</f>
        <v>#REF!</v>
      </c>
      <c r="C25" s="11" t="e">
        <f>B25+'CF Capex'!#REF!-'CF Capex'!C8</f>
        <v>#REF!</v>
      </c>
      <c r="D25" s="11" t="e">
        <f>C25+'CF Capex'!#REF!-'CF Capex'!D8</f>
        <v>#REF!</v>
      </c>
      <c r="E25" s="11" t="e">
        <f>D25+'CF Capex'!#REF!-'CF Capex'!E8</f>
        <v>#REF!</v>
      </c>
      <c r="F25" s="11" t="e">
        <f>E25+'CF Capex'!#REF!-'CF Capex'!F8</f>
        <v>#REF!</v>
      </c>
      <c r="G25" s="11" t="e">
        <f>F25+'CF Capex'!#REF!-'CF Capex'!G8</f>
        <v>#REF!</v>
      </c>
      <c r="H25" s="11" t="e">
        <f>G25+'CF Capex'!#REF!-'CF Capex'!H8</f>
        <v>#REF!</v>
      </c>
      <c r="I25" s="11" t="e">
        <f>H25+'CF Capex'!#REF!-'CF Capex'!I8</f>
        <v>#REF!</v>
      </c>
      <c r="J25" s="11">
        <v>14.11</v>
      </c>
      <c r="K25" s="11" t="e">
        <f>J25+'CF Capex'!#REF!-'CF Capex'!K8</f>
        <v>#REF!</v>
      </c>
      <c r="L25" s="11" t="e">
        <f>K25+'CF Capex'!#REF!-'CF Capex'!L8</f>
        <v>#REF!</v>
      </c>
      <c r="M25" s="11" t="e">
        <f>L25+'CF Capex'!#REF!-'CF Capex'!M8</f>
        <v>#REF!</v>
      </c>
      <c r="N25" s="11" t="e">
        <f>M25+'CF Capex'!#REF!-'CF Capex'!N8</f>
        <v>#REF!</v>
      </c>
      <c r="O25" s="11" t="e">
        <f>N25+'CF Capex'!#REF!-'CF Capex'!O8</f>
        <v>#REF!</v>
      </c>
      <c r="P25" s="11" t="e">
        <f>O25+'CF Capex'!#REF!-'CF Capex'!P8</f>
        <v>#REF!</v>
      </c>
      <c r="Q25" s="11" t="e">
        <f>P25+'CF Capex'!#REF!-'CF Capex'!Q8</f>
        <v>#REF!</v>
      </c>
      <c r="R25" s="11" t="e">
        <f>Q25+'CF Capex'!#REF!-'CF Capex'!R8</f>
        <v>#REF!</v>
      </c>
      <c r="S25" s="11" t="e">
        <f>R25+'CF Capex'!#REF!-'CF Capex'!S8</f>
        <v>#REF!</v>
      </c>
      <c r="T25" s="11" t="e">
        <f>S25+'CF Capex'!#REF!-'CF Capex'!T8-'Monthly CF'!#REF!</f>
        <v>#REF!</v>
      </c>
      <c r="U25" s="11" t="e">
        <f>T25+'CF Capex'!#REF!-'CF Capex'!U8-'Monthly CF'!#REF!</f>
        <v>#REF!</v>
      </c>
      <c r="V25" s="11">
        <v>17.75</v>
      </c>
      <c r="W25" s="11">
        <f>V25</f>
        <v>17.75</v>
      </c>
      <c r="X25" s="11">
        <f t="shared" ref="X25:CI25" si="20">W25</f>
        <v>17.75</v>
      </c>
      <c r="Y25" s="11">
        <f t="shared" si="20"/>
        <v>17.75</v>
      </c>
      <c r="Z25" s="11">
        <f t="shared" si="20"/>
        <v>17.75</v>
      </c>
      <c r="AA25" s="11">
        <f t="shared" si="20"/>
        <v>17.75</v>
      </c>
      <c r="AB25" s="11">
        <f t="shared" si="20"/>
        <v>17.75</v>
      </c>
      <c r="AC25" s="11">
        <f t="shared" si="20"/>
        <v>17.75</v>
      </c>
      <c r="AD25" s="11">
        <f t="shared" si="20"/>
        <v>17.75</v>
      </c>
      <c r="AE25" s="11">
        <f t="shared" si="20"/>
        <v>17.75</v>
      </c>
      <c r="AF25" s="11">
        <f t="shared" si="20"/>
        <v>17.75</v>
      </c>
      <c r="AG25" s="11">
        <f t="shared" si="20"/>
        <v>17.75</v>
      </c>
      <c r="AH25" s="11">
        <f t="shared" si="20"/>
        <v>17.75</v>
      </c>
      <c r="AI25" s="11">
        <f t="shared" si="20"/>
        <v>17.75</v>
      </c>
      <c r="AJ25" s="11">
        <f t="shared" si="20"/>
        <v>17.75</v>
      </c>
      <c r="AK25" s="11">
        <f t="shared" si="20"/>
        <v>17.75</v>
      </c>
      <c r="AL25" s="11">
        <f t="shared" si="20"/>
        <v>17.75</v>
      </c>
      <c r="AM25" s="11">
        <f t="shared" si="20"/>
        <v>17.75</v>
      </c>
      <c r="AN25" s="11">
        <f>AM25-15</f>
        <v>2.75</v>
      </c>
      <c r="AO25" s="11">
        <f t="shared" si="20"/>
        <v>2.75</v>
      </c>
      <c r="AP25" s="11">
        <f t="shared" si="20"/>
        <v>2.75</v>
      </c>
      <c r="AQ25" s="11">
        <f t="shared" si="20"/>
        <v>2.75</v>
      </c>
      <c r="AR25" s="11">
        <f t="shared" si="20"/>
        <v>2.75</v>
      </c>
      <c r="AS25" s="11">
        <f t="shared" si="20"/>
        <v>2.75</v>
      </c>
      <c r="AT25" s="11">
        <f t="shared" si="20"/>
        <v>2.75</v>
      </c>
      <c r="AU25" s="11">
        <f t="shared" si="20"/>
        <v>2.75</v>
      </c>
      <c r="AV25" s="11">
        <f t="shared" si="20"/>
        <v>2.75</v>
      </c>
      <c r="AW25" s="11">
        <f t="shared" si="20"/>
        <v>2.75</v>
      </c>
      <c r="AX25" s="11">
        <f t="shared" si="20"/>
        <v>2.75</v>
      </c>
      <c r="AY25" s="11">
        <f t="shared" si="20"/>
        <v>2.75</v>
      </c>
      <c r="AZ25" s="11">
        <f t="shared" si="20"/>
        <v>2.75</v>
      </c>
      <c r="BA25" s="11">
        <f t="shared" si="20"/>
        <v>2.75</v>
      </c>
      <c r="BB25" s="11">
        <f t="shared" si="20"/>
        <v>2.75</v>
      </c>
      <c r="BC25" s="11">
        <f t="shared" si="20"/>
        <v>2.75</v>
      </c>
      <c r="BD25" s="11">
        <f t="shared" si="20"/>
        <v>2.75</v>
      </c>
      <c r="BE25" s="11">
        <f t="shared" si="20"/>
        <v>2.75</v>
      </c>
      <c r="BF25" s="11">
        <f t="shared" si="20"/>
        <v>2.75</v>
      </c>
      <c r="BG25" s="11">
        <f t="shared" si="20"/>
        <v>2.75</v>
      </c>
      <c r="BH25" s="11">
        <f t="shared" si="20"/>
        <v>2.75</v>
      </c>
      <c r="BI25" s="11">
        <f t="shared" si="20"/>
        <v>2.75</v>
      </c>
      <c r="BJ25" s="11">
        <f t="shared" si="20"/>
        <v>2.75</v>
      </c>
      <c r="BK25" s="11">
        <f t="shared" si="20"/>
        <v>2.75</v>
      </c>
      <c r="BL25" s="11">
        <f t="shared" si="20"/>
        <v>2.75</v>
      </c>
      <c r="BM25" s="11">
        <f t="shared" si="20"/>
        <v>2.75</v>
      </c>
      <c r="BN25" s="11">
        <f t="shared" si="20"/>
        <v>2.75</v>
      </c>
      <c r="BO25" s="11">
        <f t="shared" si="20"/>
        <v>2.75</v>
      </c>
      <c r="BP25" s="11">
        <f t="shared" si="20"/>
        <v>2.75</v>
      </c>
      <c r="BQ25" s="11">
        <f t="shared" si="20"/>
        <v>2.75</v>
      </c>
      <c r="BR25" s="11">
        <f t="shared" si="20"/>
        <v>2.75</v>
      </c>
      <c r="BS25" s="11">
        <f t="shared" si="20"/>
        <v>2.75</v>
      </c>
      <c r="BT25" s="11">
        <f t="shared" si="20"/>
        <v>2.75</v>
      </c>
      <c r="BU25" s="11">
        <f t="shared" si="20"/>
        <v>2.75</v>
      </c>
      <c r="BV25" s="11">
        <f t="shared" si="20"/>
        <v>2.75</v>
      </c>
      <c r="BW25" s="11">
        <f t="shared" si="20"/>
        <v>2.75</v>
      </c>
      <c r="BX25" s="11">
        <f t="shared" si="20"/>
        <v>2.75</v>
      </c>
      <c r="BY25" s="11">
        <f t="shared" si="20"/>
        <v>2.75</v>
      </c>
      <c r="BZ25" s="11">
        <f t="shared" si="20"/>
        <v>2.75</v>
      </c>
      <c r="CA25" s="11">
        <f t="shared" si="20"/>
        <v>2.75</v>
      </c>
      <c r="CB25" s="11">
        <f t="shared" si="20"/>
        <v>2.75</v>
      </c>
      <c r="CC25" s="11">
        <f t="shared" si="20"/>
        <v>2.75</v>
      </c>
      <c r="CD25" s="11">
        <f t="shared" si="20"/>
        <v>2.75</v>
      </c>
      <c r="CE25" s="11">
        <f t="shared" si="20"/>
        <v>2.75</v>
      </c>
      <c r="CF25" s="11">
        <f t="shared" si="20"/>
        <v>2.75</v>
      </c>
      <c r="CG25" s="11">
        <f t="shared" si="20"/>
        <v>2.75</v>
      </c>
      <c r="CH25" s="11">
        <f t="shared" si="20"/>
        <v>2.75</v>
      </c>
      <c r="CI25" s="11">
        <f t="shared" si="20"/>
        <v>2.75</v>
      </c>
      <c r="CJ25" s="11">
        <f t="shared" ref="CJ25:DB25" si="21">CI25</f>
        <v>2.75</v>
      </c>
      <c r="CK25" s="11">
        <f t="shared" si="21"/>
        <v>2.75</v>
      </c>
      <c r="CL25" s="11">
        <f t="shared" si="21"/>
        <v>2.75</v>
      </c>
      <c r="CM25" s="11">
        <f t="shared" si="21"/>
        <v>2.75</v>
      </c>
      <c r="CN25" s="11">
        <f t="shared" si="21"/>
        <v>2.75</v>
      </c>
      <c r="CO25" s="11">
        <f t="shared" si="21"/>
        <v>2.75</v>
      </c>
      <c r="CP25" s="11">
        <f t="shared" si="21"/>
        <v>2.75</v>
      </c>
      <c r="CQ25" s="11">
        <f t="shared" si="21"/>
        <v>2.75</v>
      </c>
      <c r="CR25" s="11">
        <f t="shared" si="21"/>
        <v>2.75</v>
      </c>
      <c r="CS25" s="11">
        <f t="shared" si="21"/>
        <v>2.75</v>
      </c>
      <c r="CT25" s="11">
        <f t="shared" si="21"/>
        <v>2.75</v>
      </c>
      <c r="CU25" s="11">
        <f t="shared" si="21"/>
        <v>2.75</v>
      </c>
      <c r="CV25" s="11">
        <f t="shared" si="21"/>
        <v>2.75</v>
      </c>
      <c r="CW25" s="11">
        <f t="shared" si="21"/>
        <v>2.75</v>
      </c>
      <c r="CX25" s="11">
        <f t="shared" si="21"/>
        <v>2.75</v>
      </c>
      <c r="CY25" s="11">
        <f t="shared" si="21"/>
        <v>2.75</v>
      </c>
      <c r="CZ25" s="11">
        <f t="shared" si="21"/>
        <v>2.75</v>
      </c>
      <c r="DA25" s="11">
        <f t="shared" si="21"/>
        <v>2.75</v>
      </c>
      <c r="DB25" s="11">
        <f t="shared" si="21"/>
        <v>2.75</v>
      </c>
    </row>
    <row r="26" spans="1:106">
      <c r="A26" t="s">
        <v>27</v>
      </c>
      <c r="B26" s="30">
        <v>37.74</v>
      </c>
      <c r="C26" s="11">
        <f>B26+'Monthly PL'!D11-SUM('Monthly CF'!B4:B13)</f>
        <v>41.077439274666666</v>
      </c>
      <c r="D26" s="11">
        <f>C26+'Monthly PL'!E11-SUM('Monthly CF'!C4:C13)</f>
        <v>47.292758272</v>
      </c>
      <c r="E26" s="11">
        <f>D26+'Monthly PL'!F11-SUM('Monthly CF'!D4:D13)</f>
        <v>50.771762559999999</v>
      </c>
      <c r="F26" s="11">
        <f>E26+'Monthly PL'!G11-SUM('Monthly CF'!E4:E13)</f>
        <v>56.049281843199999</v>
      </c>
      <c r="G26" s="11">
        <f>F26+'Monthly PL'!H11-SUM('Monthly CF'!F4:F13)</f>
        <v>59.669851144533332</v>
      </c>
      <c r="H26" s="11">
        <f>G26+'Monthly PL'!I11-SUM('Monthly CF'!G4:G13)</f>
        <v>65.20918103466667</v>
      </c>
      <c r="I26" s="11">
        <f>H26+'Monthly PL'!J11-SUM('Monthly CF'!H4:H13)</f>
        <v>69.562199125333336</v>
      </c>
      <c r="J26" s="11">
        <v>30.8</v>
      </c>
      <c r="K26" s="11">
        <f>J26+'Monthly PL'!L11-SUM('Monthly CF'!J4:J13)</f>
        <v>33.795926399999999</v>
      </c>
      <c r="L26" s="11">
        <f>K26+'Monthly PL'!M11-SUM('Monthly CF'!K4:K13)</f>
        <v>39.608618911999997</v>
      </c>
      <c r="M26" s="11">
        <f>L26+'Monthly PL'!N11-SUM('Monthly CF'!L4:L13)</f>
        <v>42.652674591999997</v>
      </c>
      <c r="N26" s="11">
        <f>M26+'Monthly PL'!O11-SUM('Monthly CF'!M4:M13)</f>
        <v>49.007708095999995</v>
      </c>
      <c r="O26" s="11">
        <f>N26+'Monthly PL'!P11-SUM('Monthly CF'!N4:N13)</f>
        <v>52.503482399999996</v>
      </c>
      <c r="P26" s="11">
        <f>O26+'Monthly PL'!Q11-SUM('Monthly CF'!O4:O13)</f>
        <v>59.053787791999994</v>
      </c>
      <c r="Q26" s="11">
        <v>32.85</v>
      </c>
      <c r="R26" s="11">
        <f>Q26+'Monthly PL'!S11-SUM('Monthly CF'!Q4:Q13)</f>
        <v>39.439541840000004</v>
      </c>
      <c r="S26" s="11">
        <f>R26+'Monthly PL'!T11-SUM('Monthly CF'!R4:R13)</f>
        <v>42.897422256000006</v>
      </c>
      <c r="T26" s="11">
        <f>S26+'Monthly PL'!U11-SUM('Monthly CF'!S4:S13)</f>
        <v>49.729006880000007</v>
      </c>
      <c r="U26" s="11">
        <f>T26+'Monthly PL'!V11-SUM('Monthly CF'!T4:T13)</f>
        <v>52.965682592000007</v>
      </c>
      <c r="V26" s="11">
        <v>13.54</v>
      </c>
      <c r="W26" s="11">
        <f>V26+'Monthly PL'!X11-SUM('Monthly CF'!V4:V13)</f>
        <v>10.127583328</v>
      </c>
      <c r="X26" s="11">
        <f>W26+'Monthly PL'!Y11-SUM('Monthly CF'!W4:W13)</f>
        <v>13.658270688</v>
      </c>
      <c r="Y26" s="11">
        <f>X26+'Monthly PL'!Z11-+'Monthly PL'!Z10-SUM('Monthly CF'!X4:X13)</f>
        <v>10.194847328000002</v>
      </c>
      <c r="Z26" s="11">
        <f>Y26+'Monthly PL'!AA11-+'Monthly PL'!AA10-SUM('Monthly CF'!Y4:Y13)</f>
        <v>13.796161887999997</v>
      </c>
      <c r="AA26" s="11">
        <f>Z26+'Monthly PL'!AB11-+'Monthly PL'!AB10-SUM('Monthly CF'!Z4:Z13)</f>
        <v>10.363455754666662</v>
      </c>
      <c r="AB26" s="11">
        <f>AA26+'Monthly PL'!AC11-+'Monthly PL'!AC10-SUM('Monthly CF'!AA4:AA13)</f>
        <v>13.77015314133333</v>
      </c>
      <c r="AC26" s="11">
        <f>AB26+'Monthly PL'!AD11-+'Monthly PL'!AD10-SUM('Monthly CF'!AB4:AB13)</f>
        <v>10.391258207999995</v>
      </c>
      <c r="AD26" s="11">
        <f>AC26+'Monthly PL'!AE11-+'Monthly PL'!AE10-SUM('Monthly CF'!AC4:AC13)</f>
        <v>13.740047967999994</v>
      </c>
      <c r="AE26" s="11">
        <f>AD26+'Monthly PL'!AF11-+'Monthly PL'!AF10-SUM('Monthly CF'!AD4:AD13)</f>
        <v>10.334695861333326</v>
      </c>
      <c r="AF26" s="11">
        <f>AE26+'Monthly PL'!AG11-+'Monthly PL'!AG10-SUM('Monthly CF'!AE4:AE13)</f>
        <v>13.969866634666658</v>
      </c>
      <c r="AG26" s="11">
        <f>AF26+'Monthly PL'!AH11-+'Monthly PL'!AH10-SUM('Monthly CF'!AF4:AF13)</f>
        <v>13.010034954666658</v>
      </c>
      <c r="AH26" s="11">
        <f>AG26+'Monthly PL'!AI11-+'Monthly PL'!AI10-SUM('Monthly CF'!AG4:AG13)</f>
        <v>7.6018171199999927</v>
      </c>
      <c r="AI26" s="11">
        <f>AH26+'Monthly PL'!AJ11-+'Monthly PL'!AJ10-SUM('Monthly CF'!AH4:AH13)</f>
        <v>4.1148201151999917</v>
      </c>
      <c r="AJ26" s="11">
        <f>AI26+'Monthly PL'!AK11-+'Monthly PL'!AK10-SUM('Monthly CF'!AI4:AI13)</f>
        <v>8.1298900682239932</v>
      </c>
      <c r="AK26" s="11">
        <f>AJ26+'Monthly PL'!AL11-+'Monthly PL'!AL10-SUM('Monthly CF'!AJ4:AJ13)</f>
        <v>4.1719030361599909</v>
      </c>
      <c r="AL26" s="11">
        <f>AK26+'Monthly PL'!AM11-+'Monthly PL'!AM10-SUM('Monthly CF'!AK4:AK13)</f>
        <v>8.2469100561919895</v>
      </c>
      <c r="AM26" s="11">
        <f>AL26+'Monthly PL'!AN11-+'Monthly PL'!AN10-SUM('Monthly CF'!AL4:AL13)</f>
        <v>4.3588496023039909</v>
      </c>
      <c r="AN26" s="11">
        <f>AM26+'Monthly PL'!AO11-+'Monthly PL'!AO10-SUM('Monthly CF'!AM4:AM13)</f>
        <v>8.2326393259519897</v>
      </c>
      <c r="AO26" s="11">
        <f>AN26+'Monthly PL'!AP11-+'Monthly PL'!AP10-SUM('Monthly CF'!AN4:AN13)</f>
        <v>4.3476437736959905</v>
      </c>
      <c r="AP26" s="11">
        <f>AO26+'Monthly PL'!AQ11-+'Monthly PL'!AQ10-SUM('Monthly CF'!AO4:AO13)</f>
        <v>8.2775650362879922</v>
      </c>
      <c r="AQ26" s="11">
        <f>AP26+'Monthly PL'!AR11-+'Monthly PL'!AR10-SUM('Monthly CF'!AP4:AP13)</f>
        <v>4.4066294586879931</v>
      </c>
      <c r="AR26" s="11">
        <f>AQ26+'Monthly PL'!AS11-+'Monthly PL'!AS10-SUM('Monthly CF'!AQ4:AQ13)</f>
        <v>8.5946130931199924</v>
      </c>
      <c r="AS26" s="11">
        <f>AR26+'Monthly PL'!AT11-+'Monthly PL'!AT10-SUM('Monthly CF'!AR4:AR13)</f>
        <v>4.1944712691199939</v>
      </c>
      <c r="AT26" s="11">
        <f>AS26+'Monthly PL'!AU11-+'Monthly PL'!AU10-SUM('Monthly CF'!AS4:AS13)</f>
        <v>8.5770125258239922</v>
      </c>
      <c r="AU26" s="11">
        <f>AT26+'Monthly PL'!AV11-+'Monthly PL'!AV10-SUM('Monthly CF'!AT4:AT13)</f>
        <v>5.1450160689459139</v>
      </c>
      <c r="AV26" s="11">
        <f>AU26+'Monthly PL'!AW11-+'Monthly PL'!AW10-SUM('Monthly CF'!AU4:AU13)</f>
        <v>10.297528956649085</v>
      </c>
      <c r="AW26" s="11">
        <f>AV26+'Monthly PL'!AX11-+'Monthly PL'!AX10-SUM('Monthly CF'!AV4:AV13)</f>
        <v>5.1789197563135936</v>
      </c>
      <c r="AX26" s="11">
        <f>AW26+'Monthly PL'!AY11-+'Monthly PL'!AY10-SUM('Monthly CF'!AW4:AW13)</f>
        <v>10.367031515752828</v>
      </c>
      <c r="AY26" s="11">
        <f>AX26+'Monthly PL'!AZ11-+'Monthly PL'!AZ10-SUM('Monthly CF'!AX4:AX13)</f>
        <v>5.3778213888706503</v>
      </c>
      <c r="AZ26" s="11">
        <f>AY26+'Monthly PL'!BA11-+'Monthly PL'!BA10-SUM('Monthly CF'!AY4:AY13)</f>
        <v>10.270688537483004</v>
      </c>
      <c r="BA26" s="11">
        <f>AZ26+'Monthly PL'!BB11-+'Monthly PL'!BB10-SUM('Monthly CF'!AZ4:AZ13)</f>
        <v>5.412855199150588</v>
      </c>
      <c r="BB26" s="11">
        <f>BA26+'Monthly PL'!BC11-+'Monthly PL'!BC10-SUM('Monthly CF'!BA4:BA13)</f>
        <v>10.339060973674489</v>
      </c>
      <c r="BC26" s="11">
        <f>BB26+'Monthly PL'!BD11-+'Monthly PL'!BD10-SUM('Monthly CF'!BB4:BB13)</f>
        <v>5.4478890094305221</v>
      </c>
      <c r="BD26" s="11">
        <f>BC26+'Monthly PL'!BE11-+'Monthly PL'!BE10-SUM('Monthly CF'!BC4:BC13)</f>
        <v>10.659168288571006</v>
      </c>
      <c r="BE26" s="11">
        <f>BD26+'Monthly PL'!BF11-+'Monthly PL'!BF10-SUM('Monthly CF'!BD4:BD13)</f>
        <v>4.9777578779320262</v>
      </c>
      <c r="BF26" s="11">
        <f>BE26+'Monthly PL'!BG11-+'Monthly PL'!BG10-SUM('Monthly CF'!BE4:BE13)</f>
        <v>10.476653438241659</v>
      </c>
      <c r="BG26" s="11">
        <f>BF26+'Monthly PL'!BH11-+'Monthly PL'!BH10-SUM('Monthly CF'!BF4:BF13)</f>
        <v>5.5430453586424804</v>
      </c>
      <c r="BH26" s="11">
        <f>BG26+'Monthly PL'!BI11-+'Monthly PL'!BI10-SUM('Monthly CF'!BG4:BG13)</f>
        <v>11.100876828826264</v>
      </c>
      <c r="BI26" s="11">
        <f>BH26+'Monthly PL'!BJ11-+'Monthly PL'!BJ10-SUM('Monthly CF'!BH4:BH13)</f>
        <v>5.560675276073674</v>
      </c>
      <c r="BJ26" s="11">
        <f>BI26+'Monthly PL'!BK11-+'Monthly PL'!BK10-SUM('Monthly CF'!BI4:BI13)</f>
        <v>11.137018159560212</v>
      </c>
      <c r="BK26" s="11">
        <f>BJ26+'Monthly PL'!BL11-+'Monthly PL'!BL10-SUM('Monthly CF'!BJ4:BJ13)</f>
        <v>5.7554858636883637</v>
      </c>
      <c r="BL26" s="11">
        <f>BK26+'Monthly PL'!BM11-+'Monthly PL'!BM10-SUM('Monthly CF'!BK4:BK13)</f>
        <v>10.995538072174883</v>
      </c>
      <c r="BM26" s="11">
        <f>BL26+'Monthly PL'!BN11-+'Monthly PL'!BN10-SUM('Monthly CF'!BL4:BL13)</f>
        <v>5.7737034450339273</v>
      </c>
      <c r="BN26" s="11">
        <f>BM26+'Monthly PL'!BO11-+'Monthly PL'!BO10-SUM('Monthly CF'!BM4:BM13)</f>
        <v>11.031091738994455</v>
      </c>
      <c r="BO26" s="11">
        <f>BN26+'Monthly PL'!BP11-+'Monthly PL'!BP10-SUM('Monthly CF'!BN4:BN13)</f>
        <v>5.7919210263794945</v>
      </c>
      <c r="BP26" s="11">
        <f>BO26+'Monthly PL'!BQ11-+'Monthly PL'!BQ10-SUM('Monthly CF'!BO4:BO13)</f>
        <v>11.334620150768172</v>
      </c>
      <c r="BQ26" s="11">
        <f>BP26+'Monthly PL'!BR11-+'Monthly PL'!BR10-SUM('Monthly CF'!BP4:BP13)</f>
        <v>5.2733076219452162</v>
      </c>
      <c r="BR26" s="11">
        <f>BQ26+'Monthly PL'!BS11-+'Monthly PL'!BS10-SUM('Monthly CF'!BQ4:BQ13)</f>
        <v>11.102639820569381</v>
      </c>
      <c r="BS26" s="11">
        <f>BR26+'Monthly PL'!BT11-+'Monthly PL'!BT10-SUM('Monthly CF'!BR4:BR13)</f>
        <v>6.1937552404881675</v>
      </c>
      <c r="BT26" s="11">
        <f>BS26+'Monthly PL'!BU11-+'Monthly PL'!BU10-SUM('Monthly CF'!BS4:BS13)</f>
        <v>12.436214479547324</v>
      </c>
      <c r="BU26" s="11">
        <f>BT26+'Monthly PL'!BV11-+'Monthly PL'!BV10-SUM('Monthly CF'!BT4:BT13)</f>
        <v>6.2131688907418123</v>
      </c>
      <c r="BV26" s="11">
        <f>BU26+'Monthly PL'!BW11-+'Monthly PL'!BW10-SUM('Monthly CF'!BU4:BU13)</f>
        <v>12.476012462567292</v>
      </c>
      <c r="BW26" s="11">
        <f>BV26+'Monthly PL'!BX11-+'Monthly PL'!BX10-SUM('Monthly CF'!BV4:BV13)</f>
        <v>6.4315724560953011</v>
      </c>
      <c r="BX26" s="11">
        <f>BW26+'Monthly PL'!BY11-+'Monthly PL'!BY10-SUM('Monthly CF'!BW4:BW13)</f>
        <v>12.316335189231069</v>
      </c>
      <c r="BY26" s="11">
        <f>BX26+'Monthly PL'!BZ11-+'Monthly PL'!BZ10-SUM('Monthly CF'!BX4:BX13)</f>
        <v>6.4516332280240611</v>
      </c>
      <c r="BZ26" s="11">
        <f>BY26+'Monthly PL'!CA11-+'Monthly PL'!CA10-SUM('Monthly CF'!BY4:BY13)</f>
        <v>12.355486050575918</v>
      </c>
      <c r="CA26" s="11">
        <f>BZ26+'Monthly PL'!CB11-+'Monthly PL'!CB10-SUM('Monthly CF'!BZ4:BZ13)</f>
        <v>6.4716939999528318</v>
      </c>
      <c r="CB26" s="11">
        <f>CA26+'Monthly PL'!CC11-+'Monthly PL'!CC10-SUM('Monthly CF'!CA4:CA13)</f>
        <v>12.8040166181415</v>
      </c>
      <c r="CC26" s="11">
        <f>CB26+'Monthly PL'!CD11-+'Monthly PL'!CD10-SUM('Monthly CF'!CB4:CB13)</f>
        <v>5.9543804180583511</v>
      </c>
      <c r="CD26" s="11">
        <f>CC26+'Monthly PL'!CE11-+'Monthly PL'!CE10-SUM('Monthly CF'!CC4:CC13)</f>
        <v>12.575800882272212</v>
      </c>
      <c r="CE26" s="11">
        <f>CD26+'Monthly PL'!CF11-+'Monthly PL'!CF10-SUM('Monthly CF'!CD4:CD13)</f>
        <v>6.6252619931956662</v>
      </c>
      <c r="CF26" s="11">
        <f>CE26+'Monthly PL'!CG11-+'Monthly PL'!CG10-SUM('Monthly CF'!CE4:CE13)</f>
        <v>13.321587092291665</v>
      </c>
      <c r="CG26" s="11">
        <f>CF26+'Monthly PL'!CH11-+'Monthly PL'!CH10-SUM('Monthly CF'!CF4:CF13)</f>
        <v>6.6456869591834558</v>
      </c>
      <c r="CH26" s="11">
        <f>CG26+'Monthly PL'!CI11-+'Monthly PL'!CI10-SUM('Monthly CF'!CG4:CG13)</f>
        <v>13.363458272566627</v>
      </c>
      <c r="CI26" s="11">
        <f>CH26+'Monthly PL'!CJ11-+'Monthly PL'!CJ10-SUM('Monthly CF'!CH4:CH13)</f>
        <v>6.8795528197436155</v>
      </c>
      <c r="CJ26" s="11">
        <f>CI26+'Monthly PL'!CK11-+'Monthly PL'!CK10-SUM('Monthly CF'!CI4:CI13)</f>
        <v>13.191377934119521</v>
      </c>
      <c r="CK26" s="11">
        <f>CJ26+'Monthly PL'!CL11-+'Monthly PL'!CL10-SUM('Monthly CF'!CJ4:CJ13)</f>
        <v>6.9006586179309934</v>
      </c>
      <c r="CL26" s="11">
        <f>CK26+'Monthly PL'!CM11-+'Monthly PL'!CM10-SUM('Monthly CF'!CK4:CK13)</f>
        <v>13.232568282194887</v>
      </c>
      <c r="CM26" s="11">
        <f>CL26+'Monthly PL'!CN11-+'Monthly PL'!CN10-SUM('Monthly CF'!CL4:CL13)</f>
        <v>6.9217644161183713</v>
      </c>
      <c r="CN26" s="11">
        <f>CM26+'Monthly PL'!CO11-+'Monthly PL'!CO10-SUM('Monthly CF'!CM4:CM13)</f>
        <v>13.596473092877291</v>
      </c>
      <c r="CO26" s="11">
        <f>CN26+'Monthly PL'!CP11-+'Monthly PL'!CP10-SUM('Monthly CF'!CN4:CN13)</f>
        <v>6.5119034319634448</v>
      </c>
      <c r="CP26" s="11">
        <f>CO26+'Monthly PL'!CQ11-+'Monthly PL'!CQ10-SUM('Monthly CF'!CO4:CO13)</f>
        <v>13.423201298080897</v>
      </c>
      <c r="CQ26" s="11">
        <f>CP26+'Monthly PL'!CR11-+'Monthly PL'!CR10-SUM('Monthly CF'!CP4:CP13)</f>
        <v>7.0072088571672797</v>
      </c>
      <c r="CR26" s="11">
        <f>CQ26+'Monthly PL'!CS11-+'Monthly PL'!CS10-SUM('Monthly CF'!CQ4:CQ13)</f>
        <v>14.105211337379098</v>
      </c>
      <c r="CS26" s="11">
        <f>CR26+'Monthly PL'!CT11-+'Monthly PL'!CT10-SUM('Monthly CF'!CR4:CR13)</f>
        <v>7.0284508217945802</v>
      </c>
      <c r="CT26" s="11">
        <f>CS26+'Monthly PL'!CU11-+'Monthly PL'!CU10-SUM('Monthly CF'!CS4:CS13)</f>
        <v>14.148757364865061</v>
      </c>
      <c r="CU26" s="11">
        <f>CT26+'Monthly PL'!CV11-+'Monthly PL'!CV10-SUM('Monthly CF'!CT4:CT13)</f>
        <v>7.2759197097026096</v>
      </c>
      <c r="CV26" s="11">
        <f>CU26+'Monthly PL'!CW11-+'Monthly PL'!CW10-SUM('Monthly CF'!CU4:CU13)</f>
        <v>-1.0469870000129333E-3</v>
      </c>
      <c r="CW26" s="11">
        <f>CV26+'Monthly PL'!CX11-+'Monthly PL'!CX10-SUM('Monthly CF'!CV4:CV13)</f>
        <v>-1.0469870000129333E-3</v>
      </c>
      <c r="CX26" s="11">
        <f>CW26+'Monthly PL'!CY11-+'Monthly PL'!CY10-SUM('Monthly CF'!CW4:CW13)</f>
        <v>-1.0469870000129333E-3</v>
      </c>
      <c r="CY26" s="11">
        <f>CX26+'Monthly PL'!CZ11-+'Monthly PL'!CZ10-SUM('Monthly CF'!CX4:CX13)</f>
        <v>-1.0469870000129333E-3</v>
      </c>
      <c r="CZ26" s="11">
        <f>CY26+'Monthly PL'!DA11-+'Monthly PL'!DA10-SUM('Monthly CF'!CY4:CY13)</f>
        <v>-1.0469870000129333E-3</v>
      </c>
      <c r="DA26" s="11">
        <f>CZ26+'Monthly PL'!DB11-+'Monthly PL'!DB10-SUM('Monthly CF'!CZ4:CZ13)</f>
        <v>-1.0469870000129333E-3</v>
      </c>
      <c r="DB26" s="11">
        <f>DA26+'Monthly PL'!DC11-+'Monthly PL'!DC10-SUM('Monthly CF'!DA4:DA13)</f>
        <v>-1.0469870000129333E-3</v>
      </c>
    </row>
    <row r="27" spans="1:106" ht="12.75" thickBot="1">
      <c r="A27" s="7" t="s">
        <v>28</v>
      </c>
      <c r="B27" s="10" t="e">
        <f t="shared" ref="B27:AG27" si="22">SUM(B21:B26)</f>
        <v>#REF!</v>
      </c>
      <c r="C27" s="10" t="e">
        <f t="shared" si="22"/>
        <v>#REF!</v>
      </c>
      <c r="D27" s="10" t="e">
        <f t="shared" si="22"/>
        <v>#REF!</v>
      </c>
      <c r="E27" s="10" t="e">
        <f t="shared" si="22"/>
        <v>#REF!</v>
      </c>
      <c r="F27" s="10" t="e">
        <f t="shared" si="22"/>
        <v>#REF!</v>
      </c>
      <c r="G27" s="10" t="e">
        <f t="shared" si="22"/>
        <v>#REF!</v>
      </c>
      <c r="H27" s="10" t="e">
        <f t="shared" si="22"/>
        <v>#REF!</v>
      </c>
      <c r="I27" s="10" t="e">
        <f t="shared" si="22"/>
        <v>#REF!</v>
      </c>
      <c r="J27" s="10">
        <f t="shared" si="22"/>
        <v>277.31717761160246</v>
      </c>
      <c r="K27" s="10" t="e">
        <f t="shared" si="22"/>
        <v>#REF!</v>
      </c>
      <c r="L27" s="10" t="e">
        <f t="shared" si="22"/>
        <v>#REF!</v>
      </c>
      <c r="M27" s="10" t="e">
        <f t="shared" si="22"/>
        <v>#REF!</v>
      </c>
      <c r="N27" s="10" t="e">
        <f t="shared" si="22"/>
        <v>#REF!</v>
      </c>
      <c r="O27" s="10" t="e">
        <f t="shared" si="22"/>
        <v>#REF!</v>
      </c>
      <c r="P27" s="10" t="e">
        <f t="shared" si="22"/>
        <v>#REF!</v>
      </c>
      <c r="Q27" s="10" t="e">
        <f t="shared" si="22"/>
        <v>#REF!</v>
      </c>
      <c r="R27" s="10" t="e">
        <f t="shared" si="22"/>
        <v>#REF!</v>
      </c>
      <c r="S27" s="10" t="e">
        <f t="shared" si="22"/>
        <v>#REF!</v>
      </c>
      <c r="T27" s="10" t="e">
        <f t="shared" si="22"/>
        <v>#REF!</v>
      </c>
      <c r="U27" s="10" t="e">
        <f t="shared" si="22"/>
        <v>#REF!</v>
      </c>
      <c r="V27" s="10">
        <f t="shared" si="22"/>
        <v>281.30287539785445</v>
      </c>
      <c r="W27" s="10">
        <f t="shared" si="22"/>
        <v>278.49507074819638</v>
      </c>
      <c r="X27" s="10">
        <f t="shared" si="22"/>
        <v>278.63052934927282</v>
      </c>
      <c r="Y27" s="10">
        <f t="shared" si="22"/>
        <v>274.51753849886433</v>
      </c>
      <c r="Z27" s="10">
        <f t="shared" si="22"/>
        <v>274.65503459222043</v>
      </c>
      <c r="AA27" s="10">
        <f t="shared" si="22"/>
        <v>325.35914540383391</v>
      </c>
      <c r="AB27" s="10">
        <f t="shared" si="22"/>
        <v>326.01095680020649</v>
      </c>
      <c r="AC27" s="10">
        <f t="shared" si="22"/>
        <v>322.70256445875185</v>
      </c>
      <c r="AD27" s="10">
        <f t="shared" si="22"/>
        <v>322.8637589454836</v>
      </c>
      <c r="AE27" s="10">
        <f t="shared" si="22"/>
        <v>319.40354015233822</v>
      </c>
      <c r="AF27" s="10">
        <f t="shared" si="22"/>
        <v>320.07190558510388</v>
      </c>
      <c r="AG27" s="10">
        <f t="shared" si="22"/>
        <v>319.84292389721571</v>
      </c>
      <c r="AH27" s="10">
        <f t="shared" ref="AH27:BM27" si="23">SUM(AH21:AH26)</f>
        <v>271.69605873224941</v>
      </c>
      <c r="AI27" s="10">
        <f t="shared" si="23"/>
        <v>266.62898695769195</v>
      </c>
      <c r="AJ27" s="10">
        <f t="shared" si="23"/>
        <v>264.74220200457398</v>
      </c>
      <c r="AK27" s="10">
        <f t="shared" si="23"/>
        <v>259.61404391386066</v>
      </c>
      <c r="AL27" s="10">
        <f t="shared" si="23"/>
        <v>258.28155131787554</v>
      </c>
      <c r="AM27" s="10">
        <f t="shared" si="23"/>
        <v>253.52522194358613</v>
      </c>
      <c r="AN27" s="10">
        <f t="shared" si="23"/>
        <v>251.66068338504681</v>
      </c>
      <c r="AO27" s="10">
        <f t="shared" si="23"/>
        <v>246.73603009512595</v>
      </c>
      <c r="AP27" s="10">
        <f t="shared" si="23"/>
        <v>249.19855349253243</v>
      </c>
      <c r="AQ27" s="10">
        <f t="shared" si="23"/>
        <v>245.79447628440039</v>
      </c>
      <c r="AR27" s="10">
        <f t="shared" si="23"/>
        <v>250.03834082471752</v>
      </c>
      <c r="AS27" s="10">
        <f t="shared" si="23"/>
        <v>245.80928443382953</v>
      </c>
      <c r="AT27" s="10">
        <f t="shared" si="23"/>
        <v>206.19748754863886</v>
      </c>
      <c r="AU27" s="10">
        <f t="shared" si="23"/>
        <v>202.91787022153531</v>
      </c>
      <c r="AV27" s="10">
        <f t="shared" si="23"/>
        <v>208.12472167175673</v>
      </c>
      <c r="AW27" s="10">
        <f t="shared" si="23"/>
        <v>201.74255288884075</v>
      </c>
      <c r="AX27" s="10">
        <f t="shared" si="23"/>
        <v>206.99797060199609</v>
      </c>
      <c r="AY27" s="10">
        <f t="shared" si="23"/>
        <v>202.2138146730849</v>
      </c>
      <c r="AZ27" s="10">
        <f t="shared" si="23"/>
        <v>207.17837442505476</v>
      </c>
      <c r="BA27" s="10">
        <f t="shared" si="23"/>
        <v>202.52163985450045</v>
      </c>
      <c r="BB27" s="10">
        <f t="shared" si="23"/>
        <v>207.51953823238185</v>
      </c>
      <c r="BC27" s="10">
        <f t="shared" si="23"/>
        <v>202.82946503591597</v>
      </c>
      <c r="BD27" s="10">
        <f t="shared" si="23"/>
        <v>208.11179008924123</v>
      </c>
      <c r="BE27" s="10">
        <f t="shared" si="23"/>
        <v>202.63870525001514</v>
      </c>
      <c r="BF27" s="10">
        <f t="shared" si="23"/>
        <v>161.24134951430145</v>
      </c>
      <c r="BG27" s="10">
        <f t="shared" si="23"/>
        <v>156.52172134978849</v>
      </c>
      <c r="BH27" s="10">
        <f t="shared" si="23"/>
        <v>162.16351188127447</v>
      </c>
      <c r="BI27" s="10">
        <f t="shared" si="23"/>
        <v>155.39489842327339</v>
      </c>
      <c r="BJ27" s="10">
        <f t="shared" si="23"/>
        <v>161.06816775925995</v>
      </c>
      <c r="BK27" s="10">
        <f t="shared" si="23"/>
        <v>155.92682008991321</v>
      </c>
      <c r="BL27" s="10">
        <f t="shared" si="23"/>
        <v>161.26836086652679</v>
      </c>
      <c r="BM27" s="10">
        <f t="shared" si="23"/>
        <v>156.28259721851032</v>
      </c>
      <c r="BN27" s="10">
        <f t="shared" ref="BN27:CS27" si="24">SUM(BN21:BN26)</f>
        <v>161.6414740805979</v>
      </c>
      <c r="BO27" s="10">
        <f t="shared" si="24"/>
        <v>156.63837434710743</v>
      </c>
      <c r="BP27" s="10">
        <f t="shared" si="24"/>
        <v>162.28188933728353</v>
      </c>
      <c r="BQ27" s="10">
        <f t="shared" si="24"/>
        <v>156.46416366336524</v>
      </c>
      <c r="BR27" s="10">
        <f t="shared" si="24"/>
        <v>115.790585281313</v>
      </c>
      <c r="BS27" s="10">
        <f t="shared" si="24"/>
        <v>111.1265844590115</v>
      </c>
      <c r="BT27" s="10">
        <f t="shared" si="24"/>
        <v>117.48539129613852</v>
      </c>
      <c r="BU27" s="10">
        <f t="shared" si="24"/>
        <v>110.44488147191386</v>
      </c>
      <c r="BV27" s="10">
        <f t="shared" si="24"/>
        <v>116.83379818520561</v>
      </c>
      <c r="BW27" s="10">
        <f t="shared" si="24"/>
        <v>111.07318385065571</v>
      </c>
      <c r="BX27" s="10">
        <f t="shared" si="24"/>
        <v>118.90914043064502</v>
      </c>
      <c r="BY27" s="10">
        <f t="shared" si="24"/>
        <v>113.30752505063697</v>
      </c>
      <c r="BZ27" s="10">
        <f t="shared" si="24"/>
        <v>119.32626547004236</v>
      </c>
      <c r="CA27" s="10">
        <f t="shared" si="24"/>
        <v>115.52565701162091</v>
      </c>
      <c r="CB27" s="10">
        <f t="shared" si="24"/>
        <v>121.94409207097715</v>
      </c>
      <c r="CC27" s="10">
        <f t="shared" si="24"/>
        <v>115.45094563918065</v>
      </c>
      <c r="CD27" s="10">
        <f t="shared" si="24"/>
        <v>78.527542101889253</v>
      </c>
      <c r="CE27" s="10">
        <f t="shared" si="24"/>
        <v>72.94112762747514</v>
      </c>
      <c r="CF27" s="10">
        <f t="shared" si="24"/>
        <v>79.775886043552404</v>
      </c>
      <c r="CG27" s="10">
        <f t="shared" si="24"/>
        <v>72.760291468461332</v>
      </c>
      <c r="CH27" s="10">
        <f t="shared" si="24"/>
        <v>79.623162095417058</v>
      </c>
      <c r="CI27" s="10">
        <f t="shared" si="24"/>
        <v>73.533759325118154</v>
      </c>
      <c r="CJ27" s="10">
        <f t="shared" si="24"/>
        <v>80.726850946657237</v>
      </c>
      <c r="CK27" s="10">
        <f t="shared" si="24"/>
        <v>74.817435189020983</v>
      </c>
      <c r="CL27" s="10">
        <f t="shared" si="24"/>
        <v>81.296279840247976</v>
      </c>
      <c r="CM27" s="10">
        <f t="shared" si="24"/>
        <v>73.911148928544947</v>
      </c>
      <c r="CN27" s="10">
        <f t="shared" si="24"/>
        <v>80.744776175565875</v>
      </c>
      <c r="CO27" s="10">
        <f t="shared" si="24"/>
        <v>74.067714640728994</v>
      </c>
      <c r="CP27" s="10">
        <f t="shared" si="24"/>
        <v>33.628451053989231</v>
      </c>
      <c r="CQ27" s="10">
        <f t="shared" si="24"/>
        <v>27.624480876023448</v>
      </c>
      <c r="CR27" s="10">
        <f t="shared" si="24"/>
        <v>34.894649498635275</v>
      </c>
      <c r="CS27" s="10">
        <f t="shared" si="24"/>
        <v>26.067552105918857</v>
      </c>
      <c r="CT27" s="10">
        <f t="shared" ref="CT27:DB27" si="25">SUM(CT21:CT26)</f>
        <v>33.379665471218154</v>
      </c>
      <c r="CU27" s="10">
        <f t="shared" si="25"/>
        <v>26.959714724754367</v>
      </c>
      <c r="CV27" s="10">
        <f t="shared" si="25"/>
        <v>17.788847559703367</v>
      </c>
      <c r="CW27" s="10">
        <f t="shared" si="25"/>
        <v>-4.4588247997303805</v>
      </c>
      <c r="CX27" s="10">
        <f t="shared" si="25"/>
        <v>-4.4588247997303805</v>
      </c>
      <c r="CY27" s="10">
        <f t="shared" si="25"/>
        <v>-4.4588247997303805</v>
      </c>
      <c r="CZ27" s="10">
        <f t="shared" si="25"/>
        <v>-4.4588247997303805</v>
      </c>
      <c r="DA27" s="10">
        <f t="shared" si="25"/>
        <v>-4.4588247997303805</v>
      </c>
      <c r="DB27" s="10">
        <f t="shared" si="25"/>
        <v>-4.4588247997303805</v>
      </c>
    </row>
    <row r="28" spans="1:106" ht="12.75" thickTop="1">
      <c r="N28" s="11"/>
    </row>
    <row r="29" spans="1:106">
      <c r="A29" s="7" t="s">
        <v>29</v>
      </c>
      <c r="B29" s="11" t="e">
        <f t="shared" ref="B29:AG29" si="26">B16-B27</f>
        <v>#REF!</v>
      </c>
      <c r="C29" s="11" t="e">
        <f t="shared" si="26"/>
        <v>#REF!</v>
      </c>
      <c r="D29" s="11" t="e">
        <f t="shared" si="26"/>
        <v>#REF!</v>
      </c>
      <c r="E29" s="11" t="e">
        <f t="shared" si="26"/>
        <v>#REF!</v>
      </c>
      <c r="F29" s="11" t="e">
        <f t="shared" si="26"/>
        <v>#REF!</v>
      </c>
      <c r="G29" s="11" t="e">
        <f t="shared" si="26"/>
        <v>#REF!</v>
      </c>
      <c r="H29" s="11" t="e">
        <f t="shared" si="26"/>
        <v>#REF!</v>
      </c>
      <c r="I29" s="11" t="e">
        <f t="shared" si="26"/>
        <v>#REF!</v>
      </c>
      <c r="J29" s="11">
        <f t="shared" si="26"/>
        <v>-31.130077611602474</v>
      </c>
      <c r="K29" s="11" t="e">
        <f t="shared" si="26"/>
        <v>#REF!</v>
      </c>
      <c r="L29" s="11" t="e">
        <f t="shared" si="26"/>
        <v>#REF!</v>
      </c>
      <c r="M29" s="11" t="e">
        <f t="shared" si="26"/>
        <v>#REF!</v>
      </c>
      <c r="N29" s="11" t="e">
        <f t="shared" si="26"/>
        <v>#REF!</v>
      </c>
      <c r="O29" s="11" t="e">
        <f t="shared" si="26"/>
        <v>#REF!</v>
      </c>
      <c r="P29" s="11" t="e">
        <f t="shared" si="26"/>
        <v>#REF!</v>
      </c>
      <c r="Q29" s="11" t="e">
        <f t="shared" si="26"/>
        <v>#REF!</v>
      </c>
      <c r="R29" s="11" t="e">
        <f t="shared" si="26"/>
        <v>#REF!</v>
      </c>
      <c r="S29" s="11" t="e">
        <f t="shared" si="26"/>
        <v>#REF!</v>
      </c>
      <c r="T29" s="11" t="e">
        <f t="shared" si="26"/>
        <v>#REF!</v>
      </c>
      <c r="U29" s="11" t="e">
        <f t="shared" si="26"/>
        <v>#REF!</v>
      </c>
      <c r="V29" s="11">
        <f t="shared" si="26"/>
        <v>2.4765961025536853E-3</v>
      </c>
      <c r="W29" s="11">
        <f t="shared" si="26"/>
        <v>2.4765961025536853E-3</v>
      </c>
      <c r="X29" s="11">
        <f t="shared" si="26"/>
        <v>2.4765961025536853E-3</v>
      </c>
      <c r="Y29" s="11">
        <f t="shared" si="26"/>
        <v>2.4765961025536853E-3</v>
      </c>
      <c r="Z29" s="11">
        <f t="shared" si="26"/>
        <v>2.4765961025536853E-3</v>
      </c>
      <c r="AA29" s="11">
        <f t="shared" si="26"/>
        <v>2.4765961024968419E-3</v>
      </c>
      <c r="AB29" s="11">
        <f t="shared" si="26"/>
        <v>2.4765961024399985E-3</v>
      </c>
      <c r="AC29" s="11">
        <f t="shared" si="26"/>
        <v>2.4765961023831551E-3</v>
      </c>
      <c r="AD29" s="11">
        <f t="shared" si="26"/>
        <v>2.4765961023831551E-3</v>
      </c>
      <c r="AE29" s="11">
        <f t="shared" si="26"/>
        <v>-3.7774564200958594E-3</v>
      </c>
      <c r="AF29" s="11">
        <f t="shared" si="26"/>
        <v>-3.7774564202095462E-3</v>
      </c>
      <c r="AG29" s="11">
        <f t="shared" si="26"/>
        <v>-3.7774564201527028E-3</v>
      </c>
      <c r="AH29" s="11">
        <f t="shared" ref="AH29:BM29" si="27">AH16-AH27</f>
        <v>-3.7774564202095462E-3</v>
      </c>
      <c r="AI29" s="11">
        <f t="shared" si="27"/>
        <v>-3.7774564202663896E-3</v>
      </c>
      <c r="AJ29" s="11">
        <f t="shared" si="27"/>
        <v>-3.7774564202663896E-3</v>
      </c>
      <c r="AK29" s="11">
        <f t="shared" si="27"/>
        <v>-3.777456420323233E-3</v>
      </c>
      <c r="AL29" s="11">
        <f t="shared" si="27"/>
        <v>-3.777456420323233E-3</v>
      </c>
      <c r="AM29" s="11">
        <f t="shared" si="27"/>
        <v>-3.7774564203800765E-3</v>
      </c>
      <c r="AN29" s="11">
        <f t="shared" si="27"/>
        <v>-3.7774564204084982E-3</v>
      </c>
      <c r="AO29" s="11">
        <f t="shared" si="27"/>
        <v>-3.7774564204369199E-3</v>
      </c>
      <c r="AP29" s="11">
        <f t="shared" si="27"/>
        <v>-3.7774564204084982E-3</v>
      </c>
      <c r="AQ29" s="11">
        <f t="shared" si="27"/>
        <v>-3.7774564204369199E-3</v>
      </c>
      <c r="AR29" s="11">
        <f t="shared" si="27"/>
        <v>-3.7774564204653416E-3</v>
      </c>
      <c r="AS29" s="11">
        <f t="shared" si="27"/>
        <v>-3.7774564204653416E-3</v>
      </c>
      <c r="AT29" s="11">
        <f t="shared" si="27"/>
        <v>-3.777456420522185E-3</v>
      </c>
      <c r="AU29" s="11">
        <f t="shared" si="27"/>
        <v>-3.7774564205506067E-3</v>
      </c>
      <c r="AV29" s="11">
        <f t="shared" si="27"/>
        <v>-3.7774564205506067E-3</v>
      </c>
      <c r="AW29" s="11">
        <f t="shared" si="27"/>
        <v>-3.7774564206074501E-3</v>
      </c>
      <c r="AX29" s="11">
        <f t="shared" si="27"/>
        <v>-3.7774564206074501E-3</v>
      </c>
      <c r="AY29" s="11">
        <f t="shared" si="27"/>
        <v>-3.7774564206074501E-3</v>
      </c>
      <c r="AZ29" s="11">
        <f t="shared" si="27"/>
        <v>-3.7774564206642935E-3</v>
      </c>
      <c r="BA29" s="11">
        <f t="shared" si="27"/>
        <v>-3.7774564206927153E-3</v>
      </c>
      <c r="BB29" s="11">
        <f t="shared" si="27"/>
        <v>-3.7774564206927153E-3</v>
      </c>
      <c r="BC29" s="11">
        <f t="shared" si="27"/>
        <v>-3.777456420721137E-3</v>
      </c>
      <c r="BD29" s="11">
        <f t="shared" si="27"/>
        <v>-3.7774564207495587E-3</v>
      </c>
      <c r="BE29" s="11">
        <f t="shared" si="27"/>
        <v>-3.7774564207779804E-3</v>
      </c>
      <c r="BF29" s="11">
        <f t="shared" si="27"/>
        <v>-3.7774564208348238E-3</v>
      </c>
      <c r="BG29" s="11">
        <f t="shared" si="27"/>
        <v>-3.7774564208348238E-3</v>
      </c>
      <c r="BH29" s="11">
        <f t="shared" si="27"/>
        <v>-3.7774564208632455E-3</v>
      </c>
      <c r="BI29" s="11">
        <f t="shared" si="27"/>
        <v>-3.7774564208916672E-3</v>
      </c>
      <c r="BJ29" s="11">
        <f t="shared" si="27"/>
        <v>-3.7774564208916672E-3</v>
      </c>
      <c r="BK29" s="11">
        <f t="shared" si="27"/>
        <v>-3.7774564208916672E-3</v>
      </c>
      <c r="BL29" s="11">
        <f t="shared" si="27"/>
        <v>-3.7774564209485106E-3</v>
      </c>
      <c r="BM29" s="11">
        <f t="shared" si="27"/>
        <v>-3.7774564209769323E-3</v>
      </c>
      <c r="BN29" s="11">
        <f t="shared" ref="BN29:CS29" si="28">BN16-BN27</f>
        <v>-3.7774564209769323E-3</v>
      </c>
      <c r="BO29" s="11">
        <f t="shared" si="28"/>
        <v>-3.7774564210053541E-3</v>
      </c>
      <c r="BP29" s="11">
        <f t="shared" si="28"/>
        <v>-3.7774564210337758E-3</v>
      </c>
      <c r="BQ29" s="11">
        <f t="shared" si="28"/>
        <v>-3.7774564210621975E-3</v>
      </c>
      <c r="BR29" s="11">
        <f t="shared" si="28"/>
        <v>-3.7774564210621975E-3</v>
      </c>
      <c r="BS29" s="11">
        <f t="shared" si="28"/>
        <v>-3.7774564211190409E-3</v>
      </c>
      <c r="BT29" s="11">
        <f t="shared" si="28"/>
        <v>-3.7774564211332518E-3</v>
      </c>
      <c r="BU29" s="11">
        <f t="shared" si="28"/>
        <v>-3.7774564211758843E-3</v>
      </c>
      <c r="BV29" s="11">
        <f t="shared" si="28"/>
        <v>-3.777456421204306E-3</v>
      </c>
      <c r="BW29" s="11">
        <f t="shared" si="28"/>
        <v>-3.7774564212185169E-3</v>
      </c>
      <c r="BX29" s="11">
        <f t="shared" si="28"/>
        <v>-3.7774564212469386E-3</v>
      </c>
      <c r="BY29" s="11">
        <f t="shared" si="28"/>
        <v>-3.7774564212753603E-3</v>
      </c>
      <c r="BZ29" s="11">
        <f t="shared" si="28"/>
        <v>-3.7774564212895712E-3</v>
      </c>
      <c r="CA29" s="11">
        <f t="shared" si="28"/>
        <v>-3.777456421303782E-3</v>
      </c>
      <c r="CB29" s="11">
        <f t="shared" si="28"/>
        <v>-3.7774564213322037E-3</v>
      </c>
      <c r="CC29" s="11">
        <f t="shared" si="28"/>
        <v>-3.7774564213464146E-3</v>
      </c>
      <c r="CD29" s="11">
        <f t="shared" si="28"/>
        <v>-3.777456421403258E-3</v>
      </c>
      <c r="CE29" s="11">
        <f t="shared" si="28"/>
        <v>-3.777456421403258E-3</v>
      </c>
      <c r="CF29" s="11">
        <f t="shared" si="28"/>
        <v>-3.7774564214316797E-3</v>
      </c>
      <c r="CG29" s="11">
        <f t="shared" si="28"/>
        <v>-3.7774564214601014E-3</v>
      </c>
      <c r="CH29" s="11">
        <f t="shared" si="28"/>
        <v>-3.7774564214885231E-3</v>
      </c>
      <c r="CI29" s="11">
        <f t="shared" si="28"/>
        <v>-3.7774564215169448E-3</v>
      </c>
      <c r="CJ29" s="11">
        <f t="shared" si="28"/>
        <v>-3.7774564215453665E-3</v>
      </c>
      <c r="CK29" s="11">
        <f t="shared" si="28"/>
        <v>-3.7774564215737882E-3</v>
      </c>
      <c r="CL29" s="11">
        <f t="shared" si="28"/>
        <v>-3.7774564215879991E-3</v>
      </c>
      <c r="CM29" s="11">
        <f t="shared" si="28"/>
        <v>-3.77745642160221E-3</v>
      </c>
      <c r="CN29" s="11">
        <f t="shared" si="28"/>
        <v>-3.7774564216448425E-3</v>
      </c>
      <c r="CO29" s="11">
        <f t="shared" si="28"/>
        <v>-3.7774564216448425E-3</v>
      </c>
      <c r="CP29" s="11">
        <f t="shared" si="28"/>
        <v>-3.7774564216448425E-3</v>
      </c>
      <c r="CQ29" s="11">
        <f t="shared" si="28"/>
        <v>-3.7774564216519479E-3</v>
      </c>
      <c r="CR29" s="11">
        <f t="shared" si="28"/>
        <v>-3.7774564216803697E-3</v>
      </c>
      <c r="CS29" s="11">
        <f t="shared" si="28"/>
        <v>-3.7774564216874751E-3</v>
      </c>
      <c r="CT29" s="11">
        <f t="shared" ref="CT29:DB29" si="29">CT16-CT27</f>
        <v>-3.7774564216945805E-3</v>
      </c>
      <c r="CU29" s="11">
        <f t="shared" si="29"/>
        <v>-3.7774564217123441E-3</v>
      </c>
      <c r="CV29" s="11">
        <f t="shared" si="29"/>
        <v>-3.7774564217478712E-3</v>
      </c>
      <c r="CW29" s="11">
        <f t="shared" si="29"/>
        <v>-3.7774564216883633E-3</v>
      </c>
      <c r="CX29" s="11">
        <f t="shared" si="29"/>
        <v>-3.7774564216883633E-3</v>
      </c>
      <c r="CY29" s="11">
        <f t="shared" si="29"/>
        <v>-3.7774564216883633E-3</v>
      </c>
      <c r="CZ29" s="11">
        <f t="shared" si="29"/>
        <v>-3.7774564216883633E-3</v>
      </c>
      <c r="DA29" s="11">
        <f t="shared" si="29"/>
        <v>-3.7774564216883633E-3</v>
      </c>
      <c r="DB29" s="11">
        <f t="shared" si="29"/>
        <v>-3.7774564216883633E-3</v>
      </c>
    </row>
    <row r="30" spans="1:106">
      <c r="A30" s="7" t="s">
        <v>30</v>
      </c>
      <c r="B30" s="30">
        <f t="shared" ref="B30:AG30" si="30">B7/SUM(B4:B5)</f>
        <v>2.4900813008130078</v>
      </c>
      <c r="C30" s="30">
        <f t="shared" si="30"/>
        <v>2.7847154471544715</v>
      </c>
      <c r="D30" s="30">
        <f t="shared" si="30"/>
        <v>2.7847154471544715</v>
      </c>
      <c r="E30" s="30">
        <f t="shared" si="30"/>
        <v>2.7847154471544715</v>
      </c>
      <c r="F30" s="30">
        <f t="shared" si="30"/>
        <v>2.7847154471544715</v>
      </c>
      <c r="G30" s="30">
        <f t="shared" si="30"/>
        <v>2.7847154471544715</v>
      </c>
      <c r="H30" s="30">
        <f t="shared" si="30"/>
        <v>2.7847154471544715</v>
      </c>
      <c r="I30" s="30">
        <f t="shared" si="30"/>
        <v>2.7847154471544715</v>
      </c>
      <c r="J30" s="30">
        <f t="shared" si="30"/>
        <v>2.7847154471544715</v>
      </c>
      <c r="K30" s="30">
        <f t="shared" si="30"/>
        <v>2.7847154471544715</v>
      </c>
      <c r="L30" s="30">
        <f t="shared" si="30"/>
        <v>2.7847154471544715</v>
      </c>
      <c r="M30" s="30">
        <f t="shared" si="30"/>
        <v>2.7847154471544715</v>
      </c>
      <c r="N30" s="30">
        <f t="shared" si="30"/>
        <v>2.7847154471544715</v>
      </c>
      <c r="O30" s="30">
        <f t="shared" si="30"/>
        <v>2.7847154471544715</v>
      </c>
      <c r="P30" s="30">
        <f t="shared" si="30"/>
        <v>2.7847154471544715</v>
      </c>
      <c r="Q30" s="30">
        <f t="shared" si="30"/>
        <v>2.7847154471544715</v>
      </c>
      <c r="R30" s="30">
        <f t="shared" si="30"/>
        <v>2.7847154471544715</v>
      </c>
      <c r="S30" s="30">
        <f t="shared" si="30"/>
        <v>3.426991869918699</v>
      </c>
      <c r="T30" s="30">
        <f t="shared" si="30"/>
        <v>3.426991869918699</v>
      </c>
      <c r="U30" s="30">
        <f t="shared" si="30"/>
        <v>3.426991869918699</v>
      </c>
      <c r="V30" s="30">
        <f t="shared" si="30"/>
        <v>3.386341463414634</v>
      </c>
      <c r="W30" s="30">
        <f t="shared" si="30"/>
        <v>3.386341463414634</v>
      </c>
      <c r="X30" s="30">
        <f t="shared" si="30"/>
        <v>3.386341463414634</v>
      </c>
      <c r="Y30" s="30">
        <f t="shared" si="30"/>
        <v>3.3660162601626014</v>
      </c>
      <c r="Z30" s="30">
        <f t="shared" si="30"/>
        <v>1.5147073170731704</v>
      </c>
      <c r="AA30" s="30">
        <f t="shared" si="30"/>
        <v>2.3886910569105688</v>
      </c>
      <c r="AB30" s="30">
        <f t="shared" si="30"/>
        <v>1.8249006211180123</v>
      </c>
      <c r="AC30" s="30">
        <f t="shared" si="30"/>
        <v>1.8249006211180123</v>
      </c>
      <c r="AD30" s="30">
        <f t="shared" si="30"/>
        <v>1.8249006211180123</v>
      </c>
      <c r="AE30" s="30">
        <f t="shared" si="30"/>
        <v>1.8249006211180123</v>
      </c>
      <c r="AF30" s="30">
        <f t="shared" si="30"/>
        <v>1.8249006211180123</v>
      </c>
      <c r="AG30" s="30">
        <f t="shared" si="30"/>
        <v>1.8249006211180123</v>
      </c>
      <c r="AH30" s="30">
        <f t="shared" ref="AH30:BM30" si="31">AH7/SUM(AH4:AH5)</f>
        <v>1.8249006211180123</v>
      </c>
      <c r="AI30" s="30">
        <f t="shared" si="31"/>
        <v>1.8249006211180123</v>
      </c>
      <c r="AJ30" s="30">
        <f t="shared" si="31"/>
        <v>1.8249006211180123</v>
      </c>
      <c r="AK30" s="30">
        <f t="shared" si="31"/>
        <v>1.8249006211180123</v>
      </c>
      <c r="AL30" s="30">
        <f t="shared" si="31"/>
        <v>1.8249006211180123</v>
      </c>
      <c r="AM30" s="30">
        <f t="shared" si="31"/>
        <v>1.8249006211180123</v>
      </c>
      <c r="AN30" s="30">
        <f t="shared" si="31"/>
        <v>1.8249006211180123</v>
      </c>
      <c r="AO30" s="30">
        <f t="shared" si="31"/>
        <v>1.8249006211180123</v>
      </c>
      <c r="AP30" s="30">
        <f t="shared" si="31"/>
        <v>1.8249006211180123</v>
      </c>
      <c r="AQ30" s="30">
        <f t="shared" si="31"/>
        <v>1.8249006211180123</v>
      </c>
      <c r="AR30" s="30">
        <f t="shared" si="31"/>
        <v>1.8249006211180123</v>
      </c>
      <c r="AS30" s="30">
        <f t="shared" si="31"/>
        <v>1.8249006211180123</v>
      </c>
      <c r="AT30" s="30">
        <f t="shared" si="31"/>
        <v>1.8066516149068321</v>
      </c>
      <c r="AU30" s="30">
        <f t="shared" si="31"/>
        <v>1.8066516149068321</v>
      </c>
      <c r="AV30" s="30">
        <f t="shared" si="31"/>
        <v>1.8066516149068321</v>
      </c>
      <c r="AW30" s="30">
        <f t="shared" si="31"/>
        <v>1.7519045962732918</v>
      </c>
      <c r="AX30" s="30">
        <f t="shared" si="31"/>
        <v>1.7519045962732918</v>
      </c>
      <c r="AY30" s="30">
        <f t="shared" si="31"/>
        <v>1.7519045962732918</v>
      </c>
      <c r="AZ30" s="30">
        <f t="shared" si="31"/>
        <v>1.6971575776397512</v>
      </c>
      <c r="BA30" s="30">
        <f t="shared" si="31"/>
        <v>1.6971575776397512</v>
      </c>
      <c r="BB30" s="30">
        <f t="shared" si="31"/>
        <v>1.6971575776397512</v>
      </c>
      <c r="BC30" s="30">
        <f t="shared" si="31"/>
        <v>1.6424105590062106</v>
      </c>
      <c r="BD30" s="30">
        <f t="shared" si="31"/>
        <v>1.6424105590062106</v>
      </c>
      <c r="BE30" s="30">
        <f t="shared" si="31"/>
        <v>1.6424105590062106</v>
      </c>
      <c r="BF30" s="30">
        <f t="shared" si="31"/>
        <v>1.56941453416149</v>
      </c>
      <c r="BG30" s="30">
        <f t="shared" si="31"/>
        <v>1.56941453416149</v>
      </c>
      <c r="BH30" s="30">
        <f t="shared" si="31"/>
        <v>1.56941453416149</v>
      </c>
      <c r="BI30" s="30">
        <f t="shared" si="31"/>
        <v>1.4964185093167695</v>
      </c>
      <c r="BJ30" s="30">
        <f t="shared" si="31"/>
        <v>1.4964185093167695</v>
      </c>
      <c r="BK30" s="30">
        <f t="shared" si="31"/>
        <v>1.4964185093167695</v>
      </c>
      <c r="BL30" s="30">
        <f t="shared" si="31"/>
        <v>1.4234224844720489</v>
      </c>
      <c r="BM30" s="30">
        <f t="shared" si="31"/>
        <v>1.4234224844720489</v>
      </c>
      <c r="BN30" s="30">
        <f t="shared" ref="BN30:CS30" si="32">BN7/SUM(BN4:BN5)</f>
        <v>1.4234224844720489</v>
      </c>
      <c r="BO30" s="30">
        <f t="shared" si="32"/>
        <v>1.3504264596273283</v>
      </c>
      <c r="BP30" s="30">
        <f t="shared" si="32"/>
        <v>1.3504264596273283</v>
      </c>
      <c r="BQ30" s="30">
        <f t="shared" si="32"/>
        <v>1.3504264596273283</v>
      </c>
      <c r="BR30" s="30">
        <f t="shared" si="32"/>
        <v>1.2637436801242228</v>
      </c>
      <c r="BS30" s="30">
        <f t="shared" si="32"/>
        <v>1.2637436801242228</v>
      </c>
      <c r="BT30" s="30">
        <f t="shared" si="32"/>
        <v>1.2637436801242228</v>
      </c>
      <c r="BU30" s="30">
        <f t="shared" si="32"/>
        <v>1.1770609006211172</v>
      </c>
      <c r="BV30" s="30">
        <f t="shared" si="32"/>
        <v>1.1770609006211172</v>
      </c>
      <c r="BW30" s="30">
        <f t="shared" si="32"/>
        <v>1.1770609006211172</v>
      </c>
      <c r="BX30" s="30">
        <f t="shared" si="32"/>
        <v>1.0903781211180117</v>
      </c>
      <c r="BY30" s="30">
        <f t="shared" si="32"/>
        <v>1.0903781211180117</v>
      </c>
      <c r="BZ30" s="30">
        <f t="shared" si="32"/>
        <v>1.0903781211180117</v>
      </c>
      <c r="CA30" s="30">
        <f t="shared" si="32"/>
        <v>1.0036953416149059</v>
      </c>
      <c r="CB30" s="30">
        <f t="shared" si="32"/>
        <v>1.0036953416149059</v>
      </c>
      <c r="CC30" s="30">
        <f t="shared" si="32"/>
        <v>1.0036953416149059</v>
      </c>
      <c r="CD30" s="30">
        <f t="shared" si="32"/>
        <v>0.91701256211180038</v>
      </c>
      <c r="CE30" s="30">
        <f t="shared" si="32"/>
        <v>0.91701256211180038</v>
      </c>
      <c r="CF30" s="30">
        <f t="shared" si="32"/>
        <v>0.91701256211180038</v>
      </c>
      <c r="CG30" s="30">
        <f t="shared" si="32"/>
        <v>0.79839402173912954</v>
      </c>
      <c r="CH30" s="30">
        <f t="shared" si="32"/>
        <v>0.79839402173912954</v>
      </c>
      <c r="CI30" s="30">
        <f t="shared" si="32"/>
        <v>0.79839402173912954</v>
      </c>
      <c r="CJ30" s="30">
        <f t="shared" si="32"/>
        <v>0.67977548136645882</v>
      </c>
      <c r="CK30" s="30">
        <f t="shared" si="32"/>
        <v>0.67977548136645882</v>
      </c>
      <c r="CL30" s="30">
        <f t="shared" si="32"/>
        <v>0.67977548136645882</v>
      </c>
      <c r="CM30" s="30">
        <f t="shared" si="32"/>
        <v>0.51553442546583772</v>
      </c>
      <c r="CN30" s="30">
        <f t="shared" si="32"/>
        <v>0.51553442546583772</v>
      </c>
      <c r="CO30" s="30">
        <f t="shared" si="32"/>
        <v>0.51553442546583772</v>
      </c>
      <c r="CP30" s="30">
        <f t="shared" si="32"/>
        <v>0.35129336956521662</v>
      </c>
      <c r="CQ30" s="30">
        <f t="shared" si="32"/>
        <v>0.35129336956521662</v>
      </c>
      <c r="CR30" s="30">
        <f t="shared" si="32"/>
        <v>0.35129336956521662</v>
      </c>
      <c r="CS30" s="30">
        <f t="shared" si="32"/>
        <v>0.17792781055900547</v>
      </c>
      <c r="CT30" s="30">
        <f t="shared" ref="CT30:DB30" si="33">CT7/SUM(CT4:CT5)</f>
        <v>0.17792781055900547</v>
      </c>
      <c r="CU30" s="30">
        <f t="shared" si="33"/>
        <v>0.17792781055900547</v>
      </c>
      <c r="CV30" s="30">
        <f t="shared" si="33"/>
        <v>-7.2819597143115857E-16</v>
      </c>
      <c r="CW30" s="30">
        <f t="shared" si="33"/>
        <v>0</v>
      </c>
      <c r="CX30" s="30">
        <f t="shared" si="33"/>
        <v>0</v>
      </c>
      <c r="CY30" s="30">
        <f t="shared" si="33"/>
        <v>0</v>
      </c>
      <c r="CZ30" s="30">
        <f t="shared" si="33"/>
        <v>0</v>
      </c>
      <c r="DA30" s="30">
        <f t="shared" si="33"/>
        <v>0</v>
      </c>
      <c r="DB30" s="30">
        <f t="shared" si="33"/>
        <v>0</v>
      </c>
    </row>
    <row r="31" spans="1:106">
      <c r="C31" s="11"/>
    </row>
    <row r="32" spans="1:106">
      <c r="B32" s="1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C62"/>
  <sheetViews>
    <sheetView zoomScaleNormal="100" workbookViewId="0">
      <pane xSplit="11" ySplit="3" topLeftCell="X6" activePane="bottomRight" state="frozen"/>
      <selection pane="topRight" activeCell="L1" sqref="L1"/>
      <selection pane="bottomLeft" activeCell="A4" sqref="A4"/>
      <selection pane="bottomRight" activeCell="X31" sqref="X31:AI31"/>
    </sheetView>
  </sheetViews>
  <sheetFormatPr defaultColWidth="13.33203125" defaultRowHeight="12"/>
  <cols>
    <col min="1" max="1" width="37.33203125" style="38" customWidth="1"/>
    <col min="2" max="12" width="7" style="35" hidden="1" customWidth="1"/>
    <col min="13" max="13" width="8.33203125" style="35" hidden="1" customWidth="1"/>
    <col min="14" max="22" width="7" style="35" hidden="1" customWidth="1"/>
    <col min="23" max="23" width="7.6640625" style="35" hidden="1" customWidth="1"/>
    <col min="24" max="24" width="7" style="35" customWidth="1"/>
    <col min="25" max="25" width="7.33203125" style="35" customWidth="1"/>
    <col min="26" max="26" width="7" style="35" customWidth="1"/>
    <col min="27" max="27" width="8" style="35" bestFit="1" customWidth="1"/>
    <col min="28" max="34" width="7" style="35" customWidth="1"/>
    <col min="35" max="35" width="7.6640625" style="35" bestFit="1" customWidth="1"/>
    <col min="36" max="36" width="7" style="35" customWidth="1"/>
    <col min="37" max="37" width="7.33203125" style="35" customWidth="1"/>
    <col min="38" max="46" width="7" style="35" customWidth="1"/>
    <col min="47" max="47" width="7.6640625" style="35" bestFit="1" customWidth="1"/>
    <col min="48" max="48" width="7" style="35" customWidth="1"/>
    <col min="49" max="49" width="7.33203125" style="35" customWidth="1"/>
    <col min="50" max="58" width="7" style="35" customWidth="1"/>
    <col min="59" max="59" width="7.6640625" style="35" bestFit="1" customWidth="1"/>
    <col min="60" max="60" width="7" style="35" customWidth="1"/>
    <col min="61" max="61" width="7.33203125" style="35" customWidth="1"/>
    <col min="62" max="70" width="7" style="35" customWidth="1"/>
    <col min="71" max="71" width="7.6640625" style="35" bestFit="1" customWidth="1"/>
    <col min="72" max="72" width="7" style="35" customWidth="1"/>
    <col min="73" max="73" width="7.33203125" style="35" customWidth="1"/>
    <col min="74" max="82" width="7" style="35" customWidth="1"/>
    <col min="83" max="83" width="7.6640625" style="35" customWidth="1"/>
    <col min="84" max="84" width="7" style="35" customWidth="1"/>
    <col min="85" max="85" width="7.33203125" style="35" customWidth="1"/>
    <col min="86" max="94" width="7" style="35" customWidth="1"/>
    <col min="95" max="95" width="7.6640625" style="35" customWidth="1"/>
    <col min="96" max="96" width="7" style="35" customWidth="1"/>
    <col min="97" max="97" width="7.33203125" style="35" customWidth="1"/>
    <col min="98" max="106" width="7" style="35" customWidth="1"/>
    <col min="107" max="107" width="7.6640625" style="35" customWidth="1"/>
    <col min="108" max="16384" width="13.33203125" style="35"/>
  </cols>
  <sheetData>
    <row r="1" spans="1:107" customFormat="1">
      <c r="B1" s="29" t="s">
        <v>103</v>
      </c>
      <c r="H1" s="29"/>
      <c r="X1" s="256"/>
      <c r="DC1" s="6" t="s">
        <v>20</v>
      </c>
    </row>
    <row r="2" spans="1:107" customFormat="1">
      <c r="A2" s="7" t="s">
        <v>104</v>
      </c>
      <c r="B2" s="16" t="s">
        <v>45</v>
      </c>
      <c r="C2" s="16" t="str">
        <f>'Monthly BS'!B2</f>
        <v>2020-21</v>
      </c>
      <c r="D2" s="16" t="str">
        <f>'Monthly BS'!C2</f>
        <v>2020-21</v>
      </c>
      <c r="E2" s="16" t="str">
        <f>'Monthly BS'!D2</f>
        <v>2020-21</v>
      </c>
      <c r="F2" s="16" t="str">
        <f>'Monthly BS'!E2</f>
        <v>2020-21</v>
      </c>
      <c r="G2" s="16" t="str">
        <f>'Monthly BS'!F2</f>
        <v>2020-21</v>
      </c>
      <c r="H2" s="16" t="str">
        <f>'Monthly BS'!G2</f>
        <v>2020-21</v>
      </c>
      <c r="I2" s="16" t="str">
        <f>'Monthly BS'!H2</f>
        <v>2020-21</v>
      </c>
      <c r="J2" s="16" t="str">
        <f>'Monthly BS'!I2</f>
        <v>2020-21</v>
      </c>
      <c r="K2" s="16" t="str">
        <f>'Monthly BS'!J2</f>
        <v>2020-21</v>
      </c>
      <c r="L2" s="16" t="str">
        <f>'Monthly BS'!K2</f>
        <v>2021-22</v>
      </c>
      <c r="M2" s="16" t="str">
        <f>'Monthly BS'!L2</f>
        <v>2021-22</v>
      </c>
      <c r="N2" s="16" t="str">
        <f>'Monthly BS'!M2</f>
        <v>2021-22</v>
      </c>
      <c r="O2" s="16" t="str">
        <f>'Monthly BS'!N2</f>
        <v>2021-22</v>
      </c>
      <c r="P2" s="16" t="str">
        <f>'Monthly BS'!O2</f>
        <v>2021-22</v>
      </c>
      <c r="Q2" s="16" t="str">
        <f>'Monthly BS'!P2</f>
        <v>2021-22</v>
      </c>
      <c r="R2" s="16" t="str">
        <f>'Monthly BS'!Q2</f>
        <v>2021-22</v>
      </c>
      <c r="S2" s="16" t="str">
        <f>'Monthly BS'!R2</f>
        <v>2021-22</v>
      </c>
      <c r="T2" s="16" t="str">
        <f>'Monthly BS'!S2</f>
        <v>2021-22</v>
      </c>
      <c r="U2" s="16" t="str">
        <f>'Monthly BS'!T2</f>
        <v>2021-22</v>
      </c>
      <c r="V2" s="16" t="str">
        <f>'Monthly BS'!U2</f>
        <v>2021-22</v>
      </c>
      <c r="W2" s="16" t="str">
        <f>'Monthly BS'!V2</f>
        <v>2021-22</v>
      </c>
      <c r="X2" s="16" t="str">
        <f>'Monthly BS'!W2</f>
        <v>2022-23</v>
      </c>
      <c r="Y2" s="16" t="str">
        <f>'Monthly BS'!X2</f>
        <v>2022-23</v>
      </c>
      <c r="Z2" s="16" t="str">
        <f>'Monthly BS'!Y2</f>
        <v>2022-23</v>
      </c>
      <c r="AA2" s="16" t="str">
        <f>'Monthly BS'!Z2</f>
        <v>2022-23</v>
      </c>
      <c r="AB2" s="16" t="str">
        <f>'Monthly BS'!AA2</f>
        <v>2022-23</v>
      </c>
      <c r="AC2" s="16" t="str">
        <f>'Monthly BS'!AB2</f>
        <v>2022-23</v>
      </c>
      <c r="AD2" s="16" t="str">
        <f>'Monthly BS'!AC2</f>
        <v>2022-23</v>
      </c>
      <c r="AE2" s="16" t="str">
        <f>'Monthly BS'!AD2</f>
        <v>2022-23</v>
      </c>
      <c r="AF2" s="16" t="str">
        <f>'Monthly BS'!AE2</f>
        <v>2022-23</v>
      </c>
      <c r="AG2" s="16" t="str">
        <f>'Monthly BS'!AF2</f>
        <v>2022-23</v>
      </c>
      <c r="AH2" s="16" t="str">
        <f>'Monthly BS'!AG2</f>
        <v>2022-23</v>
      </c>
      <c r="AI2" s="16" t="str">
        <f>'Monthly BS'!AH2</f>
        <v>2022-23</v>
      </c>
      <c r="AJ2" s="16" t="str">
        <f>'Monthly BS'!AI2</f>
        <v>2023-24</v>
      </c>
      <c r="AK2" s="16" t="str">
        <f>'Monthly BS'!AJ2</f>
        <v>2023-24</v>
      </c>
      <c r="AL2" s="16" t="str">
        <f>'Monthly BS'!AK2</f>
        <v>2023-24</v>
      </c>
      <c r="AM2" s="16" t="str">
        <f>'Monthly BS'!AL2</f>
        <v>2023-24</v>
      </c>
      <c r="AN2" s="16" t="str">
        <f>'Monthly BS'!AM2</f>
        <v>2023-24</v>
      </c>
      <c r="AO2" s="16" t="str">
        <f>'Monthly BS'!AN2</f>
        <v>2023-24</v>
      </c>
      <c r="AP2" s="16" t="str">
        <f>'Monthly BS'!AO2</f>
        <v>2023-24</v>
      </c>
      <c r="AQ2" s="16" t="str">
        <f>'Monthly BS'!AP2</f>
        <v>2023-24</v>
      </c>
      <c r="AR2" s="16" t="str">
        <f>'Monthly BS'!AQ2</f>
        <v>2023-24</v>
      </c>
      <c r="AS2" s="16" t="str">
        <f>'Monthly BS'!AR2</f>
        <v>2023-24</v>
      </c>
      <c r="AT2" s="16" t="str">
        <f>'Monthly BS'!AS2</f>
        <v>2023-24</v>
      </c>
      <c r="AU2" s="16" t="str">
        <f>'Monthly BS'!AT2</f>
        <v>2023-24</v>
      </c>
      <c r="AV2" s="16" t="str">
        <f>'Monthly BS'!AU2</f>
        <v>2024-25</v>
      </c>
      <c r="AW2" s="16" t="str">
        <f>'Monthly BS'!AV2</f>
        <v>2024-25</v>
      </c>
      <c r="AX2" s="16" t="str">
        <f>'Monthly BS'!AW2</f>
        <v>2024-25</v>
      </c>
      <c r="AY2" s="16" t="str">
        <f>'Monthly BS'!AX2</f>
        <v>2024-25</v>
      </c>
      <c r="AZ2" s="16" t="str">
        <f>'Monthly BS'!AY2</f>
        <v>2024-25</v>
      </c>
      <c r="BA2" s="16" t="str">
        <f>'Monthly BS'!AZ2</f>
        <v>2024-25</v>
      </c>
      <c r="BB2" s="16" t="str">
        <f>'Monthly BS'!BA2</f>
        <v>2024-25</v>
      </c>
      <c r="BC2" s="16" t="str">
        <f>'Monthly BS'!BB2</f>
        <v>2024-25</v>
      </c>
      <c r="BD2" s="16" t="str">
        <f>'Monthly BS'!BC2</f>
        <v>2024-25</v>
      </c>
      <c r="BE2" s="16" t="str">
        <f>'Monthly BS'!BD2</f>
        <v>2024-25</v>
      </c>
      <c r="BF2" s="16" t="str">
        <f>'Monthly BS'!BE2</f>
        <v>2024-25</v>
      </c>
      <c r="BG2" s="16" t="str">
        <f>'Monthly BS'!BF2</f>
        <v>2024-25</v>
      </c>
      <c r="BH2" s="16" t="str">
        <f>'Monthly BS'!BG2</f>
        <v>2025-26</v>
      </c>
      <c r="BI2" s="16" t="str">
        <f>'Monthly BS'!BH2</f>
        <v>2025-26</v>
      </c>
      <c r="BJ2" s="16" t="str">
        <f>'Monthly BS'!BI2</f>
        <v>2025-26</v>
      </c>
      <c r="BK2" s="16" t="str">
        <f>'Monthly BS'!BJ2</f>
        <v>2025-26</v>
      </c>
      <c r="BL2" s="16" t="str">
        <f>'Monthly BS'!BK2</f>
        <v>2025-26</v>
      </c>
      <c r="BM2" s="16" t="str">
        <f>'Monthly BS'!BL2</f>
        <v>2025-26</v>
      </c>
      <c r="BN2" s="16" t="str">
        <f>'Monthly BS'!BM2</f>
        <v>2025-26</v>
      </c>
      <c r="BO2" s="16" t="str">
        <f>'Monthly BS'!BN2</f>
        <v>2025-26</v>
      </c>
      <c r="BP2" s="16" t="str">
        <f>'Monthly BS'!BO2</f>
        <v>2025-26</v>
      </c>
      <c r="BQ2" s="16" t="str">
        <f>'Monthly BS'!BP2</f>
        <v>2025-26</v>
      </c>
      <c r="BR2" s="16" t="str">
        <f>'Monthly BS'!BQ2</f>
        <v>2025-26</v>
      </c>
      <c r="BS2" s="16" t="str">
        <f>'Monthly BS'!BR2</f>
        <v>2025-26</v>
      </c>
      <c r="BT2" s="16" t="str">
        <f>'Monthly BS'!BS2</f>
        <v>2026-27</v>
      </c>
      <c r="BU2" s="16" t="str">
        <f>'Monthly BS'!BT2</f>
        <v>2026-27</v>
      </c>
      <c r="BV2" s="16" t="str">
        <f>'Monthly BS'!BU2</f>
        <v>2026-27</v>
      </c>
      <c r="BW2" s="16" t="str">
        <f>'Monthly BS'!BV2</f>
        <v>2026-27</v>
      </c>
      <c r="BX2" s="16" t="str">
        <f>'Monthly BS'!BW2</f>
        <v>2026-27</v>
      </c>
      <c r="BY2" s="16" t="str">
        <f>'Monthly BS'!BX2</f>
        <v>2026-27</v>
      </c>
      <c r="BZ2" s="16" t="str">
        <f>'Monthly BS'!BY2</f>
        <v>2026-27</v>
      </c>
      <c r="CA2" s="16" t="str">
        <f>'Monthly BS'!BZ2</f>
        <v>2026-27</v>
      </c>
      <c r="CB2" s="16" t="str">
        <f>'Monthly BS'!CA2</f>
        <v>2026-27</v>
      </c>
      <c r="CC2" s="16" t="str">
        <f>'Monthly BS'!CB2</f>
        <v>2026-27</v>
      </c>
      <c r="CD2" s="16" t="str">
        <f>'Monthly BS'!CC2</f>
        <v>2026-27</v>
      </c>
      <c r="CE2" s="16" t="str">
        <f>'Monthly BS'!CD2</f>
        <v>2026-27</v>
      </c>
      <c r="CF2" s="16" t="str">
        <f>'Monthly BS'!CE2</f>
        <v>2027-28</v>
      </c>
      <c r="CG2" s="16" t="str">
        <f>'Monthly BS'!CF2</f>
        <v>2027-28</v>
      </c>
      <c r="CH2" s="16" t="str">
        <f>'Monthly BS'!CG2</f>
        <v>2027-28</v>
      </c>
      <c r="CI2" s="16" t="str">
        <f>'Monthly BS'!CH2</f>
        <v>2027-28</v>
      </c>
      <c r="CJ2" s="16" t="str">
        <f>'Monthly BS'!CI2</f>
        <v>2027-28</v>
      </c>
      <c r="CK2" s="16" t="str">
        <f>'Monthly BS'!CJ2</f>
        <v>2027-28</v>
      </c>
      <c r="CL2" s="16" t="str">
        <f>'Monthly BS'!CK2</f>
        <v>2027-28</v>
      </c>
      <c r="CM2" s="16" t="str">
        <f>'Monthly BS'!CL2</f>
        <v>2027-28</v>
      </c>
      <c r="CN2" s="16" t="str">
        <f>'Monthly BS'!CM2</f>
        <v>2027-28</v>
      </c>
      <c r="CO2" s="16" t="str">
        <f>'Monthly BS'!CN2</f>
        <v>2027-28</v>
      </c>
      <c r="CP2" s="16" t="str">
        <f>'Monthly BS'!CO2</f>
        <v>2027-28</v>
      </c>
      <c r="CQ2" s="16" t="str">
        <f>'Monthly BS'!CP2</f>
        <v>2027-28</v>
      </c>
      <c r="CR2" s="16" t="str">
        <f>'Monthly BS'!CQ2</f>
        <v>2028-29</v>
      </c>
      <c r="CS2" s="16" t="str">
        <f>'Monthly BS'!CR2</f>
        <v>2028-29</v>
      </c>
      <c r="CT2" s="16" t="str">
        <f>'Monthly BS'!CS2</f>
        <v>2028-29</v>
      </c>
      <c r="CU2" s="16" t="str">
        <f>'Monthly BS'!CT2</f>
        <v>2028-29</v>
      </c>
      <c r="CV2" s="16" t="str">
        <f>'Monthly BS'!CU2</f>
        <v>2028-29</v>
      </c>
      <c r="CW2" s="16" t="str">
        <f>'Monthly BS'!CV2</f>
        <v>2028-29</v>
      </c>
      <c r="CX2" s="16" t="str">
        <f>'Monthly BS'!CW2</f>
        <v>2028-29</v>
      </c>
      <c r="CY2" s="16" t="str">
        <f>'Monthly BS'!CX2</f>
        <v>2028-29</v>
      </c>
      <c r="CZ2" s="16" t="str">
        <f>'Monthly BS'!CY2</f>
        <v>2028-29</v>
      </c>
      <c r="DA2" s="16" t="str">
        <f>'Monthly BS'!CZ2</f>
        <v>2028-29</v>
      </c>
      <c r="DB2" s="16" t="str">
        <f>'Monthly BS'!DA2</f>
        <v>2028-29</v>
      </c>
      <c r="DC2" s="16" t="str">
        <f>'Monthly BS'!DB2</f>
        <v>2028-29</v>
      </c>
    </row>
    <row r="3" spans="1:107" s="31" customFormat="1">
      <c r="A3" s="7" t="s">
        <v>37</v>
      </c>
      <c r="B3" s="8">
        <v>44012</v>
      </c>
      <c r="C3" s="8">
        <v>44043</v>
      </c>
      <c r="D3" s="8">
        <v>44074</v>
      </c>
      <c r="E3" s="8">
        <v>44104</v>
      </c>
      <c r="F3" s="8">
        <v>44135</v>
      </c>
      <c r="G3" s="8">
        <v>44165</v>
      </c>
      <c r="H3" s="8">
        <v>44196</v>
      </c>
      <c r="I3" s="8">
        <v>44227</v>
      </c>
      <c r="J3" s="8">
        <v>44255</v>
      </c>
      <c r="K3" s="8">
        <v>44286</v>
      </c>
      <c r="L3" s="8">
        <v>44316</v>
      </c>
      <c r="M3" s="8">
        <v>44347</v>
      </c>
      <c r="N3" s="8">
        <v>44377</v>
      </c>
      <c r="O3" s="8">
        <v>44408</v>
      </c>
      <c r="P3" s="8">
        <v>44439</v>
      </c>
      <c r="Q3" s="8">
        <v>44469</v>
      </c>
      <c r="R3" s="8">
        <v>44500</v>
      </c>
      <c r="S3" s="8">
        <v>44530</v>
      </c>
      <c r="T3" s="8">
        <v>44561</v>
      </c>
      <c r="U3" s="8">
        <v>44592</v>
      </c>
      <c r="V3" s="8">
        <v>44620</v>
      </c>
      <c r="W3" s="8">
        <v>44651</v>
      </c>
      <c r="X3" s="8">
        <v>44681</v>
      </c>
      <c r="Y3" s="8">
        <v>44712</v>
      </c>
      <c r="Z3" s="8">
        <v>44742</v>
      </c>
      <c r="AA3" s="8">
        <v>44773</v>
      </c>
      <c r="AB3" s="8">
        <v>44804</v>
      </c>
      <c r="AC3" s="8">
        <v>44834</v>
      </c>
      <c r="AD3" s="8">
        <v>44865</v>
      </c>
      <c r="AE3" s="8">
        <v>44895</v>
      </c>
      <c r="AF3" s="8">
        <v>44926</v>
      </c>
      <c r="AG3" s="8">
        <v>44957</v>
      </c>
      <c r="AH3" s="8">
        <v>44985</v>
      </c>
      <c r="AI3" s="8">
        <v>45016</v>
      </c>
      <c r="AJ3" s="8">
        <v>45046</v>
      </c>
      <c r="AK3" s="8">
        <v>45077</v>
      </c>
      <c r="AL3" s="8">
        <v>45107</v>
      </c>
      <c r="AM3" s="8">
        <v>45138</v>
      </c>
      <c r="AN3" s="8">
        <v>45169</v>
      </c>
      <c r="AO3" s="8">
        <v>45199</v>
      </c>
      <c r="AP3" s="8">
        <v>45230</v>
      </c>
      <c r="AQ3" s="8">
        <v>45260</v>
      </c>
      <c r="AR3" s="8">
        <v>45291</v>
      </c>
      <c r="AS3" s="8">
        <v>45322</v>
      </c>
      <c r="AT3" s="8">
        <v>45351</v>
      </c>
      <c r="AU3" s="8">
        <v>45382</v>
      </c>
      <c r="AV3" s="8">
        <v>45412</v>
      </c>
      <c r="AW3" s="8">
        <v>45443</v>
      </c>
      <c r="AX3" s="8">
        <v>45473</v>
      </c>
      <c r="AY3" s="8">
        <v>45504</v>
      </c>
      <c r="AZ3" s="8">
        <v>45535</v>
      </c>
      <c r="BA3" s="8">
        <v>45565</v>
      </c>
      <c r="BB3" s="8">
        <v>45596</v>
      </c>
      <c r="BC3" s="8">
        <v>45626</v>
      </c>
      <c r="BD3" s="8">
        <v>45657</v>
      </c>
      <c r="BE3" s="8">
        <v>45688</v>
      </c>
      <c r="BF3" s="8">
        <v>45716</v>
      </c>
      <c r="BG3" s="8">
        <v>45747</v>
      </c>
      <c r="BH3" s="8">
        <v>45777</v>
      </c>
      <c r="BI3" s="8">
        <v>45808</v>
      </c>
      <c r="BJ3" s="8">
        <v>45838</v>
      </c>
      <c r="BK3" s="8">
        <v>45869</v>
      </c>
      <c r="BL3" s="8">
        <v>45900</v>
      </c>
      <c r="BM3" s="8">
        <v>45930</v>
      </c>
      <c r="BN3" s="8">
        <v>45961</v>
      </c>
      <c r="BO3" s="8">
        <v>45991</v>
      </c>
      <c r="BP3" s="8">
        <v>46022</v>
      </c>
      <c r="BQ3" s="8">
        <v>46053</v>
      </c>
      <c r="BR3" s="8">
        <v>46081</v>
      </c>
      <c r="BS3" s="8">
        <v>46112</v>
      </c>
      <c r="BT3" s="8">
        <v>46142</v>
      </c>
      <c r="BU3" s="8">
        <v>46173</v>
      </c>
      <c r="BV3" s="8">
        <v>46203</v>
      </c>
      <c r="BW3" s="8">
        <v>46234</v>
      </c>
      <c r="BX3" s="8">
        <v>46265</v>
      </c>
      <c r="BY3" s="8">
        <v>46295</v>
      </c>
      <c r="BZ3" s="8">
        <v>46326</v>
      </c>
      <c r="CA3" s="8">
        <v>46356</v>
      </c>
      <c r="CB3" s="8">
        <v>46387</v>
      </c>
      <c r="CC3" s="8">
        <v>46418</v>
      </c>
      <c r="CD3" s="8">
        <v>46446</v>
      </c>
      <c r="CE3" s="8">
        <v>46477</v>
      </c>
      <c r="CF3" s="8">
        <v>46507</v>
      </c>
      <c r="CG3" s="8">
        <v>46538</v>
      </c>
      <c r="CH3" s="8">
        <v>46568</v>
      </c>
      <c r="CI3" s="8">
        <v>46599</v>
      </c>
      <c r="CJ3" s="8">
        <v>46630</v>
      </c>
      <c r="CK3" s="8">
        <v>46660</v>
      </c>
      <c r="CL3" s="8">
        <v>46691</v>
      </c>
      <c r="CM3" s="8">
        <v>46721</v>
      </c>
      <c r="CN3" s="8">
        <v>46752</v>
      </c>
      <c r="CO3" s="8">
        <v>46783</v>
      </c>
      <c r="CP3" s="8">
        <v>46812</v>
      </c>
      <c r="CQ3" s="8">
        <v>46843</v>
      </c>
      <c r="CR3" s="8">
        <v>46873</v>
      </c>
      <c r="CS3" s="8">
        <v>46904</v>
      </c>
      <c r="CT3" s="8">
        <v>46934</v>
      </c>
      <c r="CU3" s="8">
        <v>46965</v>
      </c>
      <c r="CV3" s="8">
        <v>46996</v>
      </c>
      <c r="CW3" s="8">
        <v>47026</v>
      </c>
      <c r="CX3" s="8">
        <v>47056</v>
      </c>
      <c r="CY3" s="8">
        <v>47087</v>
      </c>
      <c r="CZ3" s="8">
        <v>47117</v>
      </c>
      <c r="DA3" s="8">
        <v>47148</v>
      </c>
      <c r="DB3" s="8">
        <v>47177</v>
      </c>
      <c r="DC3" s="8">
        <v>47207</v>
      </c>
    </row>
    <row r="4" spans="1:107">
      <c r="A4" s="25" t="s">
        <v>105</v>
      </c>
      <c r="B4" s="32">
        <f>13.17-3.32</f>
        <v>9.85</v>
      </c>
      <c r="C4" s="34">
        <v>3.7759007361720429</v>
      </c>
      <c r="D4" s="34">
        <f>'NOR Revenue'!G22/10000000</f>
        <v>2.9162392746666668</v>
      </c>
      <c r="E4" s="34">
        <f>'NOR Revenue'!H22/10000000</f>
        <v>5.7941189973333325</v>
      </c>
      <c r="F4" s="34">
        <f>'NOR Revenue'!I22/10000000</f>
        <v>3.0578042879999998</v>
      </c>
      <c r="G4" s="34">
        <f>'NOR Revenue'!J22/10000000*80%</f>
        <v>4.8563192832000013</v>
      </c>
      <c r="H4" s="34">
        <f>'NOR Revenue'!K22/10000000</f>
        <v>3.1993693013333337</v>
      </c>
      <c r="I4" s="34">
        <f>'NOR Revenue'!L22/10000000*80%</f>
        <v>5.2039298901333346</v>
      </c>
      <c r="J4" s="34">
        <f>'NOR Revenue'!M22/10000000</f>
        <v>3.0176180906666668</v>
      </c>
      <c r="K4" s="34">
        <f>'NOR Revenue'!N22/10000000*80%</f>
        <v>5.3011074218666678</v>
      </c>
      <c r="L4" s="34">
        <f>'NOR Revenue'!O22/10000000</f>
        <v>2.6471103999999999</v>
      </c>
      <c r="M4" s="34">
        <f>'NOR Revenue'!P22/10000000</f>
        <v>5.4638765120000006</v>
      </c>
      <c r="N4" s="34">
        <f>'NOR Revenue'!Q22/10000000</f>
        <v>2.6952396799999998</v>
      </c>
      <c r="O4" s="34">
        <f>'NOR Revenue'!R22/10000000</f>
        <v>6.0062175040000003</v>
      </c>
      <c r="P4" s="34">
        <f>'NOR Revenue'!S22/10000000</f>
        <v>3.1469583039999995</v>
      </c>
      <c r="Q4" s="34">
        <f>'NOR Revenue'!T22/10000000</f>
        <v>6.201489392</v>
      </c>
      <c r="R4" s="34">
        <f>'NOR Revenue'!U22/10000000</f>
        <v>3.2294113599999998</v>
      </c>
      <c r="S4" s="34">
        <f>'NOR Revenue'!V22/10000000</f>
        <v>6.362405840000001</v>
      </c>
      <c r="T4" s="34">
        <f>'NOR Revenue'!W22/10000000</f>
        <v>3.3118644159999997</v>
      </c>
      <c r="U4" s="34">
        <f>'NOR Revenue'!X22/10000000</f>
        <v>6.6855686239999992</v>
      </c>
      <c r="V4" s="34">
        <f>'NOR Revenue'!Y22/10000000</f>
        <v>3.0906597119999999</v>
      </c>
      <c r="W4" s="34">
        <f>'NOR Revenue'!Z22/10000000</f>
        <v>6.7810989119999991</v>
      </c>
      <c r="X4" s="34">
        <f>'NOR Revenue'!AA22/10000000</f>
        <v>3.3228415999999998</v>
      </c>
      <c r="Y4" s="34">
        <f>'NOR Revenue'!AB22/10000000</f>
        <v>6.8535289599999993</v>
      </c>
      <c r="Z4" s="34">
        <f>'NOR Revenue'!AC22/10000000</f>
        <v>3.3901056000000001</v>
      </c>
      <c r="AA4" s="34">
        <f>'NOR Revenue'!AD22/10000000</f>
        <v>6.9914201599999997</v>
      </c>
      <c r="AB4" s="34">
        <f>'NOR Revenue'!AE22/10000000</f>
        <v>3.5587140266666664</v>
      </c>
      <c r="AC4" s="34">
        <f>'NOR Revenue'!AF22/10000000</f>
        <v>6.9654114133333342</v>
      </c>
      <c r="AD4" s="34">
        <f>'NOR Revenue'!AG22/10000000</f>
        <v>3.5865164799999998</v>
      </c>
      <c r="AE4" s="34">
        <f>'NOR Revenue'!AH22/10000000</f>
        <v>7.0196710399999995</v>
      </c>
      <c r="AF4" s="34">
        <f>'NOR Revenue'!AI22/10000000</f>
        <v>3.6143189333333336</v>
      </c>
      <c r="AG4" s="34">
        <f>'NOR Revenue'!AJ22/10000000</f>
        <v>7.2494897066666661</v>
      </c>
      <c r="AH4" s="34">
        <f>'NOR Revenue'!AK22/10000000</f>
        <v>3.2896580266666664</v>
      </c>
      <c r="AI4" s="34">
        <f>'NOR Revenue'!AL22/10000000</f>
        <v>7.1288629333333331</v>
      </c>
      <c r="AJ4" s="34">
        <f>'NOR Revenue'!AM22/10000000</f>
        <v>3.7075916800000006</v>
      </c>
      <c r="AK4" s="34">
        <f>'NOR Revenue'!AN22/10000000</f>
        <v>7.6439347712000014</v>
      </c>
      <c r="AL4" s="34">
        <f>'NOR Revenue'!AO22/10000000</f>
        <v>3.7635553280000003</v>
      </c>
      <c r="AM4" s="34">
        <f>'NOR Revenue'!AP22/10000000</f>
        <v>7.758660249600001</v>
      </c>
      <c r="AN4" s="34">
        <f>'NOR Revenue'!AQ22/10000000</f>
        <v>3.9468362752000004</v>
      </c>
      <c r="AO4" s="34">
        <f>'NOR Revenue'!AR22/10000000</f>
        <v>7.7446693376000004</v>
      </c>
      <c r="AP4" s="34">
        <f>'NOR Revenue'!AS22/10000000</f>
        <v>4.0046653781333337</v>
      </c>
      <c r="AQ4" s="34">
        <f>'NOR Revenue'!AT22/10000000</f>
        <v>7.8575293610666694</v>
      </c>
      <c r="AR4" s="34">
        <f>'NOR Revenue'!AU22/10000000</f>
        <v>4.0624944810666674</v>
      </c>
      <c r="AS4" s="34">
        <f>'NOR Revenue'!AV22/10000000</f>
        <v>8.1683607893333345</v>
      </c>
      <c r="AT4" s="34">
        <f>'NOR Revenue'!AW22/10000000</f>
        <v>3.8544962560000005</v>
      </c>
      <c r="AU4" s="34">
        <f>'NOR Revenue'!AX22/10000000</f>
        <v>8.1511053312000001</v>
      </c>
      <c r="AV4" s="34">
        <f>'NOR Revenue'!AY22/10000000</f>
        <v>4.7864029224960003</v>
      </c>
      <c r="AW4" s="34">
        <f>'NOR Revenue'!AZ22/10000000</f>
        <v>9.8378861457344033</v>
      </c>
      <c r="AX4" s="34">
        <f>'NOR Revenue'!BA22/10000000</f>
        <v>4.8196418316800003</v>
      </c>
      <c r="AY4" s="34">
        <f>'NOR Revenue'!BB22/10000000</f>
        <v>9.9060259095616043</v>
      </c>
      <c r="AZ4" s="34">
        <f>'NOR Revenue'!BC22/10000000</f>
        <v>5.0146434322261344</v>
      </c>
      <c r="BA4" s="34">
        <f>'NOR Revenue'!BD22/10000000</f>
        <v>9.8115720092970697</v>
      </c>
      <c r="BB4" s="34">
        <f>'NOR Revenue'!BE22/10000000</f>
        <v>5.0489903050496014</v>
      </c>
      <c r="BC4" s="34">
        <f>'NOR Revenue'!BF22/10000000</f>
        <v>9.878603809484801</v>
      </c>
      <c r="BD4" s="34">
        <f>'NOR Revenue'!BG22/10000000</f>
        <v>5.0833371778730667</v>
      </c>
      <c r="BE4" s="34">
        <f>'NOR Revenue'!BH22/10000000</f>
        <v>10.192434510363737</v>
      </c>
      <c r="BF4" s="34">
        <f>'NOR Revenue'!BI22/10000000</f>
        <v>4.6224243038549337</v>
      </c>
      <c r="BG4" s="34">
        <f>'NOR Revenue'!BJ22/10000000</f>
        <v>10.013498382589868</v>
      </c>
      <c r="BH4" s="34">
        <f>'NOR Revenue'!BK22/10000000</f>
        <v>5.1766277163161609</v>
      </c>
      <c r="BI4" s="34">
        <f>'NOR Revenue'!BL22/10000000</f>
        <v>10.625482098849282</v>
      </c>
      <c r="BJ4" s="34">
        <f>'NOR Revenue'!BM22/10000000</f>
        <v>5.1939119490918406</v>
      </c>
      <c r="BK4" s="34">
        <f>'NOR Revenue'!BN22/10000000</f>
        <v>10.660914776039428</v>
      </c>
      <c r="BL4" s="34">
        <f>'NOR Revenue'!BO22/10000000</f>
        <v>5.3849027212631055</v>
      </c>
      <c r="BM4" s="34">
        <f>'NOR Revenue'!BP22/10000000</f>
        <v>10.522208808014595</v>
      </c>
      <c r="BN4" s="34">
        <f>'NOR Revenue'!BQ22/10000000</f>
        <v>5.4027630951313075</v>
      </c>
      <c r="BO4" s="34">
        <f>'NOR Revenue'!BR22/10000000</f>
        <v>10.557065344112218</v>
      </c>
      <c r="BP4" s="34">
        <f>'NOR Revenue'!BS22/10000000</f>
        <v>5.4206234689995112</v>
      </c>
      <c r="BQ4" s="34">
        <f>'NOR Revenue'!BT22/10000000</f>
        <v>10.854642218400175</v>
      </c>
      <c r="BR4" s="34">
        <f>'NOR Revenue'!BU22/10000000</f>
        <v>4.9121789548482564</v>
      </c>
      <c r="BS4" s="34">
        <f>'NOR Revenue'!BV22/10000000</f>
        <v>10.62721052212685</v>
      </c>
      <c r="BT4" s="34">
        <f>'NOR Revenue'!BW22/10000000</f>
        <v>5.8145785808707604</v>
      </c>
      <c r="BU4" s="34">
        <f>'NOR Revenue'!BX22/10000000</f>
        <v>11.934636658379739</v>
      </c>
      <c r="BV4" s="34">
        <f>'NOR Revenue'!BY22/10000000</f>
        <v>5.833611571315509</v>
      </c>
      <c r="BW4" s="34">
        <f>'NOR Revenue'!BZ22/10000000</f>
        <v>11.973654288791472</v>
      </c>
      <c r="BX4" s="34">
        <f>'NOR Revenue'!CA22/10000000</f>
        <v>6.0477327138189327</v>
      </c>
      <c r="BY4" s="34">
        <f>'NOR Revenue'!CB22/10000000</f>
        <v>11.817107942383414</v>
      </c>
      <c r="BZ4" s="34">
        <f>'NOR Revenue'!CC22/10000000</f>
        <v>6.067400137278506</v>
      </c>
      <c r="CA4" s="34">
        <f>'NOR Revenue'!CD22/10000000</f>
        <v>11.855491139780325</v>
      </c>
      <c r="CB4" s="34">
        <f>'NOR Revenue'!CE22/10000000</f>
        <v>6.0870675607380811</v>
      </c>
      <c r="CC4" s="34">
        <f>'NOR Revenue'!CF22/10000000</f>
        <v>12.295226990334815</v>
      </c>
      <c r="CD4" s="34">
        <f>'NOR Revenue'!CG22/10000000</f>
        <v>5.5798973824101594</v>
      </c>
      <c r="CE4" s="34">
        <f>'NOR Revenue'!CH22/10000000</f>
        <v>12.071486072815905</v>
      </c>
      <c r="CF4" s="34">
        <f>'NOR Revenue'!CI22/10000000</f>
        <v>6.2376244168585071</v>
      </c>
      <c r="CG4" s="34">
        <f>'NOR Revenue'!CJ22/10000000</f>
        <v>12.80264902381537</v>
      </c>
      <c r="CH4" s="34">
        <f>'NOR Revenue'!CK22/10000000</f>
        <v>6.2576488933171222</v>
      </c>
      <c r="CI4" s="34">
        <f>'NOR Revenue'!CL22/10000000</f>
        <v>12.843699200555527</v>
      </c>
      <c r="CJ4" s="34">
        <f>'NOR Revenue'!CM22/10000000</f>
        <v>6.4869291487682617</v>
      </c>
      <c r="CK4" s="34">
        <f>'NOR Revenue'!CN22/10000000</f>
        <v>12.674992986391699</v>
      </c>
      <c r="CL4" s="34">
        <f>'NOR Revenue'!CO22/10000000</f>
        <v>6.5076211077754964</v>
      </c>
      <c r="CM4" s="34">
        <f>'NOR Revenue'!CP22/10000000</f>
        <v>12.715375680583236</v>
      </c>
      <c r="CN4" s="34">
        <f>'NOR Revenue'!CQ22/10000000</f>
        <v>6.5283130667827312</v>
      </c>
      <c r="CO4" s="34">
        <f>'NOR Revenue'!CR22/10000000</f>
        <v>13.07214510282089</v>
      </c>
      <c r="CP4" s="34">
        <f>'NOR Revenue'!CS22/10000000</f>
        <v>6.1264885725131952</v>
      </c>
      <c r="CQ4" s="34">
        <f>'NOR Revenue'!CT22/10000000</f>
        <v>12.902270794196973</v>
      </c>
      <c r="CR4" s="34">
        <f>'NOR Revenue'!CU22/10000000</f>
        <v>6.6120821266346042</v>
      </c>
      <c r="CS4" s="34">
        <f>'NOR Revenue'!CV22/10000000</f>
        <v>13.570908087626583</v>
      </c>
      <c r="CT4" s="34">
        <f>'NOR Revenue'!CW22/10000000</f>
        <v>6.6329075821515646</v>
      </c>
      <c r="CU4" s="34">
        <f>'NOR Revenue'!CX22/10000000</f>
        <v>13.613600271436349</v>
      </c>
      <c r="CV4" s="34">
        <f>'NOR Revenue'!CY22/10000000</f>
        <v>6.875524138924141</v>
      </c>
      <c r="CW4" s="34">
        <f>'NOR Revenue'!CZ22/10000000</f>
        <v>13.433980717602575</v>
      </c>
      <c r="CX4" s="34">
        <v>0</v>
      </c>
      <c r="CY4" s="34">
        <v>0</v>
      </c>
      <c r="CZ4" s="34">
        <v>0</v>
      </c>
      <c r="DA4" s="34">
        <v>0</v>
      </c>
      <c r="DB4" s="34">
        <v>0</v>
      </c>
      <c r="DC4" s="34">
        <v>0</v>
      </c>
    </row>
    <row r="5" spans="1:107">
      <c r="A5" s="25" t="s">
        <v>12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34">
        <v>0</v>
      </c>
      <c r="H5" s="34">
        <v>0</v>
      </c>
      <c r="I5" s="34">
        <v>0</v>
      </c>
      <c r="J5" s="34">
        <v>1</v>
      </c>
      <c r="K5" s="34">
        <v>0</v>
      </c>
      <c r="L5" s="34">
        <v>0</v>
      </c>
      <c r="M5" s="34">
        <v>0</v>
      </c>
      <c r="N5" s="34">
        <v>0</v>
      </c>
      <c r="O5" s="34">
        <v>0</v>
      </c>
      <c r="P5" s="34">
        <v>0</v>
      </c>
      <c r="Q5" s="34">
        <v>0</v>
      </c>
      <c r="R5" s="34">
        <v>0</v>
      </c>
      <c r="S5" s="34">
        <v>0</v>
      </c>
      <c r="T5" s="34">
        <v>0</v>
      </c>
      <c r="U5" s="34">
        <v>0</v>
      </c>
      <c r="V5" s="34">
        <v>0</v>
      </c>
      <c r="W5" s="34">
        <v>0</v>
      </c>
      <c r="X5" s="34">
        <v>0</v>
      </c>
      <c r="Y5" s="34">
        <v>0</v>
      </c>
      <c r="Z5" s="34">
        <v>0</v>
      </c>
      <c r="AA5" s="34">
        <v>0</v>
      </c>
      <c r="AB5" s="34">
        <v>0</v>
      </c>
      <c r="AC5" s="34">
        <v>0</v>
      </c>
      <c r="AD5" s="34">
        <v>0</v>
      </c>
      <c r="AE5" s="34">
        <v>0</v>
      </c>
      <c r="AF5" s="34">
        <v>0</v>
      </c>
      <c r="AG5" s="34">
        <v>0</v>
      </c>
      <c r="AH5" s="34">
        <v>3</v>
      </c>
      <c r="AI5" s="34">
        <f t="shared" ref="AI5:CT5" si="0">AI4*2%</f>
        <v>0.14257725866666668</v>
      </c>
      <c r="AJ5" s="34">
        <f t="shared" si="0"/>
        <v>7.4151833600000008E-2</v>
      </c>
      <c r="AK5" s="34">
        <f t="shared" si="0"/>
        <v>0.15287869542400004</v>
      </c>
      <c r="AL5" s="34">
        <f t="shared" si="0"/>
        <v>7.5271106560000009E-2</v>
      </c>
      <c r="AM5" s="34">
        <f t="shared" si="0"/>
        <v>0.15517320499200002</v>
      </c>
      <c r="AN5" s="34">
        <f t="shared" si="0"/>
        <v>7.8936725504000008E-2</v>
      </c>
      <c r="AO5" s="34">
        <f t="shared" si="0"/>
        <v>0.15489338675200001</v>
      </c>
      <c r="AP5" s="34">
        <f t="shared" si="0"/>
        <v>8.009330756266668E-2</v>
      </c>
      <c r="AQ5" s="34">
        <f t="shared" si="0"/>
        <v>0.1571505872213334</v>
      </c>
      <c r="AR5" s="34">
        <f t="shared" si="0"/>
        <v>8.1249889621333352E-2</v>
      </c>
      <c r="AS5" s="34">
        <f t="shared" si="0"/>
        <v>0.16336721578666669</v>
      </c>
      <c r="AT5" s="34">
        <f t="shared" si="0"/>
        <v>7.7089925120000014E-2</v>
      </c>
      <c r="AU5" s="34">
        <f t="shared" si="0"/>
        <v>0.16302210662400002</v>
      </c>
      <c r="AV5" s="34">
        <f t="shared" si="0"/>
        <v>9.5728058449920009E-2</v>
      </c>
      <c r="AW5" s="34">
        <f t="shared" si="0"/>
        <v>0.19675772291468807</v>
      </c>
      <c r="AX5" s="34">
        <f t="shared" si="0"/>
        <v>9.6392836633600001E-2</v>
      </c>
      <c r="AY5" s="34">
        <f t="shared" si="0"/>
        <v>0.19812051819123208</v>
      </c>
      <c r="AZ5" s="34">
        <f t="shared" si="0"/>
        <v>0.10029286864452269</v>
      </c>
      <c r="BA5" s="34">
        <f t="shared" si="0"/>
        <v>0.19623144018594141</v>
      </c>
      <c r="BB5" s="34">
        <f t="shared" si="0"/>
        <v>0.10097980610099203</v>
      </c>
      <c r="BC5" s="34">
        <f t="shared" si="0"/>
        <v>0.19757207618969602</v>
      </c>
      <c r="BD5" s="34">
        <f t="shared" si="0"/>
        <v>0.10166674355746133</v>
      </c>
      <c r="BE5" s="34">
        <f t="shared" si="0"/>
        <v>0.20384869020727475</v>
      </c>
      <c r="BF5" s="34">
        <f t="shared" si="0"/>
        <v>9.2448486077098671E-2</v>
      </c>
      <c r="BG5" s="34">
        <f t="shared" si="0"/>
        <v>0.20026996765179736</v>
      </c>
      <c r="BH5" s="34">
        <f t="shared" si="0"/>
        <v>0.10353255432632322</v>
      </c>
      <c r="BI5" s="34">
        <f t="shared" si="0"/>
        <v>0.21250964197698566</v>
      </c>
      <c r="BJ5" s="34">
        <f t="shared" si="0"/>
        <v>0.10387823898183682</v>
      </c>
      <c r="BK5" s="34">
        <f t="shared" si="0"/>
        <v>0.21321829552078858</v>
      </c>
      <c r="BL5" s="34">
        <f t="shared" si="0"/>
        <v>0.10769805442526212</v>
      </c>
      <c r="BM5" s="34">
        <f t="shared" si="0"/>
        <v>0.2104441761602919</v>
      </c>
      <c r="BN5" s="34">
        <f t="shared" si="0"/>
        <v>0.10805526190262615</v>
      </c>
      <c r="BO5" s="34">
        <f t="shared" si="0"/>
        <v>0.21114130688224436</v>
      </c>
      <c r="BP5" s="34">
        <f t="shared" si="0"/>
        <v>0.10841246937999023</v>
      </c>
      <c r="BQ5" s="34">
        <f t="shared" si="0"/>
        <v>0.2170928443680035</v>
      </c>
      <c r="BR5" s="34">
        <f t="shared" si="0"/>
        <v>9.8243579096965128E-2</v>
      </c>
      <c r="BS5" s="34">
        <f t="shared" si="0"/>
        <v>0.21254421044253702</v>
      </c>
      <c r="BT5" s="34">
        <f t="shared" si="0"/>
        <v>0.11629157161741521</v>
      </c>
      <c r="BU5" s="34">
        <f t="shared" si="0"/>
        <v>0.23869273316759479</v>
      </c>
      <c r="BV5" s="34">
        <f t="shared" si="0"/>
        <v>0.11667223142631018</v>
      </c>
      <c r="BW5" s="34">
        <f t="shared" si="0"/>
        <v>0.23947308577582946</v>
      </c>
      <c r="BX5" s="34">
        <f t="shared" si="0"/>
        <v>0.12095465427637865</v>
      </c>
      <c r="BY5" s="34">
        <f t="shared" si="0"/>
        <v>0.23634215884766829</v>
      </c>
      <c r="BZ5" s="34">
        <f t="shared" si="0"/>
        <v>0.12134800274557013</v>
      </c>
      <c r="CA5" s="34">
        <f t="shared" si="0"/>
        <v>0.2371098227956065</v>
      </c>
      <c r="CB5" s="34">
        <f t="shared" si="0"/>
        <v>0.12174135121476162</v>
      </c>
      <c r="CC5" s="34">
        <f t="shared" si="0"/>
        <v>0.2459045398066963</v>
      </c>
      <c r="CD5" s="34">
        <f t="shared" si="0"/>
        <v>0.11159794764820319</v>
      </c>
      <c r="CE5" s="34">
        <f t="shared" si="0"/>
        <v>0.24142972145631811</v>
      </c>
      <c r="CF5" s="34">
        <f t="shared" si="0"/>
        <v>0.12475248833717015</v>
      </c>
      <c r="CG5" s="34">
        <f t="shared" si="0"/>
        <v>0.25605298047630742</v>
      </c>
      <c r="CH5" s="34">
        <f t="shared" si="0"/>
        <v>0.12515297786634244</v>
      </c>
      <c r="CI5" s="34">
        <f t="shared" si="0"/>
        <v>0.25687398401111056</v>
      </c>
      <c r="CJ5" s="34">
        <f t="shared" si="0"/>
        <v>0.12973858297536522</v>
      </c>
      <c r="CK5" s="34">
        <f t="shared" si="0"/>
        <v>0.25349985972783395</v>
      </c>
      <c r="CL5" s="34">
        <f t="shared" si="0"/>
        <v>0.13015242215550993</v>
      </c>
      <c r="CM5" s="34">
        <f t="shared" si="0"/>
        <v>0.2543075136116647</v>
      </c>
      <c r="CN5" s="34">
        <f t="shared" si="0"/>
        <v>0.13056626133565463</v>
      </c>
      <c r="CO5" s="34">
        <f t="shared" si="0"/>
        <v>0.26144290205641779</v>
      </c>
      <c r="CP5" s="34">
        <f t="shared" si="0"/>
        <v>0.12252977145026391</v>
      </c>
      <c r="CQ5" s="34">
        <f t="shared" si="0"/>
        <v>0.25804541588393948</v>
      </c>
      <c r="CR5" s="34">
        <f t="shared" si="0"/>
        <v>0.13224164253269208</v>
      </c>
      <c r="CS5" s="34">
        <f t="shared" si="0"/>
        <v>0.27141816175253164</v>
      </c>
      <c r="CT5" s="34">
        <f t="shared" si="0"/>
        <v>0.1326581516430313</v>
      </c>
      <c r="CU5" s="34">
        <f>CU4*2%</f>
        <v>0.27227200542872698</v>
      </c>
      <c r="CV5" s="34">
        <f>CV4*2%</f>
        <v>0.13751048277848282</v>
      </c>
      <c r="CW5" s="34">
        <f>CW4*2%</f>
        <v>0.26867961435205151</v>
      </c>
      <c r="CX5" s="34">
        <v>0</v>
      </c>
      <c r="CY5" s="34">
        <v>0</v>
      </c>
      <c r="CZ5" s="34">
        <v>0</v>
      </c>
      <c r="DA5" s="34">
        <v>0</v>
      </c>
      <c r="DB5" s="34">
        <v>0</v>
      </c>
      <c r="DC5" s="34">
        <v>0</v>
      </c>
    </row>
    <row r="6" spans="1:107">
      <c r="A6" s="25" t="s">
        <v>101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4">
        <v>0</v>
      </c>
      <c r="P6" s="34">
        <v>0</v>
      </c>
      <c r="Q6" s="34">
        <v>0</v>
      </c>
      <c r="R6" s="34">
        <v>0</v>
      </c>
      <c r="S6" s="34">
        <v>0</v>
      </c>
      <c r="T6" s="34">
        <v>0</v>
      </c>
      <c r="U6" s="34">
        <v>0</v>
      </c>
      <c r="V6" s="34">
        <v>0</v>
      </c>
      <c r="W6" s="34">
        <v>0</v>
      </c>
      <c r="X6" s="34">
        <v>0.04</v>
      </c>
      <c r="Y6" s="34">
        <v>0.04</v>
      </c>
      <c r="Z6" s="34">
        <v>0.04</v>
      </c>
      <c r="AA6" s="34">
        <v>0.04</v>
      </c>
      <c r="AB6" s="34">
        <v>0.04</v>
      </c>
      <c r="AC6" s="34">
        <v>0.04</v>
      </c>
      <c r="AD6" s="34">
        <v>0.04</v>
      </c>
      <c r="AE6" s="34">
        <v>0.04</v>
      </c>
      <c r="AF6" s="34">
        <v>0.04</v>
      </c>
      <c r="AG6" s="34">
        <v>0.04</v>
      </c>
      <c r="AH6" s="34">
        <v>0.04</v>
      </c>
      <c r="AI6" s="34">
        <v>0.04</v>
      </c>
      <c r="AJ6" s="34">
        <v>0.04</v>
      </c>
      <c r="AK6" s="34">
        <v>0.04</v>
      </c>
      <c r="AL6" s="34">
        <v>0.04</v>
      </c>
      <c r="AM6" s="34">
        <v>0.04</v>
      </c>
      <c r="AN6" s="34">
        <v>0.04</v>
      </c>
      <c r="AO6" s="34">
        <v>0.04</v>
      </c>
      <c r="AP6" s="34">
        <v>0.04</v>
      </c>
      <c r="AQ6" s="34">
        <v>0.04</v>
      </c>
      <c r="AR6" s="34">
        <v>0.04</v>
      </c>
      <c r="AS6" s="34">
        <v>0.04</v>
      </c>
      <c r="AT6" s="34">
        <v>0.04</v>
      </c>
      <c r="AU6" s="34">
        <v>0.04</v>
      </c>
      <c r="AV6" s="34">
        <v>0.04</v>
      </c>
      <c r="AW6" s="34">
        <v>0.04</v>
      </c>
      <c r="AX6" s="34">
        <v>0.04</v>
      </c>
      <c r="AY6" s="34">
        <v>0.04</v>
      </c>
      <c r="AZ6" s="34">
        <v>0.04</v>
      </c>
      <c r="BA6" s="34">
        <v>0.04</v>
      </c>
      <c r="BB6" s="34">
        <v>0.04</v>
      </c>
      <c r="BC6" s="34">
        <v>0.04</v>
      </c>
      <c r="BD6" s="34">
        <v>0.04</v>
      </c>
      <c r="BE6" s="34">
        <v>0.04</v>
      </c>
      <c r="BF6" s="34">
        <v>0.04</v>
      </c>
      <c r="BG6" s="34">
        <v>0.04</v>
      </c>
      <c r="BH6" s="34">
        <v>0.04</v>
      </c>
      <c r="BI6" s="34">
        <v>0.04</v>
      </c>
      <c r="BJ6" s="34">
        <v>0.04</v>
      </c>
      <c r="BK6" s="34">
        <v>0.04</v>
      </c>
      <c r="BL6" s="34">
        <v>0.04</v>
      </c>
      <c r="BM6" s="34">
        <v>0.04</v>
      </c>
      <c r="BN6" s="34">
        <v>0.04</v>
      </c>
      <c r="BO6" s="34">
        <v>0.04</v>
      </c>
      <c r="BP6" s="34">
        <v>0.04</v>
      </c>
      <c r="BQ6" s="34">
        <v>0.04</v>
      </c>
      <c r="BR6" s="34">
        <v>0.04</v>
      </c>
      <c r="BS6" s="34">
        <v>0.04</v>
      </c>
      <c r="BT6" s="34">
        <v>0.04</v>
      </c>
      <c r="BU6" s="34">
        <v>0.04</v>
      </c>
      <c r="BV6" s="34">
        <v>0.04</v>
      </c>
      <c r="BW6" s="34">
        <v>0.04</v>
      </c>
      <c r="BX6" s="34">
        <v>0.04</v>
      </c>
      <c r="BY6" s="34">
        <v>0.04</v>
      </c>
      <c r="BZ6" s="34">
        <v>0.04</v>
      </c>
      <c r="CA6" s="34">
        <v>0.04</v>
      </c>
      <c r="CB6" s="34">
        <v>0.04</v>
      </c>
      <c r="CC6" s="34">
        <v>0.04</v>
      </c>
      <c r="CD6" s="34">
        <v>0.04</v>
      </c>
      <c r="CE6" s="34">
        <v>0.04</v>
      </c>
      <c r="CF6" s="34">
        <v>0.04</v>
      </c>
      <c r="CG6" s="34">
        <v>0.04</v>
      </c>
      <c r="CH6" s="34">
        <v>0.04</v>
      </c>
      <c r="CI6" s="34">
        <v>0.04</v>
      </c>
      <c r="CJ6" s="34">
        <v>0.04</v>
      </c>
      <c r="CK6" s="34">
        <v>0.04</v>
      </c>
      <c r="CL6" s="34">
        <v>0.04</v>
      </c>
      <c r="CM6" s="34">
        <v>0.04</v>
      </c>
      <c r="CN6" s="34">
        <v>0.04</v>
      </c>
      <c r="CO6" s="34">
        <v>0.04</v>
      </c>
      <c r="CP6" s="34">
        <v>0.04</v>
      </c>
      <c r="CQ6" s="34">
        <v>0.04</v>
      </c>
      <c r="CR6" s="34">
        <v>0.04</v>
      </c>
      <c r="CS6" s="34">
        <v>0.04</v>
      </c>
      <c r="CT6" s="34">
        <v>0.04</v>
      </c>
      <c r="CU6" s="34">
        <v>0.04</v>
      </c>
      <c r="CV6" s="34">
        <v>0.04</v>
      </c>
      <c r="CW6" s="34">
        <v>0.04</v>
      </c>
      <c r="CX6" s="34">
        <v>0</v>
      </c>
      <c r="CY6" s="34">
        <v>0</v>
      </c>
      <c r="CZ6" s="34">
        <v>0</v>
      </c>
      <c r="DA6" s="34">
        <v>0</v>
      </c>
      <c r="DB6" s="34">
        <v>0</v>
      </c>
      <c r="DC6" s="34">
        <v>0</v>
      </c>
    </row>
    <row r="7" spans="1:107">
      <c r="A7" s="25" t="s">
        <v>106</v>
      </c>
      <c r="B7" s="34">
        <v>0</v>
      </c>
      <c r="C7" s="34">
        <v>0</v>
      </c>
      <c r="D7" s="34">
        <v>0</v>
      </c>
      <c r="E7" s="34">
        <v>0</v>
      </c>
      <c r="F7" s="34">
        <v>0</v>
      </c>
      <c r="G7" s="34">
        <v>0</v>
      </c>
      <c r="H7" s="34">
        <v>0</v>
      </c>
      <c r="I7" s="34">
        <v>0</v>
      </c>
      <c r="J7" s="34">
        <v>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0</v>
      </c>
      <c r="AG7" s="34">
        <v>0</v>
      </c>
      <c r="AH7" s="34">
        <v>0</v>
      </c>
      <c r="AI7" s="34">
        <v>0</v>
      </c>
      <c r="AJ7" s="34">
        <f>('Water Revenue'!AM11-'Water Revenue'!AL11)*$W$57/10000000</f>
        <v>0.89572830000000003</v>
      </c>
      <c r="AK7" s="34">
        <f>('Water Revenue'!AN11-'Water Revenue'!AM11)*$W$57/10000000</f>
        <v>0.89572830000000003</v>
      </c>
      <c r="AL7" s="34">
        <f>('Water Revenue'!AO11-'Water Revenue'!AN11)*$W$57/10000000</f>
        <v>0.89572830000000003</v>
      </c>
      <c r="AM7" s="34">
        <f>('Water Revenue'!AP11-'Water Revenue'!AO11)*$W$57/10000000</f>
        <v>0.89572830000000003</v>
      </c>
      <c r="AN7" s="34">
        <f>('Water Revenue'!AQ11-'Water Revenue'!AP11)*$W$57/10000000</f>
        <v>0.89572830000000003</v>
      </c>
      <c r="AO7" s="34">
        <f>('Water Revenue'!AR11-'Water Revenue'!AQ11)*$W$57/10000000</f>
        <v>0.89572830000000003</v>
      </c>
      <c r="AP7" s="34">
        <f>('Water Revenue'!AS11-'Water Revenue'!AR11)*$W$57/10000000</f>
        <v>0.89572830000000003</v>
      </c>
      <c r="AQ7" s="34">
        <f>('Water Revenue'!AT11-'Water Revenue'!AS11)*$W$57/10000000</f>
        <v>0.89572830000000003</v>
      </c>
      <c r="AR7" s="34">
        <f>('Water Revenue'!AU11-'Water Revenue'!AT11)*$W$57/10000000</f>
        <v>0.89572830000000003</v>
      </c>
      <c r="AS7" s="34">
        <f>('Water Revenue'!AV11-'Water Revenue'!AU11)*$W$57/10000000</f>
        <v>0.89572830000000003</v>
      </c>
      <c r="AT7" s="34">
        <f>('Water Revenue'!AW11-'Water Revenue'!AV11)*$W$57/10000000</f>
        <v>0.89572830000000003</v>
      </c>
      <c r="AU7" s="34">
        <f>('Water Revenue'!AX11-'Water Revenue'!AW11)*$W$57/10000000</f>
        <v>0.89572830000000003</v>
      </c>
      <c r="AV7" s="34">
        <f>('Water Revenue'!AY11-'Water Revenue'!AX11)*$W$57/10000000</f>
        <v>0.44786415000000002</v>
      </c>
      <c r="AW7" s="34">
        <f>('Water Revenue'!AZ11-'Water Revenue'!AY11)*$W$57/10000000</f>
        <v>0.44786415000000002</v>
      </c>
      <c r="AX7" s="34">
        <f>('Water Revenue'!BA11-'Water Revenue'!AZ11)*$W$57/10000000</f>
        <v>0.44786415000000002</v>
      </c>
      <c r="AY7" s="34">
        <f>('Water Revenue'!BB11-'Water Revenue'!BA11)*$W$57/10000000</f>
        <v>0.44786415000000002</v>
      </c>
      <c r="AZ7" s="34">
        <f>('Water Revenue'!BC11-'Water Revenue'!BB11)*$W$57/10000000</f>
        <v>0.44786415000000002</v>
      </c>
      <c r="BA7" s="34">
        <f>('Water Revenue'!BD11-'Water Revenue'!BC11)*$W$57/10000000</f>
        <v>0.44786415000000002</v>
      </c>
      <c r="BB7" s="34">
        <f>('Water Revenue'!BE11-'Water Revenue'!BD11)*$W$57/10000000</f>
        <v>0.44786415000000002</v>
      </c>
      <c r="BC7" s="34">
        <f>('Water Revenue'!BF11-'Water Revenue'!BE11)*$W$57/10000000</f>
        <v>0.44786415000000002</v>
      </c>
      <c r="BD7" s="34">
        <f>('Water Revenue'!BG11-'Water Revenue'!BF11)*$W$57/10000000</f>
        <v>0.44786415000000002</v>
      </c>
      <c r="BE7" s="34">
        <f>('Water Revenue'!BH11-'Water Revenue'!BG11)*$W$57/10000000</f>
        <v>0.44786415000000002</v>
      </c>
      <c r="BF7" s="34">
        <f>('Water Revenue'!BI11-'Water Revenue'!BH11)*$W$57/10000000</f>
        <v>0.44786415000000002</v>
      </c>
      <c r="BG7" s="34">
        <f>('Water Revenue'!BJ11-'Water Revenue'!BI11)*$W$57/10000000</f>
        <v>0.44786415000000002</v>
      </c>
      <c r="BH7" s="34">
        <f>('Water Revenue'!BK11-'Water Revenue'!BJ11)*$W$57/10000000</f>
        <v>0.22393207500000001</v>
      </c>
      <c r="BI7" s="34">
        <f>('Water Revenue'!BL11-'Water Revenue'!BK11)*$W$57/10000000</f>
        <v>0.22393207500000001</v>
      </c>
      <c r="BJ7" s="34">
        <f>('Water Revenue'!BM11-'Water Revenue'!BL11)*$W$57/10000000</f>
        <v>0.22393207500000001</v>
      </c>
      <c r="BK7" s="34">
        <f>('Water Revenue'!BN11-'Water Revenue'!BM11)*$W$57/10000000</f>
        <v>0.22393207500000001</v>
      </c>
      <c r="BL7" s="34">
        <f>('Water Revenue'!BO11-'Water Revenue'!BN11)*$W$57/10000000</f>
        <v>0.22393207500000001</v>
      </c>
      <c r="BM7" s="34">
        <f>('Water Revenue'!BP11-'Water Revenue'!BO11)*$W$57/10000000</f>
        <v>0.22393207500000001</v>
      </c>
      <c r="BN7" s="34">
        <f>('Water Revenue'!BQ11-'Water Revenue'!BP11)*$W$57/10000000</f>
        <v>0.22393207500000001</v>
      </c>
      <c r="BO7" s="34">
        <f>('Water Revenue'!BR11-'Water Revenue'!BQ11)*$W$57/10000000</f>
        <v>0.22393207500000001</v>
      </c>
      <c r="BP7" s="34">
        <f>('Water Revenue'!BS11-'Water Revenue'!BR11)*$W$57/10000000</f>
        <v>0.22393207500000001</v>
      </c>
      <c r="BQ7" s="34">
        <f>('Water Revenue'!BT11-'Water Revenue'!BS11)*$W$57/10000000</f>
        <v>0.22393207500000001</v>
      </c>
      <c r="BR7" s="34">
        <f>('Water Revenue'!BU11-'Water Revenue'!BT11)*$W$57/10000000</f>
        <v>0.22393207500000001</v>
      </c>
      <c r="BS7" s="34">
        <f>('Water Revenue'!BV11-'Water Revenue'!BU11)*$W$57/10000000</f>
        <v>0.22393207500000001</v>
      </c>
      <c r="BT7" s="34">
        <f>('Water Revenue'!BW11-'Water Revenue'!BV11)*$W$57/10000000</f>
        <v>0.22393207500000001</v>
      </c>
      <c r="BU7" s="34">
        <f>('Water Revenue'!BX11-'Water Revenue'!BW11)*$W$57/10000000</f>
        <v>0.22393207500000001</v>
      </c>
      <c r="BV7" s="34">
        <f>('Water Revenue'!BY11-'Water Revenue'!BX11)*$W$57/10000000</f>
        <v>0.22393207500000001</v>
      </c>
      <c r="BW7" s="34">
        <f>('Water Revenue'!BZ11-'Water Revenue'!BY11)*$W$57/10000000</f>
        <v>0.22393207500000001</v>
      </c>
      <c r="BX7" s="34">
        <f>('Water Revenue'!CA11-'Water Revenue'!BZ11)*$W$57/10000000</f>
        <v>0.22393207500000001</v>
      </c>
      <c r="BY7" s="34">
        <f>('Water Revenue'!CB11-'Water Revenue'!CA11)*$W$57/10000000</f>
        <v>0.22393207500000001</v>
      </c>
      <c r="BZ7" s="34">
        <f>('Water Revenue'!CC11-'Water Revenue'!CB11)*$W$57/10000000</f>
        <v>0.22393207500000001</v>
      </c>
      <c r="CA7" s="34">
        <f>('Water Revenue'!CD11-'Water Revenue'!CC11)*$W$57/10000000</f>
        <v>0.22393207500000001</v>
      </c>
      <c r="CB7" s="34">
        <f>('Water Revenue'!CE11-'Water Revenue'!CD11)*$W$57/10000000</f>
        <v>0.22393207500000001</v>
      </c>
      <c r="CC7" s="34">
        <f>('Water Revenue'!CF11-'Water Revenue'!CE11)*$W$57/10000000</f>
        <v>0.22393207500000001</v>
      </c>
      <c r="CD7" s="34">
        <f>('Water Revenue'!CG11-'Water Revenue'!CF11)*$W$57/10000000</f>
        <v>0.22393207500000001</v>
      </c>
      <c r="CE7" s="34">
        <f>('Water Revenue'!CH11-'Water Revenue'!CG11)*$W$57/10000000</f>
        <v>0.22393207500000001</v>
      </c>
      <c r="CF7" s="34">
        <f>('Water Revenue'!CI11-'Water Revenue'!CH11)*$W$57/10000000</f>
        <v>0.22393207500000001</v>
      </c>
      <c r="CG7" s="34">
        <f>('Water Revenue'!CJ11-'Water Revenue'!CI11)*$W$57/10000000</f>
        <v>0.22393207500000001</v>
      </c>
      <c r="CH7" s="34">
        <f>('Water Revenue'!CK11-'Water Revenue'!CJ11)*$W$57/10000000</f>
        <v>0.22393207500000001</v>
      </c>
      <c r="CI7" s="34">
        <f>('Water Revenue'!CL11-'Water Revenue'!CK11)*$W$57/10000000</f>
        <v>0.22393207500000001</v>
      </c>
      <c r="CJ7" s="34">
        <f>('Water Revenue'!CM11-'Water Revenue'!CL11)*$W$57/10000000</f>
        <v>0.22393207500000001</v>
      </c>
      <c r="CK7" s="34">
        <f>('Water Revenue'!CN11-'Water Revenue'!CM11)*$W$57/10000000</f>
        <v>0.22393207500000001</v>
      </c>
      <c r="CL7" s="34">
        <f>('Water Revenue'!CO11-'Water Revenue'!CN11)*$W$57/10000000</f>
        <v>0.22393207500000001</v>
      </c>
      <c r="CM7" s="34">
        <f>('Water Revenue'!CP11-'Water Revenue'!CO11)*$W$57/10000000</f>
        <v>0.22393207500000001</v>
      </c>
      <c r="CN7" s="34">
        <f>('Water Revenue'!CQ11-'Water Revenue'!CP11)*$W$57/10000000</f>
        <v>0.22393207500000001</v>
      </c>
      <c r="CO7" s="34">
        <f>('Water Revenue'!CR11-'Water Revenue'!CQ11)*$W$57/10000000</f>
        <v>0.22393207500000001</v>
      </c>
      <c r="CP7" s="34">
        <f>('Water Revenue'!CS11-'Water Revenue'!CR11)*$W$57/10000000</f>
        <v>0.22393207500000001</v>
      </c>
      <c r="CQ7" s="34">
        <f>('Water Revenue'!CT11-'Water Revenue'!CS11)*$W$57/10000000</f>
        <v>0.22393207500000001</v>
      </c>
      <c r="CR7" s="34">
        <f>('Water Revenue'!CU11-'Water Revenue'!CT11)*$W$57/10000000</f>
        <v>0.22393207500000001</v>
      </c>
      <c r="CS7" s="34">
        <f>('Water Revenue'!CV11-'Water Revenue'!CU11)*$W$57/10000000</f>
        <v>0.22393207500000001</v>
      </c>
      <c r="CT7" s="34">
        <f>('Water Revenue'!CW11-'Water Revenue'!CV11)*$W$57/10000000</f>
        <v>0.22393207500000001</v>
      </c>
      <c r="CU7" s="34">
        <f>('Water Revenue'!CX11-'Water Revenue'!CW11)*$W$57/10000000</f>
        <v>0.22393207500000001</v>
      </c>
      <c r="CV7" s="34">
        <f>('Water Revenue'!CY11-'Water Revenue'!CX11)*$W$57/10000000</f>
        <v>0.22393207500000001</v>
      </c>
      <c r="CW7" s="34">
        <f>('Water Revenue'!CZ11-'Water Revenue'!CY11)*$W$57/10000000</f>
        <v>0.22393207500000001</v>
      </c>
      <c r="CX7" s="34">
        <v>0</v>
      </c>
      <c r="CY7" s="34">
        <v>0</v>
      </c>
      <c r="CZ7" s="34">
        <v>0</v>
      </c>
      <c r="DA7" s="34">
        <v>0</v>
      </c>
      <c r="DB7" s="34">
        <v>0</v>
      </c>
      <c r="DC7" s="34">
        <v>0</v>
      </c>
    </row>
    <row r="8" spans="1:107">
      <c r="A8" s="25" t="s">
        <v>107</v>
      </c>
      <c r="B8" s="34">
        <f>2.14-0.52</f>
        <v>1.62</v>
      </c>
      <c r="C8" s="34">
        <v>0.52</v>
      </c>
      <c r="D8" s="34">
        <v>0.42120000000000002</v>
      </c>
      <c r="E8" s="34">
        <v>0.42120000000000002</v>
      </c>
      <c r="F8" s="34">
        <v>0.42120000000000002</v>
      </c>
      <c r="G8" s="34">
        <v>0.42120000000000002</v>
      </c>
      <c r="H8" s="34">
        <v>0.42120000000000002</v>
      </c>
      <c r="I8" s="34">
        <v>0.33539999999999998</v>
      </c>
      <c r="J8" s="34">
        <v>0.33539999999999998</v>
      </c>
      <c r="K8" s="34">
        <v>0.33539999999999998</v>
      </c>
      <c r="L8" s="34">
        <f>'O&amp;M'!N25/10000000</f>
        <v>0.34881600000000001</v>
      </c>
      <c r="M8" s="34">
        <f>'O&amp;M'!O25/10000000</f>
        <v>0.34881600000000001</v>
      </c>
      <c r="N8" s="34">
        <f>'O&amp;M'!P25/10000000</f>
        <v>0.34881600000000001</v>
      </c>
      <c r="O8" s="34">
        <f>'O&amp;M'!Q25/10000000</f>
        <v>0.34881600000000001</v>
      </c>
      <c r="P8" s="34">
        <f>'O&amp;M'!R25/10000000</f>
        <v>0.34881600000000001</v>
      </c>
      <c r="Q8" s="34">
        <f>'O&amp;M'!S25/10000000</f>
        <v>0.34881600000000001</v>
      </c>
      <c r="R8" s="34">
        <f>'O&amp;M'!T25/10000000</f>
        <v>0.227136</v>
      </c>
      <c r="S8" s="34">
        <f>'O&amp;M'!U25/10000000</f>
        <v>0.227136</v>
      </c>
      <c r="T8" s="34">
        <f>'O&amp;M'!V25/10000000</f>
        <v>0.14601600000000001</v>
      </c>
      <c r="U8" s="34">
        <f>'O&amp;M'!W25/10000000</f>
        <v>0.14601600000000001</v>
      </c>
      <c r="V8" s="34">
        <f>'O&amp;M'!X25/10000000</f>
        <v>0.14601600000000001</v>
      </c>
      <c r="W8" s="34">
        <f>'O&amp;M'!Y25/10000000</f>
        <v>0.14601600000000001</v>
      </c>
      <c r="X8" s="34">
        <f>'O&amp;M'!Z25/10000000</f>
        <v>0.15185664000000001</v>
      </c>
      <c r="Y8" s="34">
        <f>'O&amp;M'!AA25/10000000</f>
        <v>0.15185664000000001</v>
      </c>
      <c r="Z8" s="34">
        <f>'O&amp;M'!AB25/10000000</f>
        <v>0.15185664000000001</v>
      </c>
      <c r="AA8" s="34">
        <f>'O&amp;M'!AC25/10000000</f>
        <v>0.15185664000000001</v>
      </c>
      <c r="AB8" s="34">
        <f>'O&amp;M'!AD25/10000000</f>
        <v>0.15185664000000001</v>
      </c>
      <c r="AC8" s="34">
        <f>'O&amp;M'!AE25/10000000</f>
        <v>0.15185664000000001</v>
      </c>
      <c r="AD8" s="34">
        <f>'O&amp;M'!AF25/10000000</f>
        <v>0.15185664000000001</v>
      </c>
      <c r="AE8" s="34">
        <f>'O&amp;M'!AG25/10000000</f>
        <v>6.7491839999999997E-2</v>
      </c>
      <c r="AF8" s="34">
        <f>'O&amp;M'!AH25/10000000</f>
        <v>6.7491839999999997E-2</v>
      </c>
      <c r="AG8" s="34">
        <f>'O&amp;M'!AI25/10000000</f>
        <v>6.7491839999999997E-2</v>
      </c>
      <c r="AH8" s="34">
        <f>'O&amp;M'!AJ25/10000000</f>
        <v>6.7491839999999997E-2</v>
      </c>
      <c r="AI8" s="34">
        <f>'O&amp;M'!AK25/10000000</f>
        <v>6.7491839999999997E-2</v>
      </c>
      <c r="AJ8" s="34">
        <f>'O&amp;M'!AL25/10000000</f>
        <v>7.0191513600000005E-2</v>
      </c>
      <c r="AK8" s="34">
        <f>'O&amp;M'!AM25/10000000</f>
        <v>7.0191513600000005E-2</v>
      </c>
      <c r="AL8" s="34">
        <f>'O&amp;M'!AN25/10000000</f>
        <v>7.0191513600000005E-2</v>
      </c>
      <c r="AM8" s="34">
        <f>'O&amp;M'!AO25/10000000</f>
        <v>7.0191513600000005E-2</v>
      </c>
      <c r="AN8" s="34">
        <f>'O&amp;M'!AP25/10000000</f>
        <v>7.0191513600000005E-2</v>
      </c>
      <c r="AO8" s="34">
        <f>'O&amp;M'!AQ25/10000000</f>
        <v>7.0191513600000005E-2</v>
      </c>
      <c r="AP8" s="34">
        <f>'O&amp;M'!AR25/10000000</f>
        <v>0</v>
      </c>
      <c r="AQ8" s="34">
        <f>'O&amp;M'!AS25/10000000</f>
        <v>0</v>
      </c>
      <c r="AR8" s="34">
        <f>'O&amp;M'!AT25/10000000</f>
        <v>0</v>
      </c>
      <c r="AS8" s="34">
        <f>'O&amp;M'!AU25/10000000</f>
        <v>0</v>
      </c>
      <c r="AT8" s="34">
        <f>'O&amp;M'!AV25/10000000</f>
        <v>0</v>
      </c>
      <c r="AU8" s="34">
        <f>'O&amp;M'!AW25/10000000</f>
        <v>0</v>
      </c>
      <c r="AV8" s="34">
        <f>'O&amp;M'!AX25/10000000</f>
        <v>0</v>
      </c>
      <c r="AW8" s="34">
        <f>'O&amp;M'!AY25/10000000</f>
        <v>0</v>
      </c>
      <c r="AX8" s="34">
        <f>'O&amp;M'!AZ25/10000000</f>
        <v>0</v>
      </c>
      <c r="AY8" s="34">
        <f>'O&amp;M'!BA25/10000000</f>
        <v>0</v>
      </c>
      <c r="AZ8" s="34">
        <f>'O&amp;M'!BB25/10000000</f>
        <v>0</v>
      </c>
      <c r="BA8" s="34">
        <f>'O&amp;M'!BC25/10000000</f>
        <v>0</v>
      </c>
      <c r="BB8" s="34">
        <f>'O&amp;M'!BD25/10000000</f>
        <v>0</v>
      </c>
      <c r="BC8" s="34">
        <f>'O&amp;M'!BE25/10000000</f>
        <v>0</v>
      </c>
      <c r="BD8" s="34">
        <f>'O&amp;M'!BF25/10000000</f>
        <v>0</v>
      </c>
      <c r="BE8" s="34">
        <f>'O&amp;M'!BG25/10000000</f>
        <v>0</v>
      </c>
      <c r="BF8" s="34">
        <f>'O&amp;M'!BH25/10000000</f>
        <v>0</v>
      </c>
      <c r="BG8" s="34">
        <f>'O&amp;M'!BI25/10000000</f>
        <v>0</v>
      </c>
      <c r="BH8" s="34">
        <f>'O&amp;M'!BJ25/10000000</f>
        <v>0</v>
      </c>
      <c r="BI8" s="34">
        <f>'O&amp;M'!BK25/10000000</f>
        <v>0</v>
      </c>
      <c r="BJ8" s="34">
        <f>'O&amp;M'!BL25/10000000</f>
        <v>0</v>
      </c>
      <c r="BK8" s="34">
        <f>'O&amp;M'!BM25/10000000</f>
        <v>0</v>
      </c>
      <c r="BL8" s="34">
        <f>'O&amp;M'!BN25/10000000</f>
        <v>0</v>
      </c>
      <c r="BM8" s="34">
        <f>'O&amp;M'!BO25/10000000</f>
        <v>0</v>
      </c>
      <c r="BN8" s="34">
        <f>'O&amp;M'!BP25/10000000</f>
        <v>0</v>
      </c>
      <c r="BO8" s="34">
        <f>'O&amp;M'!BQ25/10000000</f>
        <v>0</v>
      </c>
      <c r="BP8" s="34">
        <f>'O&amp;M'!BR25/10000000</f>
        <v>0</v>
      </c>
      <c r="BQ8" s="34">
        <f>'O&amp;M'!BS25/10000000</f>
        <v>0</v>
      </c>
      <c r="BR8" s="34">
        <f>'O&amp;M'!BT25/10000000</f>
        <v>0</v>
      </c>
      <c r="BS8" s="34">
        <f>'O&amp;M'!BU25/10000000</f>
        <v>0</v>
      </c>
      <c r="BT8" s="34">
        <f>'O&amp;M'!BV25/10000000</f>
        <v>0</v>
      </c>
      <c r="BU8" s="34">
        <f>'O&amp;M'!BW25/10000000</f>
        <v>0</v>
      </c>
      <c r="BV8" s="34">
        <f>'O&amp;M'!BX25/10000000</f>
        <v>0</v>
      </c>
      <c r="BW8" s="34">
        <f>'O&amp;M'!BY25/10000000</f>
        <v>0</v>
      </c>
      <c r="BX8" s="34">
        <f>'O&amp;M'!BZ25/10000000</f>
        <v>0</v>
      </c>
      <c r="BY8" s="34">
        <f>'O&amp;M'!CA25/10000000</f>
        <v>0</v>
      </c>
      <c r="BZ8" s="34">
        <f>'O&amp;M'!CB25/10000000</f>
        <v>0</v>
      </c>
      <c r="CA8" s="34">
        <f>'O&amp;M'!CC25/10000000</f>
        <v>0</v>
      </c>
      <c r="CB8" s="34">
        <f>'O&amp;M'!CD25/10000000</f>
        <v>0</v>
      </c>
      <c r="CC8" s="34">
        <f>'O&amp;M'!CE25/10000000</f>
        <v>0</v>
      </c>
      <c r="CD8" s="34">
        <f>'O&amp;M'!CF25/10000000</f>
        <v>0</v>
      </c>
      <c r="CE8" s="34">
        <f>'O&amp;M'!CG25/10000000</f>
        <v>0</v>
      </c>
      <c r="CF8" s="34">
        <f>'O&amp;M'!CH25/10000000</f>
        <v>0</v>
      </c>
      <c r="CG8" s="34">
        <f>'O&amp;M'!CI25/10000000</f>
        <v>0</v>
      </c>
      <c r="CH8" s="34">
        <f>'O&amp;M'!CJ25/10000000</f>
        <v>0</v>
      </c>
      <c r="CI8" s="34">
        <f>'O&amp;M'!CK25/10000000</f>
        <v>0</v>
      </c>
      <c r="CJ8" s="34">
        <f>'O&amp;M'!CL25/10000000</f>
        <v>0</v>
      </c>
      <c r="CK8" s="34">
        <f>'O&amp;M'!CM25/10000000</f>
        <v>0</v>
      </c>
      <c r="CL8" s="34">
        <f>'O&amp;M'!CN25/10000000</f>
        <v>0</v>
      </c>
      <c r="CM8" s="34">
        <f>'O&amp;M'!CO25/10000000</f>
        <v>0</v>
      </c>
      <c r="CN8" s="34">
        <f>'O&amp;M'!CP25/10000000</f>
        <v>0</v>
      </c>
      <c r="CO8" s="34">
        <f>'O&amp;M'!CQ25/10000000</f>
        <v>0</v>
      </c>
      <c r="CP8" s="34">
        <f>'O&amp;M'!CR25/10000000</f>
        <v>0</v>
      </c>
      <c r="CQ8" s="34">
        <f>'O&amp;M'!CS25/10000000</f>
        <v>0</v>
      </c>
      <c r="CR8" s="34">
        <f>'O&amp;M'!CT25/10000000</f>
        <v>0</v>
      </c>
      <c r="CS8" s="34">
        <f>'O&amp;M'!CU25/10000000</f>
        <v>0</v>
      </c>
      <c r="CT8" s="34">
        <f>'O&amp;M'!CV25/10000000</f>
        <v>0</v>
      </c>
      <c r="CU8" s="34">
        <f>'O&amp;M'!CW25/10000000</f>
        <v>0</v>
      </c>
      <c r="CV8" s="34">
        <f>'O&amp;M'!CX25/10000000</f>
        <v>0</v>
      </c>
      <c r="CW8" s="34">
        <f>'O&amp;M'!CY25/10000000</f>
        <v>0</v>
      </c>
      <c r="CX8" s="34">
        <v>0</v>
      </c>
      <c r="CY8" s="34">
        <v>0</v>
      </c>
      <c r="CZ8" s="34">
        <v>0</v>
      </c>
      <c r="DA8" s="34">
        <v>0</v>
      </c>
      <c r="DB8" s="34">
        <v>0</v>
      </c>
      <c r="DC8" s="34">
        <v>0</v>
      </c>
    </row>
    <row r="9" spans="1:107" hidden="1">
      <c r="A9" s="25" t="s">
        <v>102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34">
        <v>0</v>
      </c>
      <c r="H9" s="34">
        <v>0</v>
      </c>
      <c r="I9" s="34">
        <v>0</v>
      </c>
      <c r="J9" s="34">
        <v>0</v>
      </c>
      <c r="K9" s="34">
        <v>0</v>
      </c>
      <c r="L9" s="34">
        <v>0</v>
      </c>
      <c r="M9" s="34">
        <v>0</v>
      </c>
      <c r="N9" s="34">
        <v>0</v>
      </c>
      <c r="O9" s="34">
        <v>0</v>
      </c>
      <c r="P9" s="34">
        <v>0</v>
      </c>
      <c r="Q9" s="34">
        <v>0</v>
      </c>
      <c r="R9" s="34">
        <v>0</v>
      </c>
      <c r="S9" s="34">
        <v>0</v>
      </c>
      <c r="T9" s="34">
        <v>0</v>
      </c>
      <c r="U9" s="34">
        <v>0</v>
      </c>
      <c r="V9" s="34">
        <v>0</v>
      </c>
      <c r="W9" s="34">
        <v>0</v>
      </c>
      <c r="X9" s="34">
        <v>0</v>
      </c>
      <c r="Y9" s="34">
        <v>0</v>
      </c>
      <c r="Z9" s="34">
        <v>0</v>
      </c>
      <c r="AA9" s="34">
        <v>0</v>
      </c>
      <c r="AB9" s="34">
        <v>0</v>
      </c>
      <c r="AC9" s="34">
        <v>0</v>
      </c>
      <c r="AD9" s="34">
        <v>0</v>
      </c>
      <c r="AE9" s="34">
        <v>0</v>
      </c>
      <c r="AF9" s="34">
        <v>0</v>
      </c>
      <c r="AG9" s="34">
        <v>0</v>
      </c>
      <c r="AH9" s="34">
        <v>0</v>
      </c>
      <c r="AI9" s="34">
        <v>0</v>
      </c>
      <c r="AJ9" s="34">
        <v>0</v>
      </c>
      <c r="AK9" s="34">
        <v>0</v>
      </c>
      <c r="AL9" s="34">
        <v>0</v>
      </c>
      <c r="AM9" s="34">
        <v>0</v>
      </c>
      <c r="AN9" s="34">
        <v>0</v>
      </c>
      <c r="AO9" s="34">
        <v>0</v>
      </c>
      <c r="AP9" s="34">
        <v>0</v>
      </c>
      <c r="AQ9" s="34">
        <v>0</v>
      </c>
      <c r="AR9" s="34">
        <v>0</v>
      </c>
      <c r="AS9" s="34">
        <v>0</v>
      </c>
      <c r="AT9" s="34">
        <v>0</v>
      </c>
      <c r="AU9" s="34">
        <v>0</v>
      </c>
      <c r="AV9" s="34">
        <v>0</v>
      </c>
      <c r="AW9" s="34">
        <v>0</v>
      </c>
      <c r="AX9" s="34">
        <v>0</v>
      </c>
      <c r="AY9" s="34">
        <v>0</v>
      </c>
      <c r="AZ9" s="34">
        <v>0</v>
      </c>
      <c r="BA9" s="34">
        <v>0</v>
      </c>
      <c r="BB9" s="34">
        <v>0</v>
      </c>
      <c r="BC9" s="34">
        <v>0</v>
      </c>
      <c r="BD9" s="34">
        <v>0</v>
      </c>
      <c r="BE9" s="34">
        <v>0</v>
      </c>
      <c r="BF9" s="34">
        <v>0</v>
      </c>
      <c r="BG9" s="34">
        <v>0</v>
      </c>
      <c r="BH9" s="34">
        <v>0</v>
      </c>
      <c r="BI9" s="34">
        <v>0</v>
      </c>
      <c r="BJ9" s="34">
        <v>0</v>
      </c>
      <c r="BK9" s="34">
        <v>0</v>
      </c>
      <c r="BL9" s="34">
        <v>0</v>
      </c>
      <c r="BM9" s="34">
        <v>0</v>
      </c>
      <c r="BN9" s="34">
        <v>0</v>
      </c>
      <c r="BO9" s="34">
        <v>0</v>
      </c>
      <c r="BP9" s="34">
        <v>0</v>
      </c>
      <c r="BQ9" s="34">
        <v>0</v>
      </c>
      <c r="BR9" s="34">
        <v>0</v>
      </c>
      <c r="BS9" s="34">
        <v>0</v>
      </c>
      <c r="BT9" s="34">
        <v>0</v>
      </c>
      <c r="BU9" s="34">
        <v>0</v>
      </c>
      <c r="BV9" s="34">
        <v>0</v>
      </c>
      <c r="BW9" s="34">
        <v>0</v>
      </c>
      <c r="BX9" s="34">
        <v>0</v>
      </c>
      <c r="BY9" s="34">
        <v>0</v>
      </c>
      <c r="BZ9" s="34">
        <v>0</v>
      </c>
      <c r="CA9" s="34">
        <v>0</v>
      </c>
      <c r="CB9" s="34">
        <v>0</v>
      </c>
      <c r="CC9" s="34">
        <v>0</v>
      </c>
      <c r="CD9" s="34">
        <v>0</v>
      </c>
      <c r="CE9" s="34">
        <v>0</v>
      </c>
      <c r="CF9" s="34">
        <v>0</v>
      </c>
      <c r="CG9" s="34">
        <v>0</v>
      </c>
      <c r="CH9" s="34">
        <v>0</v>
      </c>
      <c r="CI9" s="34">
        <v>0</v>
      </c>
      <c r="CJ9" s="34">
        <v>0</v>
      </c>
      <c r="CK9" s="34">
        <v>0</v>
      </c>
      <c r="CL9" s="34">
        <v>0</v>
      </c>
      <c r="CM9" s="34">
        <v>0</v>
      </c>
      <c r="CN9" s="34">
        <v>0</v>
      </c>
      <c r="CO9" s="34">
        <v>0</v>
      </c>
      <c r="CP9" s="34">
        <v>0</v>
      </c>
      <c r="CQ9" s="34">
        <v>0</v>
      </c>
      <c r="CR9" s="34">
        <v>0</v>
      </c>
      <c r="CS9" s="34">
        <v>0</v>
      </c>
      <c r="CT9" s="34">
        <v>0</v>
      </c>
      <c r="CU9" s="34">
        <v>0</v>
      </c>
      <c r="CV9" s="34">
        <v>0</v>
      </c>
      <c r="CW9" s="34">
        <v>0</v>
      </c>
      <c r="CX9" s="34">
        <v>0</v>
      </c>
      <c r="CY9" s="34">
        <v>0</v>
      </c>
      <c r="CZ9" s="34">
        <v>0</v>
      </c>
      <c r="DA9" s="34">
        <v>0</v>
      </c>
      <c r="DB9" s="34">
        <v>0</v>
      </c>
      <c r="DC9" s="34">
        <v>0</v>
      </c>
    </row>
    <row r="10" spans="1:107">
      <c r="A10" s="25" t="s">
        <v>644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>
        <f>-Debt!Z11</f>
        <v>113.85550000000001</v>
      </c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4"/>
      <c r="AV10" s="34"/>
      <c r="AW10" s="34"/>
      <c r="AX10" s="34"/>
      <c r="AY10" s="34"/>
      <c r="AZ10" s="34"/>
      <c r="BA10" s="34"/>
      <c r="BB10" s="34"/>
      <c r="BC10" s="34"/>
      <c r="BD10" s="34"/>
      <c r="BE10" s="34"/>
      <c r="BF10" s="34"/>
      <c r="BG10" s="34"/>
      <c r="BH10" s="34"/>
      <c r="BI10" s="34"/>
      <c r="BJ10" s="34"/>
      <c r="BK10" s="34"/>
      <c r="BL10" s="34"/>
      <c r="BM10" s="34"/>
      <c r="BN10" s="34"/>
      <c r="BO10" s="34"/>
      <c r="BP10" s="34"/>
      <c r="BQ10" s="34"/>
      <c r="BR10" s="34"/>
      <c r="BS10" s="34"/>
      <c r="BT10" s="34"/>
      <c r="BU10" s="34"/>
      <c r="BV10" s="34"/>
      <c r="BW10" s="34"/>
      <c r="BX10" s="34"/>
      <c r="BY10" s="34"/>
      <c r="BZ10" s="34"/>
      <c r="CA10" s="34"/>
      <c r="CB10" s="34"/>
      <c r="CC10" s="34"/>
      <c r="CD10" s="34"/>
      <c r="CE10" s="34"/>
      <c r="CF10" s="34"/>
      <c r="CG10" s="34"/>
      <c r="CH10" s="34"/>
      <c r="CI10" s="34"/>
      <c r="CJ10" s="34"/>
      <c r="CK10" s="34"/>
      <c r="CL10" s="34"/>
      <c r="CM10" s="34"/>
      <c r="CN10" s="34"/>
      <c r="CO10" s="34"/>
      <c r="CP10" s="34"/>
      <c r="CQ10" s="34"/>
      <c r="CR10" s="34"/>
      <c r="CS10" s="34"/>
      <c r="CT10" s="34"/>
      <c r="CU10" s="34"/>
      <c r="CV10" s="34"/>
      <c r="CW10" s="34"/>
      <c r="CX10" s="34"/>
      <c r="CY10" s="34"/>
      <c r="CZ10" s="34"/>
      <c r="DA10" s="34"/>
      <c r="DB10" s="34"/>
      <c r="DC10" s="34"/>
    </row>
    <row r="11" spans="1:107" ht="12.75" thickBot="1">
      <c r="A11" s="7" t="s">
        <v>59</v>
      </c>
      <c r="B11" s="36">
        <f t="shared" ref="B11:W11" si="1">SUM(B4:B9)</f>
        <v>11.469999999999999</v>
      </c>
      <c r="C11" s="36">
        <f t="shared" si="1"/>
        <v>4.2959007361720429</v>
      </c>
      <c r="D11" s="36">
        <f t="shared" si="1"/>
        <v>3.337439274666667</v>
      </c>
      <c r="E11" s="36">
        <f t="shared" si="1"/>
        <v>6.2153189973333323</v>
      </c>
      <c r="F11" s="36">
        <f t="shared" si="1"/>
        <v>3.4790042879999996</v>
      </c>
      <c r="G11" s="36">
        <f t="shared" si="1"/>
        <v>5.2775192832000011</v>
      </c>
      <c r="H11" s="36">
        <f t="shared" si="1"/>
        <v>3.620569301333334</v>
      </c>
      <c r="I11" s="36">
        <f t="shared" si="1"/>
        <v>5.5393298901333345</v>
      </c>
      <c r="J11" s="36">
        <f t="shared" si="1"/>
        <v>4.3530180906666667</v>
      </c>
      <c r="K11" s="36">
        <f t="shared" si="1"/>
        <v>5.6365074218666678</v>
      </c>
      <c r="L11" s="36">
        <f t="shared" si="1"/>
        <v>2.9959264000000001</v>
      </c>
      <c r="M11" s="36">
        <f t="shared" si="1"/>
        <v>5.8126925120000008</v>
      </c>
      <c r="N11" s="36">
        <f t="shared" si="1"/>
        <v>3.0440556799999996</v>
      </c>
      <c r="O11" s="36">
        <f t="shared" si="1"/>
        <v>6.3550335040000006</v>
      </c>
      <c r="P11" s="36">
        <f t="shared" si="1"/>
        <v>3.4957743039999993</v>
      </c>
      <c r="Q11" s="36">
        <f t="shared" si="1"/>
        <v>6.5503053920000003</v>
      </c>
      <c r="R11" s="36">
        <f t="shared" si="1"/>
        <v>3.4565473600000001</v>
      </c>
      <c r="S11" s="36">
        <f t="shared" si="1"/>
        <v>6.5895418400000008</v>
      </c>
      <c r="T11" s="36">
        <f t="shared" si="1"/>
        <v>3.4578804159999996</v>
      </c>
      <c r="U11" s="36">
        <f t="shared" si="1"/>
        <v>6.8315846239999996</v>
      </c>
      <c r="V11" s="36">
        <f t="shared" si="1"/>
        <v>3.2366757119999998</v>
      </c>
      <c r="W11" s="36">
        <f t="shared" si="1"/>
        <v>6.9271149119999995</v>
      </c>
      <c r="X11" s="36">
        <f>SUM(X4:X10)</f>
        <v>3.51469824</v>
      </c>
      <c r="Y11" s="36">
        <f t="shared" ref="Y11:CJ11" si="2">SUM(Y4:Y10)</f>
        <v>7.0453855999999995</v>
      </c>
      <c r="Z11" s="36">
        <f t="shared" si="2"/>
        <v>3.5819622400000002</v>
      </c>
      <c r="AA11" s="36">
        <f t="shared" si="2"/>
        <v>121.03877680000001</v>
      </c>
      <c r="AB11" s="36">
        <f t="shared" si="2"/>
        <v>3.7505706666666665</v>
      </c>
      <c r="AC11" s="36">
        <f t="shared" si="2"/>
        <v>7.1572680533333344</v>
      </c>
      <c r="AD11" s="36">
        <f t="shared" si="2"/>
        <v>3.7783731199999999</v>
      </c>
      <c r="AE11" s="36">
        <f t="shared" si="2"/>
        <v>7.1271628799999993</v>
      </c>
      <c r="AF11" s="36">
        <f t="shared" si="2"/>
        <v>3.7218107733333339</v>
      </c>
      <c r="AG11" s="36">
        <f t="shared" si="2"/>
        <v>7.3569815466666659</v>
      </c>
      <c r="AH11" s="36">
        <f t="shared" si="2"/>
        <v>6.3971498666666662</v>
      </c>
      <c r="AI11" s="36">
        <f t="shared" si="2"/>
        <v>7.3789320319999998</v>
      </c>
      <c r="AJ11" s="36">
        <f t="shared" si="2"/>
        <v>4.7876633272000015</v>
      </c>
      <c r="AK11" s="36">
        <f t="shared" si="2"/>
        <v>8.8027332802240021</v>
      </c>
      <c r="AL11" s="36">
        <f t="shared" si="2"/>
        <v>4.8447462481600008</v>
      </c>
      <c r="AM11" s="36">
        <f t="shared" si="2"/>
        <v>8.9197532681920002</v>
      </c>
      <c r="AN11" s="36">
        <f t="shared" si="2"/>
        <v>5.0316928143040007</v>
      </c>
      <c r="AO11" s="36">
        <f t="shared" si="2"/>
        <v>8.9054825379519986</v>
      </c>
      <c r="AP11" s="36">
        <f t="shared" si="2"/>
        <v>5.0204869856960004</v>
      </c>
      <c r="AQ11" s="36">
        <f t="shared" si="2"/>
        <v>8.9504082482880012</v>
      </c>
      <c r="AR11" s="36">
        <f t="shared" si="2"/>
        <v>5.0794726706880011</v>
      </c>
      <c r="AS11" s="36">
        <f t="shared" si="2"/>
        <v>9.2674563051199996</v>
      </c>
      <c r="AT11" s="36">
        <f t="shared" si="2"/>
        <v>4.8673144811200011</v>
      </c>
      <c r="AU11" s="36">
        <f t="shared" si="2"/>
        <v>9.2498557378239994</v>
      </c>
      <c r="AV11" s="36">
        <f t="shared" si="2"/>
        <v>5.3699951309459202</v>
      </c>
      <c r="AW11" s="36">
        <f t="shared" si="2"/>
        <v>10.522508018649091</v>
      </c>
      <c r="AX11" s="36">
        <f t="shared" si="2"/>
        <v>5.4038988183136007</v>
      </c>
      <c r="AY11" s="36">
        <f t="shared" si="2"/>
        <v>10.592010577752834</v>
      </c>
      <c r="AZ11" s="36">
        <f t="shared" si="2"/>
        <v>5.6028004508706575</v>
      </c>
      <c r="BA11" s="36">
        <f t="shared" si="2"/>
        <v>10.49566759948301</v>
      </c>
      <c r="BB11" s="36">
        <f t="shared" si="2"/>
        <v>5.6378342611505934</v>
      </c>
      <c r="BC11" s="36">
        <f t="shared" si="2"/>
        <v>10.564040035674495</v>
      </c>
      <c r="BD11" s="36">
        <f t="shared" si="2"/>
        <v>5.6728680714305284</v>
      </c>
      <c r="BE11" s="36">
        <f t="shared" si="2"/>
        <v>10.884147350571013</v>
      </c>
      <c r="BF11" s="36">
        <f t="shared" si="2"/>
        <v>5.2027369399320325</v>
      </c>
      <c r="BG11" s="36">
        <f t="shared" si="2"/>
        <v>10.701632500241665</v>
      </c>
      <c r="BH11" s="36">
        <f t="shared" si="2"/>
        <v>5.5440923456424844</v>
      </c>
      <c r="BI11" s="36">
        <f t="shared" si="2"/>
        <v>11.101923815826268</v>
      </c>
      <c r="BJ11" s="36">
        <f t="shared" si="2"/>
        <v>5.561722263073678</v>
      </c>
      <c r="BK11" s="36">
        <f t="shared" si="2"/>
        <v>11.138065146560216</v>
      </c>
      <c r="BL11" s="36">
        <f t="shared" si="2"/>
        <v>5.7565328506883677</v>
      </c>
      <c r="BM11" s="36">
        <f t="shared" si="2"/>
        <v>10.996585059174887</v>
      </c>
      <c r="BN11" s="36">
        <f t="shared" si="2"/>
        <v>5.7747504320339331</v>
      </c>
      <c r="BO11" s="36">
        <f t="shared" si="2"/>
        <v>11.032138725994461</v>
      </c>
      <c r="BP11" s="36">
        <f t="shared" si="2"/>
        <v>5.7929680133795021</v>
      </c>
      <c r="BQ11" s="36">
        <f t="shared" si="2"/>
        <v>11.335667137768178</v>
      </c>
      <c r="BR11" s="36">
        <f t="shared" si="2"/>
        <v>5.274354608945222</v>
      </c>
      <c r="BS11" s="36">
        <f t="shared" si="2"/>
        <v>11.103686807569387</v>
      </c>
      <c r="BT11" s="36">
        <f t="shared" si="2"/>
        <v>6.1948022274881751</v>
      </c>
      <c r="BU11" s="36">
        <f t="shared" si="2"/>
        <v>12.437261466547334</v>
      </c>
      <c r="BV11" s="36">
        <f t="shared" si="2"/>
        <v>6.2142158777418199</v>
      </c>
      <c r="BW11" s="36">
        <f t="shared" si="2"/>
        <v>12.477059449567301</v>
      </c>
      <c r="BX11" s="36">
        <f t="shared" si="2"/>
        <v>6.4326194430953123</v>
      </c>
      <c r="BY11" s="36">
        <f t="shared" si="2"/>
        <v>12.317382176231082</v>
      </c>
      <c r="BZ11" s="36">
        <f t="shared" si="2"/>
        <v>6.4526802150240758</v>
      </c>
      <c r="CA11" s="36">
        <f t="shared" si="2"/>
        <v>12.356533037575931</v>
      </c>
      <c r="CB11" s="36">
        <f t="shared" si="2"/>
        <v>6.4727409869528429</v>
      </c>
      <c r="CC11" s="36">
        <f t="shared" si="2"/>
        <v>12.805063605141511</v>
      </c>
      <c r="CD11" s="36">
        <f t="shared" si="2"/>
        <v>5.9554274050583622</v>
      </c>
      <c r="CE11" s="36">
        <f t="shared" si="2"/>
        <v>12.576847869272223</v>
      </c>
      <c r="CF11" s="36">
        <f t="shared" si="2"/>
        <v>6.6263089801956774</v>
      </c>
      <c r="CG11" s="36">
        <f t="shared" si="2"/>
        <v>13.322634079291676</v>
      </c>
      <c r="CH11" s="36">
        <f t="shared" si="2"/>
        <v>6.6467339461834651</v>
      </c>
      <c r="CI11" s="36">
        <f t="shared" si="2"/>
        <v>13.364505259566638</v>
      </c>
      <c r="CJ11" s="36">
        <f t="shared" si="2"/>
        <v>6.8805998067436267</v>
      </c>
      <c r="CK11" s="36">
        <f t="shared" ref="CK11:DC11" si="3">SUM(CK4:CK10)</f>
        <v>13.192424921119532</v>
      </c>
      <c r="CL11" s="36">
        <f t="shared" si="3"/>
        <v>6.9017056049310064</v>
      </c>
      <c r="CM11" s="36">
        <f t="shared" si="3"/>
        <v>13.2336152691949</v>
      </c>
      <c r="CN11" s="36">
        <f t="shared" si="3"/>
        <v>6.9228114031183861</v>
      </c>
      <c r="CO11" s="36">
        <f t="shared" si="3"/>
        <v>13.597520079877308</v>
      </c>
      <c r="CP11" s="36">
        <f t="shared" si="3"/>
        <v>6.5129504189634595</v>
      </c>
      <c r="CQ11" s="36">
        <f t="shared" si="3"/>
        <v>13.424248285080912</v>
      </c>
      <c r="CR11" s="36">
        <f t="shared" si="3"/>
        <v>7.0082558441672962</v>
      </c>
      <c r="CS11" s="36">
        <f t="shared" si="3"/>
        <v>14.106258324379114</v>
      </c>
      <c r="CT11" s="36">
        <f t="shared" si="3"/>
        <v>7.0294978087945967</v>
      </c>
      <c r="CU11" s="36">
        <f t="shared" si="3"/>
        <v>14.149804351865075</v>
      </c>
      <c r="CV11" s="36">
        <f t="shared" si="3"/>
        <v>7.2769666967026243</v>
      </c>
      <c r="CW11" s="36">
        <f t="shared" si="3"/>
        <v>13.966592406954625</v>
      </c>
      <c r="CX11" s="36">
        <f t="shared" si="3"/>
        <v>0</v>
      </c>
      <c r="CY11" s="36">
        <f t="shared" si="3"/>
        <v>0</v>
      </c>
      <c r="CZ11" s="36">
        <f t="shared" si="3"/>
        <v>0</v>
      </c>
      <c r="DA11" s="36">
        <f t="shared" si="3"/>
        <v>0</v>
      </c>
      <c r="DB11" s="36">
        <f t="shared" si="3"/>
        <v>0</v>
      </c>
      <c r="DC11" s="36">
        <f t="shared" si="3"/>
        <v>0</v>
      </c>
    </row>
    <row r="12" spans="1:107" ht="12.75" thickTop="1">
      <c r="A12" s="22"/>
    </row>
    <row r="13" spans="1:107" s="31" customFormat="1">
      <c r="A13" s="37" t="s">
        <v>37</v>
      </c>
      <c r="B13" s="8">
        <f t="shared" ref="B13:AG13" si="4">B3</f>
        <v>44012</v>
      </c>
      <c r="C13" s="8">
        <f t="shared" si="4"/>
        <v>44043</v>
      </c>
      <c r="D13" s="8">
        <f t="shared" si="4"/>
        <v>44074</v>
      </c>
      <c r="E13" s="8">
        <f t="shared" si="4"/>
        <v>44104</v>
      </c>
      <c r="F13" s="8">
        <f t="shared" si="4"/>
        <v>44135</v>
      </c>
      <c r="G13" s="8">
        <f t="shared" si="4"/>
        <v>44165</v>
      </c>
      <c r="H13" s="8">
        <f t="shared" si="4"/>
        <v>44196</v>
      </c>
      <c r="I13" s="8">
        <f t="shared" si="4"/>
        <v>44227</v>
      </c>
      <c r="J13" s="8">
        <f t="shared" si="4"/>
        <v>44255</v>
      </c>
      <c r="K13" s="8">
        <f t="shared" si="4"/>
        <v>44286</v>
      </c>
      <c r="L13" s="8">
        <f t="shared" si="4"/>
        <v>44316</v>
      </c>
      <c r="M13" s="8">
        <f t="shared" si="4"/>
        <v>44347</v>
      </c>
      <c r="N13" s="8">
        <f t="shared" si="4"/>
        <v>44377</v>
      </c>
      <c r="O13" s="8">
        <f t="shared" si="4"/>
        <v>44408</v>
      </c>
      <c r="P13" s="8">
        <f t="shared" si="4"/>
        <v>44439</v>
      </c>
      <c r="Q13" s="8">
        <f t="shared" si="4"/>
        <v>44469</v>
      </c>
      <c r="R13" s="8">
        <f t="shared" si="4"/>
        <v>44500</v>
      </c>
      <c r="S13" s="8">
        <f t="shared" si="4"/>
        <v>44530</v>
      </c>
      <c r="T13" s="8">
        <f t="shared" si="4"/>
        <v>44561</v>
      </c>
      <c r="U13" s="8">
        <f t="shared" si="4"/>
        <v>44592</v>
      </c>
      <c r="V13" s="8">
        <f t="shared" si="4"/>
        <v>44620</v>
      </c>
      <c r="W13" s="8">
        <f t="shared" si="4"/>
        <v>44651</v>
      </c>
      <c r="X13" s="8">
        <f t="shared" si="4"/>
        <v>44681</v>
      </c>
      <c r="Y13" s="8">
        <f t="shared" si="4"/>
        <v>44712</v>
      </c>
      <c r="Z13" s="8">
        <f t="shared" si="4"/>
        <v>44742</v>
      </c>
      <c r="AA13" s="8">
        <f t="shared" si="4"/>
        <v>44773</v>
      </c>
      <c r="AB13" s="8">
        <f t="shared" si="4"/>
        <v>44804</v>
      </c>
      <c r="AC13" s="8">
        <f t="shared" si="4"/>
        <v>44834</v>
      </c>
      <c r="AD13" s="8">
        <f t="shared" si="4"/>
        <v>44865</v>
      </c>
      <c r="AE13" s="8">
        <f t="shared" si="4"/>
        <v>44895</v>
      </c>
      <c r="AF13" s="8">
        <f t="shared" si="4"/>
        <v>44926</v>
      </c>
      <c r="AG13" s="8">
        <f t="shared" si="4"/>
        <v>44957</v>
      </c>
      <c r="AH13" s="8">
        <f t="shared" ref="AH13:BM13" si="5">AH3</f>
        <v>44985</v>
      </c>
      <c r="AI13" s="8">
        <f t="shared" si="5"/>
        <v>45016</v>
      </c>
      <c r="AJ13" s="8">
        <f t="shared" si="5"/>
        <v>45046</v>
      </c>
      <c r="AK13" s="8">
        <f t="shared" si="5"/>
        <v>45077</v>
      </c>
      <c r="AL13" s="8">
        <f t="shared" si="5"/>
        <v>45107</v>
      </c>
      <c r="AM13" s="8">
        <f t="shared" si="5"/>
        <v>45138</v>
      </c>
      <c r="AN13" s="8">
        <f t="shared" si="5"/>
        <v>45169</v>
      </c>
      <c r="AO13" s="8">
        <f t="shared" si="5"/>
        <v>45199</v>
      </c>
      <c r="AP13" s="8">
        <f t="shared" si="5"/>
        <v>45230</v>
      </c>
      <c r="AQ13" s="8">
        <f t="shared" si="5"/>
        <v>45260</v>
      </c>
      <c r="AR13" s="8">
        <f t="shared" si="5"/>
        <v>45291</v>
      </c>
      <c r="AS13" s="8">
        <f t="shared" si="5"/>
        <v>45322</v>
      </c>
      <c r="AT13" s="8">
        <f t="shared" si="5"/>
        <v>45351</v>
      </c>
      <c r="AU13" s="8">
        <f t="shared" si="5"/>
        <v>45382</v>
      </c>
      <c r="AV13" s="8">
        <f t="shared" si="5"/>
        <v>45412</v>
      </c>
      <c r="AW13" s="8">
        <f t="shared" si="5"/>
        <v>45443</v>
      </c>
      <c r="AX13" s="8">
        <f t="shared" si="5"/>
        <v>45473</v>
      </c>
      <c r="AY13" s="8">
        <f t="shared" si="5"/>
        <v>45504</v>
      </c>
      <c r="AZ13" s="8">
        <f t="shared" si="5"/>
        <v>45535</v>
      </c>
      <c r="BA13" s="8">
        <f t="shared" si="5"/>
        <v>45565</v>
      </c>
      <c r="BB13" s="8">
        <f t="shared" si="5"/>
        <v>45596</v>
      </c>
      <c r="BC13" s="8">
        <f t="shared" si="5"/>
        <v>45626</v>
      </c>
      <c r="BD13" s="8">
        <f t="shared" si="5"/>
        <v>45657</v>
      </c>
      <c r="BE13" s="8">
        <f t="shared" si="5"/>
        <v>45688</v>
      </c>
      <c r="BF13" s="8">
        <f t="shared" si="5"/>
        <v>45716</v>
      </c>
      <c r="BG13" s="8">
        <f t="shared" si="5"/>
        <v>45747</v>
      </c>
      <c r="BH13" s="8">
        <f t="shared" si="5"/>
        <v>45777</v>
      </c>
      <c r="BI13" s="8">
        <f t="shared" si="5"/>
        <v>45808</v>
      </c>
      <c r="BJ13" s="8">
        <f t="shared" si="5"/>
        <v>45838</v>
      </c>
      <c r="BK13" s="8">
        <f t="shared" si="5"/>
        <v>45869</v>
      </c>
      <c r="BL13" s="8">
        <f t="shared" si="5"/>
        <v>45900</v>
      </c>
      <c r="BM13" s="8">
        <f t="shared" si="5"/>
        <v>45930</v>
      </c>
      <c r="BN13" s="8">
        <f t="shared" ref="BN13:CS13" si="6">BN3</f>
        <v>45961</v>
      </c>
      <c r="BO13" s="8">
        <f t="shared" si="6"/>
        <v>45991</v>
      </c>
      <c r="BP13" s="8">
        <f t="shared" si="6"/>
        <v>46022</v>
      </c>
      <c r="BQ13" s="8">
        <f t="shared" si="6"/>
        <v>46053</v>
      </c>
      <c r="BR13" s="8">
        <f t="shared" si="6"/>
        <v>46081</v>
      </c>
      <c r="BS13" s="8">
        <f t="shared" si="6"/>
        <v>46112</v>
      </c>
      <c r="BT13" s="8">
        <f t="shared" si="6"/>
        <v>46142</v>
      </c>
      <c r="BU13" s="8">
        <f t="shared" si="6"/>
        <v>46173</v>
      </c>
      <c r="BV13" s="8">
        <f t="shared" si="6"/>
        <v>46203</v>
      </c>
      <c r="BW13" s="8">
        <f t="shared" si="6"/>
        <v>46234</v>
      </c>
      <c r="BX13" s="8">
        <f t="shared" si="6"/>
        <v>46265</v>
      </c>
      <c r="BY13" s="8">
        <f t="shared" si="6"/>
        <v>46295</v>
      </c>
      <c r="BZ13" s="8">
        <f t="shared" si="6"/>
        <v>46326</v>
      </c>
      <c r="CA13" s="8">
        <f t="shared" si="6"/>
        <v>46356</v>
      </c>
      <c r="CB13" s="8">
        <f t="shared" si="6"/>
        <v>46387</v>
      </c>
      <c r="CC13" s="8">
        <f t="shared" si="6"/>
        <v>46418</v>
      </c>
      <c r="CD13" s="8">
        <f t="shared" si="6"/>
        <v>46446</v>
      </c>
      <c r="CE13" s="8">
        <f t="shared" si="6"/>
        <v>46477</v>
      </c>
      <c r="CF13" s="8">
        <f t="shared" si="6"/>
        <v>46507</v>
      </c>
      <c r="CG13" s="8">
        <f t="shared" si="6"/>
        <v>46538</v>
      </c>
      <c r="CH13" s="8">
        <f t="shared" si="6"/>
        <v>46568</v>
      </c>
      <c r="CI13" s="8">
        <f t="shared" si="6"/>
        <v>46599</v>
      </c>
      <c r="CJ13" s="8">
        <f t="shared" si="6"/>
        <v>46630</v>
      </c>
      <c r="CK13" s="8">
        <f t="shared" si="6"/>
        <v>46660</v>
      </c>
      <c r="CL13" s="8">
        <f t="shared" si="6"/>
        <v>46691</v>
      </c>
      <c r="CM13" s="8">
        <f t="shared" si="6"/>
        <v>46721</v>
      </c>
      <c r="CN13" s="8">
        <f t="shared" si="6"/>
        <v>46752</v>
      </c>
      <c r="CO13" s="8">
        <f t="shared" si="6"/>
        <v>46783</v>
      </c>
      <c r="CP13" s="8">
        <f t="shared" si="6"/>
        <v>46812</v>
      </c>
      <c r="CQ13" s="8">
        <f t="shared" si="6"/>
        <v>46843</v>
      </c>
      <c r="CR13" s="8">
        <f t="shared" si="6"/>
        <v>46873</v>
      </c>
      <c r="CS13" s="8">
        <f t="shared" si="6"/>
        <v>46904</v>
      </c>
      <c r="CT13" s="8">
        <f t="shared" ref="CT13:DC13" si="7">CT3</f>
        <v>46934</v>
      </c>
      <c r="CU13" s="8">
        <f t="shared" si="7"/>
        <v>46965</v>
      </c>
      <c r="CV13" s="8">
        <f t="shared" si="7"/>
        <v>46996</v>
      </c>
      <c r="CW13" s="8">
        <f t="shared" si="7"/>
        <v>47026</v>
      </c>
      <c r="CX13" s="8">
        <f t="shared" si="7"/>
        <v>47056</v>
      </c>
      <c r="CY13" s="8">
        <f t="shared" si="7"/>
        <v>47087</v>
      </c>
      <c r="CZ13" s="8">
        <f t="shared" si="7"/>
        <v>47117</v>
      </c>
      <c r="DA13" s="8">
        <f t="shared" si="7"/>
        <v>47148</v>
      </c>
      <c r="DB13" s="8">
        <f t="shared" si="7"/>
        <v>47177</v>
      </c>
      <c r="DC13" s="8">
        <f t="shared" si="7"/>
        <v>47207</v>
      </c>
    </row>
    <row r="14" spans="1:107">
      <c r="A14" s="25" t="s">
        <v>60</v>
      </c>
      <c r="B14" s="34">
        <v>4.12</v>
      </c>
      <c r="C14" s="34">
        <v>1.5</v>
      </c>
      <c r="D14" s="34">
        <v>1.3950143193151643</v>
      </c>
      <c r="E14" s="34">
        <v>1.5643367433668245</v>
      </c>
      <c r="F14" s="34">
        <v>1.653585711833631</v>
      </c>
      <c r="G14" s="34">
        <v>1.7846921401627989</v>
      </c>
      <c r="H14" s="34">
        <v>1.8468984372211161</v>
      </c>
      <c r="I14" s="34">
        <v>1.3191598037116206</v>
      </c>
      <c r="J14" s="34">
        <v>1.3228454975669468</v>
      </c>
      <c r="K14" s="34">
        <v>2.31270670504267</v>
      </c>
      <c r="L14" s="34">
        <f>Expenses!N7</f>
        <v>1.582192939699987</v>
      </c>
      <c r="M14" s="34">
        <f>Expenses!O7</f>
        <v>1.9577516264750594</v>
      </c>
      <c r="N14" s="34">
        <f>Expenses!P7</f>
        <v>1.7109017966416942</v>
      </c>
      <c r="O14" s="34">
        <f>Expenses!Q7</f>
        <v>1.5324065133206901</v>
      </c>
      <c r="P14" s="34">
        <f>Expenses!R7</f>
        <v>1.5170146524358483</v>
      </c>
      <c r="Q14" s="34">
        <f>Expenses!S7</f>
        <v>1.6902882947139868</v>
      </c>
      <c r="R14" s="34">
        <f>Expenses!T7+0.75</f>
        <v>2.4063875528849508</v>
      </c>
      <c r="S14" s="34">
        <f>Expenses!U7+0.75</f>
        <v>2.1409113236816268</v>
      </c>
      <c r="T14" s="34">
        <f>Expenses!V7+0.75</f>
        <v>2.4123402398399558</v>
      </c>
      <c r="U14" s="34">
        <f>Expenses!W7+0.75</f>
        <v>2.0777121900989446</v>
      </c>
      <c r="V14" s="34">
        <f>Expenses!X7+0.75</f>
        <v>2.0846115867164121</v>
      </c>
      <c r="W14" s="34">
        <f>Expenses!Y7+0.75</f>
        <v>2.0736256154060708</v>
      </c>
      <c r="X14" s="34">
        <f>Expenses!Z7</f>
        <v>1.8805417646439362</v>
      </c>
      <c r="Y14" s="34">
        <f>Expenses!AA7</f>
        <v>2.2561153323094092</v>
      </c>
      <c r="Z14" s="34">
        <f>Expenses!AB7</f>
        <v>2.0127280446330214</v>
      </c>
      <c r="AA14" s="34">
        <f>Expenses!AC7</f>
        <v>1.8307174872684493</v>
      </c>
      <c r="AB14" s="34">
        <f>Expenses!AD7</f>
        <v>1.8145528911845246</v>
      </c>
      <c r="AC14" s="34">
        <f>Expenses!AE7</f>
        <v>1.9919760803452502</v>
      </c>
      <c r="AD14" s="34">
        <f>Expenses!AF7</f>
        <v>2.0913729399978118</v>
      </c>
      <c r="AE14" s="34">
        <f>Expenses!AG7</f>
        <v>1.7308974067525926</v>
      </c>
      <c r="AF14" s="34">
        <f>Expenses!AH7</f>
        <v>2.0844528266631852</v>
      </c>
      <c r="AG14" s="34">
        <f>Expenses!AI7</f>
        <v>1.7495042040264051</v>
      </c>
      <c r="AH14" s="34">
        <f>Expenses!AJ7</f>
        <v>1.7566641275986679</v>
      </c>
      <c r="AI14" s="34">
        <f>Expenses!AK7</f>
        <v>1.7448232705305506</v>
      </c>
      <c r="AJ14" s="34">
        <f>Expenses!AL7</f>
        <v>1.8391451426450365</v>
      </c>
      <c r="AK14" s="34">
        <f>Expenses!AM7</f>
        <v>2.2147446334792757</v>
      </c>
      <c r="AL14" s="34">
        <f>Expenses!AN7</f>
        <v>1.9749688367876832</v>
      </c>
      <c r="AM14" s="34">
        <f>Expenses!AO7</f>
        <v>1.7893128416585393</v>
      </c>
      <c r="AN14" s="34">
        <f>Expenses!AP7</f>
        <v>1.7723550483079213</v>
      </c>
      <c r="AO14" s="34">
        <f>Expenses!AQ7</f>
        <v>1.9541194596669205</v>
      </c>
      <c r="AP14" s="34">
        <f>Expenses!AR7</f>
        <v>1.9728077924011729</v>
      </c>
      <c r="AQ14" s="34">
        <f>Expenses!AS7</f>
        <v>1.6856476225940762</v>
      </c>
      <c r="AR14" s="34">
        <f>Expenses!AT7</f>
        <v>2.0402602541500006</v>
      </c>
      <c r="AS14" s="34">
        <f>Expenses!AU7</f>
        <v>1.7049886835463064</v>
      </c>
      <c r="AT14" s="34">
        <f>Expenses!AV7</f>
        <v>1.7124300030983712</v>
      </c>
      <c r="AU14" s="34">
        <f>Expenses!AW7</f>
        <v>1.6997105128915397</v>
      </c>
      <c r="AV14" s="34">
        <f>Expenses!AX7</f>
        <v>1.7929505249691595</v>
      </c>
      <c r="AW14" s="34">
        <f>Expenses!AY7</f>
        <v>2.168577197488017</v>
      </c>
      <c r="AX14" s="34">
        <f>Expenses!AZ7</f>
        <v>1.9325575731135562</v>
      </c>
      <c r="AY14" s="34">
        <f>Expenses!BA7</f>
        <v>1.7431105445064787</v>
      </c>
      <c r="AZ14" s="34">
        <f>Expenses!BB7</f>
        <v>1.7253280479004318</v>
      </c>
      <c r="BA14" s="34">
        <f>Expenses!BC7</f>
        <v>1.9116243229527137</v>
      </c>
      <c r="BB14" s="34">
        <f>Expenses!BD7</f>
        <v>2.025364369484588</v>
      </c>
      <c r="BC14" s="34">
        <f>Expenses!BE7</f>
        <v>1.7267130078718274</v>
      </c>
      <c r="BD14" s="34">
        <f>Expenses!BF7</f>
        <v>2.0824253618640527</v>
      </c>
      <c r="BE14" s="34">
        <f>Expenses!BG7</f>
        <v>1.746818147806833</v>
      </c>
      <c r="BF14" s="34">
        <f>Expenses!BH7</f>
        <v>1.7545523417173139</v>
      </c>
      <c r="BG14" s="34">
        <f>Expenses!BI7</f>
        <v>1.7409192956934438</v>
      </c>
      <c r="BH14" s="34">
        <f>Expenses!BJ7</f>
        <v>1.836574852518067</v>
      </c>
      <c r="BI14" s="34">
        <f>Expenses!BK7</f>
        <v>2.212234933519774</v>
      </c>
      <c r="BJ14" s="34">
        <f>Expenses!BL7</f>
        <v>1.9801268679951338</v>
      </c>
      <c r="BK14" s="34">
        <f>Expenses!BM7</f>
        <v>1.5242423043206192</v>
      </c>
      <c r="BL14" s="34">
        <f>Expenses!BN7</f>
        <v>1.5056072561886085</v>
      </c>
      <c r="BM14" s="34">
        <f>Expenses!BO7</f>
        <v>1.6966402571121137</v>
      </c>
      <c r="BN14" s="34">
        <f>Expenses!BP7</f>
        <v>1.9229902583947105</v>
      </c>
      <c r="BO14" s="34">
        <f>Expenses!BQ7</f>
        <v>1.6123931974967038</v>
      </c>
      <c r="BP14" s="34">
        <f>Expenses!BR7</f>
        <v>1.9692544031272412</v>
      </c>
      <c r="BQ14" s="34">
        <f>Expenses!BS7</f>
        <v>1.6333032602952942</v>
      </c>
      <c r="BR14" s="34">
        <f>Expenses!BT7</f>
        <v>3.7623471840683154</v>
      </c>
      <c r="BS14" s="34">
        <f>Expenses!BU7</f>
        <v>1.8367691806378308</v>
      </c>
      <c r="BT14" s="34">
        <f>Expenses!BV7</f>
        <v>2.6174654919144205</v>
      </c>
      <c r="BU14" s="34">
        <f>Expenses!BW7</f>
        <v>3.2556603452761195</v>
      </c>
      <c r="BV14" s="34">
        <f>Expenses!BX7</f>
        <v>3.0276203286078616</v>
      </c>
      <c r="BW14" s="34">
        <f>Expenses!BY7</f>
        <v>2.8316107562310013</v>
      </c>
      <c r="BX14" s="34">
        <f>Expenses!BZ7</f>
        <v>2.8160790823954756</v>
      </c>
      <c r="BY14" s="34">
        <f>Expenses!CA7</f>
        <v>3.0132135986507209</v>
      </c>
      <c r="BZ14" s="34">
        <f>Expenses!CB7</f>
        <v>3.1411129809904033</v>
      </c>
      <c r="CA14" s="34">
        <f>Expenses!CC7</f>
        <v>2.8177774210692261</v>
      </c>
      <c r="CB14" s="34">
        <f>Expenses!CD7</f>
        <v>3.1732084607547328</v>
      </c>
      <c r="CC14" s="34">
        <f>Expenses!CE7</f>
        <v>2.7951117070892484</v>
      </c>
      <c r="CD14" s="34">
        <f>Expenses!CF7</f>
        <v>2.8034777785071867</v>
      </c>
      <c r="CE14" s="34">
        <f>Expenses!CG7</f>
        <v>2.7863642485813185</v>
      </c>
      <c r="CF14" s="34">
        <f>Expenses!CH7</f>
        <v>2.8872080712196446</v>
      </c>
      <c r="CG14" s="34">
        <f>Expenses!CI7</f>
        <v>3.262939116782452</v>
      </c>
      <c r="CH14" s="34">
        <f>Expenses!CJ7</f>
        <v>2.1975149885126806</v>
      </c>
      <c r="CI14" s="34">
        <f>Expenses!CK7</f>
        <v>1.9973915477532995</v>
      </c>
      <c r="CJ14" s="34">
        <f>Expenses!CL7</f>
        <v>1.9769478124961768</v>
      </c>
      <c r="CK14" s="34">
        <f>Expenses!CM7</f>
        <v>2.1764791443177391</v>
      </c>
      <c r="CL14" s="34">
        <f>Expenses!CN7</f>
        <v>2.3155894239910877</v>
      </c>
      <c r="CM14" s="34">
        <f>Expenses!CO7</f>
        <v>1.9796484547637769</v>
      </c>
      <c r="CN14" s="34">
        <f>Expenses!CP7</f>
        <v>2.3373322401885948</v>
      </c>
      <c r="CO14" s="34">
        <f>Expenses!CQ7</f>
        <v>2.002266417550739</v>
      </c>
      <c r="CP14" s="34">
        <f>Expenses!CR7</f>
        <v>2.0109675525698787</v>
      </c>
      <c r="CQ14" s="34">
        <f>Expenses!CS7</f>
        <v>1.9927699047640051</v>
      </c>
      <c r="CR14" s="34">
        <f>Expenses!CT7</f>
        <v>2.0964280463502916</v>
      </c>
      <c r="CS14" s="34">
        <f>Expenses!CU7</f>
        <v>2.2597967622299349</v>
      </c>
      <c r="CT14" s="34">
        <f>Expenses!CV7</f>
        <v>1.847608099928534</v>
      </c>
      <c r="CU14" s="34">
        <f>Expenses!CW7</f>
        <v>1.7316201552536308</v>
      </c>
      <c r="CV14" s="34">
        <f>Expenses!CX7</f>
        <v>1.7102175069276653</v>
      </c>
      <c r="CW14" s="34">
        <f>Expenses!CY7</f>
        <v>1.8296850189458369</v>
      </c>
      <c r="CX14" s="34">
        <v>0</v>
      </c>
      <c r="CY14" s="34">
        <v>0</v>
      </c>
      <c r="CZ14" s="34">
        <v>0</v>
      </c>
      <c r="DA14" s="34">
        <v>0</v>
      </c>
      <c r="DB14" s="34">
        <v>0</v>
      </c>
      <c r="DC14" s="34">
        <v>0</v>
      </c>
    </row>
    <row r="15" spans="1:107">
      <c r="A15" s="25" t="s">
        <v>61</v>
      </c>
      <c r="B15" s="34">
        <v>4.5999999999999996</v>
      </c>
      <c r="C15" s="34">
        <v>1.52</v>
      </c>
      <c r="D15" s="34">
        <v>1.4814600626445054</v>
      </c>
      <c r="E15" s="34">
        <v>1.4814692626445054</v>
      </c>
      <c r="F15" s="34">
        <v>1.4814783626445054</v>
      </c>
      <c r="G15" s="34">
        <v>1.4814875626445052</v>
      </c>
      <c r="H15" s="34">
        <v>1.4814968626445053</v>
      </c>
      <c r="I15" s="34">
        <v>1.4815059626445053</v>
      </c>
      <c r="J15" s="34">
        <v>1.4815149626445052</v>
      </c>
      <c r="K15" s="34">
        <v>1.4815240626445054</v>
      </c>
      <c r="L15" s="34">
        <v>1.7081552949629999</v>
      </c>
      <c r="M15" s="34">
        <v>1.7081645949629998</v>
      </c>
      <c r="N15" s="34">
        <v>1.7081731949629999</v>
      </c>
      <c r="O15" s="34">
        <v>1.7081824949629998</v>
      </c>
      <c r="P15" s="34">
        <v>1.782455776353</v>
      </c>
      <c r="Q15" s="34">
        <v>1.7824649763529998</v>
      </c>
      <c r="R15" s="34">
        <v>1.782474076353</v>
      </c>
      <c r="S15" s="34">
        <v>1.7824832763530001</v>
      </c>
      <c r="T15" s="34">
        <v>1.782492576353</v>
      </c>
      <c r="U15" s="34">
        <v>1.7825016763530002</v>
      </c>
      <c r="V15" s="34">
        <v>1.7825106763530001</v>
      </c>
      <c r="W15" s="34">
        <v>1.7825197763530003</v>
      </c>
      <c r="X15" s="34">
        <v>1.9063933836977101</v>
      </c>
      <c r="Y15" s="34">
        <v>1.9064026836977097</v>
      </c>
      <c r="Z15" s="34">
        <v>1.9064116836977099</v>
      </c>
      <c r="AA15" s="34">
        <v>1.9064209836977097</v>
      </c>
      <c r="AB15" s="34">
        <v>1.9064302836977098</v>
      </c>
      <c r="AC15" s="34">
        <v>1.9064392836977098</v>
      </c>
      <c r="AD15" s="34">
        <v>1.9064485836977099</v>
      </c>
      <c r="AE15" s="34">
        <v>1.9064575836977098</v>
      </c>
      <c r="AF15" s="34">
        <v>1.9064668836977099</v>
      </c>
      <c r="AG15" s="34">
        <v>1.90647618369771</v>
      </c>
      <c r="AH15" s="34">
        <v>1.90648458369771</v>
      </c>
      <c r="AI15" s="34">
        <v>1.9064938836977097</v>
      </c>
      <c r="AJ15" s="34">
        <v>2.0011523378825959</v>
      </c>
      <c r="AK15" s="34">
        <v>2.0011616378825958</v>
      </c>
      <c r="AL15" s="34">
        <v>2.0011706378825957</v>
      </c>
      <c r="AM15" s="34">
        <v>2.0011799378825961</v>
      </c>
      <c r="AN15" s="34">
        <v>2.001189237882596</v>
      </c>
      <c r="AO15" s="34">
        <v>2.0011982378825959</v>
      </c>
      <c r="AP15" s="34">
        <v>2.0012075378825958</v>
      </c>
      <c r="AQ15" s="34">
        <v>2.0012165378825957</v>
      </c>
      <c r="AR15" s="34">
        <v>2.001225837882596</v>
      </c>
      <c r="AS15" s="34">
        <v>2.0012351378825959</v>
      </c>
      <c r="AT15" s="34">
        <v>2.0012438378825959</v>
      </c>
      <c r="AU15" s="34">
        <v>2.0012531378825957</v>
      </c>
      <c r="AV15" s="34">
        <v>2.1006440647767257</v>
      </c>
      <c r="AW15" s="34">
        <v>2.1006533647767256</v>
      </c>
      <c r="AX15" s="34">
        <v>2.1006623647767255</v>
      </c>
      <c r="AY15" s="34">
        <v>2.1006716647767258</v>
      </c>
      <c r="AZ15" s="34">
        <v>2.1006809647767257</v>
      </c>
      <c r="BA15" s="34">
        <v>2.1006899647767256</v>
      </c>
      <c r="BB15" s="34">
        <v>2.100699264776726</v>
      </c>
      <c r="BC15" s="34">
        <v>2.1007082647767259</v>
      </c>
      <c r="BD15" s="34">
        <v>2.1007175647767258</v>
      </c>
      <c r="BE15" s="34">
        <v>2.1007268647767257</v>
      </c>
      <c r="BF15" s="34">
        <v>2.1007352647767261</v>
      </c>
      <c r="BG15" s="34">
        <v>2.1007445647767256</v>
      </c>
      <c r="BH15" s="34">
        <v>2.205104588015562</v>
      </c>
      <c r="BI15" s="34">
        <v>2.2051138880155619</v>
      </c>
      <c r="BJ15" s="34">
        <v>2.2051228880155618</v>
      </c>
      <c r="BK15" s="34">
        <v>2.2051321880155621</v>
      </c>
      <c r="BL15" s="34">
        <v>2.2051414880155615</v>
      </c>
      <c r="BM15" s="34">
        <v>2.2051504880155619</v>
      </c>
      <c r="BN15" s="34">
        <v>2.2051597880155618</v>
      </c>
      <c r="BO15" s="34">
        <v>2.2051687880155617</v>
      </c>
      <c r="BP15" s="34">
        <v>2.205178088015562</v>
      </c>
      <c r="BQ15" s="34">
        <v>2.2051873880155619</v>
      </c>
      <c r="BR15" s="34">
        <v>2.2051957880155619</v>
      </c>
      <c r="BS15" s="34">
        <v>2.2052050880155618</v>
      </c>
      <c r="BT15" s="34">
        <v>2.3147826624163406</v>
      </c>
      <c r="BU15" s="34">
        <v>2.3147919624163404</v>
      </c>
      <c r="BV15" s="34">
        <v>2.3148009624163404</v>
      </c>
      <c r="BW15" s="34">
        <v>2.3148102624163407</v>
      </c>
      <c r="BX15" s="34">
        <v>2.3148195624163406</v>
      </c>
      <c r="BY15" s="34">
        <v>2.3148285624163405</v>
      </c>
      <c r="BZ15" s="34">
        <v>2.3148378624163408</v>
      </c>
      <c r="CA15" s="34">
        <v>2.3148468624163403</v>
      </c>
      <c r="CB15" s="34">
        <v>2.3148561624163406</v>
      </c>
      <c r="CC15" s="34">
        <v>2.3148654624163405</v>
      </c>
      <c r="CD15" s="34">
        <v>2.3148738624163405</v>
      </c>
      <c r="CE15" s="34">
        <v>2.3148831624163404</v>
      </c>
      <c r="CF15" s="34">
        <v>2.4299391655371565</v>
      </c>
      <c r="CG15" s="34">
        <v>2.4299484655371568</v>
      </c>
      <c r="CH15" s="34">
        <v>2.4299574655371567</v>
      </c>
      <c r="CI15" s="34">
        <v>2.4299667655371566</v>
      </c>
      <c r="CJ15" s="34">
        <v>2.4299760655371565</v>
      </c>
      <c r="CK15" s="34">
        <v>2.4299850655371564</v>
      </c>
      <c r="CL15" s="34">
        <v>2.4299943655371568</v>
      </c>
      <c r="CM15" s="34">
        <v>2.4300033655371567</v>
      </c>
      <c r="CN15" s="34">
        <v>2.4300126655371566</v>
      </c>
      <c r="CO15" s="34">
        <v>2.4300219655371569</v>
      </c>
      <c r="CP15" s="34">
        <v>2.4300306655371564</v>
      </c>
      <c r="CQ15" s="34">
        <v>2.4300399655371567</v>
      </c>
      <c r="CR15" s="34">
        <v>2.5508483188140136</v>
      </c>
      <c r="CS15" s="34">
        <v>2.550857618814014</v>
      </c>
      <c r="CT15" s="34">
        <v>2.5508666188140139</v>
      </c>
      <c r="CU15" s="34">
        <v>2.5508759188140138</v>
      </c>
      <c r="CV15" s="34">
        <v>2.5508852188140141</v>
      </c>
      <c r="CW15" s="34">
        <v>2.550894218814014</v>
      </c>
      <c r="CX15" s="34">
        <v>0</v>
      </c>
      <c r="CY15" s="34">
        <v>0</v>
      </c>
      <c r="CZ15" s="34">
        <v>0</v>
      </c>
      <c r="DA15" s="34">
        <v>0</v>
      </c>
      <c r="DB15" s="34">
        <v>0</v>
      </c>
      <c r="DC15" s="34">
        <v>0</v>
      </c>
    </row>
    <row r="16" spans="1:107">
      <c r="A16" s="25" t="s">
        <v>108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34">
        <v>0</v>
      </c>
      <c r="H16" s="34">
        <v>0</v>
      </c>
      <c r="I16" s="34">
        <v>0</v>
      </c>
      <c r="J16" s="34">
        <v>0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v>0</v>
      </c>
      <c r="T16" s="34">
        <v>0</v>
      </c>
      <c r="U16" s="34">
        <v>0</v>
      </c>
      <c r="V16" s="34">
        <v>0</v>
      </c>
      <c r="W16" s="34">
        <v>0</v>
      </c>
      <c r="X16" s="34">
        <v>0</v>
      </c>
      <c r="Y16" s="34">
        <v>0</v>
      </c>
      <c r="Z16" s="34">
        <v>0</v>
      </c>
      <c r="AA16" s="34">
        <v>0</v>
      </c>
      <c r="AB16" s="34">
        <v>0</v>
      </c>
      <c r="AC16" s="34">
        <v>0</v>
      </c>
      <c r="AD16" s="34">
        <v>0</v>
      </c>
      <c r="AE16" s="34">
        <v>0</v>
      </c>
      <c r="AF16" s="34">
        <v>0</v>
      </c>
      <c r="AG16" s="34">
        <v>0</v>
      </c>
      <c r="AH16" s="34">
        <v>0</v>
      </c>
      <c r="AI16" s="34">
        <v>0</v>
      </c>
      <c r="AJ16" s="34">
        <f>AJ7</f>
        <v>0.89572830000000003</v>
      </c>
      <c r="AK16" s="34">
        <f t="shared" ref="AK16:CV16" si="8">AK7</f>
        <v>0.89572830000000003</v>
      </c>
      <c r="AL16" s="34">
        <f t="shared" si="8"/>
        <v>0.89572830000000003</v>
      </c>
      <c r="AM16" s="34">
        <f t="shared" si="8"/>
        <v>0.89572830000000003</v>
      </c>
      <c r="AN16" s="34">
        <f t="shared" si="8"/>
        <v>0.89572830000000003</v>
      </c>
      <c r="AO16" s="34">
        <f t="shared" si="8"/>
        <v>0.89572830000000003</v>
      </c>
      <c r="AP16" s="34">
        <f t="shared" si="8"/>
        <v>0.89572830000000003</v>
      </c>
      <c r="AQ16" s="34">
        <f t="shared" si="8"/>
        <v>0.89572830000000003</v>
      </c>
      <c r="AR16" s="34">
        <f t="shared" si="8"/>
        <v>0.89572830000000003</v>
      </c>
      <c r="AS16" s="34">
        <f t="shared" si="8"/>
        <v>0.89572830000000003</v>
      </c>
      <c r="AT16" s="34">
        <f t="shared" si="8"/>
        <v>0.89572830000000003</v>
      </c>
      <c r="AU16" s="34">
        <f t="shared" si="8"/>
        <v>0.89572830000000003</v>
      </c>
      <c r="AV16" s="34">
        <f t="shared" si="8"/>
        <v>0.44786415000000002</v>
      </c>
      <c r="AW16" s="34">
        <f t="shared" si="8"/>
        <v>0.44786415000000002</v>
      </c>
      <c r="AX16" s="34">
        <f t="shared" si="8"/>
        <v>0.44786415000000002</v>
      </c>
      <c r="AY16" s="34">
        <f t="shared" si="8"/>
        <v>0.44786415000000002</v>
      </c>
      <c r="AZ16" s="34">
        <f t="shared" si="8"/>
        <v>0.44786415000000002</v>
      </c>
      <c r="BA16" s="34">
        <f t="shared" si="8"/>
        <v>0.44786415000000002</v>
      </c>
      <c r="BB16" s="34">
        <f t="shared" si="8"/>
        <v>0.44786415000000002</v>
      </c>
      <c r="BC16" s="34">
        <f t="shared" si="8"/>
        <v>0.44786415000000002</v>
      </c>
      <c r="BD16" s="34">
        <f t="shared" si="8"/>
        <v>0.44786415000000002</v>
      </c>
      <c r="BE16" s="34">
        <f t="shared" si="8"/>
        <v>0.44786415000000002</v>
      </c>
      <c r="BF16" s="34">
        <f t="shared" si="8"/>
        <v>0.44786415000000002</v>
      </c>
      <c r="BG16" s="34">
        <f t="shared" si="8"/>
        <v>0.44786415000000002</v>
      </c>
      <c r="BH16" s="34">
        <f t="shared" si="8"/>
        <v>0.22393207500000001</v>
      </c>
      <c r="BI16" s="34">
        <f t="shared" si="8"/>
        <v>0.22393207500000001</v>
      </c>
      <c r="BJ16" s="34">
        <f t="shared" si="8"/>
        <v>0.22393207500000001</v>
      </c>
      <c r="BK16" s="34">
        <f t="shared" si="8"/>
        <v>0.22393207500000001</v>
      </c>
      <c r="BL16" s="34">
        <f t="shared" si="8"/>
        <v>0.22393207500000001</v>
      </c>
      <c r="BM16" s="34">
        <f t="shared" si="8"/>
        <v>0.22393207500000001</v>
      </c>
      <c r="BN16" s="34">
        <f t="shared" si="8"/>
        <v>0.22393207500000001</v>
      </c>
      <c r="BO16" s="34">
        <f t="shared" si="8"/>
        <v>0.22393207500000001</v>
      </c>
      <c r="BP16" s="34">
        <f t="shared" si="8"/>
        <v>0.22393207500000001</v>
      </c>
      <c r="BQ16" s="34">
        <f t="shared" si="8"/>
        <v>0.22393207500000001</v>
      </c>
      <c r="BR16" s="34">
        <f t="shared" si="8"/>
        <v>0.22393207500000001</v>
      </c>
      <c r="BS16" s="34">
        <f t="shared" si="8"/>
        <v>0.22393207500000001</v>
      </c>
      <c r="BT16" s="34">
        <f t="shared" si="8"/>
        <v>0.22393207500000001</v>
      </c>
      <c r="BU16" s="34">
        <f t="shared" si="8"/>
        <v>0.22393207500000001</v>
      </c>
      <c r="BV16" s="34">
        <f t="shared" si="8"/>
        <v>0.22393207500000001</v>
      </c>
      <c r="BW16" s="34">
        <f t="shared" si="8"/>
        <v>0.22393207500000001</v>
      </c>
      <c r="BX16" s="34">
        <f t="shared" si="8"/>
        <v>0.22393207500000001</v>
      </c>
      <c r="BY16" s="34">
        <f t="shared" si="8"/>
        <v>0.22393207500000001</v>
      </c>
      <c r="BZ16" s="34">
        <f t="shared" si="8"/>
        <v>0.22393207500000001</v>
      </c>
      <c r="CA16" s="34">
        <f t="shared" si="8"/>
        <v>0.22393207500000001</v>
      </c>
      <c r="CB16" s="34">
        <f t="shared" si="8"/>
        <v>0.22393207500000001</v>
      </c>
      <c r="CC16" s="34">
        <f t="shared" si="8"/>
        <v>0.22393207500000001</v>
      </c>
      <c r="CD16" s="34">
        <f t="shared" si="8"/>
        <v>0.22393207500000001</v>
      </c>
      <c r="CE16" s="34">
        <f t="shared" si="8"/>
        <v>0.22393207500000001</v>
      </c>
      <c r="CF16" s="34">
        <f t="shared" si="8"/>
        <v>0.22393207500000001</v>
      </c>
      <c r="CG16" s="34">
        <f t="shared" si="8"/>
        <v>0.22393207500000001</v>
      </c>
      <c r="CH16" s="34">
        <f t="shared" si="8"/>
        <v>0.22393207500000001</v>
      </c>
      <c r="CI16" s="34">
        <f t="shared" si="8"/>
        <v>0.22393207500000001</v>
      </c>
      <c r="CJ16" s="34">
        <f t="shared" si="8"/>
        <v>0.22393207500000001</v>
      </c>
      <c r="CK16" s="34">
        <f t="shared" si="8"/>
        <v>0.22393207500000001</v>
      </c>
      <c r="CL16" s="34">
        <f t="shared" si="8"/>
        <v>0.22393207500000001</v>
      </c>
      <c r="CM16" s="34">
        <f t="shared" si="8"/>
        <v>0.22393207500000001</v>
      </c>
      <c r="CN16" s="34">
        <f t="shared" si="8"/>
        <v>0.22393207500000001</v>
      </c>
      <c r="CO16" s="34">
        <f t="shared" si="8"/>
        <v>0.22393207500000001</v>
      </c>
      <c r="CP16" s="34">
        <f t="shared" si="8"/>
        <v>0.22393207500000001</v>
      </c>
      <c r="CQ16" s="34">
        <f t="shared" si="8"/>
        <v>0.22393207500000001</v>
      </c>
      <c r="CR16" s="34">
        <f t="shared" si="8"/>
        <v>0.22393207500000001</v>
      </c>
      <c r="CS16" s="34">
        <f t="shared" si="8"/>
        <v>0.22393207500000001</v>
      </c>
      <c r="CT16" s="34">
        <f t="shared" si="8"/>
        <v>0.22393207500000001</v>
      </c>
      <c r="CU16" s="34">
        <f t="shared" si="8"/>
        <v>0.22393207500000001</v>
      </c>
      <c r="CV16" s="34">
        <f t="shared" si="8"/>
        <v>0.22393207500000001</v>
      </c>
      <c r="CW16" s="34">
        <f>CW7</f>
        <v>0.22393207500000001</v>
      </c>
      <c r="CX16" s="34">
        <v>0</v>
      </c>
      <c r="CY16" s="34">
        <v>0</v>
      </c>
      <c r="CZ16" s="34">
        <v>0</v>
      </c>
      <c r="DA16" s="34">
        <v>0</v>
      </c>
      <c r="DB16" s="34">
        <v>0</v>
      </c>
      <c r="DC16" s="34">
        <v>0</v>
      </c>
    </row>
    <row r="17" spans="1:107" s="257" customFormat="1">
      <c r="A17" s="144" t="s">
        <v>630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>
        <f>5%*M4</f>
        <v>0.27319382560000005</v>
      </c>
      <c r="N17" s="34">
        <f t="shared" ref="N17:W17" si="9">5%*N4</f>
        <v>0.134761984</v>
      </c>
      <c r="O17" s="34">
        <f t="shared" si="9"/>
        <v>0.30031087520000005</v>
      </c>
      <c r="P17" s="34">
        <f t="shared" si="9"/>
        <v>0.15734791519999999</v>
      </c>
      <c r="Q17" s="34">
        <f t="shared" si="9"/>
        <v>0.31007446960000001</v>
      </c>
      <c r="R17" s="34">
        <f t="shared" si="9"/>
        <v>0.16147056800000001</v>
      </c>
      <c r="S17" s="34">
        <f t="shared" si="9"/>
        <v>0.31812029200000008</v>
      </c>
      <c r="T17" s="34">
        <f t="shared" si="9"/>
        <v>0.1655932208</v>
      </c>
      <c r="U17" s="34">
        <f t="shared" si="9"/>
        <v>0.3342784312</v>
      </c>
      <c r="V17" s="34">
        <f t="shared" si="9"/>
        <v>0.15453298560000001</v>
      </c>
      <c r="W17" s="34">
        <f t="shared" si="9"/>
        <v>0.33905494559999999</v>
      </c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>
        <f>AI4*5%</f>
        <v>0.35644314666666665</v>
      </c>
      <c r="AJ17" s="34">
        <f>AJ4*5%</f>
        <v>0.18537958400000004</v>
      </c>
      <c r="AK17" s="34">
        <f>AK4*5%</f>
        <v>0.38219673856000008</v>
      </c>
      <c r="AL17" s="34">
        <f t="shared" ref="AL17:CW17" si="10">AL4*5%</f>
        <v>0.18817776640000003</v>
      </c>
      <c r="AM17" s="34">
        <f t="shared" si="10"/>
        <v>0.38793301248000006</v>
      </c>
      <c r="AN17" s="34">
        <f t="shared" si="10"/>
        <v>0.19734181376000004</v>
      </c>
      <c r="AO17" s="34">
        <f t="shared" si="10"/>
        <v>0.38723346688000004</v>
      </c>
      <c r="AP17" s="34">
        <f t="shared" si="10"/>
        <v>0.20023326890666671</v>
      </c>
      <c r="AQ17" s="34">
        <f t="shared" si="10"/>
        <v>0.39287646805333348</v>
      </c>
      <c r="AR17" s="34">
        <f t="shared" si="10"/>
        <v>0.20312472405333337</v>
      </c>
      <c r="AS17" s="34">
        <f t="shared" si="10"/>
        <v>0.40841803946666677</v>
      </c>
      <c r="AT17" s="34">
        <f t="shared" si="10"/>
        <v>0.19272481280000003</v>
      </c>
      <c r="AU17" s="34">
        <f t="shared" si="10"/>
        <v>0.40755526656000002</v>
      </c>
      <c r="AV17" s="34">
        <f t="shared" si="10"/>
        <v>0.23932014612480002</v>
      </c>
      <c r="AW17" s="34">
        <f t="shared" si="10"/>
        <v>0.49189430728672018</v>
      </c>
      <c r="AX17" s="34">
        <f t="shared" si="10"/>
        <v>0.24098209158400002</v>
      </c>
      <c r="AY17" s="34">
        <f t="shared" si="10"/>
        <v>0.49530129547808022</v>
      </c>
      <c r="AZ17" s="34">
        <f t="shared" si="10"/>
        <v>0.25073217161130673</v>
      </c>
      <c r="BA17" s="34">
        <f t="shared" si="10"/>
        <v>0.49057860046485352</v>
      </c>
      <c r="BB17" s="34">
        <f t="shared" si="10"/>
        <v>0.25244951525248011</v>
      </c>
      <c r="BC17" s="34">
        <f t="shared" si="10"/>
        <v>0.49393019047424008</v>
      </c>
      <c r="BD17" s="34">
        <f t="shared" si="10"/>
        <v>0.25416685889365337</v>
      </c>
      <c r="BE17" s="34">
        <f t="shared" si="10"/>
        <v>0.50962172551818685</v>
      </c>
      <c r="BF17" s="34">
        <f t="shared" si="10"/>
        <v>0.2311212151927467</v>
      </c>
      <c r="BG17" s="34">
        <f t="shared" si="10"/>
        <v>0.50067491912949336</v>
      </c>
      <c r="BH17" s="34">
        <f t="shared" si="10"/>
        <v>0.25883138581580806</v>
      </c>
      <c r="BI17" s="34">
        <f t="shared" si="10"/>
        <v>0.53127410494246419</v>
      </c>
      <c r="BJ17" s="34">
        <f t="shared" si="10"/>
        <v>0.25969559745459203</v>
      </c>
      <c r="BK17" s="34">
        <f t="shared" si="10"/>
        <v>0.53304573880197148</v>
      </c>
      <c r="BL17" s="34">
        <f t="shared" si="10"/>
        <v>0.26924513606315531</v>
      </c>
      <c r="BM17" s="34">
        <f t="shared" si="10"/>
        <v>0.52611044040072974</v>
      </c>
      <c r="BN17" s="34">
        <f t="shared" si="10"/>
        <v>0.27013815475656539</v>
      </c>
      <c r="BO17" s="34">
        <f t="shared" si="10"/>
        <v>0.52785326720561088</v>
      </c>
      <c r="BP17" s="34">
        <f t="shared" si="10"/>
        <v>0.27103117344997557</v>
      </c>
      <c r="BQ17" s="34">
        <f t="shared" si="10"/>
        <v>0.54273211092000873</v>
      </c>
      <c r="BR17" s="34">
        <f t="shared" si="10"/>
        <v>0.24560894774241282</v>
      </c>
      <c r="BS17" s="34">
        <f t="shared" si="10"/>
        <v>0.53136052610634255</v>
      </c>
      <c r="BT17" s="34">
        <f t="shared" si="10"/>
        <v>0.29072892904353803</v>
      </c>
      <c r="BU17" s="34">
        <f t="shared" si="10"/>
        <v>0.59673183291898702</v>
      </c>
      <c r="BV17" s="34">
        <f t="shared" si="10"/>
        <v>0.29168057856577545</v>
      </c>
      <c r="BW17" s="34">
        <f t="shared" si="10"/>
        <v>0.59868271443957366</v>
      </c>
      <c r="BX17" s="34">
        <f t="shared" si="10"/>
        <v>0.30238663569094665</v>
      </c>
      <c r="BY17" s="34">
        <f t="shared" si="10"/>
        <v>0.59085539711917068</v>
      </c>
      <c r="BZ17" s="34">
        <f t="shared" si="10"/>
        <v>0.30337000686392535</v>
      </c>
      <c r="CA17" s="34">
        <f t="shared" si="10"/>
        <v>0.59277455698901627</v>
      </c>
      <c r="CB17" s="34">
        <f t="shared" si="10"/>
        <v>0.3043533780369041</v>
      </c>
      <c r="CC17" s="34">
        <f t="shared" si="10"/>
        <v>0.61476134951674077</v>
      </c>
      <c r="CD17" s="34">
        <f t="shared" si="10"/>
        <v>0.27899486912050797</v>
      </c>
      <c r="CE17" s="34">
        <f t="shared" si="10"/>
        <v>0.60357430364079523</v>
      </c>
      <c r="CF17" s="34">
        <f t="shared" si="10"/>
        <v>0.31188122084292536</v>
      </c>
      <c r="CG17" s="34">
        <f t="shared" si="10"/>
        <v>0.64013245119076856</v>
      </c>
      <c r="CH17" s="34">
        <f t="shared" si="10"/>
        <v>0.31288244466585613</v>
      </c>
      <c r="CI17" s="34">
        <f t="shared" si="10"/>
        <v>0.64218496002777636</v>
      </c>
      <c r="CJ17" s="34">
        <f t="shared" si="10"/>
        <v>0.32434645743841312</v>
      </c>
      <c r="CK17" s="34">
        <f t="shared" si="10"/>
        <v>0.633749649319585</v>
      </c>
      <c r="CL17" s="34">
        <f t="shared" si="10"/>
        <v>0.32538105538877482</v>
      </c>
      <c r="CM17" s="34">
        <f t="shared" si="10"/>
        <v>0.63576878402916182</v>
      </c>
      <c r="CN17" s="34">
        <f t="shared" si="10"/>
        <v>0.32641565333913658</v>
      </c>
      <c r="CO17" s="34">
        <f t="shared" si="10"/>
        <v>0.65360725514104456</v>
      </c>
      <c r="CP17" s="34">
        <f t="shared" si="10"/>
        <v>0.30632442862565978</v>
      </c>
      <c r="CQ17" s="34">
        <f t="shared" si="10"/>
        <v>0.64511353970984864</v>
      </c>
      <c r="CR17" s="34">
        <f t="shared" si="10"/>
        <v>0.33060410633173021</v>
      </c>
      <c r="CS17" s="34">
        <f t="shared" si="10"/>
        <v>0.67854540438132915</v>
      </c>
      <c r="CT17" s="34">
        <f t="shared" si="10"/>
        <v>0.33164537910757824</v>
      </c>
      <c r="CU17" s="34">
        <f t="shared" si="10"/>
        <v>0.68068001357181751</v>
      </c>
      <c r="CV17" s="34">
        <f t="shared" si="10"/>
        <v>0.34377620694620709</v>
      </c>
      <c r="CW17" s="34">
        <f t="shared" si="10"/>
        <v>0.6716990358801288</v>
      </c>
      <c r="CX17" s="34">
        <v>0</v>
      </c>
      <c r="CY17" s="34">
        <v>0</v>
      </c>
      <c r="CZ17" s="34">
        <v>0</v>
      </c>
      <c r="DA17" s="34">
        <v>0</v>
      </c>
      <c r="DB17" s="34">
        <v>0</v>
      </c>
      <c r="DC17" s="34">
        <v>0</v>
      </c>
    </row>
    <row r="18" spans="1:107">
      <c r="A18" s="25" t="s">
        <v>109</v>
      </c>
      <c r="B18" s="34">
        <f>B11*2.5%</f>
        <v>0.28675</v>
      </c>
      <c r="C18" s="34">
        <f>C11*2.5%</f>
        <v>0.10739751840430108</v>
      </c>
      <c r="D18" s="34">
        <f>D11*5.5%</f>
        <v>0.18355916010666667</v>
      </c>
      <c r="E18" s="34">
        <f t="shared" ref="E18:W18" si="11">E11*5.5%</f>
        <v>0.34184254485333326</v>
      </c>
      <c r="F18" s="34">
        <f t="shared" si="11"/>
        <v>0.19134523583999999</v>
      </c>
      <c r="G18" s="34">
        <f t="shared" si="11"/>
        <v>0.29026356057600006</v>
      </c>
      <c r="H18" s="34">
        <f t="shared" si="11"/>
        <v>0.19913131157333336</v>
      </c>
      <c r="I18" s="34">
        <f t="shared" si="11"/>
        <v>0.3046631439573334</v>
      </c>
      <c r="J18" s="34">
        <f t="shared" si="11"/>
        <v>0.23941599498666666</v>
      </c>
      <c r="K18" s="34">
        <f t="shared" si="11"/>
        <v>0.31000790820266672</v>
      </c>
      <c r="L18" s="34">
        <f t="shared" si="11"/>
        <v>0.164775952</v>
      </c>
      <c r="M18" s="34">
        <f t="shared" si="11"/>
        <v>0.31969808816000006</v>
      </c>
      <c r="N18" s="34">
        <f t="shared" si="11"/>
        <v>0.16742306239999999</v>
      </c>
      <c r="O18" s="34">
        <f t="shared" si="11"/>
        <v>0.34952684272000001</v>
      </c>
      <c r="P18" s="34">
        <f t="shared" si="11"/>
        <v>0.19226758671999997</v>
      </c>
      <c r="Q18" s="34">
        <f t="shared" si="11"/>
        <v>0.36026679655999999</v>
      </c>
      <c r="R18" s="34">
        <f t="shared" si="11"/>
        <v>0.19011010480000001</v>
      </c>
      <c r="S18" s="34">
        <f t="shared" si="11"/>
        <v>0.36242480120000004</v>
      </c>
      <c r="T18" s="34">
        <f t="shared" si="11"/>
        <v>0.19018342287999998</v>
      </c>
      <c r="U18" s="34">
        <f t="shared" si="11"/>
        <v>0.37573715431999999</v>
      </c>
      <c r="V18" s="34">
        <f t="shared" si="11"/>
        <v>0.17801716415999999</v>
      </c>
      <c r="W18" s="34">
        <f t="shared" si="11"/>
        <v>0.38099132015999998</v>
      </c>
      <c r="X18" s="34">
        <f>X11*6%</f>
        <v>0.21088189439999999</v>
      </c>
      <c r="Y18" s="34">
        <f>Y11*6%</f>
        <v>0.42272313599999994</v>
      </c>
      <c r="Z18" s="34">
        <f>(Z11-Z10)*6%</f>
        <v>0.2149177344</v>
      </c>
      <c r="AA18" s="34">
        <f t="shared" ref="AA18:CL18" si="12">(AA11-AA10)*6%</f>
        <v>0.43099660800000006</v>
      </c>
      <c r="AB18" s="34">
        <f t="shared" si="12"/>
        <v>0.22503423999999997</v>
      </c>
      <c r="AC18" s="34">
        <f t="shared" si="12"/>
        <v>0.42943608320000004</v>
      </c>
      <c r="AD18" s="34">
        <f t="shared" si="12"/>
        <v>0.22670238719999999</v>
      </c>
      <c r="AE18" s="34">
        <f t="shared" si="12"/>
        <v>0.42762977279999992</v>
      </c>
      <c r="AF18" s="34">
        <f t="shared" si="12"/>
        <v>0.22330864640000003</v>
      </c>
      <c r="AG18" s="34">
        <f t="shared" si="12"/>
        <v>0.44141889279999996</v>
      </c>
      <c r="AH18" s="34">
        <f t="shared" si="12"/>
        <v>0.38382899199999998</v>
      </c>
      <c r="AI18" s="34">
        <f t="shared" si="12"/>
        <v>0.44273592192</v>
      </c>
      <c r="AJ18" s="34">
        <f t="shared" si="12"/>
        <v>0.2872597996320001</v>
      </c>
      <c r="AK18" s="34">
        <f t="shared" si="12"/>
        <v>0.52816399681344006</v>
      </c>
      <c r="AL18" s="34">
        <f t="shared" si="12"/>
        <v>0.29068477488960004</v>
      </c>
      <c r="AM18" s="34">
        <f t="shared" si="12"/>
        <v>0.53518519609152004</v>
      </c>
      <c r="AN18" s="34">
        <f t="shared" si="12"/>
        <v>0.30190156885824004</v>
      </c>
      <c r="AO18" s="34">
        <f t="shared" si="12"/>
        <v>0.53432895227711985</v>
      </c>
      <c r="AP18" s="34">
        <f t="shared" si="12"/>
        <v>0.30122921914175999</v>
      </c>
      <c r="AQ18" s="34">
        <f t="shared" si="12"/>
        <v>0.5370244948972801</v>
      </c>
      <c r="AR18" s="34">
        <f t="shared" si="12"/>
        <v>0.30476836024128007</v>
      </c>
      <c r="AS18" s="34">
        <f t="shared" si="12"/>
        <v>0.55604737830719997</v>
      </c>
      <c r="AT18" s="34">
        <f t="shared" si="12"/>
        <v>0.29203886886720004</v>
      </c>
      <c r="AU18" s="34">
        <f t="shared" si="12"/>
        <v>0.55499134426943997</v>
      </c>
      <c r="AV18" s="34">
        <f t="shared" si="12"/>
        <v>0.32219970785675522</v>
      </c>
      <c r="AW18" s="34">
        <f t="shared" si="12"/>
        <v>0.63135048111894543</v>
      </c>
      <c r="AX18" s="34">
        <f t="shared" si="12"/>
        <v>0.32423392909881604</v>
      </c>
      <c r="AY18" s="34">
        <f t="shared" si="12"/>
        <v>0.63552063466517006</v>
      </c>
      <c r="AZ18" s="34">
        <f t="shared" si="12"/>
        <v>0.33616802705223942</v>
      </c>
      <c r="BA18" s="34">
        <f t="shared" si="12"/>
        <v>0.62974005596898053</v>
      </c>
      <c r="BB18" s="34">
        <f t="shared" si="12"/>
        <v>0.33827005566903556</v>
      </c>
      <c r="BC18" s="34">
        <f t="shared" si="12"/>
        <v>0.63384240214046972</v>
      </c>
      <c r="BD18" s="34">
        <f t="shared" si="12"/>
        <v>0.34037208428583171</v>
      </c>
      <c r="BE18" s="34">
        <f t="shared" si="12"/>
        <v>0.65304884103426075</v>
      </c>
      <c r="BF18" s="34">
        <f t="shared" si="12"/>
        <v>0.31216421639592196</v>
      </c>
      <c r="BG18" s="34">
        <f t="shared" si="12"/>
        <v>0.64209795001449987</v>
      </c>
      <c r="BH18" s="34">
        <f t="shared" si="12"/>
        <v>0.33264554073854907</v>
      </c>
      <c r="BI18" s="34">
        <f t="shared" si="12"/>
        <v>0.66611542894957609</v>
      </c>
      <c r="BJ18" s="34">
        <f t="shared" si="12"/>
        <v>0.33370333578442068</v>
      </c>
      <c r="BK18" s="34">
        <f t="shared" si="12"/>
        <v>0.66828390879361288</v>
      </c>
      <c r="BL18" s="34">
        <f t="shared" si="12"/>
        <v>0.34539197104130204</v>
      </c>
      <c r="BM18" s="34">
        <f t="shared" si="12"/>
        <v>0.6597951035504932</v>
      </c>
      <c r="BN18" s="34">
        <f t="shared" si="12"/>
        <v>0.34648502592203595</v>
      </c>
      <c r="BO18" s="34">
        <f t="shared" si="12"/>
        <v>0.66192832355966758</v>
      </c>
      <c r="BP18" s="34">
        <f t="shared" si="12"/>
        <v>0.34757808080277008</v>
      </c>
      <c r="BQ18" s="34">
        <f t="shared" si="12"/>
        <v>0.68014002826609066</v>
      </c>
      <c r="BR18" s="34">
        <f t="shared" si="12"/>
        <v>0.3164612765367133</v>
      </c>
      <c r="BS18" s="34">
        <f t="shared" si="12"/>
        <v>0.66622120845416322</v>
      </c>
      <c r="BT18" s="34">
        <f t="shared" si="12"/>
        <v>0.37168813364929049</v>
      </c>
      <c r="BU18" s="34">
        <f t="shared" si="12"/>
        <v>0.74623568799284001</v>
      </c>
      <c r="BV18" s="34">
        <f t="shared" si="12"/>
        <v>0.37285295266450919</v>
      </c>
      <c r="BW18" s="34">
        <f t="shared" si="12"/>
        <v>0.74862356697403809</v>
      </c>
      <c r="BX18" s="34">
        <f t="shared" si="12"/>
        <v>0.38595716658571871</v>
      </c>
      <c r="BY18" s="34">
        <f t="shared" si="12"/>
        <v>0.73904293057386483</v>
      </c>
      <c r="BZ18" s="34">
        <f t="shared" si="12"/>
        <v>0.38716081290144455</v>
      </c>
      <c r="CA18" s="34">
        <f t="shared" si="12"/>
        <v>0.74139198225455583</v>
      </c>
      <c r="CB18" s="34">
        <f t="shared" si="12"/>
        <v>0.38836445921717055</v>
      </c>
      <c r="CC18" s="34">
        <f t="shared" si="12"/>
        <v>0.76830381630849065</v>
      </c>
      <c r="CD18" s="34">
        <f t="shared" si="12"/>
        <v>0.35732564430350172</v>
      </c>
      <c r="CE18" s="34">
        <f t="shared" si="12"/>
        <v>0.75461087215633338</v>
      </c>
      <c r="CF18" s="34">
        <f t="shared" si="12"/>
        <v>0.3975785388117406</v>
      </c>
      <c r="CG18" s="34">
        <f t="shared" si="12"/>
        <v>0.7993580447575005</v>
      </c>
      <c r="CH18" s="34">
        <f t="shared" si="12"/>
        <v>0.3988040367710079</v>
      </c>
      <c r="CI18" s="34">
        <f t="shared" si="12"/>
        <v>0.80187031557399824</v>
      </c>
      <c r="CJ18" s="34">
        <f t="shared" si="12"/>
        <v>0.4128359884046176</v>
      </c>
      <c r="CK18" s="34">
        <f t="shared" si="12"/>
        <v>0.79154549526717188</v>
      </c>
      <c r="CL18" s="34">
        <f t="shared" si="12"/>
        <v>0.41410233629586035</v>
      </c>
      <c r="CM18" s="34">
        <f t="shared" ref="CM18:CW18" si="13">(CM11-CM10)*6%</f>
        <v>0.7940169161516939</v>
      </c>
      <c r="CN18" s="34">
        <f t="shared" si="13"/>
        <v>0.41536868418710315</v>
      </c>
      <c r="CO18" s="34">
        <f t="shared" si="13"/>
        <v>0.8158512047926384</v>
      </c>
      <c r="CP18" s="34">
        <f t="shared" si="13"/>
        <v>0.39077702513780754</v>
      </c>
      <c r="CQ18" s="34">
        <f t="shared" si="13"/>
        <v>0.80545489710485474</v>
      </c>
      <c r="CR18" s="34">
        <f t="shared" si="13"/>
        <v>0.42049535065003774</v>
      </c>
      <c r="CS18" s="34">
        <f t="shared" si="13"/>
        <v>0.84637549946274682</v>
      </c>
      <c r="CT18" s="34">
        <f t="shared" si="13"/>
        <v>0.42176986852767578</v>
      </c>
      <c r="CU18" s="34">
        <f t="shared" si="13"/>
        <v>0.84898826111190451</v>
      </c>
      <c r="CV18" s="34">
        <f t="shared" si="13"/>
        <v>0.43661800180215743</v>
      </c>
      <c r="CW18" s="34">
        <f t="shared" si="13"/>
        <v>0.83799554441727742</v>
      </c>
      <c r="CX18" s="34">
        <v>0</v>
      </c>
      <c r="CY18" s="34">
        <v>0</v>
      </c>
      <c r="CZ18" s="34">
        <v>0</v>
      </c>
      <c r="DA18" s="34">
        <v>0</v>
      </c>
      <c r="DB18" s="34">
        <v>0</v>
      </c>
      <c r="DC18" s="34">
        <v>0</v>
      </c>
    </row>
    <row r="19" spans="1:107">
      <c r="A19" s="25" t="s">
        <v>110</v>
      </c>
      <c r="B19" s="34">
        <f>0.2</f>
        <v>0.2</v>
      </c>
      <c r="C19" s="34">
        <f>0.07</f>
        <v>7.0000000000000007E-2</v>
      </c>
      <c r="D19" s="34">
        <f t="shared" ref="D19:L19" si="14">SUM(D33:D34)*2%</f>
        <v>0</v>
      </c>
      <c r="E19" s="34">
        <f t="shared" si="14"/>
        <v>0</v>
      </c>
      <c r="F19" s="34">
        <f t="shared" si="14"/>
        <v>0</v>
      </c>
      <c r="G19" s="34">
        <f t="shared" si="14"/>
        <v>0</v>
      </c>
      <c r="H19" s="34">
        <f t="shared" si="14"/>
        <v>0</v>
      </c>
      <c r="I19" s="34">
        <f t="shared" si="14"/>
        <v>0</v>
      </c>
      <c r="J19" s="34">
        <f t="shared" si="14"/>
        <v>0</v>
      </c>
      <c r="K19" s="34">
        <f t="shared" si="14"/>
        <v>0</v>
      </c>
      <c r="L19" s="34">
        <f t="shared" si="14"/>
        <v>0</v>
      </c>
      <c r="M19" s="34">
        <f>SUM(M33:M34)*2%</f>
        <v>0</v>
      </c>
      <c r="N19" s="34">
        <f>SUM(N33:N34)*2%</f>
        <v>0</v>
      </c>
      <c r="O19" s="34">
        <f>SUM(O33:O34)*2%</f>
        <v>0</v>
      </c>
      <c r="P19" s="34">
        <f>SUM(P33:P34)*2%</f>
        <v>0</v>
      </c>
      <c r="Q19" s="34">
        <f>SUM(Q33:Q34)*2.5%</f>
        <v>6.6750000000000004E-2</v>
      </c>
      <c r="R19" s="34">
        <f t="shared" ref="R19:W19" si="15">SUM(R33:R34)*2.5%</f>
        <v>4.2500000000000003E-3</v>
      </c>
      <c r="S19" s="34">
        <f t="shared" si="15"/>
        <v>2.9803999999999997E-2</v>
      </c>
      <c r="T19" s="34">
        <f t="shared" si="15"/>
        <v>0.21444034084134886</v>
      </c>
      <c r="U19" s="34">
        <f t="shared" si="15"/>
        <v>0.25318242030010002</v>
      </c>
      <c r="V19" s="34">
        <f t="shared" si="15"/>
        <v>0.3262540525225</v>
      </c>
      <c r="W19" s="34">
        <f t="shared" si="15"/>
        <v>0.26735271359230012</v>
      </c>
      <c r="X19" s="34">
        <v>0</v>
      </c>
      <c r="Y19" s="34">
        <v>0</v>
      </c>
      <c r="Z19" s="34">
        <v>0</v>
      </c>
      <c r="AA19" s="34">
        <f>'CF Capex'!P13*2.5%</f>
        <v>6.6750000000000004E-2</v>
      </c>
      <c r="AB19" s="34">
        <f>'CF Capex'!Q13*2.5%</f>
        <v>1.2542500000000001</v>
      </c>
      <c r="AC19" s="34">
        <f>'CF Capex'!R13*2.5%</f>
        <v>2.9803999999999997E-2</v>
      </c>
      <c r="AD19" s="34">
        <f>'CF Capex'!S13*2.5%</f>
        <v>0.21444034084134886</v>
      </c>
      <c r="AE19" s="34">
        <f>'CF Capex'!T13*2.5%</f>
        <v>0.25318242030010002</v>
      </c>
      <c r="AF19" s="34">
        <f>'CF Capex'!U13*2.5%</f>
        <v>0.3262540525225</v>
      </c>
      <c r="AG19" s="34">
        <f>'CF Capex'!V13*2.5%</f>
        <v>0.26735271359230012</v>
      </c>
      <c r="AH19" s="34">
        <f>'CF Capex'!W13*2.5%</f>
        <v>0.25528973147369999</v>
      </c>
      <c r="AI19" s="34">
        <f>'CF Capex'!X13*2.5%</f>
        <v>0.25143685436672669</v>
      </c>
      <c r="AJ19" s="34">
        <f>'CF Capex'!Y13*2.5%</f>
        <v>9.9330817813200009E-2</v>
      </c>
      <c r="AK19" s="34">
        <f>'CF Capex'!Z13*2.5%</f>
        <v>0.12078380682193759</v>
      </c>
      <c r="AL19" s="34">
        <f>'CF Capex'!AA13*2.5%</f>
        <v>7.543490312880001E-2</v>
      </c>
      <c r="AM19" s="34">
        <f>'CF Capex'!AB13*2.5%</f>
        <v>9.6167456279772801E-2</v>
      </c>
      <c r="AN19" s="34">
        <f>'CF Capex'!AC13*2.5%</f>
        <v>7.2767100000000001E-2</v>
      </c>
      <c r="AO19" s="34">
        <f>'CF Capex'!AD13*2.5%</f>
        <v>0.45067356000000003</v>
      </c>
      <c r="AP19" s="34">
        <f>'CF Capex'!AE13*2.5%</f>
        <v>2.7195037500000005E-2</v>
      </c>
      <c r="AQ19" s="34">
        <f>'CF Capex'!AF13*2.5%</f>
        <v>2.0241450000000001E-2</v>
      </c>
      <c r="AR19" s="34">
        <f>'CF Capex'!AG13*2.5%</f>
        <v>7.1164906825000013E-2</v>
      </c>
      <c r="AS19" s="34">
        <f>'CF Capex'!AH13*2%</f>
        <v>0</v>
      </c>
      <c r="AT19" s="34">
        <f>'CF Capex'!AI13*2%</f>
        <v>0</v>
      </c>
      <c r="AU19" s="34">
        <f>'CF Capex'!AJ13*2%</f>
        <v>0</v>
      </c>
      <c r="AV19" s="34">
        <f>'CF Capex'!AK13*2%</f>
        <v>0</v>
      </c>
      <c r="AW19" s="34">
        <f>'CF Capex'!AL13*2%</f>
        <v>0</v>
      </c>
      <c r="AX19" s="34">
        <f>'CF Capex'!AM13*2%</f>
        <v>0</v>
      </c>
      <c r="AY19" s="34">
        <f>'CF Capex'!AN13*2%</f>
        <v>0</v>
      </c>
      <c r="AZ19" s="34">
        <f>'CF Capex'!AO13*2%</f>
        <v>0</v>
      </c>
      <c r="BA19" s="34">
        <f>'CF Capex'!AP13*2%</f>
        <v>0</v>
      </c>
      <c r="BB19" s="34">
        <f>'CF Capex'!AQ13*2%</f>
        <v>0</v>
      </c>
      <c r="BC19" s="34">
        <f>'CF Capex'!AR13*2%</f>
        <v>0</v>
      </c>
      <c r="BD19" s="34">
        <f>'CF Capex'!AS13*2%</f>
        <v>0</v>
      </c>
      <c r="BE19" s="34">
        <f>'CF Capex'!AT13*2%</f>
        <v>0</v>
      </c>
      <c r="BF19" s="34">
        <f>'CF Capex'!AU13*2%</f>
        <v>0</v>
      </c>
      <c r="BG19" s="34">
        <f>'CF Capex'!AV13*2%</f>
        <v>0</v>
      </c>
      <c r="BH19" s="34">
        <f>'CF Capex'!AW13*2%</f>
        <v>0</v>
      </c>
      <c r="BI19" s="34">
        <f>'CF Capex'!AX13*2%</f>
        <v>0</v>
      </c>
      <c r="BJ19" s="34">
        <f>'CF Capex'!AY13*2%</f>
        <v>0</v>
      </c>
      <c r="BK19" s="34">
        <f>'CF Capex'!AZ13*2%</f>
        <v>0</v>
      </c>
      <c r="BL19" s="34">
        <f>'CF Capex'!BA13*2%</f>
        <v>0</v>
      </c>
      <c r="BM19" s="34">
        <f>'CF Capex'!BB13*2%</f>
        <v>0</v>
      </c>
      <c r="BN19" s="34">
        <f>'CF Capex'!BC13*2%</f>
        <v>0</v>
      </c>
      <c r="BO19" s="34">
        <f>'CF Capex'!BD13*2%</f>
        <v>0</v>
      </c>
      <c r="BP19" s="34">
        <f>'CF Capex'!BE13*2%</f>
        <v>0</v>
      </c>
      <c r="BQ19" s="34">
        <f>'CF Capex'!BF13*2%</f>
        <v>0</v>
      </c>
      <c r="BR19" s="34">
        <f>'CF Capex'!BG13*2%</f>
        <v>0</v>
      </c>
      <c r="BS19" s="34">
        <f>'CF Capex'!BH13*2%</f>
        <v>0</v>
      </c>
      <c r="BT19" s="34">
        <f>'CF Capex'!BI13*2%</f>
        <v>0</v>
      </c>
      <c r="BU19" s="34">
        <f>'CF Capex'!BJ13*2%</f>
        <v>0</v>
      </c>
      <c r="BV19" s="34">
        <f>'CF Capex'!BK13*2%</f>
        <v>0</v>
      </c>
      <c r="BW19" s="34">
        <f>'CF Capex'!BL13*2%</f>
        <v>0</v>
      </c>
      <c r="BX19" s="34">
        <f>'CF Capex'!BM13*2%</f>
        <v>0</v>
      </c>
      <c r="BY19" s="34">
        <f>'CF Capex'!BN13*2%</f>
        <v>0</v>
      </c>
      <c r="BZ19" s="34">
        <f>'CF Capex'!BO13*2%</f>
        <v>0</v>
      </c>
      <c r="CA19" s="34">
        <f>'CF Capex'!BP13*2%</f>
        <v>0</v>
      </c>
      <c r="CB19" s="34">
        <f>'CF Capex'!BQ13*2%</f>
        <v>0</v>
      </c>
      <c r="CC19" s="34">
        <f>'CF Capex'!BR13*2%</f>
        <v>0</v>
      </c>
      <c r="CD19" s="34">
        <f>'CF Capex'!BS13*2%</f>
        <v>0</v>
      </c>
      <c r="CE19" s="34">
        <f>'CF Capex'!BT13*2%</f>
        <v>0</v>
      </c>
      <c r="CF19" s="34">
        <f>'CF Capex'!BU13*2%</f>
        <v>0</v>
      </c>
      <c r="CG19" s="34">
        <f>'CF Capex'!BV13*2%</f>
        <v>0</v>
      </c>
      <c r="CH19" s="34">
        <f>'CF Capex'!BW13*2%</f>
        <v>0</v>
      </c>
      <c r="CI19" s="34">
        <f>'CF Capex'!BX13*2%</f>
        <v>0</v>
      </c>
      <c r="CJ19" s="34">
        <f>'CF Capex'!BY13*2%</f>
        <v>0</v>
      </c>
      <c r="CK19" s="34">
        <f>'CF Capex'!BZ13*2%</f>
        <v>0</v>
      </c>
      <c r="CL19" s="34">
        <f>'CF Capex'!CA13*2%</f>
        <v>0</v>
      </c>
      <c r="CM19" s="34">
        <f>'CF Capex'!CB13*2%</f>
        <v>0</v>
      </c>
      <c r="CN19" s="34">
        <f>'CF Capex'!CC13*2%</f>
        <v>0</v>
      </c>
      <c r="CO19" s="34">
        <f>'CF Capex'!CD13*2%</f>
        <v>0</v>
      </c>
      <c r="CP19" s="34">
        <f>'CF Capex'!CE13*2%</f>
        <v>0</v>
      </c>
      <c r="CQ19" s="34">
        <f>'CF Capex'!CF13*2%</f>
        <v>0</v>
      </c>
      <c r="CR19" s="34">
        <f>'CF Capex'!CG13*2%</f>
        <v>0</v>
      </c>
      <c r="CS19" s="34">
        <f>'CF Capex'!CH13*2%</f>
        <v>0</v>
      </c>
      <c r="CT19" s="34">
        <f>'CF Capex'!CI13*2%</f>
        <v>0</v>
      </c>
      <c r="CU19" s="34">
        <f>'CF Capex'!CJ13*2%</f>
        <v>0</v>
      </c>
      <c r="CV19" s="34">
        <f>'CF Capex'!CK13*2%</f>
        <v>0</v>
      </c>
      <c r="CW19" s="34">
        <f>'CF Capex'!CL13*2%</f>
        <v>0</v>
      </c>
      <c r="CX19" s="34">
        <v>0</v>
      </c>
      <c r="CY19" s="34">
        <v>0</v>
      </c>
      <c r="CZ19" s="34">
        <v>0</v>
      </c>
      <c r="DA19" s="34">
        <v>0</v>
      </c>
      <c r="DB19" s="34">
        <v>0</v>
      </c>
      <c r="DC19" s="34">
        <v>0</v>
      </c>
    </row>
    <row r="20" spans="1:107" s="34" customFormat="1" ht="12.75" thickBot="1">
      <c r="A20" s="7" t="s">
        <v>63</v>
      </c>
      <c r="B20" s="36">
        <f t="shared" ref="B20:BM20" si="16">SUM(B14:B19)</f>
        <v>9.2067499999999978</v>
      </c>
      <c r="C20" s="36">
        <f t="shared" si="16"/>
        <v>3.1973975184043009</v>
      </c>
      <c r="D20" s="36">
        <f t="shared" si="16"/>
        <v>3.0600335420663365</v>
      </c>
      <c r="E20" s="36">
        <f t="shared" si="16"/>
        <v>3.3876485508646632</v>
      </c>
      <c r="F20" s="36">
        <f t="shared" si="16"/>
        <v>3.3264093103181365</v>
      </c>
      <c r="G20" s="36">
        <f t="shared" si="16"/>
        <v>3.5564432633833043</v>
      </c>
      <c r="H20" s="36">
        <f t="shared" si="16"/>
        <v>3.527526611438955</v>
      </c>
      <c r="I20" s="36">
        <f t="shared" si="16"/>
        <v>3.1053289103134589</v>
      </c>
      <c r="J20" s="36">
        <f t="shared" si="16"/>
        <v>3.0437764551981186</v>
      </c>
      <c r="K20" s="36">
        <f t="shared" si="16"/>
        <v>4.1042386758898424</v>
      </c>
      <c r="L20" s="36">
        <f t="shared" si="16"/>
        <v>3.4551241866629865</v>
      </c>
      <c r="M20" s="36">
        <f t="shared" si="16"/>
        <v>4.2588081351980591</v>
      </c>
      <c r="N20" s="36">
        <f t="shared" si="16"/>
        <v>3.7212600380046941</v>
      </c>
      <c r="O20" s="36">
        <f t="shared" si="16"/>
        <v>3.8904267262036902</v>
      </c>
      <c r="P20" s="36">
        <f t="shared" si="16"/>
        <v>3.6490859307088481</v>
      </c>
      <c r="Q20" s="36">
        <f t="shared" si="16"/>
        <v>4.2098445372269868</v>
      </c>
      <c r="R20" s="36">
        <f t="shared" si="16"/>
        <v>4.5446923020379506</v>
      </c>
      <c r="S20" s="36">
        <f t="shared" si="16"/>
        <v>4.6337436932346279</v>
      </c>
      <c r="T20" s="36">
        <f t="shared" si="16"/>
        <v>4.7650498007143041</v>
      </c>
      <c r="U20" s="36">
        <f t="shared" si="16"/>
        <v>4.8234118722720449</v>
      </c>
      <c r="V20" s="36">
        <f t="shared" si="16"/>
        <v>4.5259264653519118</v>
      </c>
      <c r="W20" s="36">
        <f t="shared" si="16"/>
        <v>4.8435443711113706</v>
      </c>
      <c r="X20" s="36">
        <f t="shared" si="16"/>
        <v>3.9978170427416462</v>
      </c>
      <c r="Y20" s="36">
        <f t="shared" si="16"/>
        <v>4.5852411520071188</v>
      </c>
      <c r="Z20" s="36">
        <f t="shared" si="16"/>
        <v>4.1340574627307314</v>
      </c>
      <c r="AA20" s="36">
        <f t="shared" si="16"/>
        <v>4.2348850789661592</v>
      </c>
      <c r="AB20" s="36">
        <f t="shared" si="16"/>
        <v>5.2002674148822345</v>
      </c>
      <c r="AC20" s="36">
        <f t="shared" si="16"/>
        <v>4.3576554472429603</v>
      </c>
      <c r="AD20" s="36">
        <f t="shared" si="16"/>
        <v>4.4389642517368699</v>
      </c>
      <c r="AE20" s="36">
        <f t="shared" si="16"/>
        <v>4.3181671835504023</v>
      </c>
      <c r="AF20" s="36">
        <f t="shared" si="16"/>
        <v>4.5404824092833946</v>
      </c>
      <c r="AG20" s="36">
        <f t="shared" si="16"/>
        <v>4.364751994116415</v>
      </c>
      <c r="AH20" s="36">
        <f t="shared" si="16"/>
        <v>4.3022674347700773</v>
      </c>
      <c r="AI20" s="36">
        <f t="shared" si="16"/>
        <v>4.7019330771816534</v>
      </c>
      <c r="AJ20" s="36">
        <f t="shared" si="16"/>
        <v>5.3079959819728328</v>
      </c>
      <c r="AK20" s="36">
        <f t="shared" si="16"/>
        <v>6.1427791135572498</v>
      </c>
      <c r="AL20" s="36">
        <f t="shared" si="16"/>
        <v>5.4261652190886789</v>
      </c>
      <c r="AM20" s="36">
        <f t="shared" si="16"/>
        <v>5.7055067443924283</v>
      </c>
      <c r="AN20" s="36">
        <f t="shared" si="16"/>
        <v>5.2412830688087571</v>
      </c>
      <c r="AO20" s="36">
        <f t="shared" si="16"/>
        <v>6.2232819767066356</v>
      </c>
      <c r="AP20" s="36">
        <f t="shared" si="16"/>
        <v>5.3984011558321958</v>
      </c>
      <c r="AQ20" s="36">
        <f t="shared" si="16"/>
        <v>5.5327348734272856</v>
      </c>
      <c r="AR20" s="36">
        <f t="shared" si="16"/>
        <v>5.5162723831522111</v>
      </c>
      <c r="AS20" s="36">
        <f t="shared" si="16"/>
        <v>5.566417539202769</v>
      </c>
      <c r="AT20" s="36">
        <f t="shared" si="16"/>
        <v>5.0941658226481668</v>
      </c>
      <c r="AU20" s="36">
        <f t="shared" si="16"/>
        <v>5.5592385616035758</v>
      </c>
      <c r="AV20" s="36">
        <f t="shared" si="16"/>
        <v>4.9029785937274406</v>
      </c>
      <c r="AW20" s="36">
        <f t="shared" si="16"/>
        <v>5.8403395006704084</v>
      </c>
      <c r="AX20" s="36">
        <f t="shared" si="16"/>
        <v>5.0463001085730976</v>
      </c>
      <c r="AY20" s="36">
        <f t="shared" si="16"/>
        <v>5.4224682894264546</v>
      </c>
      <c r="AZ20" s="36">
        <f t="shared" si="16"/>
        <v>4.8607733613407031</v>
      </c>
      <c r="BA20" s="36">
        <f t="shared" si="16"/>
        <v>5.580497094163273</v>
      </c>
      <c r="BB20" s="36">
        <f t="shared" si="16"/>
        <v>5.1646473551828294</v>
      </c>
      <c r="BC20" s="36">
        <f t="shared" si="16"/>
        <v>5.4030580152632623</v>
      </c>
      <c r="BD20" s="36">
        <f t="shared" si="16"/>
        <v>5.2255460198202641</v>
      </c>
      <c r="BE20" s="36">
        <f t="shared" si="16"/>
        <v>5.4580797291360064</v>
      </c>
      <c r="BF20" s="36">
        <f t="shared" si="16"/>
        <v>4.8464371880827093</v>
      </c>
      <c r="BG20" s="36">
        <f t="shared" si="16"/>
        <v>5.4323008796141625</v>
      </c>
      <c r="BH20" s="36">
        <f t="shared" si="16"/>
        <v>4.8570884420879876</v>
      </c>
      <c r="BI20" s="36">
        <f t="shared" si="16"/>
        <v>5.8386704304273769</v>
      </c>
      <c r="BJ20" s="36">
        <f t="shared" si="16"/>
        <v>5.002580764249708</v>
      </c>
      <c r="BK20" s="36">
        <f t="shared" si="16"/>
        <v>5.1546362149317657</v>
      </c>
      <c r="BL20" s="36">
        <f t="shared" si="16"/>
        <v>4.5493179263086274</v>
      </c>
      <c r="BM20" s="36">
        <f t="shared" si="16"/>
        <v>5.3116283640788993</v>
      </c>
      <c r="BN20" s="36">
        <f t="shared" ref="BN20:DC20" si="17">SUM(BN14:BN19)</f>
        <v>4.9687053020888738</v>
      </c>
      <c r="BO20" s="36">
        <f t="shared" si="17"/>
        <v>5.231275651277544</v>
      </c>
      <c r="BP20" s="36">
        <f t="shared" si="17"/>
        <v>5.016973820395549</v>
      </c>
      <c r="BQ20" s="36">
        <f t="shared" si="17"/>
        <v>5.2852948624969551</v>
      </c>
      <c r="BR20" s="36">
        <f t="shared" si="17"/>
        <v>6.7535452713630031</v>
      </c>
      <c r="BS20" s="36">
        <f t="shared" si="17"/>
        <v>5.4634880782138993</v>
      </c>
      <c r="BT20" s="36">
        <f t="shared" si="17"/>
        <v>5.8185972920235898</v>
      </c>
      <c r="BU20" s="36">
        <f t="shared" si="17"/>
        <v>7.1373519036042872</v>
      </c>
      <c r="BV20" s="36">
        <f t="shared" si="17"/>
        <v>6.2308868972544866</v>
      </c>
      <c r="BW20" s="36">
        <f t="shared" si="17"/>
        <v>6.7176593750609532</v>
      </c>
      <c r="BX20" s="36">
        <f t="shared" si="17"/>
        <v>6.0431745220884823</v>
      </c>
      <c r="BY20" s="36">
        <f t="shared" si="17"/>
        <v>6.8818725637600977</v>
      </c>
      <c r="BZ20" s="36">
        <f t="shared" si="17"/>
        <v>6.3704137381721138</v>
      </c>
      <c r="CA20" s="36">
        <f t="shared" si="17"/>
        <v>6.6907228977291382</v>
      </c>
      <c r="CB20" s="36">
        <f t="shared" si="17"/>
        <v>6.404714535425148</v>
      </c>
      <c r="CC20" s="36">
        <f t="shared" si="17"/>
        <v>6.7169744103308204</v>
      </c>
      <c r="CD20" s="36">
        <f t="shared" si="17"/>
        <v>5.9786042293475363</v>
      </c>
      <c r="CE20" s="36">
        <f t="shared" si="17"/>
        <v>6.6833646617947871</v>
      </c>
      <c r="CF20" s="36">
        <f t="shared" si="17"/>
        <v>6.2505390714114677</v>
      </c>
      <c r="CG20" s="36">
        <f t="shared" si="17"/>
        <v>7.3563101532678781</v>
      </c>
      <c r="CH20" s="36">
        <f t="shared" si="17"/>
        <v>5.5630910104867013</v>
      </c>
      <c r="CI20" s="36">
        <f t="shared" si="17"/>
        <v>6.0953456638922319</v>
      </c>
      <c r="CJ20" s="36">
        <f t="shared" si="17"/>
        <v>5.3680383988763634</v>
      </c>
      <c r="CK20" s="36">
        <f t="shared" si="17"/>
        <v>6.2556914294416526</v>
      </c>
      <c r="CL20" s="36">
        <f t="shared" si="17"/>
        <v>5.7089992562128788</v>
      </c>
      <c r="CM20" s="36">
        <f t="shared" si="17"/>
        <v>6.0633695954817899</v>
      </c>
      <c r="CN20" s="36">
        <f t="shared" si="17"/>
        <v>5.7330613182519921</v>
      </c>
      <c r="CO20" s="36">
        <f t="shared" si="17"/>
        <v>6.1256789180215785</v>
      </c>
      <c r="CP20" s="36">
        <f t="shared" si="17"/>
        <v>5.3620317468705023</v>
      </c>
      <c r="CQ20" s="36">
        <f t="shared" si="17"/>
        <v>6.0973103821158654</v>
      </c>
      <c r="CR20" s="36">
        <f t="shared" si="17"/>
        <v>5.622307897146074</v>
      </c>
      <c r="CS20" s="36">
        <f t="shared" si="17"/>
        <v>6.5595073598880242</v>
      </c>
      <c r="CT20" s="36">
        <f t="shared" si="17"/>
        <v>5.3758220413778028</v>
      </c>
      <c r="CU20" s="36">
        <f t="shared" si="17"/>
        <v>6.036096423751367</v>
      </c>
      <c r="CV20" s="36">
        <f t="shared" si="17"/>
        <v>5.2654290094900444</v>
      </c>
      <c r="CW20" s="36">
        <f t="shared" si="17"/>
        <v>6.1142058930572567</v>
      </c>
      <c r="CX20" s="36">
        <f t="shared" si="17"/>
        <v>0</v>
      </c>
      <c r="CY20" s="36">
        <f t="shared" si="17"/>
        <v>0</v>
      </c>
      <c r="CZ20" s="36">
        <f t="shared" si="17"/>
        <v>0</v>
      </c>
      <c r="DA20" s="36">
        <f t="shared" si="17"/>
        <v>0</v>
      </c>
      <c r="DB20" s="36">
        <f t="shared" si="17"/>
        <v>0</v>
      </c>
      <c r="DC20" s="36">
        <f t="shared" si="17"/>
        <v>0</v>
      </c>
    </row>
    <row r="21" spans="1:107" s="34" customFormat="1" ht="12.75" thickTop="1">
      <c r="A21" s="38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118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</row>
    <row r="22" spans="1:107" s="34" customFormat="1">
      <c r="A22" s="7"/>
      <c r="B22" s="34">
        <f t="shared" ref="B22:BM22" si="18">+B11-B20</f>
        <v>2.2632500000000011</v>
      </c>
      <c r="C22" s="34">
        <f t="shared" si="18"/>
        <v>1.0985032177677421</v>
      </c>
      <c r="D22" s="34">
        <f t="shared" si="18"/>
        <v>0.27740573260033052</v>
      </c>
      <c r="E22" s="34">
        <f t="shared" si="18"/>
        <v>2.8276704464686691</v>
      </c>
      <c r="F22" s="34">
        <f t="shared" si="18"/>
        <v>0.15259497768186314</v>
      </c>
      <c r="G22" s="34">
        <f t="shared" si="18"/>
        <v>1.7210760198166968</v>
      </c>
      <c r="H22" s="34">
        <f t="shared" si="18"/>
        <v>9.3042689894379027E-2</v>
      </c>
      <c r="I22" s="34">
        <f t="shared" si="18"/>
        <v>2.4340009798198756</v>
      </c>
      <c r="J22" s="34">
        <f t="shared" si="18"/>
        <v>1.3092416354685481</v>
      </c>
      <c r="K22" s="34">
        <f t="shared" si="18"/>
        <v>1.5322687459768254</v>
      </c>
      <c r="L22" s="34">
        <f t="shared" si="18"/>
        <v>-0.45919778666298638</v>
      </c>
      <c r="M22" s="34">
        <f t="shared" si="18"/>
        <v>1.5538843768019417</v>
      </c>
      <c r="N22" s="34">
        <f t="shared" si="18"/>
        <v>-0.67720435800469447</v>
      </c>
      <c r="O22" s="34">
        <f t="shared" si="18"/>
        <v>2.4646067777963103</v>
      </c>
      <c r="P22" s="34">
        <f t="shared" si="18"/>
        <v>-0.15331162670884879</v>
      </c>
      <c r="Q22" s="34">
        <f t="shared" si="18"/>
        <v>2.3404608547730135</v>
      </c>
      <c r="R22" s="34">
        <f t="shared" si="18"/>
        <v>-1.0881449420379505</v>
      </c>
      <c r="S22" s="34">
        <f t="shared" si="18"/>
        <v>1.9557981467653729</v>
      </c>
      <c r="T22" s="34">
        <f t="shared" si="18"/>
        <v>-1.3071693847143044</v>
      </c>
      <c r="U22" s="34">
        <f t="shared" si="18"/>
        <v>2.0081727517279546</v>
      </c>
      <c r="V22" s="34">
        <f t="shared" si="18"/>
        <v>-1.289250753351912</v>
      </c>
      <c r="W22" s="34">
        <f t="shared" si="18"/>
        <v>2.0835705408886289</v>
      </c>
      <c r="X22" s="34">
        <f t="shared" si="18"/>
        <v>-0.4831188027416462</v>
      </c>
      <c r="Y22" s="34">
        <f t="shared" si="18"/>
        <v>2.4601444479928807</v>
      </c>
      <c r="Z22" s="34">
        <f t="shared" si="18"/>
        <v>-0.55209522273073119</v>
      </c>
      <c r="AA22" s="34">
        <f t="shared" si="18"/>
        <v>116.80389172103385</v>
      </c>
      <c r="AB22" s="34">
        <f t="shared" si="18"/>
        <v>-1.449696748215568</v>
      </c>
      <c r="AC22" s="34">
        <f t="shared" si="18"/>
        <v>2.7996126060903741</v>
      </c>
      <c r="AD22" s="34">
        <f t="shared" si="18"/>
        <v>-0.66059113173687001</v>
      </c>
      <c r="AE22" s="34">
        <f t="shared" si="18"/>
        <v>2.808995696449597</v>
      </c>
      <c r="AF22" s="34">
        <f t="shared" si="18"/>
        <v>-0.81867163595006076</v>
      </c>
      <c r="AG22" s="34">
        <f t="shared" si="18"/>
        <v>2.9922295525502509</v>
      </c>
      <c r="AH22" s="34">
        <f t="shared" si="18"/>
        <v>2.0948824318965888</v>
      </c>
      <c r="AI22" s="34">
        <f t="shared" si="18"/>
        <v>2.6769989548183464</v>
      </c>
      <c r="AJ22" s="34">
        <f t="shared" si="18"/>
        <v>-0.5203326547728313</v>
      </c>
      <c r="AK22" s="34">
        <f t="shared" si="18"/>
        <v>2.6599541666667523</v>
      </c>
      <c r="AL22" s="34">
        <f t="shared" si="18"/>
        <v>-0.58141897092867811</v>
      </c>
      <c r="AM22" s="34">
        <f t="shared" si="18"/>
        <v>3.2142465237995719</v>
      </c>
      <c r="AN22" s="34">
        <f t="shared" si="18"/>
        <v>-0.20959025450475632</v>
      </c>
      <c r="AO22" s="34">
        <f t="shared" si="18"/>
        <v>2.682200561245363</v>
      </c>
      <c r="AP22" s="34">
        <f t="shared" si="18"/>
        <v>-0.37791417013619544</v>
      </c>
      <c r="AQ22" s="34">
        <f t="shared" si="18"/>
        <v>3.4176733748607155</v>
      </c>
      <c r="AR22" s="34">
        <f t="shared" si="18"/>
        <v>-0.43679971246421001</v>
      </c>
      <c r="AS22" s="34">
        <f t="shared" si="18"/>
        <v>3.7010387659172306</v>
      </c>
      <c r="AT22" s="34">
        <f t="shared" si="18"/>
        <v>-0.22685134152816566</v>
      </c>
      <c r="AU22" s="34">
        <f t="shared" si="18"/>
        <v>3.6906171762204236</v>
      </c>
      <c r="AV22" s="34">
        <f t="shared" si="18"/>
        <v>0.46701653721847958</v>
      </c>
      <c r="AW22" s="34">
        <f t="shared" si="18"/>
        <v>4.6821685179786829</v>
      </c>
      <c r="AX22" s="34">
        <f t="shared" si="18"/>
        <v>0.35759870974050312</v>
      </c>
      <c r="AY22" s="34">
        <f t="shared" si="18"/>
        <v>5.1695422883263795</v>
      </c>
      <c r="AZ22" s="34">
        <f t="shared" si="18"/>
        <v>0.74202708952995433</v>
      </c>
      <c r="BA22" s="34">
        <f t="shared" si="18"/>
        <v>4.915170505319737</v>
      </c>
      <c r="BB22" s="34">
        <f t="shared" si="18"/>
        <v>0.47318690596776403</v>
      </c>
      <c r="BC22" s="34">
        <f t="shared" si="18"/>
        <v>5.1609820204112324</v>
      </c>
      <c r="BD22" s="34">
        <f t="shared" si="18"/>
        <v>0.44732205161026428</v>
      </c>
      <c r="BE22" s="34">
        <f t="shared" si="18"/>
        <v>5.4260676214350063</v>
      </c>
      <c r="BF22" s="34">
        <f t="shared" si="18"/>
        <v>0.35629975184932317</v>
      </c>
      <c r="BG22" s="34">
        <f t="shared" si="18"/>
        <v>5.2693316206275025</v>
      </c>
      <c r="BH22" s="34">
        <f t="shared" si="18"/>
        <v>0.68700390355449681</v>
      </c>
      <c r="BI22" s="34">
        <f t="shared" si="18"/>
        <v>5.2632533853988912</v>
      </c>
      <c r="BJ22" s="34">
        <f t="shared" si="18"/>
        <v>0.55914149882397002</v>
      </c>
      <c r="BK22" s="34">
        <f t="shared" si="18"/>
        <v>5.9834289316284499</v>
      </c>
      <c r="BL22" s="34">
        <f t="shared" si="18"/>
        <v>1.2072149243797403</v>
      </c>
      <c r="BM22" s="34">
        <f t="shared" si="18"/>
        <v>5.6849566950959876</v>
      </c>
      <c r="BN22" s="34">
        <f t="shared" ref="BN22:DC22" si="19">+BN11-BN20</f>
        <v>0.80604512994505928</v>
      </c>
      <c r="BO22" s="34">
        <f t="shared" si="19"/>
        <v>5.8008630747169168</v>
      </c>
      <c r="BP22" s="34">
        <f t="shared" si="19"/>
        <v>0.77599419298395311</v>
      </c>
      <c r="BQ22" s="34">
        <f t="shared" si="19"/>
        <v>6.050372275271223</v>
      </c>
      <c r="BR22" s="34">
        <f t="shared" si="19"/>
        <v>-1.4791906624177811</v>
      </c>
      <c r="BS22" s="34">
        <f t="shared" si="19"/>
        <v>5.6401987293554878</v>
      </c>
      <c r="BT22" s="34">
        <f t="shared" si="19"/>
        <v>0.37620493546458533</v>
      </c>
      <c r="BU22" s="34">
        <f t="shared" si="19"/>
        <v>5.2999095629430464</v>
      </c>
      <c r="BV22" s="34">
        <f t="shared" si="19"/>
        <v>-1.6671019512666696E-2</v>
      </c>
      <c r="BW22" s="34">
        <f t="shared" si="19"/>
        <v>5.7594000745063481</v>
      </c>
      <c r="BX22" s="34">
        <f t="shared" si="19"/>
        <v>0.38944492100683004</v>
      </c>
      <c r="BY22" s="34">
        <f t="shared" si="19"/>
        <v>5.4355096124709839</v>
      </c>
      <c r="BZ22" s="34">
        <f t="shared" si="19"/>
        <v>8.2266476851962089E-2</v>
      </c>
      <c r="CA22" s="34">
        <f t="shared" si="19"/>
        <v>5.6658101398467924</v>
      </c>
      <c r="CB22" s="34">
        <f t="shared" si="19"/>
        <v>6.8026451527694931E-2</v>
      </c>
      <c r="CC22" s="34">
        <f t="shared" si="19"/>
        <v>6.0880891948106903</v>
      </c>
      <c r="CD22" s="34">
        <f t="shared" si="19"/>
        <v>-2.3176824289174114E-2</v>
      </c>
      <c r="CE22" s="34">
        <f t="shared" si="19"/>
        <v>5.8934832074774359</v>
      </c>
      <c r="CF22" s="34">
        <f t="shared" si="19"/>
        <v>0.37576990878420968</v>
      </c>
      <c r="CG22" s="34">
        <f t="shared" si="19"/>
        <v>5.9663239260237981</v>
      </c>
      <c r="CH22" s="34">
        <f t="shared" si="19"/>
        <v>1.0836429356967638</v>
      </c>
      <c r="CI22" s="34">
        <f t="shared" si="19"/>
        <v>7.2691595956744059</v>
      </c>
      <c r="CJ22" s="34">
        <f t="shared" si="19"/>
        <v>1.5125614078672633</v>
      </c>
      <c r="CK22" s="34">
        <f t="shared" si="19"/>
        <v>6.9367334916778791</v>
      </c>
      <c r="CL22" s="34">
        <f t="shared" si="19"/>
        <v>1.1927063487181275</v>
      </c>
      <c r="CM22" s="34">
        <f t="shared" si="19"/>
        <v>7.1702456737131097</v>
      </c>
      <c r="CN22" s="34">
        <f t="shared" si="19"/>
        <v>1.189750084866394</v>
      </c>
      <c r="CO22" s="34">
        <f t="shared" si="19"/>
        <v>7.4718411618557292</v>
      </c>
      <c r="CP22" s="34">
        <f t="shared" si="19"/>
        <v>1.1509186720929572</v>
      </c>
      <c r="CQ22" s="34">
        <f t="shared" si="19"/>
        <v>7.3269379029650468</v>
      </c>
      <c r="CR22" s="34">
        <f t="shared" si="19"/>
        <v>1.3859479470212221</v>
      </c>
      <c r="CS22" s="34">
        <f t="shared" si="19"/>
        <v>7.54675096449109</v>
      </c>
      <c r="CT22" s="34">
        <f t="shared" si="19"/>
        <v>1.6536757674167939</v>
      </c>
      <c r="CU22" s="34">
        <f t="shared" si="19"/>
        <v>8.1137079281137083</v>
      </c>
      <c r="CV22" s="34">
        <f t="shared" si="19"/>
        <v>2.0115376872125799</v>
      </c>
      <c r="CW22" s="34">
        <f t="shared" si="19"/>
        <v>7.8523865138973683</v>
      </c>
      <c r="CX22" s="34">
        <f t="shared" si="19"/>
        <v>0</v>
      </c>
      <c r="CY22" s="34">
        <f t="shared" si="19"/>
        <v>0</v>
      </c>
      <c r="CZ22" s="34">
        <f t="shared" si="19"/>
        <v>0</v>
      </c>
      <c r="DA22" s="34">
        <f t="shared" si="19"/>
        <v>0</v>
      </c>
      <c r="DB22" s="34">
        <f t="shared" si="19"/>
        <v>0</v>
      </c>
      <c r="DC22" s="34">
        <f t="shared" si="19"/>
        <v>0</v>
      </c>
    </row>
    <row r="23" spans="1:107" s="34" customFormat="1">
      <c r="A23" s="25" t="s">
        <v>65</v>
      </c>
      <c r="B23" s="34">
        <v>0.09</v>
      </c>
      <c r="C23" s="34">
        <v>0.03</v>
      </c>
      <c r="D23" s="34">
        <f t="shared" ref="D23:K23" si="20">0.04</f>
        <v>0.04</v>
      </c>
      <c r="E23" s="34">
        <f t="shared" si="20"/>
        <v>0.04</v>
      </c>
      <c r="F23" s="34">
        <f t="shared" si="20"/>
        <v>0.04</v>
      </c>
      <c r="G23" s="34">
        <f t="shared" si="20"/>
        <v>0.04</v>
      </c>
      <c r="H23" s="34">
        <f t="shared" si="20"/>
        <v>0.04</v>
      </c>
      <c r="I23" s="34">
        <f t="shared" si="20"/>
        <v>0.04</v>
      </c>
      <c r="J23" s="34">
        <f t="shared" si="20"/>
        <v>0.04</v>
      </c>
      <c r="K23" s="34">
        <f t="shared" si="20"/>
        <v>0.04</v>
      </c>
      <c r="L23" s="34">
        <v>0</v>
      </c>
      <c r="M23" s="34">
        <v>0</v>
      </c>
      <c r="N23" s="34">
        <v>0</v>
      </c>
      <c r="O23" s="34">
        <v>0</v>
      </c>
      <c r="P23" s="34">
        <v>0</v>
      </c>
      <c r="Q23" s="34">
        <v>0</v>
      </c>
      <c r="R23" s="34">
        <v>0</v>
      </c>
      <c r="S23" s="34">
        <v>0</v>
      </c>
      <c r="T23" s="34">
        <v>0</v>
      </c>
      <c r="U23" s="34">
        <v>0</v>
      </c>
      <c r="V23" s="34">
        <v>0</v>
      </c>
      <c r="W23" s="34">
        <v>30.75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0</v>
      </c>
      <c r="AH23" s="34">
        <v>0</v>
      </c>
      <c r="AI23" s="34">
        <v>45.5</v>
      </c>
      <c r="AJ23" s="34">
        <v>0</v>
      </c>
      <c r="AK23" s="34">
        <v>0</v>
      </c>
      <c r="AL23" s="34">
        <v>0</v>
      </c>
      <c r="AM23" s="34">
        <v>0</v>
      </c>
      <c r="AN23" s="34">
        <v>0</v>
      </c>
      <c r="AO23" s="34">
        <v>0</v>
      </c>
      <c r="AP23" s="34">
        <v>0</v>
      </c>
      <c r="AQ23" s="34">
        <v>0</v>
      </c>
      <c r="AR23" s="34">
        <v>0</v>
      </c>
      <c r="AS23" s="34">
        <v>0</v>
      </c>
      <c r="AT23" s="34">
        <v>0</v>
      </c>
      <c r="AU23" s="34">
        <v>45.5</v>
      </c>
      <c r="AV23" s="34">
        <v>0</v>
      </c>
      <c r="AW23" s="34">
        <v>0</v>
      </c>
      <c r="AX23" s="34">
        <v>0</v>
      </c>
      <c r="AY23" s="34">
        <v>0</v>
      </c>
      <c r="AZ23" s="34">
        <v>0</v>
      </c>
      <c r="BA23" s="34">
        <v>0</v>
      </c>
      <c r="BB23" s="34">
        <v>0</v>
      </c>
      <c r="BC23" s="34">
        <v>0</v>
      </c>
      <c r="BD23" s="34">
        <v>0</v>
      </c>
      <c r="BE23" s="34">
        <v>0</v>
      </c>
      <c r="BF23" s="34">
        <v>0</v>
      </c>
      <c r="BG23" s="34">
        <v>45.5</v>
      </c>
      <c r="BH23" s="34">
        <v>0</v>
      </c>
      <c r="BI23" s="34">
        <v>0</v>
      </c>
      <c r="BJ23" s="34">
        <v>0</v>
      </c>
      <c r="BK23" s="34">
        <v>0</v>
      </c>
      <c r="BL23" s="34">
        <v>0</v>
      </c>
      <c r="BM23" s="34">
        <v>0</v>
      </c>
      <c r="BN23" s="34">
        <v>0</v>
      </c>
      <c r="BO23" s="34">
        <v>0</v>
      </c>
      <c r="BP23" s="34">
        <v>0</v>
      </c>
      <c r="BQ23" s="34">
        <v>0</v>
      </c>
      <c r="BR23" s="34">
        <v>0</v>
      </c>
      <c r="BS23" s="34">
        <v>45.5</v>
      </c>
      <c r="BT23" s="34">
        <v>0</v>
      </c>
      <c r="BU23" s="34">
        <v>0</v>
      </c>
      <c r="BV23" s="34">
        <v>0</v>
      </c>
      <c r="BW23" s="34">
        <v>0</v>
      </c>
      <c r="BX23" s="34">
        <v>0</v>
      </c>
      <c r="BY23" s="34">
        <v>0</v>
      </c>
      <c r="BZ23" s="34">
        <v>0</v>
      </c>
      <c r="CA23" s="34">
        <v>0</v>
      </c>
      <c r="CB23" s="34">
        <v>0</v>
      </c>
      <c r="CC23" s="34">
        <v>0</v>
      </c>
      <c r="CD23" s="34">
        <v>0</v>
      </c>
      <c r="CE23" s="34">
        <v>45.5</v>
      </c>
      <c r="CF23" s="34">
        <v>0</v>
      </c>
      <c r="CG23" s="34">
        <v>0</v>
      </c>
      <c r="CH23" s="34">
        <v>0</v>
      </c>
      <c r="CI23" s="34">
        <v>0</v>
      </c>
      <c r="CJ23" s="34">
        <v>0</v>
      </c>
      <c r="CK23" s="34">
        <v>0</v>
      </c>
      <c r="CL23" s="34">
        <v>0</v>
      </c>
      <c r="CM23" s="34">
        <v>0</v>
      </c>
      <c r="CN23" s="34">
        <v>0</v>
      </c>
      <c r="CO23" s="34">
        <v>0</v>
      </c>
      <c r="CP23" s="34">
        <v>0</v>
      </c>
      <c r="CQ23" s="34">
        <v>46.04</v>
      </c>
      <c r="CR23" s="34">
        <v>0</v>
      </c>
      <c r="CS23" s="34">
        <v>0</v>
      </c>
      <c r="CT23" s="34">
        <v>0</v>
      </c>
      <c r="CU23" s="34">
        <v>0</v>
      </c>
      <c r="CV23" s="34">
        <v>0</v>
      </c>
      <c r="CW23" s="34">
        <v>0</v>
      </c>
      <c r="CX23" s="34">
        <v>0</v>
      </c>
      <c r="CY23" s="34">
        <v>0</v>
      </c>
      <c r="CZ23" s="34">
        <v>0</v>
      </c>
      <c r="DA23" s="34">
        <v>0</v>
      </c>
      <c r="DB23" s="34">
        <v>0</v>
      </c>
      <c r="DC23" s="34">
        <v>0</v>
      </c>
    </row>
    <row r="24" spans="1:107">
      <c r="A24" s="25" t="s">
        <v>111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f>Debt!K14</f>
        <v>1.5484758333333331</v>
      </c>
      <c r="M24" s="34">
        <f>Debt!L14</f>
        <v>1.5484758333333331</v>
      </c>
      <c r="N24" s="34">
        <f>Debt!M14</f>
        <v>1.5484758333333331</v>
      </c>
      <c r="O24" s="34">
        <f>Debt!N14</f>
        <v>1.5484758333333331</v>
      </c>
      <c r="P24" s="34">
        <f>Debt!O14</f>
        <v>1.5484758333333331</v>
      </c>
      <c r="Q24" s="34">
        <f>Debt!P14</f>
        <v>1.5484758333333331</v>
      </c>
      <c r="R24" s="34">
        <f>Debt!Q14</f>
        <v>1.5484758333333331</v>
      </c>
      <c r="S24" s="34">
        <f>Debt!R14</f>
        <v>1.5484758333333331</v>
      </c>
      <c r="T24" s="34">
        <f>Debt!S14</f>
        <v>1.5484758333333331</v>
      </c>
      <c r="U24" s="34">
        <f>Debt!T14</f>
        <v>2.0661036607468675</v>
      </c>
      <c r="V24" s="34">
        <f>Debt!U14</f>
        <v>2.0661036607468675</v>
      </c>
      <c r="W24" s="34">
        <f>Debt!V14</f>
        <v>2.0661036607468675</v>
      </c>
      <c r="X24" s="34">
        <f>Debt!W14</f>
        <v>2.2975608469164337</v>
      </c>
      <c r="Y24" s="34">
        <f>Debt!X14</f>
        <v>2.2975608469164337</v>
      </c>
      <c r="Z24" s="34">
        <f>Debt!Y14</f>
        <v>2.2837706276777627</v>
      </c>
      <c r="AA24" s="34">
        <f>Debt!Z14</f>
        <v>2.2837706276777627</v>
      </c>
      <c r="AB24" s="34">
        <f>Debt!AA14</f>
        <v>1.069067440171005</v>
      </c>
      <c r="AC24" s="34">
        <f>Debt!AB14</f>
        <v>1.6206762097178293</v>
      </c>
      <c r="AD24" s="34">
        <f>Debt!AC14</f>
        <v>1.6206762097178293</v>
      </c>
      <c r="AE24" s="34">
        <f>Debt!AD14</f>
        <v>1.6206762097178293</v>
      </c>
      <c r="AF24" s="34">
        <f>Debt!AE14</f>
        <v>1.6206762097178293</v>
      </c>
      <c r="AG24" s="34">
        <f>Debt!AF14</f>
        <v>1.2967391197846974</v>
      </c>
      <c r="AH24" s="34">
        <f>Debt!AG14</f>
        <v>1.2967391197846974</v>
      </c>
      <c r="AI24" s="34">
        <f>Debt!AH14</f>
        <v>1.2967391197846974</v>
      </c>
      <c r="AJ24" s="34">
        <f>Debt!AI14</f>
        <v>1.2967391197846974</v>
      </c>
      <c r="AK24" s="34">
        <f>Debt!AJ14</f>
        <v>1.2967391197846974</v>
      </c>
      <c r="AL24" s="34">
        <f>Debt!AK14</f>
        <v>1.2967391197846974</v>
      </c>
      <c r="AM24" s="34">
        <f>Debt!AL14</f>
        <v>1.2967391197846974</v>
      </c>
      <c r="AN24" s="34">
        <f>Debt!AM14</f>
        <v>1.2967391197846974</v>
      </c>
      <c r="AO24" s="34">
        <f>Debt!AN14</f>
        <v>1.2967391197846974</v>
      </c>
      <c r="AP24" s="34">
        <f>Debt!AO14</f>
        <v>1.2967391197846974</v>
      </c>
      <c r="AQ24" s="34">
        <f>Debt!AP14</f>
        <v>1.2967391197846974</v>
      </c>
      <c r="AR24" s="34">
        <f>Debt!AQ14</f>
        <v>1.2967391197846974</v>
      </c>
      <c r="AS24" s="34">
        <f>Debt!AR14</f>
        <v>1.2967391197846974</v>
      </c>
      <c r="AT24" s="34">
        <f>Debt!AS14</f>
        <v>1.2967391197846974</v>
      </c>
      <c r="AU24" s="34">
        <f>Debt!AT14</f>
        <v>1.2837717285868508</v>
      </c>
      <c r="AV24" s="34">
        <f>Debt!AU14</f>
        <v>1.2837717285868508</v>
      </c>
      <c r="AW24" s="34">
        <f>Debt!AV14</f>
        <v>1.2837717285868508</v>
      </c>
      <c r="AX24" s="34">
        <f>Debt!AW14</f>
        <v>1.2448695549933095</v>
      </c>
      <c r="AY24" s="34">
        <f>Debt!AX14</f>
        <v>1.2448695549933095</v>
      </c>
      <c r="AZ24" s="34">
        <f>Debt!AY14</f>
        <v>1.2448695549933095</v>
      </c>
      <c r="BA24" s="34">
        <f>Debt!AZ14</f>
        <v>1.2059673813997684</v>
      </c>
      <c r="BB24" s="34">
        <f>Debt!BA14</f>
        <v>1.2059673813997684</v>
      </c>
      <c r="BC24" s="34">
        <f>Debt!BB14</f>
        <v>1.2059673813997684</v>
      </c>
      <c r="BD24" s="34">
        <f>Debt!BC14</f>
        <v>1.1670652078062276</v>
      </c>
      <c r="BE24" s="34">
        <f>Debt!BD14</f>
        <v>1.1670652078062276</v>
      </c>
      <c r="BF24" s="34">
        <f>Debt!BE14</f>
        <v>1.1670652078062276</v>
      </c>
      <c r="BG24" s="34">
        <f>Debt!BF14</f>
        <v>1.1151956430148398</v>
      </c>
      <c r="BH24" s="34">
        <f>Debt!BG14</f>
        <v>1.1151956430148398</v>
      </c>
      <c r="BI24" s="34">
        <f>Debt!BH14</f>
        <v>1.1151956430148398</v>
      </c>
      <c r="BJ24" s="34">
        <f>Debt!BI14</f>
        <v>1.0633260782234517</v>
      </c>
      <c r="BK24" s="34">
        <f>Debt!BJ14</f>
        <v>1.0633260782234517</v>
      </c>
      <c r="BL24" s="34">
        <f>Debt!BK14</f>
        <v>1.0633260782234517</v>
      </c>
      <c r="BM24" s="34">
        <f>Debt!BL14</f>
        <v>1.0114565134320637</v>
      </c>
      <c r="BN24" s="34">
        <f>Debt!BM14</f>
        <v>1.0114565134320637</v>
      </c>
      <c r="BO24" s="34">
        <f>Debt!BN14</f>
        <v>1.0114565134320637</v>
      </c>
      <c r="BP24" s="34">
        <f>Debt!BO14</f>
        <v>0.95958694864067573</v>
      </c>
      <c r="BQ24" s="34">
        <f>Debt!BP14</f>
        <v>0.95958694864067573</v>
      </c>
      <c r="BR24" s="34">
        <f>Debt!BQ14</f>
        <v>0.95958694864067573</v>
      </c>
      <c r="BS24" s="34">
        <f>Debt!BR14</f>
        <v>0.89799184045090263</v>
      </c>
      <c r="BT24" s="34">
        <f>Debt!BS14</f>
        <v>0.89799184045090263</v>
      </c>
      <c r="BU24" s="34">
        <f>Debt!BT14</f>
        <v>0.89799184045090263</v>
      </c>
      <c r="BV24" s="34">
        <f>Debt!BU14</f>
        <v>0.83639673226112943</v>
      </c>
      <c r="BW24" s="34">
        <f>Debt!BV14</f>
        <v>0.83639673226112943</v>
      </c>
      <c r="BX24" s="34">
        <f>Debt!BW14</f>
        <v>0.83639673226112943</v>
      </c>
      <c r="BY24" s="34">
        <f>Debt!BX14</f>
        <v>0.77480162407135622</v>
      </c>
      <c r="BZ24" s="34">
        <f>Debt!BY14</f>
        <v>0.77480162407135622</v>
      </c>
      <c r="CA24" s="34">
        <f>Debt!BZ14</f>
        <v>0.77480162407135622</v>
      </c>
      <c r="CB24" s="34">
        <f>Debt!CA14</f>
        <v>0.71320651588158324</v>
      </c>
      <c r="CC24" s="34">
        <f>Debt!CB14</f>
        <v>0.71320651588158324</v>
      </c>
      <c r="CD24" s="34">
        <f>Debt!CC14</f>
        <v>0.71320651588158324</v>
      </c>
      <c r="CE24" s="34">
        <f>Debt!CD14</f>
        <v>0.65161140769181003</v>
      </c>
      <c r="CF24" s="34">
        <f>Debt!CE14</f>
        <v>0.65161140769181003</v>
      </c>
      <c r="CG24" s="34">
        <f>Debt!CF14</f>
        <v>0.65161140769181003</v>
      </c>
      <c r="CH24" s="34">
        <f>Debt!CG14</f>
        <v>0.56732336490580471</v>
      </c>
      <c r="CI24" s="34">
        <f>Debt!CH14</f>
        <v>0.56732336490580471</v>
      </c>
      <c r="CJ24" s="34">
        <f>Debt!CI14</f>
        <v>0.56732336490580471</v>
      </c>
      <c r="CK24" s="34">
        <f>Debt!CJ14</f>
        <v>0.48303532211979927</v>
      </c>
      <c r="CL24" s="34">
        <f>Debt!CK14</f>
        <v>0.48303532211979927</v>
      </c>
      <c r="CM24" s="34">
        <f>Debt!CL14</f>
        <v>0.48303532211979927</v>
      </c>
      <c r="CN24" s="34">
        <f>Debt!CM14</f>
        <v>0.36632880133917656</v>
      </c>
      <c r="CO24" s="34">
        <f>Debt!CN14</f>
        <v>0.36632880133917656</v>
      </c>
      <c r="CP24" s="34">
        <f>Debt!CO14</f>
        <v>0.36632880133917656</v>
      </c>
      <c r="CQ24" s="34">
        <f>Debt!CP14</f>
        <v>0.24962228055855379</v>
      </c>
      <c r="CR24" s="34">
        <f>Debt!CQ14</f>
        <v>0.24962228055855379</v>
      </c>
      <c r="CS24" s="34">
        <f>Debt!CR14</f>
        <v>0.24962228055855379</v>
      </c>
      <c r="CT24" s="34">
        <f>Debt!CS14</f>
        <v>0.12643206417900749</v>
      </c>
      <c r="CU24" s="34">
        <f>Debt!CT14</f>
        <v>0.12643206417900749</v>
      </c>
      <c r="CV24" s="34">
        <f>Debt!CU14</f>
        <v>0.12643206417900749</v>
      </c>
      <c r="CW24" s="34">
        <f>Debt!CV14</f>
        <v>-5.1744198675646075E-16</v>
      </c>
      <c r="CX24" s="34">
        <f>Debt!CW14</f>
        <v>0</v>
      </c>
      <c r="CY24" s="34">
        <f>Debt!CX14</f>
        <v>0</v>
      </c>
      <c r="CZ24" s="34">
        <f>Debt!CY14</f>
        <v>0</v>
      </c>
      <c r="DA24" s="34">
        <f>Debt!CZ14</f>
        <v>0</v>
      </c>
      <c r="DB24" s="34">
        <f>Debt!DA14</f>
        <v>0</v>
      </c>
      <c r="DC24" s="34">
        <f>Debt!DB14</f>
        <v>0</v>
      </c>
    </row>
    <row r="25" spans="1:107">
      <c r="A25" s="25" t="s">
        <v>112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34">
        <v>0</v>
      </c>
      <c r="H25" s="34">
        <v>0</v>
      </c>
      <c r="I25" s="34">
        <v>0</v>
      </c>
      <c r="J25" s="34">
        <v>0</v>
      </c>
      <c r="K25" s="34">
        <v>0</v>
      </c>
      <c r="L25" s="34">
        <f>'Monthly BS'!J9*10.85%/12</f>
        <v>1.8083333333333333E-2</v>
      </c>
      <c r="M25" s="34">
        <f>'Monthly BS'!K9*10.85%/12</f>
        <v>2.7125E-2</v>
      </c>
      <c r="N25" s="34">
        <f>'Monthly BS'!L9*10.85%/12</f>
        <v>2.7125E-2</v>
      </c>
      <c r="O25" s="34">
        <f>'Monthly BS'!M9*10.85%/12</f>
        <v>2.7125E-2</v>
      </c>
      <c r="P25" s="34">
        <f>'Monthly BS'!N9*10.85%/12</f>
        <v>2.7125E-2</v>
      </c>
      <c r="Q25" s="34">
        <f>'Monthly BS'!O9*10.85%/12</f>
        <v>2.7125E-2</v>
      </c>
      <c r="R25" s="34">
        <f>'Monthly BS'!P9*10.85%/12</f>
        <v>2.7125E-2</v>
      </c>
      <c r="S25" s="34">
        <f>'Monthly BS'!Q9*10.85%/12</f>
        <v>2.7125E-2</v>
      </c>
      <c r="T25" s="34">
        <f>'Monthly BS'!R9*10.85%/12</f>
        <v>2.7125E-2</v>
      </c>
      <c r="U25" s="34">
        <f>'Monthly BS'!S9*10.85%/12</f>
        <v>2.7125E-2</v>
      </c>
      <c r="V25" s="34">
        <f>'Monthly BS'!T9*10.85%/12</f>
        <v>2.7125E-2</v>
      </c>
      <c r="W25" s="34">
        <f>'Monthly BS'!U9*10.85%/12</f>
        <v>2.7125E-2</v>
      </c>
      <c r="X25" s="34">
        <f>'Monthly BS'!V9*10.85%/12</f>
        <v>2.7125E-2</v>
      </c>
      <c r="Y25" s="34">
        <f>'Monthly BS'!W9*10.85%/12</f>
        <v>2.7125E-2</v>
      </c>
      <c r="Z25" s="34">
        <f>'Monthly BS'!X9*10.85%/12</f>
        <v>2.7125E-2</v>
      </c>
      <c r="AA25" s="34">
        <f>'Monthly BS'!Y9*10.85%/12</f>
        <v>2.7125E-2</v>
      </c>
      <c r="AB25" s="34">
        <f>'Monthly BS'!Z9*10.85%/12</f>
        <v>2.7125E-2</v>
      </c>
      <c r="AC25" s="34">
        <f>'Monthly BS'!AA9*10.85%/12</f>
        <v>2.7125E-2</v>
      </c>
      <c r="AD25" s="34">
        <f>'Monthly BS'!AB9*10.85%/12</f>
        <v>2.7125E-2</v>
      </c>
      <c r="AE25" s="34">
        <f>'Monthly BS'!AC9*10.85%/12</f>
        <v>2.7125E-2</v>
      </c>
      <c r="AF25" s="34">
        <f>'Monthly BS'!AD9*10.85%/12</f>
        <v>2.7125E-2</v>
      </c>
      <c r="AG25" s="34">
        <f>'Monthly BS'!AE9*10.85%/12</f>
        <v>2.7125E-2</v>
      </c>
      <c r="AH25" s="34">
        <f>'Monthly BS'!AF9*10.85%/12</f>
        <v>2.7125E-2</v>
      </c>
      <c r="AI25" s="34">
        <f>'Monthly BS'!AG9*10.85%/12</f>
        <v>2.7125E-2</v>
      </c>
      <c r="AJ25" s="34">
        <f>'Monthly BS'!AH9*10.85%/12</f>
        <v>0</v>
      </c>
      <c r="AK25" s="34">
        <f>'Monthly BS'!AI9*10.85%/12</f>
        <v>0</v>
      </c>
      <c r="AL25" s="34">
        <f>'Monthly BS'!AJ9*10.85%/12</f>
        <v>0</v>
      </c>
      <c r="AM25" s="34">
        <f>'Monthly BS'!AK9*10.85%/12</f>
        <v>0</v>
      </c>
      <c r="AN25" s="34">
        <f>'Monthly BS'!AL9*10.85%/12</f>
        <v>0</v>
      </c>
      <c r="AO25" s="34">
        <f>'Monthly BS'!AM9*10.85%/12</f>
        <v>0</v>
      </c>
      <c r="AP25" s="34">
        <f>'Monthly BS'!AN9*10.85%/12</f>
        <v>0</v>
      </c>
      <c r="AQ25" s="34">
        <f>'Monthly BS'!AO9*10.85%/12</f>
        <v>0</v>
      </c>
      <c r="AR25" s="34">
        <f>'Monthly BS'!AP9*10.85%/12</f>
        <v>0</v>
      </c>
      <c r="AS25" s="34">
        <f>'Monthly BS'!AQ9*10.85%/12</f>
        <v>0</v>
      </c>
      <c r="AT25" s="34">
        <f>'Monthly BS'!AR9*10.85%/12</f>
        <v>0</v>
      </c>
      <c r="AU25" s="34">
        <f>'Monthly BS'!AS9*10.85%/12</f>
        <v>0</v>
      </c>
      <c r="AV25" s="34">
        <f>'Monthly BS'!AT9*10.85%/12</f>
        <v>0</v>
      </c>
      <c r="AW25" s="34">
        <f>'Monthly BS'!AU9*10.85%/12</f>
        <v>0</v>
      </c>
      <c r="AX25" s="34">
        <f>'Monthly BS'!AV9*10.85%/12</f>
        <v>0</v>
      </c>
      <c r="AY25" s="34">
        <f>'Monthly BS'!AW9*10.85%/12</f>
        <v>0</v>
      </c>
      <c r="AZ25" s="34">
        <f>'Monthly BS'!AX9*10.85%/12</f>
        <v>0</v>
      </c>
      <c r="BA25" s="34">
        <f>'Monthly BS'!AY9*10.85%/12</f>
        <v>0</v>
      </c>
      <c r="BB25" s="34">
        <f>'Monthly BS'!AZ9*10.85%/12</f>
        <v>0</v>
      </c>
      <c r="BC25" s="34">
        <f>'Monthly BS'!BA9*10.85%/12</f>
        <v>0</v>
      </c>
      <c r="BD25" s="34">
        <f>'Monthly BS'!BB9*10.85%/12</f>
        <v>0</v>
      </c>
      <c r="BE25" s="34">
        <f>'Monthly BS'!BC9*10.85%/12</f>
        <v>0</v>
      </c>
      <c r="BF25" s="34">
        <f>'Monthly BS'!BD9*10.85%/12</f>
        <v>0</v>
      </c>
      <c r="BG25" s="34">
        <f>'Monthly BS'!BE9*10.85%/12</f>
        <v>0</v>
      </c>
      <c r="BH25" s="34">
        <f>'Monthly BS'!BF9*10.85%/12</f>
        <v>0</v>
      </c>
      <c r="BI25" s="34">
        <f>'Monthly BS'!BG9*10.85%/12</f>
        <v>0</v>
      </c>
      <c r="BJ25" s="34">
        <f>'Monthly BS'!BH9*10.85%/12</f>
        <v>0</v>
      </c>
      <c r="BK25" s="34">
        <f>'Monthly BS'!BI9*10.85%/12</f>
        <v>0</v>
      </c>
      <c r="BL25" s="34">
        <f>'Monthly BS'!BJ9*10.85%/12</f>
        <v>0</v>
      </c>
      <c r="BM25" s="34">
        <f>'Monthly BS'!BK9*10.85%/12</f>
        <v>0</v>
      </c>
      <c r="BN25" s="34">
        <f>'Monthly BS'!BL9*10.85%/12</f>
        <v>0</v>
      </c>
      <c r="BO25" s="34">
        <f>'Monthly BS'!BM9*10.85%/12</f>
        <v>0</v>
      </c>
      <c r="BP25" s="34">
        <f>'Monthly BS'!BN9*10.85%/12</f>
        <v>0</v>
      </c>
      <c r="BQ25" s="34">
        <f>'Monthly BS'!BO9*10.85%/12</f>
        <v>0</v>
      </c>
      <c r="BR25" s="34">
        <f>'Monthly BS'!BP9*10.85%/12</f>
        <v>0</v>
      </c>
      <c r="BS25" s="34">
        <f>'Monthly BS'!BQ9*10.85%/12</f>
        <v>0</v>
      </c>
      <c r="BT25" s="34">
        <f>'Monthly BS'!BR9*10.85%/12</f>
        <v>0</v>
      </c>
      <c r="BU25" s="34">
        <f>'Monthly BS'!BS9*10.85%/12</f>
        <v>0</v>
      </c>
      <c r="BV25" s="34">
        <f>'Monthly BS'!BT9*10.85%/12</f>
        <v>0</v>
      </c>
      <c r="BW25" s="34">
        <f>'Monthly BS'!BU9*10.85%/12</f>
        <v>0</v>
      </c>
      <c r="BX25" s="34">
        <f>'Monthly BS'!BV9*10.85%/12</f>
        <v>0</v>
      </c>
      <c r="BY25" s="34">
        <f>'Monthly BS'!BW9*10.85%/12</f>
        <v>0</v>
      </c>
      <c r="BZ25" s="34">
        <f>'Monthly BS'!BX9*10.85%/12</f>
        <v>0</v>
      </c>
      <c r="CA25" s="34">
        <f>'Monthly BS'!BY9*10.85%/12</f>
        <v>0</v>
      </c>
      <c r="CB25" s="34">
        <f>'Monthly BS'!BZ9*10.85%/12</f>
        <v>0</v>
      </c>
      <c r="CC25" s="34">
        <f>'Monthly BS'!CA9*10.85%/12</f>
        <v>0</v>
      </c>
      <c r="CD25" s="34">
        <f>'Monthly BS'!CB9*10.85%/12</f>
        <v>0</v>
      </c>
      <c r="CE25" s="34">
        <f>'Monthly BS'!CC9*10.85%/12</f>
        <v>0</v>
      </c>
      <c r="CF25" s="34">
        <f>'Monthly BS'!CD9*10.85%/12</f>
        <v>0</v>
      </c>
      <c r="CG25" s="34">
        <f>'Monthly BS'!CE9*10.85%/12</f>
        <v>0</v>
      </c>
      <c r="CH25" s="34">
        <f>'Monthly BS'!CF9*10.85%/12</f>
        <v>0</v>
      </c>
      <c r="CI25" s="34">
        <f>'Monthly BS'!CG9*10.85%/12</f>
        <v>0</v>
      </c>
      <c r="CJ25" s="34">
        <f>'Monthly BS'!CH9*10.85%/12</f>
        <v>0</v>
      </c>
      <c r="CK25" s="34">
        <f>'Monthly BS'!CI9*10.85%/12</f>
        <v>0</v>
      </c>
      <c r="CL25" s="34">
        <f>'Monthly BS'!CJ9*10.85%/12</f>
        <v>0</v>
      </c>
      <c r="CM25" s="34">
        <f>'Monthly BS'!CK9*10.85%/12</f>
        <v>0</v>
      </c>
      <c r="CN25" s="34">
        <f>'Monthly BS'!CL9*10.85%/12</f>
        <v>0</v>
      </c>
      <c r="CO25" s="34">
        <f>'Monthly BS'!CM9*10.85%/12</f>
        <v>0</v>
      </c>
      <c r="CP25" s="34">
        <f>'Monthly BS'!CN9*10.85%/12</f>
        <v>0</v>
      </c>
      <c r="CQ25" s="34">
        <f>'Monthly BS'!CO9*10.85%/12</f>
        <v>0</v>
      </c>
      <c r="CR25" s="34">
        <f>'Monthly BS'!CP9*10.85%/12</f>
        <v>0</v>
      </c>
      <c r="CS25" s="34">
        <f>'Monthly BS'!CQ9*10.85%/12</f>
        <v>0</v>
      </c>
      <c r="CT25" s="34">
        <f>'Monthly BS'!CR9*10.85%/12</f>
        <v>0</v>
      </c>
      <c r="CU25" s="34">
        <f>'Monthly BS'!CS9*10.85%/12</f>
        <v>0</v>
      </c>
      <c r="CV25" s="34">
        <f>'Monthly BS'!CT9*10.85%/12</f>
        <v>0</v>
      </c>
      <c r="CW25" s="34">
        <f>'Monthly BS'!CU9*10.85%/12</f>
        <v>0</v>
      </c>
      <c r="CX25" s="34">
        <f>'Monthly BS'!CV9*10.85%/12</f>
        <v>0</v>
      </c>
      <c r="CY25" s="34">
        <f>'Monthly BS'!CW9*10.85%/12</f>
        <v>0</v>
      </c>
      <c r="CZ25" s="34">
        <f>'Monthly BS'!CX9*10.85%/12</f>
        <v>0</v>
      </c>
      <c r="DA25" s="34">
        <f>'Monthly BS'!CY9*10.85%/12</f>
        <v>0</v>
      </c>
      <c r="DB25" s="34">
        <f>'Monthly BS'!CZ9*10.85%/12</f>
        <v>0</v>
      </c>
      <c r="DC25" s="34">
        <f>'Monthly BS'!DA9*10.85%/12</f>
        <v>0</v>
      </c>
    </row>
    <row r="26" spans="1:107">
      <c r="A26" s="25" t="s">
        <v>113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34">
        <v>0</v>
      </c>
      <c r="H26" s="34">
        <v>0</v>
      </c>
      <c r="I26" s="34">
        <v>0</v>
      </c>
      <c r="J26" s="34">
        <v>0</v>
      </c>
      <c r="K26" s="34">
        <f>32*10%</f>
        <v>3.2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0</v>
      </c>
      <c r="S26" s="34">
        <v>0</v>
      </c>
      <c r="T26" s="34">
        <v>0</v>
      </c>
      <c r="U26" s="34">
        <v>0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0</v>
      </c>
      <c r="AH26" s="34">
        <v>0</v>
      </c>
      <c r="AI26" s="34">
        <v>0</v>
      </c>
      <c r="AJ26" s="34">
        <v>0</v>
      </c>
      <c r="AK26" s="34">
        <v>0</v>
      </c>
      <c r="AL26" s="34">
        <v>0</v>
      </c>
      <c r="AM26" s="34">
        <v>0</v>
      </c>
      <c r="AN26" s="34">
        <v>0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0</v>
      </c>
      <c r="AX26" s="34">
        <v>0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0</v>
      </c>
      <c r="BH26" s="34">
        <v>0</v>
      </c>
      <c r="BI26" s="34">
        <v>0</v>
      </c>
      <c r="BJ26" s="34">
        <v>0</v>
      </c>
      <c r="BK26" s="34">
        <v>0</v>
      </c>
      <c r="BL26" s="34">
        <v>0</v>
      </c>
      <c r="BM26" s="34">
        <v>0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4">
        <v>0</v>
      </c>
      <c r="BW26" s="34">
        <v>0</v>
      </c>
      <c r="BX26" s="34">
        <v>0</v>
      </c>
      <c r="BY26" s="34">
        <v>0</v>
      </c>
      <c r="BZ26" s="34">
        <v>0</v>
      </c>
      <c r="CA26" s="34">
        <v>0</v>
      </c>
      <c r="CB26" s="34">
        <v>0</v>
      </c>
      <c r="CC26" s="34">
        <v>0</v>
      </c>
      <c r="CD26" s="34">
        <v>0</v>
      </c>
      <c r="CE26" s="34">
        <v>0</v>
      </c>
      <c r="CF26" s="34">
        <v>0</v>
      </c>
      <c r="CG26" s="34">
        <v>0</v>
      </c>
      <c r="CH26" s="34">
        <v>0</v>
      </c>
      <c r="CI26" s="34">
        <v>0</v>
      </c>
      <c r="CJ26" s="34">
        <v>0</v>
      </c>
      <c r="CK26" s="34">
        <v>0</v>
      </c>
      <c r="CL26" s="34">
        <v>0</v>
      </c>
      <c r="CM26" s="34">
        <v>0</v>
      </c>
      <c r="CN26" s="34">
        <v>0</v>
      </c>
      <c r="CO26" s="34">
        <v>0</v>
      </c>
      <c r="CP26" s="34">
        <v>0</v>
      </c>
      <c r="CQ26" s="34">
        <v>0</v>
      </c>
      <c r="CR26" s="34">
        <v>0</v>
      </c>
      <c r="CS26" s="34">
        <v>0</v>
      </c>
      <c r="CT26" s="34">
        <v>0</v>
      </c>
      <c r="CU26" s="34">
        <v>0</v>
      </c>
      <c r="CV26" s="34">
        <v>0</v>
      </c>
      <c r="CW26" s="34">
        <f>'Monthly BS'!CU10*10.85%/12</f>
        <v>0</v>
      </c>
      <c r="CX26" s="34">
        <v>0</v>
      </c>
      <c r="CY26" s="34">
        <v>0</v>
      </c>
      <c r="CZ26" s="34">
        <v>0</v>
      </c>
      <c r="DA26" s="34">
        <v>0</v>
      </c>
      <c r="DB26" s="34">
        <v>0</v>
      </c>
      <c r="DC26" s="34">
        <v>0</v>
      </c>
    </row>
    <row r="27" spans="1:107" s="34" customFormat="1">
      <c r="A27" s="25" t="s">
        <v>114</v>
      </c>
      <c r="B27" s="34">
        <v>0.03</v>
      </c>
      <c r="C27" s="34">
        <v>0.01</v>
      </c>
      <c r="D27" s="34">
        <f>'Monthly BS'!C15*0.9%</f>
        <v>2.6100000000000002E-2</v>
      </c>
      <c r="E27" s="34">
        <f>'Monthly BS'!D15*0.9%</f>
        <v>2.6100000000000002E-2</v>
      </c>
      <c r="F27" s="34">
        <f>'Monthly BS'!E15*0.9%</f>
        <v>2.6100000000000002E-2</v>
      </c>
      <c r="G27" s="34">
        <f>'Monthly BS'!F15*0.9%</f>
        <v>2.6100000000000002E-2</v>
      </c>
      <c r="H27" s="34">
        <f>'Monthly BS'!G15*0.9%</f>
        <v>2.6100000000000002E-2</v>
      </c>
      <c r="I27" s="34">
        <f>'Monthly BS'!H15*0.9%</f>
        <v>2.6100000000000002E-2</v>
      </c>
      <c r="J27" s="34">
        <f>'Monthly BS'!I15*0.9%</f>
        <v>2.6100000000000002E-2</v>
      </c>
      <c r="K27" s="34">
        <f>'Monthly BS'!J15*0.9%</f>
        <v>2.6100000000000002E-2</v>
      </c>
      <c r="L27" s="34">
        <f>'Monthly BS'!K15*0.9%</f>
        <v>2.6100000000000002E-2</v>
      </c>
      <c r="M27" s="34">
        <f>'Monthly BS'!L15*0.9%</f>
        <v>2.6100000000000002E-2</v>
      </c>
      <c r="N27" s="34">
        <f>'Monthly BS'!M15*0.9%</f>
        <v>2.6100000000000002E-2</v>
      </c>
      <c r="O27" s="34">
        <f>'Monthly BS'!N15*0.9%</f>
        <v>2.6100000000000002E-2</v>
      </c>
      <c r="P27" s="34">
        <f>'Monthly BS'!O15*0.9%</f>
        <v>2.6100000000000002E-2</v>
      </c>
      <c r="Q27" s="34">
        <f>'Monthly BS'!P15*0.9%</f>
        <v>2.6100000000000002E-2</v>
      </c>
      <c r="R27" s="34">
        <f>'Monthly BS'!Q15*0.9%</f>
        <v>2.6100000000000002E-2</v>
      </c>
      <c r="S27" s="34">
        <f>'Monthly BS'!R15*0.9%</f>
        <v>2.6100000000000002E-2</v>
      </c>
      <c r="T27" s="34">
        <f>'Monthly BS'!S15*0.9%</f>
        <v>0</v>
      </c>
      <c r="U27" s="34">
        <f>'Monthly BS'!T15*0.9%</f>
        <v>0</v>
      </c>
      <c r="V27" s="34">
        <f>'Monthly BS'!U15*0.9%</f>
        <v>0</v>
      </c>
      <c r="W27" s="34">
        <f>'Monthly BS'!V15*0.9%</f>
        <v>0</v>
      </c>
      <c r="X27" s="34">
        <f>'Monthly BS'!W15*0.9%</f>
        <v>0</v>
      </c>
      <c r="Y27" s="34">
        <f>'Monthly BS'!X15*0.9%</f>
        <v>0</v>
      </c>
      <c r="Z27" s="34">
        <f>'Monthly BS'!Y15*0.9%</f>
        <v>0</v>
      </c>
      <c r="AA27" s="34">
        <f>'Monthly BS'!Z15*0.9%</f>
        <v>0</v>
      </c>
      <c r="AB27" s="34">
        <f>'Monthly BS'!AA15*0.9%</f>
        <v>0</v>
      </c>
      <c r="AC27" s="34">
        <f>'Monthly BS'!AB15*0.9%</f>
        <v>0</v>
      </c>
      <c r="AD27" s="34">
        <f>'Monthly BS'!AC15*0.9%</f>
        <v>0</v>
      </c>
      <c r="AE27" s="34">
        <f>'Monthly BS'!AD15*0.9%</f>
        <v>0</v>
      </c>
      <c r="AF27" s="34">
        <f>'Monthly BS'!AE15*0.9%</f>
        <v>0</v>
      </c>
      <c r="AG27" s="34">
        <f>'Monthly BS'!AF15*0.9%</f>
        <v>0</v>
      </c>
      <c r="AH27" s="34">
        <f>'Monthly BS'!AG15*0.9%</f>
        <v>0</v>
      </c>
      <c r="AI27" s="34">
        <f>'Monthly BS'!AH15*0.9%</f>
        <v>0</v>
      </c>
      <c r="AJ27" s="34">
        <f>'Monthly BS'!AI15*0.9%</f>
        <v>0</v>
      </c>
      <c r="AK27" s="34">
        <f>'Monthly BS'!AJ15*0.9%</f>
        <v>0</v>
      </c>
      <c r="AL27" s="34">
        <f>'Monthly BS'!AK15*0.9%</f>
        <v>0</v>
      </c>
      <c r="AM27" s="34">
        <f>'Monthly BS'!AL15*0.9%</f>
        <v>0</v>
      </c>
      <c r="AN27" s="34">
        <f>'Monthly BS'!AM15*0.9%</f>
        <v>0</v>
      </c>
      <c r="AO27" s="34">
        <f>'Monthly BS'!AN15*0.9%</f>
        <v>0</v>
      </c>
      <c r="AP27" s="34">
        <f>'Monthly BS'!AO15*0.9%</f>
        <v>0</v>
      </c>
      <c r="AQ27" s="34">
        <f>'Monthly BS'!AP15*0.9%</f>
        <v>0</v>
      </c>
      <c r="AR27" s="34">
        <f>'Monthly BS'!AQ15*0.9%</f>
        <v>0</v>
      </c>
      <c r="AS27" s="34">
        <f>'Monthly BS'!AR15*0.9%</f>
        <v>0</v>
      </c>
      <c r="AT27" s="34">
        <f>'Monthly BS'!AS15*0.9%</f>
        <v>0</v>
      </c>
      <c r="AU27" s="34">
        <f>'Monthly BS'!AT15*0.9%</f>
        <v>0</v>
      </c>
      <c r="AV27" s="34">
        <f>'Monthly BS'!AU15*0.9%</f>
        <v>0</v>
      </c>
      <c r="AW27" s="34">
        <f>'Monthly BS'!AV15*0.9%</f>
        <v>0</v>
      </c>
      <c r="AX27" s="34">
        <f>'Monthly BS'!AW15*0.9%</f>
        <v>0</v>
      </c>
      <c r="AY27" s="34">
        <f>'Monthly BS'!AX15*0.9%</f>
        <v>0</v>
      </c>
      <c r="AZ27" s="34">
        <f>'Monthly BS'!AY15*0.9%</f>
        <v>0</v>
      </c>
      <c r="BA27" s="34">
        <f>'Monthly BS'!AZ15*0.9%</f>
        <v>0</v>
      </c>
      <c r="BB27" s="34">
        <f>'Monthly BS'!BA15*0.9%</f>
        <v>0</v>
      </c>
      <c r="BC27" s="34">
        <f>'Monthly BS'!BB15*0.9%</f>
        <v>0</v>
      </c>
      <c r="BD27" s="34">
        <f>'Monthly BS'!BC15*0.9%</f>
        <v>0</v>
      </c>
      <c r="BE27" s="34">
        <f>'Monthly BS'!BD15*0.9%</f>
        <v>0</v>
      </c>
      <c r="BF27" s="34">
        <f>'Monthly BS'!BE15*0.9%</f>
        <v>0</v>
      </c>
      <c r="BG27" s="34">
        <f>'Monthly BS'!BF15*0.9%</f>
        <v>0</v>
      </c>
      <c r="BH27" s="34">
        <f>'Monthly BS'!BG15*0.9%</f>
        <v>0</v>
      </c>
      <c r="BI27" s="34">
        <f>'Monthly BS'!BH15*0.9%</f>
        <v>0</v>
      </c>
      <c r="BJ27" s="34">
        <f>'Monthly BS'!BI15*0.9%</f>
        <v>0</v>
      </c>
      <c r="BK27" s="34">
        <f>'Monthly BS'!BJ15*0.9%</f>
        <v>0</v>
      </c>
      <c r="BL27" s="34">
        <f>'Monthly BS'!BK15*0.9%</f>
        <v>0</v>
      </c>
      <c r="BM27" s="34">
        <f>'Monthly BS'!BL15*0.9%</f>
        <v>0</v>
      </c>
      <c r="BN27" s="34">
        <f>'Monthly BS'!BM15*0.9%</f>
        <v>0</v>
      </c>
      <c r="BO27" s="34">
        <f>'Monthly BS'!BN15*0.9%</f>
        <v>0</v>
      </c>
      <c r="BP27" s="34">
        <f>'Monthly BS'!BO15*0.9%</f>
        <v>0</v>
      </c>
      <c r="BQ27" s="34">
        <f>'Monthly BS'!BP15*0.9%</f>
        <v>0</v>
      </c>
      <c r="BR27" s="34">
        <f>'Monthly BS'!BQ15*0.9%</f>
        <v>0</v>
      </c>
      <c r="BS27" s="34">
        <f>'Monthly BS'!BR15*0.9%</f>
        <v>0</v>
      </c>
      <c r="BT27" s="34">
        <f>'Monthly BS'!BS15*0.9%</f>
        <v>0</v>
      </c>
      <c r="BU27" s="34">
        <f>'Monthly BS'!BT15*0.9%</f>
        <v>0</v>
      </c>
      <c r="BV27" s="34">
        <f>'Monthly BS'!BU15*0.9%</f>
        <v>0</v>
      </c>
      <c r="BW27" s="34">
        <f>'Monthly BS'!BV15*0.9%</f>
        <v>0</v>
      </c>
      <c r="BX27" s="34">
        <f>'Monthly BS'!BW15*0.9%</f>
        <v>0</v>
      </c>
      <c r="BY27" s="34">
        <f>'Monthly BS'!BX15*0.9%</f>
        <v>0</v>
      </c>
      <c r="BZ27" s="34">
        <f>'Monthly BS'!BY15*0.9%</f>
        <v>0</v>
      </c>
      <c r="CA27" s="34">
        <f>'Monthly BS'!BZ15*0.9%</f>
        <v>0</v>
      </c>
      <c r="CB27" s="34">
        <f>'Monthly BS'!CA15*0.9%</f>
        <v>0</v>
      </c>
      <c r="CC27" s="34">
        <f>'Monthly BS'!CB15*0.9%</f>
        <v>0</v>
      </c>
      <c r="CD27" s="34">
        <f>'Monthly BS'!CC15*0.9%</f>
        <v>0</v>
      </c>
      <c r="CE27" s="34">
        <f>'Monthly BS'!CD15*0.9%</f>
        <v>0</v>
      </c>
      <c r="CF27" s="34">
        <f>'Monthly BS'!CE15*0.9%</f>
        <v>0</v>
      </c>
      <c r="CG27" s="34">
        <f>'Monthly BS'!CF15*0.9%</f>
        <v>0</v>
      </c>
      <c r="CH27" s="34">
        <f>'Monthly BS'!CG15*0.9%</f>
        <v>0</v>
      </c>
      <c r="CI27" s="34">
        <f>'Monthly BS'!CH15*0.9%</f>
        <v>0</v>
      </c>
      <c r="CJ27" s="34">
        <f>'Monthly BS'!CI15*0.9%</f>
        <v>0</v>
      </c>
      <c r="CK27" s="34">
        <f>'Monthly BS'!CJ15*0.9%</f>
        <v>0</v>
      </c>
      <c r="CL27" s="34">
        <f>'Monthly BS'!CK15*0.9%</f>
        <v>0</v>
      </c>
      <c r="CM27" s="34">
        <f>'Monthly BS'!CL15*0.9%</f>
        <v>0</v>
      </c>
      <c r="CN27" s="34">
        <f>'Monthly BS'!CM15*0.9%</f>
        <v>0</v>
      </c>
      <c r="CO27" s="34">
        <f>'Monthly BS'!CN15*0.9%</f>
        <v>0</v>
      </c>
      <c r="CP27" s="34">
        <f>'Monthly BS'!CO15*0.9%</f>
        <v>0</v>
      </c>
      <c r="CQ27" s="34">
        <f>'Monthly BS'!CP15*0.9%</f>
        <v>0</v>
      </c>
      <c r="CR27" s="34">
        <f>'Monthly BS'!CQ15*0.9%</f>
        <v>0</v>
      </c>
      <c r="CS27" s="34">
        <f>'Monthly BS'!CR15*0.9%</f>
        <v>0</v>
      </c>
      <c r="CT27" s="34">
        <f>'Monthly BS'!CS15*0.9%</f>
        <v>0</v>
      </c>
      <c r="CU27" s="34">
        <f>'Monthly BS'!CT15*0.9%</f>
        <v>0</v>
      </c>
      <c r="CV27" s="34">
        <f>'Monthly BS'!CU15*0.9%</f>
        <v>0</v>
      </c>
      <c r="CW27" s="34">
        <f>'Monthly BS'!CV15*0.9%</f>
        <v>0</v>
      </c>
      <c r="CX27" s="34">
        <f>'Monthly BS'!CW15*0.9%</f>
        <v>0</v>
      </c>
      <c r="CY27" s="34">
        <f>'Monthly BS'!CX15*0.9%</f>
        <v>0</v>
      </c>
      <c r="CZ27" s="34">
        <f>'Monthly BS'!CY15*0.9%</f>
        <v>0</v>
      </c>
      <c r="DA27" s="34">
        <f>'Monthly BS'!CZ15*0.9%</f>
        <v>0</v>
      </c>
      <c r="DB27" s="34">
        <f>'Monthly BS'!DA15*0.9%</f>
        <v>0</v>
      </c>
      <c r="DC27" s="34">
        <f>'Monthly BS'!DB15*0.9%</f>
        <v>0</v>
      </c>
    </row>
    <row r="28" spans="1:107" hidden="1">
      <c r="A28" s="25"/>
      <c r="B28" s="34">
        <f>Debt!B25*2.45%/12*3</f>
        <v>0</v>
      </c>
      <c r="C28" s="34">
        <f>Debt!B25*2.45%/12</f>
        <v>0</v>
      </c>
      <c r="D28" s="34">
        <f>Debt!C25*2.45%/12</f>
        <v>0.18130000000000002</v>
      </c>
      <c r="E28" s="34">
        <f>Debt!D25*2.45%/12</f>
        <v>0.16003770245842372</v>
      </c>
      <c r="F28" s="34">
        <f>Debt!E25*2.45%/12</f>
        <v>0.16003770245842372</v>
      </c>
      <c r="G28" s="34">
        <f>Debt!F25*2.45%/12</f>
        <v>0.16003770245842372</v>
      </c>
      <c r="H28" s="34">
        <f>Debt!G25*2.45%/12</f>
        <v>0.16003770245842372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4">
        <v>0</v>
      </c>
      <c r="O28" s="34">
        <v>0</v>
      </c>
      <c r="P28" s="34">
        <v>0</v>
      </c>
      <c r="Q28" s="34">
        <v>0</v>
      </c>
      <c r="R28" s="34">
        <v>0</v>
      </c>
      <c r="S28" s="34">
        <v>0</v>
      </c>
      <c r="T28" s="34">
        <v>0</v>
      </c>
      <c r="U28" s="34">
        <v>0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0</v>
      </c>
      <c r="AH28" s="34">
        <v>0</v>
      </c>
      <c r="AI28" s="34">
        <v>0</v>
      </c>
      <c r="AJ28" s="34">
        <v>0</v>
      </c>
      <c r="AK28" s="34">
        <v>0</v>
      </c>
      <c r="AL28" s="34">
        <v>0</v>
      </c>
      <c r="AM28" s="34">
        <v>0</v>
      </c>
      <c r="AN28" s="34">
        <v>0</v>
      </c>
      <c r="AO28" s="34">
        <v>0</v>
      </c>
      <c r="AP28" s="34">
        <v>0</v>
      </c>
      <c r="AQ28" s="34">
        <v>0</v>
      </c>
      <c r="AR28" s="34">
        <v>0</v>
      </c>
      <c r="AS28" s="34">
        <v>0</v>
      </c>
      <c r="AT28" s="34">
        <v>0</v>
      </c>
      <c r="AU28" s="34">
        <v>0</v>
      </c>
      <c r="AV28" s="34">
        <v>0</v>
      </c>
      <c r="AW28" s="34">
        <v>0</v>
      </c>
      <c r="AX28" s="34">
        <v>0</v>
      </c>
      <c r="AY28" s="34">
        <v>0</v>
      </c>
      <c r="AZ28" s="34">
        <v>0</v>
      </c>
      <c r="BA28" s="34">
        <v>0</v>
      </c>
      <c r="BB28" s="34">
        <v>0</v>
      </c>
      <c r="BC28" s="34">
        <v>0</v>
      </c>
      <c r="BD28" s="34">
        <v>0</v>
      </c>
      <c r="BE28" s="34">
        <v>0</v>
      </c>
      <c r="BF28" s="34">
        <v>0</v>
      </c>
      <c r="BG28" s="34">
        <v>0</v>
      </c>
      <c r="BH28" s="34">
        <v>0</v>
      </c>
      <c r="BI28" s="34">
        <v>0</v>
      </c>
      <c r="BJ28" s="34">
        <v>0</v>
      </c>
      <c r="BK28" s="34">
        <v>0</v>
      </c>
      <c r="BL28" s="34">
        <v>0</v>
      </c>
      <c r="BM28" s="34">
        <v>0</v>
      </c>
      <c r="BN28" s="34">
        <v>0</v>
      </c>
      <c r="BO28" s="34">
        <v>0</v>
      </c>
      <c r="BP28" s="34">
        <v>0</v>
      </c>
      <c r="BQ28" s="34">
        <v>0</v>
      </c>
      <c r="BR28" s="34">
        <v>0</v>
      </c>
      <c r="BS28" s="34">
        <v>0</v>
      </c>
      <c r="BT28" s="34">
        <v>0</v>
      </c>
      <c r="BU28" s="34">
        <v>0</v>
      </c>
      <c r="BV28" s="34">
        <v>0</v>
      </c>
      <c r="BW28" s="34">
        <v>0</v>
      </c>
      <c r="BX28" s="34">
        <v>0</v>
      </c>
      <c r="BY28" s="34">
        <v>0</v>
      </c>
      <c r="BZ28" s="34">
        <v>0</v>
      </c>
      <c r="CA28" s="34">
        <v>0</v>
      </c>
      <c r="CB28" s="34">
        <v>0</v>
      </c>
      <c r="CC28" s="34">
        <v>0</v>
      </c>
      <c r="CD28" s="34">
        <v>0</v>
      </c>
      <c r="CE28" s="34">
        <v>0</v>
      </c>
      <c r="CF28" s="34">
        <v>0</v>
      </c>
      <c r="CG28" s="34">
        <v>0</v>
      </c>
      <c r="CH28" s="34">
        <v>0</v>
      </c>
      <c r="CI28" s="34">
        <v>0</v>
      </c>
      <c r="CJ28" s="34">
        <v>0</v>
      </c>
      <c r="CK28" s="34">
        <v>0</v>
      </c>
      <c r="CL28" s="34">
        <v>0</v>
      </c>
      <c r="CM28" s="34">
        <v>0</v>
      </c>
      <c r="CN28" s="34">
        <v>0</v>
      </c>
      <c r="CO28" s="34">
        <v>0</v>
      </c>
      <c r="CP28" s="34">
        <v>0</v>
      </c>
      <c r="CQ28" s="34">
        <v>0</v>
      </c>
      <c r="CR28" s="34">
        <v>0</v>
      </c>
      <c r="CS28" s="34">
        <v>0</v>
      </c>
      <c r="CT28" s="34">
        <v>0</v>
      </c>
      <c r="CU28" s="34">
        <v>0</v>
      </c>
      <c r="CV28" s="34">
        <v>0</v>
      </c>
      <c r="CW28" s="34">
        <v>0</v>
      </c>
      <c r="CX28" s="34">
        <v>0</v>
      </c>
      <c r="CY28" s="34">
        <v>0</v>
      </c>
      <c r="CZ28" s="34">
        <v>0</v>
      </c>
      <c r="DA28" s="34">
        <v>0</v>
      </c>
      <c r="DB28" s="34">
        <v>0</v>
      </c>
      <c r="DC28" s="34">
        <v>0</v>
      </c>
    </row>
    <row r="29" spans="1:107" ht="12.75" thickBot="1">
      <c r="A29" s="7" t="s">
        <v>115</v>
      </c>
      <c r="B29" s="36">
        <f t="shared" ref="B29:AG29" si="21">B22-SUM(B23:B28)</f>
        <v>2.143250000000001</v>
      </c>
      <c r="C29" s="36">
        <f t="shared" si="21"/>
        <v>1.058503217767742</v>
      </c>
      <c r="D29" s="36">
        <f t="shared" si="21"/>
        <v>3.0005732600330515E-2</v>
      </c>
      <c r="E29" s="36">
        <f t="shared" si="21"/>
        <v>2.6015327440102451</v>
      </c>
      <c r="F29" s="36">
        <f t="shared" si="21"/>
        <v>-7.3542724776560597E-2</v>
      </c>
      <c r="G29" s="36">
        <f t="shared" si="21"/>
        <v>1.4949383173582731</v>
      </c>
      <c r="H29" s="36">
        <f t="shared" si="21"/>
        <v>-0.13309501256404471</v>
      </c>
      <c r="I29" s="36">
        <f t="shared" si="21"/>
        <v>2.3679009798198756</v>
      </c>
      <c r="J29" s="36">
        <f t="shared" si="21"/>
        <v>1.2431416354685481</v>
      </c>
      <c r="K29" s="36">
        <f t="shared" si="21"/>
        <v>-1.7338312540231748</v>
      </c>
      <c r="L29" s="36">
        <f t="shared" si="21"/>
        <v>-2.0518569533296525</v>
      </c>
      <c r="M29" s="36">
        <f t="shared" si="21"/>
        <v>-4.7816456531391438E-2</v>
      </c>
      <c r="N29" s="36">
        <f t="shared" si="21"/>
        <v>-2.2789051913380276</v>
      </c>
      <c r="O29" s="36">
        <f t="shared" si="21"/>
        <v>0.86290594446297719</v>
      </c>
      <c r="P29" s="36">
        <f t="shared" si="21"/>
        <v>-1.7550124600421819</v>
      </c>
      <c r="Q29" s="36">
        <f t="shared" si="21"/>
        <v>0.73876002143968034</v>
      </c>
      <c r="R29" s="36">
        <f t="shared" si="21"/>
        <v>-2.6898457753712837</v>
      </c>
      <c r="S29" s="36">
        <f t="shared" si="21"/>
        <v>0.35409731343203976</v>
      </c>
      <c r="T29" s="36">
        <f t="shared" si="21"/>
        <v>-2.8827702180476376</v>
      </c>
      <c r="U29" s="36">
        <f t="shared" si="21"/>
        <v>-8.505590901891269E-2</v>
      </c>
      <c r="V29" s="36">
        <f t="shared" si="21"/>
        <v>-3.3824794140987793</v>
      </c>
      <c r="W29" s="36">
        <f t="shared" si="21"/>
        <v>-30.759658119858237</v>
      </c>
      <c r="X29" s="36">
        <f t="shared" si="21"/>
        <v>-2.8078046496580797</v>
      </c>
      <c r="Y29" s="36">
        <f t="shared" si="21"/>
        <v>0.13545860107644714</v>
      </c>
      <c r="Z29" s="36">
        <f t="shared" si="21"/>
        <v>-2.8629908504084938</v>
      </c>
      <c r="AA29" s="36">
        <f t="shared" si="21"/>
        <v>114.49299609335608</v>
      </c>
      <c r="AB29" s="36">
        <f t="shared" si="21"/>
        <v>-2.5458891883865729</v>
      </c>
      <c r="AC29" s="36">
        <f t="shared" si="21"/>
        <v>1.1518113963725447</v>
      </c>
      <c r="AD29" s="36">
        <f t="shared" si="21"/>
        <v>-2.3083923414546996</v>
      </c>
      <c r="AE29" s="36">
        <f t="shared" si="21"/>
        <v>1.1611944867317676</v>
      </c>
      <c r="AF29" s="36">
        <f t="shared" si="21"/>
        <v>-2.4664728456678899</v>
      </c>
      <c r="AG29" s="36">
        <f t="shared" si="21"/>
        <v>1.6683654327655535</v>
      </c>
      <c r="AH29" s="36">
        <f t="shared" ref="AH29:BM29" si="22">AH22-SUM(AH23:AH28)</f>
        <v>0.77101831211189142</v>
      </c>
      <c r="AI29" s="36">
        <f t="shared" si="22"/>
        <v>-44.14686516496635</v>
      </c>
      <c r="AJ29" s="36">
        <f t="shared" si="22"/>
        <v>-1.8170717745575287</v>
      </c>
      <c r="AK29" s="36">
        <f t="shared" si="22"/>
        <v>1.363215046882055</v>
      </c>
      <c r="AL29" s="36">
        <f t="shared" si="22"/>
        <v>-1.8781580907133755</v>
      </c>
      <c r="AM29" s="36">
        <f t="shared" si="22"/>
        <v>1.9175074040148745</v>
      </c>
      <c r="AN29" s="36">
        <f t="shared" si="22"/>
        <v>-1.5063293742894537</v>
      </c>
      <c r="AO29" s="36">
        <f t="shared" si="22"/>
        <v>1.3854614414606656</v>
      </c>
      <c r="AP29" s="36">
        <f t="shared" si="22"/>
        <v>-1.6746532899208928</v>
      </c>
      <c r="AQ29" s="36">
        <f t="shared" si="22"/>
        <v>2.1209342550760182</v>
      </c>
      <c r="AR29" s="36">
        <f t="shared" si="22"/>
        <v>-1.7335388322489074</v>
      </c>
      <c r="AS29" s="36">
        <f t="shared" si="22"/>
        <v>2.4042996461325332</v>
      </c>
      <c r="AT29" s="36">
        <f t="shared" si="22"/>
        <v>-1.523590461312863</v>
      </c>
      <c r="AU29" s="36">
        <f t="shared" si="22"/>
        <v>-43.093154552366428</v>
      </c>
      <c r="AV29" s="36">
        <f t="shared" si="22"/>
        <v>-0.81675519136837127</v>
      </c>
      <c r="AW29" s="36">
        <f t="shared" si="22"/>
        <v>3.3983967893918319</v>
      </c>
      <c r="AX29" s="36">
        <f t="shared" si="22"/>
        <v>-0.88727084525280642</v>
      </c>
      <c r="AY29" s="36">
        <f t="shared" si="22"/>
        <v>3.92467273333307</v>
      </c>
      <c r="AZ29" s="36">
        <f t="shared" si="22"/>
        <v>-0.5028424654633552</v>
      </c>
      <c r="BA29" s="36">
        <f t="shared" si="22"/>
        <v>3.7092031239199685</v>
      </c>
      <c r="BB29" s="36">
        <f t="shared" si="22"/>
        <v>-0.73278047543200442</v>
      </c>
      <c r="BC29" s="36">
        <f t="shared" si="22"/>
        <v>3.955014639011464</v>
      </c>
      <c r="BD29" s="36">
        <f t="shared" si="22"/>
        <v>-0.7197431561959633</v>
      </c>
      <c r="BE29" s="36">
        <f t="shared" si="22"/>
        <v>4.259002413628779</v>
      </c>
      <c r="BF29" s="36">
        <f t="shared" si="22"/>
        <v>-0.81076545595690441</v>
      </c>
      <c r="BG29" s="36">
        <f t="shared" si="22"/>
        <v>-41.345864022387339</v>
      </c>
      <c r="BH29" s="36">
        <f t="shared" si="22"/>
        <v>-0.42819173946034295</v>
      </c>
      <c r="BI29" s="36">
        <f t="shared" si="22"/>
        <v>4.1480577423840517</v>
      </c>
      <c r="BJ29" s="36">
        <f t="shared" si="22"/>
        <v>-0.50418457939948169</v>
      </c>
      <c r="BK29" s="36">
        <f t="shared" si="22"/>
        <v>4.9201028534049982</v>
      </c>
      <c r="BL29" s="36">
        <f t="shared" si="22"/>
        <v>0.14388884615628861</v>
      </c>
      <c r="BM29" s="36">
        <f t="shared" si="22"/>
        <v>4.6735001816639237</v>
      </c>
      <c r="BN29" s="36">
        <f t="shared" ref="BN29:DC29" si="23">BN22-SUM(BN23:BN28)</f>
        <v>-0.20541138348700438</v>
      </c>
      <c r="BO29" s="36">
        <f t="shared" si="23"/>
        <v>4.7894065612848529</v>
      </c>
      <c r="BP29" s="36">
        <f t="shared" si="23"/>
        <v>-0.18359275565672262</v>
      </c>
      <c r="BQ29" s="36">
        <f t="shared" si="23"/>
        <v>5.0907853266305469</v>
      </c>
      <c r="BR29" s="36">
        <f t="shared" si="23"/>
        <v>-2.4387776110584567</v>
      </c>
      <c r="BS29" s="36">
        <f t="shared" si="23"/>
        <v>-40.75779311109541</v>
      </c>
      <c r="BT29" s="36">
        <f t="shared" si="23"/>
        <v>-0.5217869049863173</v>
      </c>
      <c r="BU29" s="36">
        <f t="shared" si="23"/>
        <v>4.4019177224921435</v>
      </c>
      <c r="BV29" s="36">
        <f t="shared" si="23"/>
        <v>-0.85306775177379612</v>
      </c>
      <c r="BW29" s="36">
        <f t="shared" si="23"/>
        <v>4.9230033422452184</v>
      </c>
      <c r="BX29" s="36">
        <f t="shared" si="23"/>
        <v>-0.44695181125429939</v>
      </c>
      <c r="BY29" s="36">
        <f t="shared" si="23"/>
        <v>4.6607079883996274</v>
      </c>
      <c r="BZ29" s="36">
        <f t="shared" si="23"/>
        <v>-0.69253514721939413</v>
      </c>
      <c r="CA29" s="36">
        <f t="shared" si="23"/>
        <v>4.8910085157754359</v>
      </c>
      <c r="CB29" s="36">
        <f t="shared" si="23"/>
        <v>-0.64518006435388831</v>
      </c>
      <c r="CC29" s="36">
        <f t="shared" si="23"/>
        <v>5.3748826789291071</v>
      </c>
      <c r="CD29" s="36">
        <f t="shared" si="23"/>
        <v>-0.73638334017075735</v>
      </c>
      <c r="CE29" s="36">
        <f t="shared" si="23"/>
        <v>-40.258128200214372</v>
      </c>
      <c r="CF29" s="36">
        <f t="shared" si="23"/>
        <v>-0.27584149890760035</v>
      </c>
      <c r="CG29" s="36">
        <f t="shared" si="23"/>
        <v>5.3147125183319881</v>
      </c>
      <c r="CH29" s="36">
        <f t="shared" si="23"/>
        <v>0.51631957079095914</v>
      </c>
      <c r="CI29" s="36">
        <f t="shared" si="23"/>
        <v>6.7018362307686008</v>
      </c>
      <c r="CJ29" s="36">
        <f t="shared" si="23"/>
        <v>0.94523804296145864</v>
      </c>
      <c r="CK29" s="36">
        <f t="shared" si="23"/>
        <v>6.4536981695580797</v>
      </c>
      <c r="CL29" s="36">
        <f t="shared" si="23"/>
        <v>0.70967102659832826</v>
      </c>
      <c r="CM29" s="36">
        <f t="shared" si="23"/>
        <v>6.6872103515933103</v>
      </c>
      <c r="CN29" s="36">
        <f t="shared" si="23"/>
        <v>0.82342128352721744</v>
      </c>
      <c r="CO29" s="36">
        <f t="shared" si="23"/>
        <v>7.1055123605165527</v>
      </c>
      <c r="CP29" s="36">
        <f t="shared" si="23"/>
        <v>0.78458987075378062</v>
      </c>
      <c r="CQ29" s="36">
        <f t="shared" si="23"/>
        <v>-38.962684377593504</v>
      </c>
      <c r="CR29" s="36">
        <f t="shared" si="23"/>
        <v>1.1363256664626684</v>
      </c>
      <c r="CS29" s="36">
        <f t="shared" si="23"/>
        <v>7.2971286839325362</v>
      </c>
      <c r="CT29" s="36">
        <f t="shared" si="23"/>
        <v>1.5272437032377864</v>
      </c>
      <c r="CU29" s="36">
        <f t="shared" si="23"/>
        <v>7.987275863934701</v>
      </c>
      <c r="CV29" s="36">
        <f t="shared" si="23"/>
        <v>1.8851056230335723</v>
      </c>
      <c r="CW29" s="36">
        <f t="shared" si="23"/>
        <v>7.8523865138973692</v>
      </c>
      <c r="CX29" s="36">
        <f t="shared" si="23"/>
        <v>0</v>
      </c>
      <c r="CY29" s="36">
        <f t="shared" si="23"/>
        <v>0</v>
      </c>
      <c r="CZ29" s="36">
        <f t="shared" si="23"/>
        <v>0</v>
      </c>
      <c r="DA29" s="36">
        <f t="shared" si="23"/>
        <v>0</v>
      </c>
      <c r="DB29" s="36">
        <f t="shared" si="23"/>
        <v>0</v>
      </c>
      <c r="DC29" s="36">
        <f t="shared" si="23"/>
        <v>0</v>
      </c>
    </row>
    <row r="30" spans="1:107" ht="12.75" thickTop="1">
      <c r="A30" s="25" t="s">
        <v>116</v>
      </c>
      <c r="B30" s="34">
        <v>0</v>
      </c>
      <c r="C30" s="34">
        <v>0</v>
      </c>
      <c r="D30" s="34">
        <v>0</v>
      </c>
      <c r="E30" s="34">
        <v>0</v>
      </c>
      <c r="F30" s="34">
        <v>0</v>
      </c>
      <c r="G30" s="34">
        <v>0</v>
      </c>
      <c r="H30" s="34">
        <v>0</v>
      </c>
      <c r="I30" s="34">
        <v>0</v>
      </c>
      <c r="J30" s="34">
        <v>0</v>
      </c>
      <c r="K30" s="34">
        <f>PL!$I$24</f>
        <v>0</v>
      </c>
      <c r="L30" s="34">
        <v>0</v>
      </c>
      <c r="M30" s="34">
        <v>0</v>
      </c>
      <c r="N30" s="34">
        <v>0</v>
      </c>
      <c r="O30" s="34">
        <v>0</v>
      </c>
      <c r="P30" s="34">
        <v>0</v>
      </c>
      <c r="Q30" s="34">
        <v>0</v>
      </c>
      <c r="R30" s="34">
        <v>0</v>
      </c>
      <c r="S30" s="34">
        <v>0</v>
      </c>
      <c r="T30" s="34">
        <v>0</v>
      </c>
      <c r="U30" s="34">
        <v>0</v>
      </c>
      <c r="V30" s="34">
        <v>0</v>
      </c>
      <c r="W30" s="34">
        <f>PL!$J$24</f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0</v>
      </c>
      <c r="AH30" s="34">
        <v>0</v>
      </c>
      <c r="AI30" s="34">
        <f>PL!$K$24</f>
        <v>0</v>
      </c>
      <c r="AJ30" s="34">
        <v>0</v>
      </c>
      <c r="AK30" s="34">
        <v>0</v>
      </c>
      <c r="AL30" s="34">
        <v>0</v>
      </c>
      <c r="AM30" s="34">
        <v>0</v>
      </c>
      <c r="AN30" s="34">
        <v>0</v>
      </c>
      <c r="AO30" s="34">
        <v>0</v>
      </c>
      <c r="AP30" s="34">
        <v>0</v>
      </c>
      <c r="AQ30" s="34">
        <v>0</v>
      </c>
      <c r="AR30" s="34">
        <v>0</v>
      </c>
      <c r="AS30" s="34">
        <v>0</v>
      </c>
      <c r="AT30" s="34">
        <v>0</v>
      </c>
      <c r="AU30" s="34">
        <f>PL!$L$24</f>
        <v>0</v>
      </c>
      <c r="AV30" s="34">
        <v>0</v>
      </c>
      <c r="AW30" s="34">
        <v>0</v>
      </c>
      <c r="AX30" s="34">
        <v>0</v>
      </c>
      <c r="AY30" s="34">
        <v>0</v>
      </c>
      <c r="AZ30" s="34">
        <v>0</v>
      </c>
      <c r="BA30" s="34">
        <v>0</v>
      </c>
      <c r="BB30" s="34">
        <v>0</v>
      </c>
      <c r="BC30" s="34">
        <v>0</v>
      </c>
      <c r="BD30" s="34">
        <v>0</v>
      </c>
      <c r="BE30" s="34">
        <v>0</v>
      </c>
      <c r="BF30" s="34">
        <v>0</v>
      </c>
      <c r="BG30" s="34">
        <f>PL!$M$24</f>
        <v>0</v>
      </c>
      <c r="BH30" s="34">
        <v>0</v>
      </c>
      <c r="BI30" s="34">
        <v>0</v>
      </c>
      <c r="BJ30" s="34">
        <v>0</v>
      </c>
      <c r="BK30" s="34">
        <v>0</v>
      </c>
      <c r="BL30" s="34">
        <v>0</v>
      </c>
      <c r="BM30" s="34">
        <v>0</v>
      </c>
      <c r="BN30" s="34">
        <v>0</v>
      </c>
      <c r="BO30" s="34">
        <v>0</v>
      </c>
      <c r="BP30" s="34">
        <v>0</v>
      </c>
      <c r="BQ30" s="34">
        <v>0</v>
      </c>
      <c r="BR30" s="34">
        <v>0</v>
      </c>
      <c r="BS30" s="34">
        <f>PL!$N$24</f>
        <v>0</v>
      </c>
      <c r="BT30" s="34">
        <v>0</v>
      </c>
      <c r="BU30" s="34">
        <v>0</v>
      </c>
      <c r="BV30" s="34">
        <v>0</v>
      </c>
      <c r="BW30" s="34">
        <v>0</v>
      </c>
      <c r="BX30" s="34">
        <v>0</v>
      </c>
      <c r="BY30" s="34">
        <v>0</v>
      </c>
      <c r="BZ30" s="34">
        <v>0</v>
      </c>
      <c r="CA30" s="34">
        <v>0</v>
      </c>
      <c r="CB30" s="34">
        <v>0</v>
      </c>
      <c r="CC30" s="34">
        <v>0</v>
      </c>
      <c r="CD30" s="34">
        <v>0</v>
      </c>
      <c r="CE30" s="34">
        <f>PL!$O$24</f>
        <v>0</v>
      </c>
      <c r="CF30" s="34">
        <v>0</v>
      </c>
      <c r="CG30" s="34">
        <v>0</v>
      </c>
      <c r="CH30" s="34">
        <v>0</v>
      </c>
      <c r="CI30" s="34">
        <v>0</v>
      </c>
      <c r="CJ30" s="34">
        <v>0</v>
      </c>
      <c r="CK30" s="34">
        <v>0</v>
      </c>
      <c r="CL30" s="34">
        <v>0</v>
      </c>
      <c r="CM30" s="34">
        <v>0</v>
      </c>
      <c r="CN30" s="34">
        <v>0</v>
      </c>
      <c r="CO30" s="34">
        <v>0</v>
      </c>
      <c r="CP30" s="34">
        <v>0</v>
      </c>
      <c r="CQ30" s="34">
        <f>PL!$P$24</f>
        <v>0</v>
      </c>
      <c r="CR30" s="34">
        <v>0</v>
      </c>
      <c r="CS30" s="34">
        <v>0</v>
      </c>
      <c r="CT30" s="34">
        <v>0</v>
      </c>
      <c r="CU30" s="34">
        <v>0</v>
      </c>
      <c r="CV30" s="34">
        <v>0</v>
      </c>
      <c r="CW30" s="34">
        <v>0</v>
      </c>
      <c r="CX30" s="34">
        <v>0</v>
      </c>
      <c r="CY30" s="34">
        <v>0</v>
      </c>
      <c r="CZ30" s="34">
        <v>0</v>
      </c>
      <c r="DA30" s="34">
        <v>0</v>
      </c>
      <c r="DB30" s="34">
        <v>0</v>
      </c>
      <c r="DC30" s="34">
        <f>PL!$Q$24</f>
        <v>0</v>
      </c>
    </row>
    <row r="31" spans="1:107" ht="12.75" thickBot="1">
      <c r="A31" s="7" t="s">
        <v>117</v>
      </c>
      <c r="B31" s="36">
        <f t="shared" ref="B31:BM31" si="24">B29-B30</f>
        <v>2.143250000000001</v>
      </c>
      <c r="C31" s="36">
        <f t="shared" si="24"/>
        <v>1.058503217767742</v>
      </c>
      <c r="D31" s="36">
        <f t="shared" si="24"/>
        <v>3.0005732600330515E-2</v>
      </c>
      <c r="E31" s="36">
        <f t="shared" si="24"/>
        <v>2.6015327440102451</v>
      </c>
      <c r="F31" s="36">
        <f t="shared" si="24"/>
        <v>-7.3542724776560597E-2</v>
      </c>
      <c r="G31" s="36">
        <f t="shared" si="24"/>
        <v>1.4949383173582731</v>
      </c>
      <c r="H31" s="36">
        <f t="shared" si="24"/>
        <v>-0.13309501256404471</v>
      </c>
      <c r="I31" s="36">
        <f t="shared" si="24"/>
        <v>2.3679009798198756</v>
      </c>
      <c r="J31" s="36">
        <f t="shared" si="24"/>
        <v>1.2431416354685481</v>
      </c>
      <c r="K31" s="36">
        <f t="shared" si="24"/>
        <v>-1.7338312540231748</v>
      </c>
      <c r="L31" s="36">
        <f t="shared" si="24"/>
        <v>-2.0518569533296525</v>
      </c>
      <c r="M31" s="36">
        <f t="shared" si="24"/>
        <v>-4.7816456531391438E-2</v>
      </c>
      <c r="N31" s="36">
        <f t="shared" si="24"/>
        <v>-2.2789051913380276</v>
      </c>
      <c r="O31" s="36">
        <f t="shared" si="24"/>
        <v>0.86290594446297719</v>
      </c>
      <c r="P31" s="36">
        <f t="shared" si="24"/>
        <v>-1.7550124600421819</v>
      </c>
      <c r="Q31" s="36">
        <f t="shared" si="24"/>
        <v>0.73876002143968034</v>
      </c>
      <c r="R31" s="36">
        <f t="shared" si="24"/>
        <v>-2.6898457753712837</v>
      </c>
      <c r="S31" s="36">
        <f t="shared" si="24"/>
        <v>0.35409731343203976</v>
      </c>
      <c r="T31" s="36">
        <f t="shared" si="24"/>
        <v>-2.8827702180476376</v>
      </c>
      <c r="U31" s="36">
        <f t="shared" si="24"/>
        <v>-8.505590901891269E-2</v>
      </c>
      <c r="V31" s="36">
        <f t="shared" si="24"/>
        <v>-3.3824794140987793</v>
      </c>
      <c r="W31" s="36">
        <f t="shared" si="24"/>
        <v>-30.759658119858237</v>
      </c>
      <c r="X31" s="36">
        <f t="shared" si="24"/>
        <v>-2.8078046496580797</v>
      </c>
      <c r="Y31" s="36">
        <f t="shared" si="24"/>
        <v>0.13545860107644714</v>
      </c>
      <c r="Z31" s="36">
        <f t="shared" si="24"/>
        <v>-2.8629908504084938</v>
      </c>
      <c r="AA31" s="36">
        <f t="shared" si="24"/>
        <v>114.49299609335608</v>
      </c>
      <c r="AB31" s="36">
        <f t="shared" si="24"/>
        <v>-2.5458891883865729</v>
      </c>
      <c r="AC31" s="36">
        <f t="shared" si="24"/>
        <v>1.1518113963725447</v>
      </c>
      <c r="AD31" s="36">
        <f t="shared" si="24"/>
        <v>-2.3083923414546996</v>
      </c>
      <c r="AE31" s="36">
        <f t="shared" si="24"/>
        <v>1.1611944867317676</v>
      </c>
      <c r="AF31" s="36">
        <f t="shared" si="24"/>
        <v>-2.4664728456678899</v>
      </c>
      <c r="AG31" s="36">
        <f t="shared" si="24"/>
        <v>1.6683654327655535</v>
      </c>
      <c r="AH31" s="36">
        <f t="shared" si="24"/>
        <v>0.77101831211189142</v>
      </c>
      <c r="AI31" s="36">
        <f t="shared" si="24"/>
        <v>-44.14686516496635</v>
      </c>
      <c r="AJ31" s="36">
        <f t="shared" si="24"/>
        <v>-1.8170717745575287</v>
      </c>
      <c r="AK31" s="36">
        <f t="shared" si="24"/>
        <v>1.363215046882055</v>
      </c>
      <c r="AL31" s="36">
        <f t="shared" si="24"/>
        <v>-1.8781580907133755</v>
      </c>
      <c r="AM31" s="36">
        <f t="shared" si="24"/>
        <v>1.9175074040148745</v>
      </c>
      <c r="AN31" s="36">
        <f t="shared" si="24"/>
        <v>-1.5063293742894537</v>
      </c>
      <c r="AO31" s="36">
        <f t="shared" si="24"/>
        <v>1.3854614414606656</v>
      </c>
      <c r="AP31" s="36">
        <f t="shared" si="24"/>
        <v>-1.6746532899208928</v>
      </c>
      <c r="AQ31" s="36">
        <f t="shared" si="24"/>
        <v>2.1209342550760182</v>
      </c>
      <c r="AR31" s="36">
        <f t="shared" si="24"/>
        <v>-1.7335388322489074</v>
      </c>
      <c r="AS31" s="36">
        <f t="shared" si="24"/>
        <v>2.4042996461325332</v>
      </c>
      <c r="AT31" s="36">
        <f t="shared" si="24"/>
        <v>-1.523590461312863</v>
      </c>
      <c r="AU31" s="36">
        <f t="shared" si="24"/>
        <v>-43.093154552366428</v>
      </c>
      <c r="AV31" s="36">
        <f t="shared" si="24"/>
        <v>-0.81675519136837127</v>
      </c>
      <c r="AW31" s="36">
        <f t="shared" si="24"/>
        <v>3.3983967893918319</v>
      </c>
      <c r="AX31" s="36">
        <f t="shared" si="24"/>
        <v>-0.88727084525280642</v>
      </c>
      <c r="AY31" s="36">
        <f t="shared" si="24"/>
        <v>3.92467273333307</v>
      </c>
      <c r="AZ31" s="36">
        <f t="shared" si="24"/>
        <v>-0.5028424654633552</v>
      </c>
      <c r="BA31" s="36">
        <f t="shared" si="24"/>
        <v>3.7092031239199685</v>
      </c>
      <c r="BB31" s="36">
        <f t="shared" si="24"/>
        <v>-0.73278047543200442</v>
      </c>
      <c r="BC31" s="36">
        <f t="shared" si="24"/>
        <v>3.955014639011464</v>
      </c>
      <c r="BD31" s="36">
        <f t="shared" si="24"/>
        <v>-0.7197431561959633</v>
      </c>
      <c r="BE31" s="36">
        <f t="shared" si="24"/>
        <v>4.259002413628779</v>
      </c>
      <c r="BF31" s="36">
        <f t="shared" si="24"/>
        <v>-0.81076545595690441</v>
      </c>
      <c r="BG31" s="36">
        <f t="shared" si="24"/>
        <v>-41.345864022387339</v>
      </c>
      <c r="BH31" s="36">
        <f t="shared" si="24"/>
        <v>-0.42819173946034295</v>
      </c>
      <c r="BI31" s="36">
        <f t="shared" si="24"/>
        <v>4.1480577423840517</v>
      </c>
      <c r="BJ31" s="36">
        <f t="shared" si="24"/>
        <v>-0.50418457939948169</v>
      </c>
      <c r="BK31" s="36">
        <f t="shared" si="24"/>
        <v>4.9201028534049982</v>
      </c>
      <c r="BL31" s="36">
        <f t="shared" si="24"/>
        <v>0.14388884615628861</v>
      </c>
      <c r="BM31" s="36">
        <f t="shared" si="24"/>
        <v>4.6735001816639237</v>
      </c>
      <c r="BN31" s="36">
        <f t="shared" ref="BN31:DC31" si="25">BN29-BN30</f>
        <v>-0.20541138348700438</v>
      </c>
      <c r="BO31" s="36">
        <f t="shared" si="25"/>
        <v>4.7894065612848529</v>
      </c>
      <c r="BP31" s="36">
        <f t="shared" si="25"/>
        <v>-0.18359275565672262</v>
      </c>
      <c r="BQ31" s="36">
        <f t="shared" si="25"/>
        <v>5.0907853266305469</v>
      </c>
      <c r="BR31" s="36">
        <f t="shared" si="25"/>
        <v>-2.4387776110584567</v>
      </c>
      <c r="BS31" s="36">
        <f t="shared" si="25"/>
        <v>-40.75779311109541</v>
      </c>
      <c r="BT31" s="36">
        <f t="shared" si="25"/>
        <v>-0.5217869049863173</v>
      </c>
      <c r="BU31" s="36">
        <f t="shared" si="25"/>
        <v>4.4019177224921435</v>
      </c>
      <c r="BV31" s="36">
        <f t="shared" si="25"/>
        <v>-0.85306775177379612</v>
      </c>
      <c r="BW31" s="36">
        <f t="shared" si="25"/>
        <v>4.9230033422452184</v>
      </c>
      <c r="BX31" s="36">
        <f t="shared" si="25"/>
        <v>-0.44695181125429939</v>
      </c>
      <c r="BY31" s="36">
        <f t="shared" si="25"/>
        <v>4.6607079883996274</v>
      </c>
      <c r="BZ31" s="36">
        <f t="shared" si="25"/>
        <v>-0.69253514721939413</v>
      </c>
      <c r="CA31" s="36">
        <f t="shared" si="25"/>
        <v>4.8910085157754359</v>
      </c>
      <c r="CB31" s="36">
        <f t="shared" si="25"/>
        <v>-0.64518006435388831</v>
      </c>
      <c r="CC31" s="36">
        <f t="shared" si="25"/>
        <v>5.3748826789291071</v>
      </c>
      <c r="CD31" s="36">
        <f t="shared" si="25"/>
        <v>-0.73638334017075735</v>
      </c>
      <c r="CE31" s="36">
        <f t="shared" si="25"/>
        <v>-40.258128200214372</v>
      </c>
      <c r="CF31" s="36">
        <f t="shared" si="25"/>
        <v>-0.27584149890760035</v>
      </c>
      <c r="CG31" s="36">
        <f t="shared" si="25"/>
        <v>5.3147125183319881</v>
      </c>
      <c r="CH31" s="36">
        <f t="shared" si="25"/>
        <v>0.51631957079095914</v>
      </c>
      <c r="CI31" s="36">
        <f t="shared" si="25"/>
        <v>6.7018362307686008</v>
      </c>
      <c r="CJ31" s="36">
        <f t="shared" si="25"/>
        <v>0.94523804296145864</v>
      </c>
      <c r="CK31" s="36">
        <f t="shared" si="25"/>
        <v>6.4536981695580797</v>
      </c>
      <c r="CL31" s="36">
        <f t="shared" si="25"/>
        <v>0.70967102659832826</v>
      </c>
      <c r="CM31" s="36">
        <f t="shared" si="25"/>
        <v>6.6872103515933103</v>
      </c>
      <c r="CN31" s="36">
        <f t="shared" si="25"/>
        <v>0.82342128352721744</v>
      </c>
      <c r="CO31" s="36">
        <f t="shared" si="25"/>
        <v>7.1055123605165527</v>
      </c>
      <c r="CP31" s="36">
        <f t="shared" si="25"/>
        <v>0.78458987075378062</v>
      </c>
      <c r="CQ31" s="36">
        <f t="shared" si="25"/>
        <v>-38.962684377593504</v>
      </c>
      <c r="CR31" s="36">
        <f t="shared" si="25"/>
        <v>1.1363256664626684</v>
      </c>
      <c r="CS31" s="36">
        <f t="shared" si="25"/>
        <v>7.2971286839325362</v>
      </c>
      <c r="CT31" s="36">
        <f t="shared" si="25"/>
        <v>1.5272437032377864</v>
      </c>
      <c r="CU31" s="36">
        <f t="shared" si="25"/>
        <v>7.987275863934701</v>
      </c>
      <c r="CV31" s="36">
        <f t="shared" si="25"/>
        <v>1.8851056230335723</v>
      </c>
      <c r="CW31" s="36">
        <f t="shared" si="25"/>
        <v>7.8523865138973692</v>
      </c>
      <c r="CX31" s="36">
        <f t="shared" si="25"/>
        <v>0</v>
      </c>
      <c r="CY31" s="36">
        <f t="shared" si="25"/>
        <v>0</v>
      </c>
      <c r="CZ31" s="36">
        <f t="shared" si="25"/>
        <v>0</v>
      </c>
      <c r="DA31" s="36">
        <f t="shared" si="25"/>
        <v>0</v>
      </c>
      <c r="DB31" s="36">
        <f t="shared" si="25"/>
        <v>0</v>
      </c>
      <c r="DC31" s="36">
        <f t="shared" si="25"/>
        <v>0</v>
      </c>
    </row>
    <row r="32" spans="1:107" ht="12.75" thickTop="1">
      <c r="A32" s="7" t="s">
        <v>99</v>
      </c>
      <c r="B32" s="34">
        <f t="shared" ref="B32:BM32" si="26">B29+B23</f>
        <v>2.2332500000000008</v>
      </c>
      <c r="C32" s="34">
        <f t="shared" si="26"/>
        <v>1.0885032177677421</v>
      </c>
      <c r="D32" s="34">
        <f t="shared" si="26"/>
        <v>7.0005732600330522E-2</v>
      </c>
      <c r="E32" s="34">
        <f t="shared" si="26"/>
        <v>2.6415327440102452</v>
      </c>
      <c r="F32" s="34">
        <f t="shared" si="26"/>
        <v>-3.3542724776560597E-2</v>
      </c>
      <c r="G32" s="34">
        <f t="shared" si="26"/>
        <v>1.5349383173582731</v>
      </c>
      <c r="H32" s="34">
        <f t="shared" si="26"/>
        <v>-9.3095012564044705E-2</v>
      </c>
      <c r="I32" s="34">
        <f t="shared" si="26"/>
        <v>2.4079009798198756</v>
      </c>
      <c r="J32" s="34">
        <f t="shared" si="26"/>
        <v>1.2831416354685481</v>
      </c>
      <c r="K32" s="34">
        <f t="shared" si="26"/>
        <v>-1.6938312540231748</v>
      </c>
      <c r="L32" s="34">
        <f t="shared" si="26"/>
        <v>-2.0518569533296525</v>
      </c>
      <c r="M32" s="34">
        <f t="shared" si="26"/>
        <v>-4.7816456531391438E-2</v>
      </c>
      <c r="N32" s="34">
        <f t="shared" si="26"/>
        <v>-2.2789051913380276</v>
      </c>
      <c r="O32" s="34">
        <f t="shared" si="26"/>
        <v>0.86290594446297719</v>
      </c>
      <c r="P32" s="34">
        <f t="shared" si="26"/>
        <v>-1.7550124600421819</v>
      </c>
      <c r="Q32" s="34">
        <f t="shared" si="26"/>
        <v>0.73876002143968034</v>
      </c>
      <c r="R32" s="34">
        <f t="shared" si="26"/>
        <v>-2.6898457753712837</v>
      </c>
      <c r="S32" s="34">
        <f t="shared" si="26"/>
        <v>0.35409731343203976</v>
      </c>
      <c r="T32" s="34">
        <f t="shared" si="26"/>
        <v>-2.8827702180476376</v>
      </c>
      <c r="U32" s="34">
        <f t="shared" si="26"/>
        <v>-8.505590901891269E-2</v>
      </c>
      <c r="V32" s="34">
        <f t="shared" si="26"/>
        <v>-3.3824794140987793</v>
      </c>
      <c r="W32" s="34">
        <f t="shared" si="26"/>
        <v>-9.6581198582370575E-3</v>
      </c>
      <c r="X32" s="34">
        <f t="shared" si="26"/>
        <v>-2.8078046496580797</v>
      </c>
      <c r="Y32" s="34">
        <f t="shared" si="26"/>
        <v>0.13545860107644714</v>
      </c>
      <c r="Z32" s="34">
        <f t="shared" si="26"/>
        <v>-2.8629908504084938</v>
      </c>
      <c r="AA32" s="34">
        <f t="shared" si="26"/>
        <v>114.49299609335608</v>
      </c>
      <c r="AB32" s="34">
        <f t="shared" si="26"/>
        <v>-2.5458891883865729</v>
      </c>
      <c r="AC32" s="34">
        <f t="shared" si="26"/>
        <v>1.1518113963725447</v>
      </c>
      <c r="AD32" s="34">
        <f t="shared" si="26"/>
        <v>-2.3083923414546996</v>
      </c>
      <c r="AE32" s="34">
        <f t="shared" si="26"/>
        <v>1.1611944867317676</v>
      </c>
      <c r="AF32" s="34">
        <f t="shared" si="26"/>
        <v>-2.4664728456678899</v>
      </c>
      <c r="AG32" s="34">
        <f t="shared" si="26"/>
        <v>1.6683654327655535</v>
      </c>
      <c r="AH32" s="34">
        <f t="shared" si="26"/>
        <v>0.77101831211189142</v>
      </c>
      <c r="AI32" s="34">
        <f t="shared" si="26"/>
        <v>1.3531348350336501</v>
      </c>
      <c r="AJ32" s="34">
        <f t="shared" si="26"/>
        <v>-1.8170717745575287</v>
      </c>
      <c r="AK32" s="34">
        <f t="shared" si="26"/>
        <v>1.363215046882055</v>
      </c>
      <c r="AL32" s="34">
        <f t="shared" si="26"/>
        <v>-1.8781580907133755</v>
      </c>
      <c r="AM32" s="34">
        <f t="shared" si="26"/>
        <v>1.9175074040148745</v>
      </c>
      <c r="AN32" s="34">
        <f t="shared" si="26"/>
        <v>-1.5063293742894537</v>
      </c>
      <c r="AO32" s="34">
        <f t="shared" si="26"/>
        <v>1.3854614414606656</v>
      </c>
      <c r="AP32" s="34">
        <f t="shared" si="26"/>
        <v>-1.6746532899208928</v>
      </c>
      <c r="AQ32" s="34">
        <f t="shared" si="26"/>
        <v>2.1209342550760182</v>
      </c>
      <c r="AR32" s="34">
        <f t="shared" si="26"/>
        <v>-1.7335388322489074</v>
      </c>
      <c r="AS32" s="34">
        <f t="shared" si="26"/>
        <v>2.4042996461325332</v>
      </c>
      <c r="AT32" s="34">
        <f t="shared" si="26"/>
        <v>-1.523590461312863</v>
      </c>
      <c r="AU32" s="34">
        <f t="shared" si="26"/>
        <v>2.4068454476335717</v>
      </c>
      <c r="AV32" s="34">
        <f t="shared" si="26"/>
        <v>-0.81675519136837127</v>
      </c>
      <c r="AW32" s="34">
        <f t="shared" si="26"/>
        <v>3.3983967893918319</v>
      </c>
      <c r="AX32" s="34">
        <f t="shared" si="26"/>
        <v>-0.88727084525280642</v>
      </c>
      <c r="AY32" s="34">
        <f t="shared" si="26"/>
        <v>3.92467273333307</v>
      </c>
      <c r="AZ32" s="34">
        <f t="shared" si="26"/>
        <v>-0.5028424654633552</v>
      </c>
      <c r="BA32" s="34">
        <f t="shared" si="26"/>
        <v>3.7092031239199685</v>
      </c>
      <c r="BB32" s="34">
        <f t="shared" si="26"/>
        <v>-0.73278047543200442</v>
      </c>
      <c r="BC32" s="34">
        <f t="shared" si="26"/>
        <v>3.955014639011464</v>
      </c>
      <c r="BD32" s="34">
        <f t="shared" si="26"/>
        <v>-0.7197431561959633</v>
      </c>
      <c r="BE32" s="34">
        <f t="shared" si="26"/>
        <v>4.259002413628779</v>
      </c>
      <c r="BF32" s="34">
        <f t="shared" si="26"/>
        <v>-0.81076545595690441</v>
      </c>
      <c r="BG32" s="34">
        <f t="shared" si="26"/>
        <v>4.1541359776126612</v>
      </c>
      <c r="BH32" s="34">
        <f t="shared" si="26"/>
        <v>-0.42819173946034295</v>
      </c>
      <c r="BI32" s="34">
        <f t="shared" si="26"/>
        <v>4.1480577423840517</v>
      </c>
      <c r="BJ32" s="34">
        <f t="shared" si="26"/>
        <v>-0.50418457939948169</v>
      </c>
      <c r="BK32" s="34">
        <f t="shared" si="26"/>
        <v>4.9201028534049982</v>
      </c>
      <c r="BL32" s="34">
        <f t="shared" si="26"/>
        <v>0.14388884615628861</v>
      </c>
      <c r="BM32" s="34">
        <f t="shared" si="26"/>
        <v>4.6735001816639237</v>
      </c>
      <c r="BN32" s="34">
        <f t="shared" ref="BN32:DC32" si="27">BN29+BN23</f>
        <v>-0.20541138348700438</v>
      </c>
      <c r="BO32" s="34">
        <f t="shared" si="27"/>
        <v>4.7894065612848529</v>
      </c>
      <c r="BP32" s="34">
        <f t="shared" si="27"/>
        <v>-0.18359275565672262</v>
      </c>
      <c r="BQ32" s="34">
        <f t="shared" si="27"/>
        <v>5.0907853266305469</v>
      </c>
      <c r="BR32" s="34">
        <f t="shared" si="27"/>
        <v>-2.4387776110584567</v>
      </c>
      <c r="BS32" s="34">
        <f t="shared" si="27"/>
        <v>4.7422068889045903</v>
      </c>
      <c r="BT32" s="34">
        <f t="shared" si="27"/>
        <v>-0.5217869049863173</v>
      </c>
      <c r="BU32" s="34">
        <f t="shared" si="27"/>
        <v>4.4019177224921435</v>
      </c>
      <c r="BV32" s="34">
        <f t="shared" si="27"/>
        <v>-0.85306775177379612</v>
      </c>
      <c r="BW32" s="34">
        <f t="shared" si="27"/>
        <v>4.9230033422452184</v>
      </c>
      <c r="BX32" s="34">
        <f t="shared" si="27"/>
        <v>-0.44695181125429939</v>
      </c>
      <c r="BY32" s="34">
        <f t="shared" si="27"/>
        <v>4.6607079883996274</v>
      </c>
      <c r="BZ32" s="34">
        <f t="shared" si="27"/>
        <v>-0.69253514721939413</v>
      </c>
      <c r="CA32" s="34">
        <f t="shared" si="27"/>
        <v>4.8910085157754359</v>
      </c>
      <c r="CB32" s="34">
        <f t="shared" si="27"/>
        <v>-0.64518006435388831</v>
      </c>
      <c r="CC32" s="34">
        <f t="shared" si="27"/>
        <v>5.3748826789291071</v>
      </c>
      <c r="CD32" s="34">
        <f t="shared" si="27"/>
        <v>-0.73638334017075735</v>
      </c>
      <c r="CE32" s="34">
        <f t="shared" si="27"/>
        <v>5.2418717997856277</v>
      </c>
      <c r="CF32" s="34">
        <f t="shared" si="27"/>
        <v>-0.27584149890760035</v>
      </c>
      <c r="CG32" s="34">
        <f t="shared" si="27"/>
        <v>5.3147125183319881</v>
      </c>
      <c r="CH32" s="34">
        <f t="shared" si="27"/>
        <v>0.51631957079095914</v>
      </c>
      <c r="CI32" s="34">
        <f t="shared" si="27"/>
        <v>6.7018362307686008</v>
      </c>
      <c r="CJ32" s="34">
        <f t="shared" si="27"/>
        <v>0.94523804296145864</v>
      </c>
      <c r="CK32" s="34">
        <f t="shared" si="27"/>
        <v>6.4536981695580797</v>
      </c>
      <c r="CL32" s="34">
        <f t="shared" si="27"/>
        <v>0.70967102659832826</v>
      </c>
      <c r="CM32" s="34">
        <f t="shared" si="27"/>
        <v>6.6872103515933103</v>
      </c>
      <c r="CN32" s="34">
        <f t="shared" si="27"/>
        <v>0.82342128352721744</v>
      </c>
      <c r="CO32" s="34">
        <f t="shared" si="27"/>
        <v>7.1055123605165527</v>
      </c>
      <c r="CP32" s="34">
        <f t="shared" si="27"/>
        <v>0.78458987075378062</v>
      </c>
      <c r="CQ32" s="34">
        <f t="shared" si="27"/>
        <v>7.0773156224064948</v>
      </c>
      <c r="CR32" s="34">
        <f t="shared" si="27"/>
        <v>1.1363256664626684</v>
      </c>
      <c r="CS32" s="34">
        <f t="shared" si="27"/>
        <v>7.2971286839325362</v>
      </c>
      <c r="CT32" s="34">
        <f t="shared" si="27"/>
        <v>1.5272437032377864</v>
      </c>
      <c r="CU32" s="34">
        <f t="shared" si="27"/>
        <v>7.987275863934701</v>
      </c>
      <c r="CV32" s="34">
        <f t="shared" si="27"/>
        <v>1.8851056230335723</v>
      </c>
      <c r="CW32" s="34">
        <f t="shared" si="27"/>
        <v>7.8523865138973692</v>
      </c>
      <c r="CX32" s="34">
        <f t="shared" si="27"/>
        <v>0</v>
      </c>
      <c r="CY32" s="34">
        <f t="shared" si="27"/>
        <v>0</v>
      </c>
      <c r="CZ32" s="34">
        <f t="shared" si="27"/>
        <v>0</v>
      </c>
      <c r="DA32" s="34">
        <f t="shared" si="27"/>
        <v>0</v>
      </c>
      <c r="DB32" s="34">
        <f t="shared" si="27"/>
        <v>0</v>
      </c>
      <c r="DC32" s="34">
        <f t="shared" si="27"/>
        <v>0</v>
      </c>
    </row>
    <row r="33" spans="1:107">
      <c r="A33" s="25" t="s">
        <v>118</v>
      </c>
      <c r="B33" s="34">
        <v>0</v>
      </c>
      <c r="C33" s="34">
        <v>0</v>
      </c>
      <c r="D33" s="34">
        <v>0</v>
      </c>
      <c r="E33" s="34">
        <f>SUM('CF Capex'!D4:D5)</f>
        <v>0</v>
      </c>
      <c r="F33" s="34">
        <f>SUM('CF Capex'!E4:E5)</f>
        <v>0</v>
      </c>
      <c r="G33" s="34">
        <f>SUM('CF Capex'!F4:F5)</f>
        <v>0</v>
      </c>
      <c r="H33" s="34">
        <f>SUM('CF Capex'!G4:G5)</f>
        <v>0</v>
      </c>
      <c r="I33" s="34">
        <f>SUM('CF Capex'!H4:H5)</f>
        <v>0</v>
      </c>
      <c r="J33" s="34">
        <f>SUM('CF Capex'!I4:I5)</f>
        <v>0</v>
      </c>
      <c r="K33" s="34">
        <f>SUM('CF Capex'!J4:J5)</f>
        <v>0</v>
      </c>
      <c r="L33" s="34">
        <f>SUM('CF Capex'!K4:K5)</f>
        <v>0</v>
      </c>
      <c r="M33" s="34">
        <f>SUM('CF Capex'!L4:L5)</f>
        <v>0</v>
      </c>
      <c r="N33" s="34">
        <f>SUM('CF Capex'!M4:M5)</f>
        <v>0</v>
      </c>
      <c r="O33" s="34">
        <f>SUM('CF Capex'!N4:N5)</f>
        <v>0</v>
      </c>
      <c r="P33" s="34">
        <f>SUM('CF Capex'!O4:O5)</f>
        <v>0</v>
      </c>
      <c r="Q33" s="34">
        <f>SUM('CF Capex'!P4:P5)</f>
        <v>2</v>
      </c>
      <c r="R33" s="34">
        <f>SUM('CF Capex'!Q4:Q5)</f>
        <v>0</v>
      </c>
      <c r="S33" s="34">
        <f>SUM('CF Capex'!R4:R5)</f>
        <v>1.02216</v>
      </c>
      <c r="T33" s="34">
        <f>SUM('CF Capex'!S4:S5)</f>
        <v>8.4076136336539538</v>
      </c>
      <c r="U33" s="34">
        <f>SUM('CF Capex'!T4:T5)</f>
        <v>9.9572968120040013</v>
      </c>
      <c r="V33" s="34">
        <f>SUM('CF Capex'!U4:U5)</f>
        <v>12.8801621009</v>
      </c>
      <c r="W33" s="34">
        <f>SUM('CF Capex'!V4:V5)</f>
        <v>10.524108543692005</v>
      </c>
      <c r="X33" s="34">
        <f>SUM('CF Capex'!W4:W5)</f>
        <v>6.041589258948</v>
      </c>
      <c r="Y33" s="34">
        <f>SUM('CF Capex'!X4:X5)</f>
        <v>9.8874741746690678</v>
      </c>
      <c r="Z33" s="34">
        <f>SUM('CF Capex'!Y4:Y5)</f>
        <v>3.8032327125280001</v>
      </c>
      <c r="AA33" s="34">
        <f>SUM('CF Capex'!Z4:Z5)</f>
        <v>4.6613522728775036</v>
      </c>
      <c r="AB33" s="34">
        <f>SUM('CF Capex'!AA4:AA5)</f>
        <v>2.8473961251520001</v>
      </c>
      <c r="AC33" s="34">
        <f>SUM('CF Capex'!AB4:AB5)</f>
        <v>3.6766982511909116</v>
      </c>
      <c r="AD33" s="34">
        <f>SUM('CF Capex'!AC4:AC5)</f>
        <v>2.7406839999999999</v>
      </c>
      <c r="AE33" s="34">
        <f>SUM('CF Capex'!AD4:AD5)</f>
        <v>2.6569424000000001</v>
      </c>
      <c r="AF33" s="34">
        <f>SUM('CF Capex'!AE4:AE5)</f>
        <v>0.91780150000000005</v>
      </c>
      <c r="AG33" s="34">
        <f>SUM('CF Capex'!AE4:AE5)</f>
        <v>0.91780150000000005</v>
      </c>
      <c r="AH33" s="34">
        <f>SUM('CF Capex'!AF4:AF5)</f>
        <v>0.63965799999999995</v>
      </c>
      <c r="AI33" s="34">
        <f>SUM('CF Capex'!AG4:AG5)</f>
        <v>0.67659627300000003</v>
      </c>
      <c r="AJ33" s="34">
        <f>SUM('CF Capex'!AH4:AH5)</f>
        <v>0</v>
      </c>
      <c r="AK33" s="34">
        <f>SUM('CF Capex'!AI4:AI5)</f>
        <v>0</v>
      </c>
      <c r="AL33" s="34">
        <f>SUM('CF Capex'!AJ4:AJ5)</f>
        <v>0</v>
      </c>
      <c r="AM33" s="34">
        <f>SUM('CF Capex'!AK4:AK5)</f>
        <v>0</v>
      </c>
      <c r="AN33" s="34">
        <f>SUM('CF Capex'!AL4:AL5)</f>
        <v>0</v>
      </c>
      <c r="AO33" s="34">
        <f>SUM('CF Capex'!AM4:AM5)</f>
        <v>0</v>
      </c>
      <c r="AP33" s="34">
        <f>SUM('CF Capex'!AN4:AN5)</f>
        <v>0</v>
      </c>
      <c r="AQ33" s="34">
        <f>SUM('CF Capex'!AO4:AO5)</f>
        <v>0</v>
      </c>
      <c r="AR33" s="34">
        <f>SUM('CF Capex'!AP4:AP5)</f>
        <v>0</v>
      </c>
      <c r="AS33" s="34">
        <f>SUM('CF Capex'!AQ4:AQ5)</f>
        <v>0</v>
      </c>
      <c r="AT33" s="34">
        <f>SUM('CF Capex'!AR4:AR5)</f>
        <v>0</v>
      </c>
      <c r="AU33" s="34">
        <f>SUM('CF Capex'!AS4:AS5)</f>
        <v>0</v>
      </c>
      <c r="AV33" s="34">
        <f>SUM('CF Capex'!AT4:AT5)</f>
        <v>0</v>
      </c>
      <c r="AW33" s="34">
        <f>SUM('CF Capex'!AU4:AU5)</f>
        <v>0</v>
      </c>
      <c r="AX33" s="34">
        <f>SUM('CF Capex'!AV4:AV5)</f>
        <v>0</v>
      </c>
      <c r="AY33" s="34">
        <f>SUM('CF Capex'!AW4:AW5)</f>
        <v>0</v>
      </c>
      <c r="AZ33" s="34">
        <f>SUM('CF Capex'!AX4:AX5)</f>
        <v>0</v>
      </c>
      <c r="BA33" s="34">
        <f>SUM('CF Capex'!AY4:AY5)</f>
        <v>0</v>
      </c>
      <c r="BB33" s="34">
        <f>SUM('CF Capex'!AZ4:AZ5)</f>
        <v>0</v>
      </c>
      <c r="BC33" s="34">
        <f>SUM('CF Capex'!BA4:BA5)</f>
        <v>0</v>
      </c>
      <c r="BD33" s="34">
        <f>SUM('CF Capex'!BB4:BB5)</f>
        <v>0</v>
      </c>
      <c r="BE33" s="34">
        <f>SUM('CF Capex'!BC4:BC5)</f>
        <v>0</v>
      </c>
      <c r="BF33" s="34">
        <f>SUM('CF Capex'!BD4:BD5)</f>
        <v>0</v>
      </c>
      <c r="BG33" s="34">
        <f>SUM('CF Capex'!BE4:BE5)</f>
        <v>0</v>
      </c>
      <c r="BH33" s="34">
        <f>SUM('CF Capex'!BF4:BF5)</f>
        <v>0</v>
      </c>
      <c r="BI33" s="34">
        <f>SUM('CF Capex'!BG4:BG5)</f>
        <v>0</v>
      </c>
      <c r="BJ33" s="34">
        <f>SUM('CF Capex'!BH4:BH5)</f>
        <v>0</v>
      </c>
      <c r="BK33" s="34">
        <f>SUM('CF Capex'!BI4:BI5)</f>
        <v>0</v>
      </c>
      <c r="BL33" s="34">
        <f>SUM('CF Capex'!BJ4:BJ5)</f>
        <v>0</v>
      </c>
      <c r="BM33" s="34">
        <f>SUM('CF Capex'!BK4:BK5)</f>
        <v>0</v>
      </c>
      <c r="BN33" s="34">
        <f>SUM('CF Capex'!BL4:BL5)</f>
        <v>0</v>
      </c>
      <c r="BO33" s="34">
        <f>SUM('CF Capex'!BM4:BM5)</f>
        <v>0</v>
      </c>
      <c r="BP33" s="34">
        <f>SUM('CF Capex'!BN4:BN5)</f>
        <v>0</v>
      </c>
      <c r="BQ33" s="34">
        <f>SUM('CF Capex'!BO4:BO5)</f>
        <v>0</v>
      </c>
      <c r="BR33" s="34">
        <f>SUM('CF Capex'!BP4:BP5)</f>
        <v>0</v>
      </c>
      <c r="BS33" s="34">
        <f>SUM('CF Capex'!BQ4:BQ5)</f>
        <v>0</v>
      </c>
      <c r="BT33" s="34">
        <f>SUM('CF Capex'!BR4:BR5)</f>
        <v>0</v>
      </c>
      <c r="BU33" s="34">
        <f>SUM('CF Capex'!BS4:BS5)</f>
        <v>0</v>
      </c>
      <c r="BV33" s="34">
        <f>SUM('CF Capex'!BT4:BT5)</f>
        <v>0</v>
      </c>
      <c r="BW33" s="34">
        <f>SUM('CF Capex'!BU4:BU5)</f>
        <v>0</v>
      </c>
      <c r="BX33" s="34">
        <f>SUM('CF Capex'!BV4:BV5)</f>
        <v>0</v>
      </c>
      <c r="BY33" s="34">
        <f>SUM('CF Capex'!BW4:BW5)</f>
        <v>0</v>
      </c>
      <c r="BZ33" s="34">
        <f>SUM('CF Capex'!BX4:BX5)</f>
        <v>0</v>
      </c>
      <c r="CA33" s="34">
        <f>SUM('CF Capex'!BY4:BY5)</f>
        <v>0</v>
      </c>
      <c r="CB33" s="34">
        <f>SUM('CF Capex'!BZ4:BZ5)</f>
        <v>0</v>
      </c>
      <c r="CC33" s="34">
        <f>SUM('CF Capex'!CA4:CA5)</f>
        <v>0</v>
      </c>
      <c r="CD33" s="34">
        <f>SUM('CF Capex'!CB4:CB5)</f>
        <v>0</v>
      </c>
      <c r="CE33" s="34">
        <f>SUM('CF Capex'!CC4:CC5)</f>
        <v>0</v>
      </c>
      <c r="CF33" s="34">
        <f>SUM('CF Capex'!CD4:CD5)</f>
        <v>0</v>
      </c>
      <c r="CG33" s="34">
        <f>SUM('CF Capex'!CE4:CE5)</f>
        <v>0</v>
      </c>
      <c r="CH33" s="34">
        <f>SUM('CF Capex'!CF4:CF5)</f>
        <v>0</v>
      </c>
      <c r="CI33" s="34">
        <f>SUM('CF Capex'!CG4:CG5)</f>
        <v>0</v>
      </c>
      <c r="CJ33" s="34">
        <f>SUM('CF Capex'!CH4:CH5)</f>
        <v>0</v>
      </c>
      <c r="CK33" s="34">
        <f>SUM('CF Capex'!CI4:CI5)</f>
        <v>0</v>
      </c>
      <c r="CL33" s="34">
        <f>SUM('CF Capex'!CJ4:CJ5)</f>
        <v>0</v>
      </c>
      <c r="CM33" s="34">
        <f>SUM('CF Capex'!CK4:CK5)</f>
        <v>0</v>
      </c>
      <c r="CN33" s="34">
        <f>SUM('CF Capex'!CL4:CL5)</f>
        <v>0</v>
      </c>
      <c r="CO33" s="34">
        <f>SUM('CF Capex'!CM4:CM5)</f>
        <v>0</v>
      </c>
      <c r="CP33" s="34">
        <f>SUM('CF Capex'!CN4:CN5)</f>
        <v>0</v>
      </c>
      <c r="CQ33" s="34">
        <f>SUM('CF Capex'!CO4:CO5)</f>
        <v>0</v>
      </c>
      <c r="CR33" s="34">
        <f>SUM('CF Capex'!CP4:CP5)</f>
        <v>0</v>
      </c>
      <c r="CS33" s="34">
        <f>SUM('CF Capex'!CQ4:CQ5)</f>
        <v>0</v>
      </c>
      <c r="CT33" s="34">
        <f>SUM('CF Capex'!CR4:CR5)</f>
        <v>0</v>
      </c>
      <c r="CU33" s="34">
        <f>SUM('CF Capex'!CS4:CS5)</f>
        <v>0</v>
      </c>
      <c r="CV33" s="34">
        <f>SUM('CF Capex'!CT4:CT5)</f>
        <v>0</v>
      </c>
      <c r="CW33" s="34">
        <f>SUM('CF Capex'!CU4:CU5)</f>
        <v>0</v>
      </c>
      <c r="CX33" s="34">
        <f>SUM('CF Capex'!CV4:CV5)</f>
        <v>0</v>
      </c>
      <c r="CY33" s="34">
        <f>SUM('CF Capex'!CW4:CW5)</f>
        <v>0</v>
      </c>
      <c r="CZ33" s="34">
        <f>SUM('CF Capex'!CX4:CX5)</f>
        <v>0</v>
      </c>
      <c r="DA33" s="34">
        <f>SUM('CF Capex'!CY4:CY5)</f>
        <v>0</v>
      </c>
      <c r="DB33" s="34">
        <f>SUM('CF Capex'!CZ4:CZ5)</f>
        <v>0</v>
      </c>
      <c r="DC33" s="34">
        <f>SUM('CF Capex'!DA4:DA5)</f>
        <v>0</v>
      </c>
    </row>
    <row r="34" spans="1:107">
      <c r="A34" s="25" t="s">
        <v>119</v>
      </c>
      <c r="B34" s="34">
        <v>0</v>
      </c>
      <c r="C34" s="34">
        <v>0</v>
      </c>
      <c r="D34" s="34">
        <v>0</v>
      </c>
      <c r="E34" s="34">
        <f>'CF Capex'!D6</f>
        <v>0</v>
      </c>
      <c r="F34" s="34">
        <f>'CF Capex'!E6</f>
        <v>0</v>
      </c>
      <c r="G34" s="34">
        <f>'CF Capex'!F6</f>
        <v>0</v>
      </c>
      <c r="H34" s="34">
        <f>'CF Capex'!G6</f>
        <v>0</v>
      </c>
      <c r="I34" s="34">
        <f>'CF Capex'!H6</f>
        <v>0</v>
      </c>
      <c r="J34" s="34">
        <f>'CF Capex'!I6</f>
        <v>0</v>
      </c>
      <c r="K34" s="34">
        <f>'CF Capex'!J6</f>
        <v>0</v>
      </c>
      <c r="L34" s="34">
        <f>'CF Capex'!K6</f>
        <v>0</v>
      </c>
      <c r="M34" s="34">
        <f>'CF Capex'!L6</f>
        <v>0</v>
      </c>
      <c r="N34" s="34">
        <f>'CF Capex'!M6</f>
        <v>0</v>
      </c>
      <c r="O34" s="34">
        <f>'CF Capex'!N6</f>
        <v>0</v>
      </c>
      <c r="P34" s="34">
        <f>'CF Capex'!O6</f>
        <v>0</v>
      </c>
      <c r="Q34" s="34">
        <f>'CF Capex'!P6</f>
        <v>0.67</v>
      </c>
      <c r="R34" s="34">
        <f>'CF Capex'!Q6</f>
        <v>0.17</v>
      </c>
      <c r="S34" s="34">
        <f>'CF Capex'!R6</f>
        <v>0.17</v>
      </c>
      <c r="T34" s="34">
        <f>'CF Capex'!S6</f>
        <v>0.17</v>
      </c>
      <c r="U34" s="34">
        <f>'CF Capex'!T6</f>
        <v>0.17</v>
      </c>
      <c r="V34" s="34">
        <f>'CF Capex'!U6</f>
        <v>0.17</v>
      </c>
      <c r="W34" s="34">
        <f>'CF Capex'!V6</f>
        <v>0.17</v>
      </c>
      <c r="X34" s="34">
        <f>'CF Capex'!W6</f>
        <v>0.17</v>
      </c>
      <c r="Y34" s="34">
        <f>'CF Capex'!X6</f>
        <v>0.17</v>
      </c>
      <c r="Z34" s="34">
        <f>'CF Capex'!Y6</f>
        <v>0.17</v>
      </c>
      <c r="AA34" s="34">
        <f>'CF Capex'!Z6</f>
        <v>0.17</v>
      </c>
      <c r="AB34" s="34">
        <f>'CF Capex'!AA6</f>
        <v>0.17</v>
      </c>
      <c r="AC34" s="34">
        <f>'CF Capex'!AB6</f>
        <v>0.17</v>
      </c>
      <c r="AD34" s="34">
        <f>'CF Capex'!AC6</f>
        <v>0.17</v>
      </c>
      <c r="AE34" s="34">
        <f>'CF Capex'!AD6</f>
        <v>0.37</v>
      </c>
      <c r="AF34" s="34">
        <f>'CF Capex'!AE6</f>
        <v>0.17</v>
      </c>
      <c r="AG34" s="34">
        <f>'CF Capex'!AE6</f>
        <v>0.17</v>
      </c>
      <c r="AH34" s="34">
        <f>'CF Capex'!AF6</f>
        <v>0.17</v>
      </c>
      <c r="AI34" s="34">
        <f>'CF Capex'!AG6</f>
        <v>0.17</v>
      </c>
      <c r="AJ34" s="34">
        <f>'CF Capex'!AH6</f>
        <v>0</v>
      </c>
      <c r="AK34" s="34">
        <f>'CF Capex'!AI6</f>
        <v>0</v>
      </c>
      <c r="AL34" s="34">
        <f>'CF Capex'!AJ6</f>
        <v>0</v>
      </c>
      <c r="AM34" s="34">
        <f>'CF Capex'!AK6</f>
        <v>0</v>
      </c>
      <c r="AN34" s="34">
        <f>'CF Capex'!AL6</f>
        <v>0</v>
      </c>
      <c r="AO34" s="34">
        <f>'CF Capex'!AM6</f>
        <v>0</v>
      </c>
      <c r="AP34" s="34">
        <f>'CF Capex'!AN6</f>
        <v>0</v>
      </c>
      <c r="AQ34" s="34">
        <f>'CF Capex'!AO6</f>
        <v>0</v>
      </c>
      <c r="AR34" s="34">
        <f>'CF Capex'!AP6</f>
        <v>0</v>
      </c>
      <c r="AS34" s="34">
        <f>'CF Capex'!AQ6</f>
        <v>0</v>
      </c>
      <c r="AT34" s="34">
        <f>'CF Capex'!AR6</f>
        <v>0</v>
      </c>
      <c r="AU34" s="34">
        <f>'CF Capex'!AS6</f>
        <v>0</v>
      </c>
      <c r="AV34" s="34">
        <f>'CF Capex'!AT6</f>
        <v>0</v>
      </c>
      <c r="AW34" s="34">
        <f>'CF Capex'!AU6</f>
        <v>0</v>
      </c>
      <c r="AX34" s="34">
        <f>'CF Capex'!AV6</f>
        <v>0</v>
      </c>
      <c r="AY34" s="34">
        <f>'CF Capex'!AW6</f>
        <v>0</v>
      </c>
      <c r="AZ34" s="34">
        <f>'CF Capex'!AX6</f>
        <v>0</v>
      </c>
      <c r="BA34" s="34">
        <f>'CF Capex'!AY6</f>
        <v>0</v>
      </c>
      <c r="BB34" s="34">
        <f>'CF Capex'!AZ6</f>
        <v>0</v>
      </c>
      <c r="BC34" s="34">
        <f>'CF Capex'!BA6</f>
        <v>0</v>
      </c>
      <c r="BD34" s="34">
        <f>'CF Capex'!BB6</f>
        <v>0</v>
      </c>
      <c r="BE34" s="34">
        <f>'CF Capex'!BC6</f>
        <v>0</v>
      </c>
      <c r="BF34" s="34">
        <f>'CF Capex'!BD6</f>
        <v>0</v>
      </c>
      <c r="BG34" s="34">
        <f>'CF Capex'!BE6</f>
        <v>0</v>
      </c>
      <c r="BH34" s="34">
        <f>'CF Capex'!BF6</f>
        <v>0</v>
      </c>
      <c r="BI34" s="34">
        <f>'CF Capex'!BG6</f>
        <v>0</v>
      </c>
      <c r="BJ34" s="34">
        <f>'CF Capex'!BH6</f>
        <v>0</v>
      </c>
      <c r="BK34" s="34">
        <f>'CF Capex'!BI6</f>
        <v>0</v>
      </c>
      <c r="BL34" s="34">
        <f>'CF Capex'!BJ6</f>
        <v>0</v>
      </c>
      <c r="BM34" s="34">
        <f>'CF Capex'!BK6</f>
        <v>0</v>
      </c>
      <c r="BN34" s="34">
        <f>'CF Capex'!BL6</f>
        <v>0</v>
      </c>
      <c r="BO34" s="34">
        <f>'CF Capex'!BM6</f>
        <v>0</v>
      </c>
      <c r="BP34" s="34">
        <f>'CF Capex'!BN6</f>
        <v>0</v>
      </c>
      <c r="BQ34" s="34">
        <f>'CF Capex'!BO6</f>
        <v>0</v>
      </c>
      <c r="BR34" s="34">
        <f>'CF Capex'!BP6</f>
        <v>0</v>
      </c>
      <c r="BS34" s="34">
        <f>'CF Capex'!BQ6</f>
        <v>0</v>
      </c>
      <c r="BT34" s="34">
        <f>'CF Capex'!BR6</f>
        <v>0</v>
      </c>
      <c r="BU34" s="34">
        <f>'CF Capex'!BS6</f>
        <v>0</v>
      </c>
      <c r="BV34" s="34">
        <f>'CF Capex'!BT6</f>
        <v>0</v>
      </c>
      <c r="BW34" s="34">
        <f>'CF Capex'!BU6</f>
        <v>0</v>
      </c>
      <c r="BX34" s="34">
        <f>'CF Capex'!BV6</f>
        <v>0</v>
      </c>
      <c r="BY34" s="34">
        <f>'CF Capex'!BW6</f>
        <v>0</v>
      </c>
      <c r="BZ34" s="34">
        <f>'CF Capex'!BX6</f>
        <v>0</v>
      </c>
      <c r="CA34" s="34">
        <f>'CF Capex'!BY6</f>
        <v>0</v>
      </c>
      <c r="CB34" s="34">
        <f>'CF Capex'!BZ6</f>
        <v>0</v>
      </c>
      <c r="CC34" s="34">
        <f>'CF Capex'!CA6</f>
        <v>0</v>
      </c>
      <c r="CD34" s="34">
        <f>'CF Capex'!CB6</f>
        <v>0</v>
      </c>
      <c r="CE34" s="34">
        <f>'CF Capex'!CC6</f>
        <v>0</v>
      </c>
      <c r="CF34" s="34">
        <f>'CF Capex'!CD6</f>
        <v>0</v>
      </c>
      <c r="CG34" s="34">
        <f>'CF Capex'!CE6</f>
        <v>0</v>
      </c>
      <c r="CH34" s="34">
        <f>'CF Capex'!CF6</f>
        <v>0</v>
      </c>
      <c r="CI34" s="34">
        <f>'CF Capex'!CG6</f>
        <v>0</v>
      </c>
      <c r="CJ34" s="34">
        <f>'CF Capex'!CH6</f>
        <v>0</v>
      </c>
      <c r="CK34" s="34">
        <f>'CF Capex'!CI6</f>
        <v>0</v>
      </c>
      <c r="CL34" s="34">
        <f>'CF Capex'!CJ6</f>
        <v>0</v>
      </c>
      <c r="CM34" s="34">
        <f>'CF Capex'!CK6</f>
        <v>0</v>
      </c>
      <c r="CN34" s="34">
        <f>'CF Capex'!CL6</f>
        <v>0</v>
      </c>
      <c r="CO34" s="34">
        <f>'CF Capex'!CM6</f>
        <v>0</v>
      </c>
      <c r="CP34" s="34">
        <f>'CF Capex'!CN6</f>
        <v>0</v>
      </c>
      <c r="CQ34" s="34">
        <f>'CF Capex'!CO6</f>
        <v>0</v>
      </c>
      <c r="CR34" s="34">
        <f>'CF Capex'!CP6</f>
        <v>0</v>
      </c>
      <c r="CS34" s="34">
        <f>'CF Capex'!CQ6</f>
        <v>0</v>
      </c>
      <c r="CT34" s="34">
        <f>'CF Capex'!CR6</f>
        <v>0</v>
      </c>
      <c r="CU34" s="34">
        <f>'CF Capex'!CS6</f>
        <v>0</v>
      </c>
      <c r="CV34" s="34">
        <f>'CF Capex'!CT6</f>
        <v>0</v>
      </c>
      <c r="CW34" s="34">
        <f>'CF Capex'!CU6</f>
        <v>0</v>
      </c>
      <c r="CX34" s="34">
        <f>'CF Capex'!CV6</f>
        <v>0</v>
      </c>
      <c r="CY34" s="34">
        <f>'CF Capex'!CW6</f>
        <v>0</v>
      </c>
      <c r="CZ34" s="34">
        <f>'CF Capex'!CX6</f>
        <v>0</v>
      </c>
      <c r="DA34" s="34">
        <f>'CF Capex'!CY6</f>
        <v>0</v>
      </c>
      <c r="DB34" s="34">
        <f>'CF Capex'!CZ6</f>
        <v>0</v>
      </c>
      <c r="DC34" s="34">
        <f>'CF Capex'!DA6</f>
        <v>0</v>
      </c>
    </row>
    <row r="36" spans="1:107">
      <c r="A36" s="25"/>
      <c r="K36" s="34"/>
      <c r="W36" s="34"/>
      <c r="AI36" s="34"/>
      <c r="AU36" s="34"/>
      <c r="BG36" s="34"/>
      <c r="BS36" s="34"/>
      <c r="CE36" s="34"/>
      <c r="CQ36" s="34"/>
      <c r="DC36" s="34"/>
    </row>
    <row r="37" spans="1:107" hidden="1"/>
    <row r="38" spans="1:107" ht="15" hidden="1">
      <c r="L38" s="258">
        <v>1.85</v>
      </c>
    </row>
    <row r="39" spans="1:107" ht="15" hidden="1">
      <c r="L39" s="258">
        <v>1.71</v>
      </c>
    </row>
    <row r="40" spans="1:107" ht="15" hidden="1">
      <c r="L40" s="258">
        <v>7.05</v>
      </c>
    </row>
    <row r="41" spans="1:107" ht="15" hidden="1">
      <c r="L41" s="258">
        <v>7.14</v>
      </c>
    </row>
    <row r="42" spans="1:107" ht="15" hidden="1">
      <c r="L42" s="258">
        <v>10.83</v>
      </c>
    </row>
    <row r="43" spans="1:107" ht="15" hidden="1">
      <c r="L43" s="258">
        <v>4.2</v>
      </c>
    </row>
    <row r="44" spans="1:107" ht="15" hidden="1">
      <c r="L44" s="258">
        <v>1.43</v>
      </c>
    </row>
    <row r="45" spans="1:107" ht="15" hidden="1">
      <c r="L45" s="258">
        <v>0.69</v>
      </c>
    </row>
    <row r="46" spans="1:107" ht="15" hidden="1">
      <c r="L46" s="258">
        <v>1.4</v>
      </c>
    </row>
    <row r="47" spans="1:107" ht="15" hidden="1">
      <c r="L47" s="258">
        <v>2.08</v>
      </c>
    </row>
    <row r="48" spans="1:107" ht="15" hidden="1">
      <c r="L48" s="258">
        <v>3.4</v>
      </c>
    </row>
    <row r="49" spans="13:24" hidden="1">
      <c r="M49" s="35">
        <f>54.15-41.72</f>
        <v>12.43</v>
      </c>
    </row>
    <row r="50" spans="13:24" hidden="1">
      <c r="M50" s="35">
        <f>M49-7.29</f>
        <v>5.14</v>
      </c>
    </row>
    <row r="51" spans="13:24" hidden="1"/>
    <row r="52" spans="13:24" hidden="1"/>
    <row r="53" spans="13:24" hidden="1"/>
    <row r="54" spans="13:24" hidden="1"/>
    <row r="57" spans="13:24">
      <c r="W57" s="39">
        <v>4478.6414999999997</v>
      </c>
    </row>
    <row r="58" spans="13:24">
      <c r="W58" s="39">
        <v>2971</v>
      </c>
    </row>
    <row r="62" spans="13:24">
      <c r="X62" s="118"/>
    </row>
  </sheetData>
  <pageMargins left="0.75" right="0.75" top="1" bottom="1" header="0.4921259845" footer="0.4921259845"/>
  <pageSetup orientation="portrait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X50"/>
  <sheetViews>
    <sheetView zoomScaleNormal="100" workbookViewId="0">
      <pane xSplit="1" ySplit="2" topLeftCell="F15" activePane="bottomRight" state="frozen"/>
      <selection pane="topRight"/>
      <selection pane="bottomLeft"/>
      <selection pane="bottomRight" activeCell="Q20" sqref="Q20"/>
    </sheetView>
  </sheetViews>
  <sheetFormatPr defaultColWidth="13.33203125" defaultRowHeight="12"/>
  <cols>
    <col min="1" max="1" width="42.33203125" style="166" customWidth="1"/>
    <col min="2" max="9" width="7.83203125" style="163" customWidth="1"/>
    <col min="10" max="17" width="8.6640625" style="163" bestFit="1" customWidth="1"/>
    <col min="18" max="18" width="9.33203125" style="19" bestFit="1" customWidth="1"/>
    <col min="19" max="19" width="9.33203125" style="24" hidden="1" customWidth="1"/>
    <col min="20" max="22" width="9.33203125" style="19" hidden="1" customWidth="1"/>
    <col min="23" max="16384" width="13.33203125" style="163"/>
  </cols>
  <sheetData>
    <row r="1" spans="1:24" s="15" customFormat="1">
      <c r="A1" s="13"/>
      <c r="B1" s="268" t="s">
        <v>35</v>
      </c>
      <c r="C1" s="268"/>
      <c r="D1" s="268"/>
      <c r="E1" s="268"/>
      <c r="F1" s="268"/>
      <c r="G1" s="268"/>
      <c r="H1" s="268"/>
      <c r="I1" s="268"/>
      <c r="J1" s="268" t="s">
        <v>36</v>
      </c>
      <c r="K1" s="268"/>
      <c r="L1" s="268"/>
      <c r="M1" s="268"/>
      <c r="N1" s="268"/>
      <c r="O1" s="268"/>
      <c r="P1" s="268"/>
      <c r="Q1" s="268"/>
      <c r="R1" s="160" t="s">
        <v>20</v>
      </c>
      <c r="S1" s="161"/>
      <c r="T1" s="14"/>
      <c r="U1" s="14"/>
      <c r="V1" s="14"/>
    </row>
    <row r="2" spans="1:24" s="162" customFormat="1">
      <c r="A2" s="13" t="s">
        <v>37</v>
      </c>
      <c r="B2" s="16" t="s">
        <v>38</v>
      </c>
      <c r="C2" s="16" t="s">
        <v>39</v>
      </c>
      <c r="D2" s="16" t="s">
        <v>40</v>
      </c>
      <c r="E2" s="16" t="s">
        <v>41</v>
      </c>
      <c r="F2" s="16" t="s">
        <v>42</v>
      </c>
      <c r="G2" s="16" t="s">
        <v>43</v>
      </c>
      <c r="H2" s="16" t="s">
        <v>44</v>
      </c>
      <c r="I2" s="16" t="s">
        <v>45</v>
      </c>
      <c r="J2" s="16" t="s">
        <v>46</v>
      </c>
      <c r="K2" s="16" t="s">
        <v>47</v>
      </c>
      <c r="L2" s="16" t="s">
        <v>48</v>
      </c>
      <c r="M2" s="16" t="s">
        <v>49</v>
      </c>
      <c r="N2" s="16" t="s">
        <v>50</v>
      </c>
      <c r="O2" s="16" t="s">
        <v>51</v>
      </c>
      <c r="P2" s="16" t="s">
        <v>52</v>
      </c>
      <c r="Q2" s="16" t="s">
        <v>53</v>
      </c>
      <c r="R2" s="17" t="s">
        <v>54</v>
      </c>
      <c r="S2" s="18" t="s">
        <v>55</v>
      </c>
      <c r="T2" s="17" t="s">
        <v>56</v>
      </c>
      <c r="U2" s="17" t="s">
        <v>57</v>
      </c>
      <c r="V2" s="17" t="s">
        <v>58</v>
      </c>
    </row>
    <row r="3" spans="1:24">
      <c r="A3" s="15" t="str">
        <f>'Monthly PL'!A4</f>
        <v>Billings</v>
      </c>
      <c r="B3" s="19">
        <v>8.0970399999999998</v>
      </c>
      <c r="C3" s="19">
        <v>29.901019300000002</v>
      </c>
      <c r="D3" s="19">
        <v>29.548490399999999</v>
      </c>
      <c r="E3" s="19">
        <v>33.501902000000001</v>
      </c>
      <c r="F3" s="19">
        <v>31.883900000000001</v>
      </c>
      <c r="G3" s="19">
        <v>33.200000000000003</v>
      </c>
      <c r="H3" s="19">
        <v>37.75</v>
      </c>
      <c r="I3" s="19">
        <v>47.03</v>
      </c>
      <c r="J3" s="19">
        <v>57.39</v>
      </c>
      <c r="K3" s="19">
        <f>SUMIF('Monthly PL'!$2:$2,K$2,'Monthly PL'!4:4)</f>
        <v>62.970538879999992</v>
      </c>
      <c r="L3" s="19">
        <f>SUMIF('Monthly PL'!$2:$2,L$2,'Monthly PL'!4:4)</f>
        <v>70.663899238400006</v>
      </c>
      <c r="M3" s="19">
        <f>SUMIF('Monthly PL'!$2:$2,M$2,'Monthly PL'!4:4)</f>
        <v>89.015460740211225</v>
      </c>
      <c r="N3" s="19">
        <f>SUMIF('Monthly PL'!$2:$2,N$2,'Monthly PL'!4:4)</f>
        <v>95.338531673192719</v>
      </c>
      <c r="O3" s="19">
        <f>SUMIF('Monthly PL'!$2:$2,O$2,'Monthly PL'!4:4)</f>
        <v>107.3778910389176</v>
      </c>
      <c r="P3" s="19">
        <f>SUMIF('Monthly PL'!$2:$2,P$2,'Monthly PL'!4:4)</f>
        <v>115.15575799437903</v>
      </c>
      <c r="Q3" s="19">
        <f>SUMIF('Monthly PL'!$2:$2,Q$2,'Monthly PL'!4:4)</f>
        <v>60.739002924375818</v>
      </c>
      <c r="R3" s="19">
        <f t="shared" ref="R3:R8" si="0">SUM(B3:Q3)</f>
        <v>909.56343418947642</v>
      </c>
      <c r="S3" s="24">
        <v>1446.9620910714204</v>
      </c>
      <c r="T3" s="19">
        <v>1533.7429982479775</v>
      </c>
      <c r="U3" s="19">
        <v>1925.52</v>
      </c>
      <c r="V3" s="19">
        <v>1841.2411215026118</v>
      </c>
    </row>
    <row r="4" spans="1:24">
      <c r="A4" s="15" t="str">
        <f>'Monthly PL'!A5</f>
        <v>GST Claim from DJB-NOR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f>SUMIF('Monthly PL'!$2:$2,J$2,'Monthly PL'!5:5)</f>
        <v>0</v>
      </c>
      <c r="K4" s="19">
        <f>SUMIF('Monthly PL'!$2:$2,K$2,'Monthly PL'!5:5)</f>
        <v>3.1425772586666665</v>
      </c>
      <c r="L4" s="19">
        <f>SUMIF('Monthly PL'!$2:$2,L$2,'Monthly PL'!5:5)</f>
        <v>1.4132779847680004</v>
      </c>
      <c r="M4" s="19">
        <f>SUMIF('Monthly PL'!$2:$2,M$2,'Monthly PL'!5:5)</f>
        <v>1.7803092148042243</v>
      </c>
      <c r="N4" s="19">
        <f>SUMIF('Monthly PL'!$2:$2,N$2,'Monthly PL'!5:5)</f>
        <v>1.9067706334638546</v>
      </c>
      <c r="O4" s="19">
        <f>SUMIF('Monthly PL'!$2:$2,O$2,'Monthly PL'!5:5)</f>
        <v>2.1475578207783523</v>
      </c>
      <c r="P4" s="19">
        <f>SUMIF('Monthly PL'!$2:$2,P$2,'Monthly PL'!5:5)</f>
        <v>2.3031151598875801</v>
      </c>
      <c r="Q4" s="19">
        <f>SUMIF('Monthly PL'!$2:$2,Q$2,'Monthly PL'!5:5)</f>
        <v>1.2147800584875164</v>
      </c>
      <c r="R4" s="19">
        <f t="shared" si="0"/>
        <v>13.908388130856196</v>
      </c>
      <c r="S4" s="24">
        <v>0</v>
      </c>
      <c r="T4" s="19">
        <v>0</v>
      </c>
      <c r="U4" s="19">
        <v>0</v>
      </c>
      <c r="V4" s="19">
        <v>0</v>
      </c>
    </row>
    <row r="5" spans="1:24">
      <c r="A5" s="15" t="str">
        <f>'Monthly PL'!A6</f>
        <v>Power Incentive</v>
      </c>
      <c r="B5" s="19">
        <v>0</v>
      </c>
      <c r="C5" s="19">
        <v>2.0169651000000002</v>
      </c>
      <c r="D5" s="19">
        <v>1.8678585999999999</v>
      </c>
      <c r="E5" s="19">
        <v>0.85397120000000004</v>
      </c>
      <c r="F5" s="19">
        <v>0.51380000000000003</v>
      </c>
      <c r="G5" s="19">
        <v>0.08</v>
      </c>
      <c r="H5" s="19">
        <v>0</v>
      </c>
      <c r="I5" s="19">
        <v>0</v>
      </c>
      <c r="J5" s="19">
        <f>SUMIF('Monthly PL'!$2:$2,J$2,'Monthly PL'!6:6)</f>
        <v>0</v>
      </c>
      <c r="K5" s="19">
        <f>SUMIF('Monthly PL'!$2:$2,K$2,'Monthly PL'!6:6)</f>
        <v>0.47999999999999993</v>
      </c>
      <c r="L5" s="19">
        <f>SUMIF('Monthly PL'!$2:$2,L$2,'Monthly PL'!6:6)</f>
        <v>0.47999999999999993</v>
      </c>
      <c r="M5" s="19">
        <f>SUMIF('Monthly PL'!$2:$2,M$2,'Monthly PL'!6:6)</f>
        <v>0.47999999999999993</v>
      </c>
      <c r="N5" s="19">
        <f>SUMIF('Monthly PL'!$2:$2,N$2,'Monthly PL'!6:6)</f>
        <v>0.47999999999999993</v>
      </c>
      <c r="O5" s="19">
        <f>SUMIF('Monthly PL'!$2:$2,O$2,'Monthly PL'!6:6)</f>
        <v>0.47999999999999993</v>
      </c>
      <c r="P5" s="19">
        <f>SUMIF('Monthly PL'!$2:$2,P$2,'Monthly PL'!6:6)</f>
        <v>0.47999999999999993</v>
      </c>
      <c r="Q5" s="19">
        <f>SUMIF('Monthly PL'!$2:$2,Q$2,'Monthly PL'!6:6)</f>
        <v>0.24000000000000002</v>
      </c>
      <c r="R5" s="19">
        <f t="shared" si="0"/>
        <v>8.4525948999999976</v>
      </c>
      <c r="S5" s="24">
        <v>10.725004232299034</v>
      </c>
      <c r="T5" s="19">
        <v>21.888428161614534</v>
      </c>
      <c r="U5" s="19">
        <v>0</v>
      </c>
      <c r="V5" s="19">
        <v>0</v>
      </c>
    </row>
    <row r="6" spans="1:24">
      <c r="A6" s="15" t="str">
        <f>'Monthly PL'!A7</f>
        <v>New HSC Revenue Post Capex</v>
      </c>
      <c r="B6" s="19">
        <v>0</v>
      </c>
      <c r="C6" s="19">
        <v>0</v>
      </c>
      <c r="D6" s="19">
        <v>0</v>
      </c>
      <c r="E6" s="19">
        <v>0</v>
      </c>
      <c r="F6" s="19">
        <v>0</v>
      </c>
      <c r="G6" s="19">
        <v>0</v>
      </c>
      <c r="H6" s="19">
        <v>0</v>
      </c>
      <c r="I6" s="19">
        <v>0</v>
      </c>
      <c r="J6" s="19">
        <f>SUMIF('Monthly PL'!$2:$2,J$2,'Monthly PL'!7:7)</f>
        <v>0</v>
      </c>
      <c r="K6" s="19">
        <f>SUMIF('Monthly PL'!$2:$2,K$2,'Monthly PL'!7:7)</f>
        <v>0</v>
      </c>
      <c r="L6" s="19">
        <f>SUMIF('Monthly PL'!$2:$2,L$2,'Monthly PL'!7:7)</f>
        <v>10.7487396</v>
      </c>
      <c r="M6" s="19">
        <f>SUMIF('Monthly PL'!$2:$2,M$2,'Monthly PL'!7:7)</f>
        <v>5.3743698000000002</v>
      </c>
      <c r="N6" s="19">
        <f>SUMIF('Monthly PL'!$2:$2,N$2,'Monthly PL'!7:7)</f>
        <v>2.6871849000000001</v>
      </c>
      <c r="O6" s="19">
        <f>SUMIF('Monthly PL'!$2:$2,O$2,'Monthly PL'!7:7)</f>
        <v>2.6871849000000001</v>
      </c>
      <c r="P6" s="19">
        <f>SUMIF('Monthly PL'!$2:$2,P$2,'Monthly PL'!7:7)</f>
        <v>2.6871849000000001</v>
      </c>
      <c r="Q6" s="19">
        <f>SUMIF('Monthly PL'!$2:$2,Q$2,'Monthly PL'!7:7)</f>
        <v>1.34359245</v>
      </c>
      <c r="R6" s="19">
        <f t="shared" si="0"/>
        <v>25.528256549999998</v>
      </c>
      <c r="S6" s="24">
        <v>13.449184782723407</v>
      </c>
      <c r="T6" s="19">
        <v>0</v>
      </c>
      <c r="U6" s="19">
        <v>0</v>
      </c>
      <c r="V6" s="19">
        <v>0</v>
      </c>
    </row>
    <row r="7" spans="1:24">
      <c r="A7" s="15" t="str">
        <f>'Monthly PL'!A8</f>
        <v>Tanker Current Bills</v>
      </c>
      <c r="B7" s="19">
        <v>0</v>
      </c>
      <c r="C7" s="19">
        <v>0</v>
      </c>
      <c r="D7" s="19">
        <v>0</v>
      </c>
      <c r="E7" s="19">
        <v>0</v>
      </c>
      <c r="F7" s="19">
        <v>2.2488000000000001</v>
      </c>
      <c r="G7" s="19">
        <v>14.32</v>
      </c>
      <c r="H7" s="19">
        <v>12.75</v>
      </c>
      <c r="I7" s="19">
        <v>7.04</v>
      </c>
      <c r="J7" s="19">
        <f>SUMIF('Monthly PL'!$2:$2,J$2,'Monthly PL'!8:8)</f>
        <v>3.1312319999999998</v>
      </c>
      <c r="K7" s="19">
        <f>SUMIF('Monthly PL'!$2:$2,K$2,'Monthly PL'!8:8)</f>
        <v>1.4004556799999999</v>
      </c>
      <c r="L7" s="19">
        <f>SUMIF('Monthly PL'!$2:$2,L$2,'Monthly PL'!8:8)</f>
        <v>0.42114908159999997</v>
      </c>
      <c r="M7" s="19">
        <f>SUMIF('Monthly PL'!$2:$2,M$2,'Monthly PL'!8:8)</f>
        <v>0</v>
      </c>
      <c r="N7" s="19">
        <f>SUMIF('Monthly PL'!$2:$2,N$2,'Monthly PL'!8:8)</f>
        <v>0</v>
      </c>
      <c r="O7" s="19">
        <f>SUMIF('Monthly PL'!$2:$2,O$2,'Monthly PL'!8:8)</f>
        <v>0</v>
      </c>
      <c r="P7" s="19">
        <f>SUMIF('Monthly PL'!$2:$2,P$2,'Monthly PL'!8:8)</f>
        <v>0</v>
      </c>
      <c r="Q7" s="19">
        <f>SUMIF('Monthly PL'!$2:$2,Q$2,'Monthly PL'!8:8)</f>
        <v>0</v>
      </c>
      <c r="R7" s="19">
        <f t="shared" si="0"/>
        <v>41.311636761599999</v>
      </c>
      <c r="S7" s="24">
        <v>8.5631951999999991</v>
      </c>
      <c r="T7" s="19">
        <v>0</v>
      </c>
      <c r="U7" s="19">
        <v>0</v>
      </c>
      <c r="V7" s="19">
        <v>0</v>
      </c>
    </row>
    <row r="8" spans="1:24">
      <c r="A8" s="15" t="str">
        <f>'Monthly PL'!A9</f>
        <v>ACE Bill</v>
      </c>
      <c r="B8" s="19">
        <v>0</v>
      </c>
      <c r="C8" s="19">
        <v>0</v>
      </c>
      <c r="D8" s="19">
        <v>0</v>
      </c>
      <c r="E8" s="19">
        <v>0</v>
      </c>
      <c r="F8" s="19">
        <v>5.68</v>
      </c>
      <c r="G8" s="19">
        <v>0.68</v>
      </c>
      <c r="H8" s="19">
        <v>0</v>
      </c>
      <c r="I8" s="19">
        <v>0</v>
      </c>
      <c r="J8" s="19">
        <f>SUMIF('Monthly PL'!$2:$2,J$2,'Monthly PL'!9:9)</f>
        <v>0</v>
      </c>
      <c r="K8" s="19">
        <f>SUMIF('Monthly PL'!$2:$2,K$2,'Monthly PL'!9:9)</f>
        <v>0</v>
      </c>
      <c r="L8" s="19">
        <f>SUMIF('Monthly PL'!$2:$2,L$2,'Monthly PL'!9:9)</f>
        <v>0</v>
      </c>
      <c r="M8" s="19">
        <f>SUMIF('Monthly PL'!$2:$2,M$2,'Monthly PL'!9:9)</f>
        <v>0</v>
      </c>
      <c r="N8" s="19">
        <f>SUMIF('Monthly PL'!$2:$2,N$2,'Monthly PL'!9:9)</f>
        <v>0</v>
      </c>
      <c r="O8" s="19">
        <f>SUMIF('Monthly PL'!$2:$2,O$2,'Monthly PL'!9:9)</f>
        <v>0</v>
      </c>
      <c r="P8" s="19">
        <f>SUMIF('Monthly PL'!$2:$2,P$2,'Monthly PL'!9:9)</f>
        <v>0</v>
      </c>
      <c r="Q8" s="19">
        <f>SUMIF('Monthly PL'!$2:$2,Q$2,'Monthly PL'!9:9)</f>
        <v>0</v>
      </c>
      <c r="R8" s="19">
        <f t="shared" si="0"/>
        <v>6.3599999999999994</v>
      </c>
      <c r="S8" s="24">
        <v>34.728000000000002</v>
      </c>
      <c r="T8" s="19">
        <v>0</v>
      </c>
      <c r="U8" s="19">
        <v>0</v>
      </c>
      <c r="V8" s="19">
        <v>0</v>
      </c>
    </row>
    <row r="9" spans="1:24">
      <c r="A9" s="25" t="s">
        <v>644</v>
      </c>
      <c r="B9" s="19"/>
      <c r="C9" s="19"/>
      <c r="D9" s="19"/>
      <c r="E9" s="19"/>
      <c r="F9" s="19"/>
      <c r="G9" s="19"/>
      <c r="H9" s="19"/>
      <c r="I9" s="19"/>
      <c r="J9" s="19"/>
      <c r="K9" s="19">
        <f>'Monthly PL'!AA10</f>
        <v>113.85550000000001</v>
      </c>
      <c r="L9" s="19"/>
      <c r="M9" s="19"/>
      <c r="N9" s="19"/>
      <c r="O9" s="19"/>
      <c r="P9" s="19"/>
      <c r="Q9" s="19"/>
    </row>
    <row r="10" spans="1:24" ht="12.75" thickBot="1">
      <c r="A10" s="13" t="s">
        <v>59</v>
      </c>
      <c r="B10" s="20">
        <f t="shared" ref="B10:J10" si="1">SUM(B3:B9)</f>
        <v>8.0970399999999998</v>
      </c>
      <c r="C10" s="20">
        <f t="shared" si="1"/>
        <v>31.917984400000002</v>
      </c>
      <c r="D10" s="20">
        <f t="shared" si="1"/>
        <v>31.416348999999997</v>
      </c>
      <c r="E10" s="20">
        <f t="shared" si="1"/>
        <v>34.355873199999998</v>
      </c>
      <c r="F10" s="20">
        <f t="shared" si="1"/>
        <v>40.326500000000003</v>
      </c>
      <c r="G10" s="20">
        <f t="shared" si="1"/>
        <v>48.28</v>
      </c>
      <c r="H10" s="20">
        <f t="shared" si="1"/>
        <v>50.5</v>
      </c>
      <c r="I10" s="20">
        <f t="shared" si="1"/>
        <v>54.07</v>
      </c>
      <c r="J10" s="20">
        <f t="shared" si="1"/>
        <v>60.521231999999998</v>
      </c>
      <c r="K10" s="20">
        <f>SUM(K3:K9)</f>
        <v>181.84907181866666</v>
      </c>
      <c r="L10" s="20">
        <f t="shared" ref="L10:R10" si="2">SUM(L3:L9)</f>
        <v>83.727065904768025</v>
      </c>
      <c r="M10" s="20">
        <f t="shared" si="2"/>
        <v>96.650139755015445</v>
      </c>
      <c r="N10" s="20">
        <f t="shared" si="2"/>
        <v>100.41248720665658</v>
      </c>
      <c r="O10" s="20">
        <f t="shared" si="2"/>
        <v>112.69263375969595</v>
      </c>
      <c r="P10" s="20">
        <f t="shared" si="2"/>
        <v>120.62605805426662</v>
      </c>
      <c r="Q10" s="20">
        <f t="shared" si="2"/>
        <v>63.537375432863335</v>
      </c>
      <c r="R10" s="20">
        <f t="shared" si="2"/>
        <v>1005.1243105319327</v>
      </c>
      <c r="S10" s="21">
        <f>SUM(S3:S8)</f>
        <v>1514.427475286443</v>
      </c>
      <c r="T10" s="20">
        <f>SUM(T3:T8)</f>
        <v>1555.631426409592</v>
      </c>
      <c r="U10" s="20">
        <f>SUM(U3:U8)</f>
        <v>1925.52</v>
      </c>
      <c r="V10" s="20">
        <f>SUM(V3:V8)</f>
        <v>1841.2411215026118</v>
      </c>
    </row>
    <row r="11" spans="1:24" ht="12.75" thickTop="1">
      <c r="A11" s="22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S11" s="19"/>
    </row>
    <row r="12" spans="1:24" s="162" customFormat="1">
      <c r="A12" s="13" t="s">
        <v>37</v>
      </c>
      <c r="B12" s="16" t="str">
        <f t="shared" ref="B12:S12" si="3">B2</f>
        <v>2013-14</v>
      </c>
      <c r="C12" s="16" t="str">
        <f t="shared" si="3"/>
        <v>2014-15</v>
      </c>
      <c r="D12" s="16" t="str">
        <f t="shared" si="3"/>
        <v>2015-16</v>
      </c>
      <c r="E12" s="16" t="str">
        <f t="shared" si="3"/>
        <v>2016-17</v>
      </c>
      <c r="F12" s="16" t="str">
        <f t="shared" si="3"/>
        <v>2017-18</v>
      </c>
      <c r="G12" s="16" t="str">
        <f t="shared" si="3"/>
        <v>2018-19</v>
      </c>
      <c r="H12" s="16" t="str">
        <f t="shared" si="3"/>
        <v>2019-20</v>
      </c>
      <c r="I12" s="16" t="str">
        <f t="shared" si="3"/>
        <v>2020-21</v>
      </c>
      <c r="J12" s="16" t="str">
        <f t="shared" si="3"/>
        <v>2021-22</v>
      </c>
      <c r="K12" s="16" t="str">
        <f t="shared" si="3"/>
        <v>2022-23</v>
      </c>
      <c r="L12" s="16" t="str">
        <f t="shared" si="3"/>
        <v>2023-24</v>
      </c>
      <c r="M12" s="16" t="str">
        <f t="shared" si="3"/>
        <v>2024-25</v>
      </c>
      <c r="N12" s="16" t="str">
        <f t="shared" si="3"/>
        <v>2025-26</v>
      </c>
      <c r="O12" s="16" t="str">
        <f t="shared" si="3"/>
        <v>2026-27</v>
      </c>
      <c r="P12" s="16" t="str">
        <f t="shared" si="3"/>
        <v>2027-28</v>
      </c>
      <c r="Q12" s="16" t="str">
        <f t="shared" si="3"/>
        <v>2028-29</v>
      </c>
      <c r="R12" s="16" t="str">
        <f t="shared" si="3"/>
        <v>Total</v>
      </c>
      <c r="S12" s="18" t="str">
        <f t="shared" si="3"/>
        <v>Oct,18 BP</v>
      </c>
      <c r="T12" s="17" t="s">
        <v>56</v>
      </c>
      <c r="U12" s="17" t="s">
        <v>57</v>
      </c>
      <c r="V12" s="17" t="s">
        <v>58</v>
      </c>
    </row>
    <row r="13" spans="1:24">
      <c r="A13" s="15" t="s">
        <v>60</v>
      </c>
      <c r="B13" s="27">
        <v>5.94728845561818</v>
      </c>
      <c r="C13" s="27">
        <v>18.484130070752911</v>
      </c>
      <c r="D13" s="27">
        <v>15.848441072</v>
      </c>
      <c r="E13" s="19">
        <v>18.125136275116702</v>
      </c>
      <c r="F13" s="19">
        <v>22.55</v>
      </c>
      <c r="G13" s="19">
        <v>27.87</v>
      </c>
      <c r="H13" s="19">
        <f>27.14+0.85</f>
        <v>27.990000000000002</v>
      </c>
      <c r="I13" s="19">
        <v>28.54</v>
      </c>
      <c r="J13" s="19">
        <v>23.97</v>
      </c>
      <c r="K13" s="19">
        <f>(SUMIF('Monthly PL'!$2:$2,K$2,'Monthly PL'!14:14))+(SUMIF('Monthly PL'!$2:$2,K$2,'Monthly PL'!18:18))+(SUMIF('Monthly PL'!$2:$2,K$2,'Monthly PL'!19:19))</f>
        <v>29.94272079817048</v>
      </c>
      <c r="L13" s="19">
        <f>(SUMIF('Monthly PL'!$2:$2,L$2,'Monthly PL'!14:14))+(SUMIF('Monthly PL'!$2:$2,L$2,'Monthly PL'!18:18))+(SUMIF('Monthly PL'!$2:$2,L$2,'Monthly PL'!19:19))</f>
        <v>28.417873823881635</v>
      </c>
      <c r="M13" s="19">
        <f>(SUMIF('Monthly PL'!$2:$2,M$2,'Monthly PL'!14:14))+(SUMIF('Monthly PL'!$2:$2,M$2,'Monthly PL'!18:18))+(SUMIF('Monthly PL'!$2:$2,M$2,'Monthly PL'!19:19))</f>
        <v>28.149949120669344</v>
      </c>
      <c r="N13" s="19">
        <f>(SUMIF('Monthly PL'!$2:$2,N$2,'Monthly PL'!14:14))+(SUMIF('Monthly PL'!$2:$2,N$2,'Monthly PL'!18:18))+(SUMIF('Monthly PL'!$2:$2,N$2,'Monthly PL'!19:19))</f>
        <v>29.517233188073803</v>
      </c>
      <c r="O13" s="19">
        <f>(SUMIF('Monthly PL'!$2:$2,O$2,'Monthly PL'!14:14))+(SUMIF('Monthly PL'!$2:$2,O$2,'Monthly PL'!18:18))+(SUMIF('Monthly PL'!$2:$2,O$2,'Monthly PL'!19:19))</f>
        <v>41.84026022564948</v>
      </c>
      <c r="P13" s="19">
        <f>(SUMIF('Monthly PL'!$2:$2,P$2,'Monthly PL'!14:14))+(SUMIF('Monthly PL'!$2:$2,P$2,'Monthly PL'!18:18))+(SUMIF('Monthly PL'!$2:$2,P$2,'Monthly PL'!19:19))</f>
        <v>34.374618158166065</v>
      </c>
      <c r="Q13" s="19">
        <f>(SUMIF('Monthly PL'!$2:$2,Q$2,'Monthly PL'!14:14))+(SUMIF('Monthly PL'!$2:$2,Q$2,'Monthly PL'!18:18))+(SUMIF('Monthly PL'!$2:$2,Q$2,'Monthly PL'!19:19))</f>
        <v>15.287598115607691</v>
      </c>
      <c r="R13" s="19">
        <f>SUM(B13:Q13)</f>
        <v>396.85524930370633</v>
      </c>
      <c r="S13" s="24">
        <v>288.79101992552393</v>
      </c>
      <c r="T13" s="19">
        <v>290.70019136295195</v>
      </c>
      <c r="U13" s="19">
        <v>601.37</v>
      </c>
      <c r="V13" s="19">
        <v>510.07</v>
      </c>
      <c r="X13" s="162"/>
    </row>
    <row r="14" spans="1:24">
      <c r="A14" s="15" t="s">
        <v>61</v>
      </c>
      <c r="B14" s="27">
        <v>3.2947455599999995</v>
      </c>
      <c r="C14" s="27">
        <v>9.9191263000000003</v>
      </c>
      <c r="D14" s="27">
        <v>11.269306</v>
      </c>
      <c r="E14" s="19">
        <v>12.8960802408</v>
      </c>
      <c r="F14" s="19">
        <v>16.28</v>
      </c>
      <c r="G14" s="19">
        <v>19.079999999999998</v>
      </c>
      <c r="H14" s="19">
        <v>21.02</v>
      </c>
      <c r="I14" s="19">
        <f>14.95+10.91</f>
        <v>25.86</v>
      </c>
      <c r="J14" s="19">
        <v>24.84</v>
      </c>
      <c r="K14" s="19">
        <f>(SUMIF('Monthly PL'!$2:$2,K$2,'Monthly PL'!15:15))</f>
        <v>22.87732600437252</v>
      </c>
      <c r="L14" s="19">
        <f>(SUMIF('Monthly PL'!$2:$2,L$2,'Monthly PL'!15:15))</f>
        <v>24.014434054591153</v>
      </c>
      <c r="M14" s="19">
        <f>(SUMIF('Monthly PL'!$2:$2,M$2,'Monthly PL'!15:15))</f>
        <v>25.208334177320708</v>
      </c>
      <c r="N14" s="19">
        <f>(SUMIF('Monthly PL'!$2:$2,N$2,'Monthly PL'!15:15))</f>
        <v>26.461860456186741</v>
      </c>
      <c r="O14" s="19">
        <f>(SUMIF('Monthly PL'!$2:$2,O$2,'Monthly PL'!15:15))</f>
        <v>27.777997348996088</v>
      </c>
      <c r="P14" s="19">
        <f>(SUMIF('Monthly PL'!$2:$2,P$2,'Monthly PL'!15:15))</f>
        <v>29.159875986445883</v>
      </c>
      <c r="Q14" s="19">
        <f>(SUMIF('Monthly PL'!$2:$2,Q$2,'Monthly PL'!15:15))</f>
        <v>15.305227912884083</v>
      </c>
      <c r="R14" s="19">
        <f>SUM(B14:Q14)</f>
        <v>315.26431404159723</v>
      </c>
      <c r="S14" s="24">
        <v>268.24571089977979</v>
      </c>
      <c r="T14" s="19">
        <v>312.70450283576844</v>
      </c>
      <c r="U14" s="19">
        <v>445.79</v>
      </c>
      <c r="V14" s="19">
        <v>431.18994557820309</v>
      </c>
    </row>
    <row r="15" spans="1:24">
      <c r="A15" s="15" t="str">
        <f>'Monthly PL'!A16</f>
        <v>New HSC Cost Post Capex</v>
      </c>
      <c r="B15" s="19">
        <v>0</v>
      </c>
      <c r="C15" s="19">
        <v>0</v>
      </c>
      <c r="D15" s="19">
        <v>0</v>
      </c>
      <c r="E15" s="19">
        <v>0</v>
      </c>
      <c r="F15" s="19">
        <v>0</v>
      </c>
      <c r="G15" s="19">
        <v>0</v>
      </c>
      <c r="H15" s="19">
        <v>0</v>
      </c>
      <c r="I15" s="19">
        <v>0</v>
      </c>
      <c r="J15" s="19">
        <f>SUMIF('Monthly PL'!$2:$2,J$2,'Monthly PL'!16:16)</f>
        <v>0</v>
      </c>
      <c r="K15" s="19">
        <f>SUMIF('Monthly PL'!$2:$2,K$2,'Monthly PL'!16:16)</f>
        <v>0</v>
      </c>
      <c r="L15" s="19">
        <f>SUMIF('Monthly PL'!$2:$2,L$2,'Monthly PL'!16:16)</f>
        <v>10.7487396</v>
      </c>
      <c r="M15" s="19">
        <f>SUMIF('Monthly PL'!$2:$2,M$2,'Monthly PL'!16:16)</f>
        <v>5.3743698000000002</v>
      </c>
      <c r="N15" s="19">
        <f>SUMIF('Monthly PL'!$2:$2,N$2,'Monthly PL'!16:16)</f>
        <v>2.6871849000000001</v>
      </c>
      <c r="O15" s="19">
        <f>SUMIF('Monthly PL'!$2:$2,O$2,'Monthly PL'!16:16)</f>
        <v>2.6871849000000001</v>
      </c>
      <c r="P15" s="19">
        <f>SUMIF('Monthly PL'!$2:$2,P$2,'Monthly PL'!16:16)</f>
        <v>2.6871849000000001</v>
      </c>
      <c r="Q15" s="19">
        <f>SUMIF('Monthly PL'!$2:$2,Q$2,'Monthly PL'!16:16)</f>
        <v>1.34359245</v>
      </c>
      <c r="R15" s="19">
        <f>SUM(B15:Q15)</f>
        <v>25.528256549999998</v>
      </c>
      <c r="S15" s="24">
        <v>13.449184782723407</v>
      </c>
      <c r="T15" s="19">
        <v>0</v>
      </c>
      <c r="U15" s="19">
        <v>0</v>
      </c>
      <c r="V15" s="19">
        <v>0</v>
      </c>
    </row>
    <row r="16" spans="1:24">
      <c r="A16" s="144" t="s">
        <v>630</v>
      </c>
      <c r="B16" s="19">
        <f>(SUMIF('Monthly PL'!$2:$2,B$2,'Monthly PL'!16:16))</f>
        <v>0</v>
      </c>
      <c r="C16" s="19">
        <f>(SUMIF('Monthly PL'!$2:$2,C$2,'Monthly PL'!16:16))</f>
        <v>0</v>
      </c>
      <c r="D16" s="19">
        <f>(SUMIF('Monthly PL'!$2:$2,D$2,'Monthly PL'!16:16))</f>
        <v>0</v>
      </c>
      <c r="E16" s="19">
        <f>(SUMIF('Monthly PL'!$2:$2,E$2,'Monthly PL'!16:16))</f>
        <v>0</v>
      </c>
      <c r="F16" s="19">
        <f>(SUMIF('Monthly PL'!$2:$2,F$2,'Monthly PL'!16:16))</f>
        <v>0</v>
      </c>
      <c r="G16" s="19">
        <f>(SUMIF('Monthly PL'!$2:$2,G$2,'Monthly PL'!16:16))</f>
        <v>0</v>
      </c>
      <c r="H16" s="19">
        <f>(SUMIF('Monthly PL'!$2:$2,H$2,'Monthly PL'!16:16))</f>
        <v>0</v>
      </c>
      <c r="I16" s="19">
        <f>(SUMIF('Monthly PL'!$2:$2,I$2,'Monthly PL'!16:16))</f>
        <v>0</v>
      </c>
      <c r="J16" s="19">
        <f>(SUMIF('Monthly PL'!$2:$2,J$2,'Monthly PL'!16:16))</f>
        <v>0</v>
      </c>
      <c r="K16" s="19">
        <f>SUMIF('Monthly PL'!$2:$2,K$2,'Monthly PL'!17:17)</f>
        <v>0.35644314666666665</v>
      </c>
      <c r="L16" s="19">
        <f>SUMIF('Monthly PL'!$2:$2,L$2,'Monthly PL'!17:17)</f>
        <v>3.5331949619200005</v>
      </c>
      <c r="M16" s="19">
        <f>SUMIF('Monthly PL'!$2:$2,M$2,'Monthly PL'!17:17)</f>
        <v>4.4507730370105607</v>
      </c>
      <c r="N16" s="19">
        <f>SUMIF('Monthly PL'!$2:$2,N$2,'Monthly PL'!17:17)</f>
        <v>4.7669265836596368</v>
      </c>
      <c r="O16" s="19">
        <f>SUMIF('Monthly PL'!$2:$2,O$2,'Monthly PL'!17:17)</f>
        <v>5.3688945519458811</v>
      </c>
      <c r="P16" s="19">
        <f>SUMIF('Monthly PL'!$2:$2,P$2,'Monthly PL'!17:17)</f>
        <v>5.7577878997189504</v>
      </c>
      <c r="Q16" s="19">
        <f>SUMIF('Monthly PL'!$2:$2,Q$2,'Monthly PL'!17:17)</f>
        <v>3.0369501462187909</v>
      </c>
      <c r="R16" s="19">
        <f>SUM(B16:Q16)</f>
        <v>27.270970327140489</v>
      </c>
    </row>
    <row r="17" spans="1:22">
      <c r="A17" s="15" t="s">
        <v>62</v>
      </c>
      <c r="B17" s="27">
        <v>1.6066672</v>
      </c>
      <c r="C17" s="27">
        <v>3.4574229000000001</v>
      </c>
      <c r="D17" s="27">
        <v>2.9133610999999999</v>
      </c>
      <c r="E17" s="19">
        <v>2.2207475591999999</v>
      </c>
      <c r="F17" s="19">
        <v>0.43369999999999997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f>SUM(B17:Q17)</f>
        <v>10.631898759199998</v>
      </c>
      <c r="S17" s="24">
        <v>10.765958759199998</v>
      </c>
      <c r="T17" s="19">
        <v>35.507966139458603</v>
      </c>
      <c r="U17" s="19">
        <v>16.02</v>
      </c>
      <c r="V17" s="19">
        <v>20.014768830643195</v>
      </c>
    </row>
    <row r="18" spans="1:22" ht="12.75" thickBot="1">
      <c r="A18" s="13" t="s">
        <v>63</v>
      </c>
      <c r="B18" s="164">
        <f t="shared" ref="B18:V18" si="4">SUM(B13:B17)</f>
        <v>10.848701215618179</v>
      </c>
      <c r="C18" s="164">
        <f t="shared" si="4"/>
        <v>31.860679270752915</v>
      </c>
      <c r="D18" s="164">
        <f t="shared" si="4"/>
        <v>30.031108172</v>
      </c>
      <c r="E18" s="164">
        <f t="shared" si="4"/>
        <v>33.241964075116705</v>
      </c>
      <c r="F18" s="164">
        <f t="shared" si="4"/>
        <v>39.2637</v>
      </c>
      <c r="G18" s="164">
        <f t="shared" si="4"/>
        <v>46.95</v>
      </c>
      <c r="H18" s="164">
        <f t="shared" si="4"/>
        <v>49.010000000000005</v>
      </c>
      <c r="I18" s="164">
        <f t="shared" si="4"/>
        <v>54.4</v>
      </c>
      <c r="J18" s="164">
        <f t="shared" si="4"/>
        <v>48.81</v>
      </c>
      <c r="K18" s="164">
        <f t="shared" si="4"/>
        <v>53.176489949209667</v>
      </c>
      <c r="L18" s="164">
        <f t="shared" si="4"/>
        <v>66.714242440392781</v>
      </c>
      <c r="M18" s="164">
        <f t="shared" si="4"/>
        <v>63.183426135000616</v>
      </c>
      <c r="N18" s="164">
        <f t="shared" si="4"/>
        <v>63.433205127920182</v>
      </c>
      <c r="O18" s="164">
        <f t="shared" si="4"/>
        <v>77.674337026591459</v>
      </c>
      <c r="P18" s="164">
        <f t="shared" si="4"/>
        <v>71.979466944330895</v>
      </c>
      <c r="Q18" s="164">
        <f t="shared" si="4"/>
        <v>34.973368624710567</v>
      </c>
      <c r="R18" s="164">
        <f t="shared" si="4"/>
        <v>775.55068898164404</v>
      </c>
      <c r="S18" s="165">
        <f t="shared" si="4"/>
        <v>581.25187436722706</v>
      </c>
      <c r="T18" s="164">
        <f t="shared" si="4"/>
        <v>638.91266033817897</v>
      </c>
      <c r="U18" s="164">
        <f t="shared" si="4"/>
        <v>1063.18</v>
      </c>
      <c r="V18" s="164">
        <f t="shared" si="4"/>
        <v>961.27471440884631</v>
      </c>
    </row>
    <row r="19" spans="1:22" ht="12.75" thickTop="1"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</row>
    <row r="20" spans="1:22">
      <c r="A20" s="13" t="s">
        <v>64</v>
      </c>
      <c r="B20" s="19">
        <f t="shared" ref="B20:Q20" si="5">+B10-B18</f>
        <v>-2.7516612156181797</v>
      </c>
      <c r="C20" s="19">
        <f t="shared" si="5"/>
        <v>5.7305129247087194E-2</v>
      </c>
      <c r="D20" s="19">
        <f t="shared" si="5"/>
        <v>1.385240827999997</v>
      </c>
      <c r="E20" s="19">
        <f t="shared" si="5"/>
        <v>1.1139091248832926</v>
      </c>
      <c r="F20" s="19">
        <f t="shared" si="5"/>
        <v>1.0628000000000029</v>
      </c>
      <c r="G20" s="19">
        <f t="shared" si="5"/>
        <v>1.3299999999999983</v>
      </c>
      <c r="H20" s="19">
        <f t="shared" si="5"/>
        <v>1.4899999999999949</v>
      </c>
      <c r="I20" s="19">
        <f t="shared" si="5"/>
        <v>-0.32999999999999829</v>
      </c>
      <c r="J20" s="19">
        <f t="shared" si="5"/>
        <v>11.711231999999995</v>
      </c>
      <c r="K20" s="19">
        <f t="shared" si="5"/>
        <v>128.67258186945699</v>
      </c>
      <c r="L20" s="19">
        <f t="shared" si="5"/>
        <v>17.012823464375245</v>
      </c>
      <c r="M20" s="19">
        <f t="shared" si="5"/>
        <v>33.466713620014829</v>
      </c>
      <c r="N20" s="19">
        <f t="shared" si="5"/>
        <v>36.979282078736396</v>
      </c>
      <c r="O20" s="19">
        <f t="shared" si="5"/>
        <v>35.018296733104492</v>
      </c>
      <c r="P20" s="19">
        <f t="shared" si="5"/>
        <v>48.646591109935727</v>
      </c>
      <c r="Q20" s="19">
        <f t="shared" si="5"/>
        <v>28.564006808152769</v>
      </c>
      <c r="R20" s="19">
        <f>SUM(B20:Q20)</f>
        <v>343.42912155028864</v>
      </c>
      <c r="S20" s="24">
        <f>S10-S18</f>
        <v>933.17560091921598</v>
      </c>
      <c r="T20" s="19">
        <f>T10-T18</f>
        <v>916.71876607141303</v>
      </c>
      <c r="U20" s="19">
        <f>U10-U18</f>
        <v>862.33999999999992</v>
      </c>
      <c r="V20" s="19">
        <f>V10-V18</f>
        <v>879.9664070937655</v>
      </c>
    </row>
    <row r="21" spans="1:22">
      <c r="A21" s="15" t="s">
        <v>65</v>
      </c>
      <c r="B21" s="167">
        <v>0.198254004381819</v>
      </c>
      <c r="C21" s="167">
        <v>1.7866841</v>
      </c>
      <c r="D21" s="167">
        <v>1.9100072241098698</v>
      </c>
      <c r="E21" s="167">
        <v>1.0247816367689195</v>
      </c>
      <c r="F21" s="19">
        <v>0.71830000000000005</v>
      </c>
      <c r="G21" s="19">
        <v>0.51280000000000003</v>
      </c>
      <c r="H21" s="19">
        <v>0.55000000000000004</v>
      </c>
      <c r="I21" s="19">
        <v>36.24</v>
      </c>
      <c r="J21" s="19">
        <v>37.049999999999997</v>
      </c>
      <c r="K21" s="19">
        <f>(SUMIF('Monthly PL'!$2:$2,K$2,'Monthly PL'!23:23))</f>
        <v>45.5</v>
      </c>
      <c r="L21" s="19">
        <f>(SUMIF('Monthly PL'!$2:$2,L$2,'Monthly PL'!23:23))</f>
        <v>45.5</v>
      </c>
      <c r="M21" s="19">
        <f>(SUMIF('Monthly PL'!$2:$2,M$2,'Monthly PL'!23:23))</f>
        <v>45.5</v>
      </c>
      <c r="N21" s="19">
        <f>(SUMIF('Monthly PL'!$2:$2,N$2,'Monthly PL'!23:23))</f>
        <v>45.5</v>
      </c>
      <c r="O21" s="19">
        <f>(SUMIF('Monthly PL'!$2:$2,O$2,'Monthly PL'!23:23))</f>
        <v>45.5</v>
      </c>
      <c r="P21" s="19">
        <f>(SUMIF('Monthly PL'!$2:$2,P$2,'Monthly PL'!23:23))</f>
        <v>46.04</v>
      </c>
      <c r="Q21" s="19">
        <f>(SUMIF('Monthly PL'!$2:$2,Q$2,'Monthly PL'!23:23))</f>
        <v>0</v>
      </c>
      <c r="R21" s="19">
        <f>SUM(B21:Q21)</f>
        <v>353.53082696526064</v>
      </c>
      <c r="S21" s="24">
        <v>237.51370632993331</v>
      </c>
      <c r="T21" s="19">
        <v>227.57959374223009</v>
      </c>
      <c r="U21" s="19">
        <v>272.10000000000002</v>
      </c>
      <c r="V21" s="19">
        <v>211.36651829315741</v>
      </c>
    </row>
    <row r="22" spans="1:22">
      <c r="A22" s="25" t="s">
        <v>66</v>
      </c>
      <c r="B22" s="19">
        <v>7.7491099999999993E-2</v>
      </c>
      <c r="C22" s="19">
        <v>0.2278715</v>
      </c>
      <c r="D22" s="19">
        <v>0.23861950000000001</v>
      </c>
      <c r="E22" s="19">
        <v>0.25939272000000002</v>
      </c>
      <c r="F22" s="19">
        <v>0.26590000000000003</v>
      </c>
      <c r="G22" s="19">
        <v>0.5544</v>
      </c>
      <c r="H22" s="19">
        <v>1.33</v>
      </c>
      <c r="I22" s="19">
        <v>42.41</v>
      </c>
      <c r="J22" s="19">
        <v>47.42</v>
      </c>
      <c r="K22" s="19">
        <f>(SUMIF('Monthly PL'!$2:$2,K$2,'Monthly PL'!25:25))+(SUMIF('Monthly PL'!$2:$2,K$2,'Monthly PL'!24:24))+(SUMIF('Monthly PL'!$2:$2,K$2,'Monthly PL'!26:26))</f>
        <v>20.930152587584804</v>
      </c>
      <c r="L22" s="19">
        <f>(SUMIF('Monthly PL'!$2:$2,L$2,'Monthly PL'!27:27))+(SUMIF('Monthly PL'!$2:$2,L$2,'Monthly PL'!24:24))+(SUMIF('Monthly PL'!$2:$2,L$2,'Monthly PL'!26:26))</f>
        <v>15.547902046218519</v>
      </c>
      <c r="M22" s="19">
        <f>(SUMIF('Monthly PL'!$2:$2,M$2,'Monthly PL'!27:27))+(SUMIF('Monthly PL'!$2:$2,M$2,'Monthly PL'!24:24))+(SUMIF('Monthly PL'!$2:$2,M$2,'Monthly PL'!26:26))</f>
        <v>14.536445532786459</v>
      </c>
      <c r="N22" s="19">
        <f>(SUMIF('Monthly PL'!$2:$2,N$2,'Monthly PL'!27:27))+(SUMIF('Monthly PL'!$2:$2,N$2,'Monthly PL'!24:24))+(SUMIF('Monthly PL'!$2:$2,N$2,'Monthly PL'!26:26))</f>
        <v>12.231491747369153</v>
      </c>
      <c r="O22" s="19">
        <f>(SUMIF('Monthly PL'!$2:$2,O$2,'Monthly PL'!27:27))+(SUMIF('Monthly PL'!$2:$2,O$2,'Monthly PL'!24:24))+(SUMIF('Monthly PL'!$2:$2,O$2,'Monthly PL'!26:26))</f>
        <v>9.420809705235822</v>
      </c>
      <c r="P22" s="19">
        <f>(SUMIF('Monthly PL'!$2:$2,P$2,'Monthly PL'!27:27))+(SUMIF('Monthly PL'!$2:$2,P$2,'Monthly PL'!24:24))+(SUMIF('Monthly PL'!$2:$2,P$2,'Monthly PL'!26:26))</f>
        <v>5.8029075610365153</v>
      </c>
      <c r="Q22" s="19">
        <f>(SUMIF('Monthly PL'!$2:$2,Q$2,'Monthly PL'!27:27))+(SUMIF('Monthly PL'!$2:$2,Q$2,'Monthly PL'!24:24))+(SUMIF('Monthly PL'!$2:$2,Q$2,'Monthly PL'!26:26))</f>
        <v>0.87854075365412954</v>
      </c>
      <c r="R22" s="19">
        <f>SUM(B22:Q22)</f>
        <v>172.13192475388541</v>
      </c>
      <c r="S22" s="24">
        <v>0</v>
      </c>
      <c r="T22" s="19">
        <v>0</v>
      </c>
      <c r="U22" s="19">
        <v>0</v>
      </c>
      <c r="V22" s="19">
        <v>0</v>
      </c>
    </row>
    <row r="23" spans="1:22" ht="12.75" thickBot="1">
      <c r="A23" s="13" t="s">
        <v>67</v>
      </c>
      <c r="B23" s="20">
        <f t="shared" ref="B23:V23" si="6">+B20-SUM(B21:B22)</f>
        <v>-3.0274063199999985</v>
      </c>
      <c r="C23" s="20">
        <f t="shared" si="6"/>
        <v>-1.9572504707529128</v>
      </c>
      <c r="D23" s="20">
        <f t="shared" si="6"/>
        <v>-0.76338589610987295</v>
      </c>
      <c r="E23" s="20">
        <f t="shared" si="6"/>
        <v>-0.17026523188562681</v>
      </c>
      <c r="F23" s="20">
        <f t="shared" si="6"/>
        <v>7.8600000000002779E-2</v>
      </c>
      <c r="G23" s="20">
        <f t="shared" si="6"/>
        <v>0.26279999999999815</v>
      </c>
      <c r="H23" s="20">
        <f t="shared" si="6"/>
        <v>-0.39000000000000523</v>
      </c>
      <c r="I23" s="20">
        <f t="shared" si="6"/>
        <v>-78.98</v>
      </c>
      <c r="J23" s="20">
        <f t="shared" si="6"/>
        <v>-72.758768000000003</v>
      </c>
      <c r="K23" s="20">
        <f t="shared" si="6"/>
        <v>62.242429281872191</v>
      </c>
      <c r="L23" s="20">
        <f t="shared" si="6"/>
        <v>-44.035078581843273</v>
      </c>
      <c r="M23" s="20">
        <f t="shared" si="6"/>
        <v>-26.56973191277163</v>
      </c>
      <c r="N23" s="20">
        <f t="shared" si="6"/>
        <v>-20.752209668632759</v>
      </c>
      <c r="O23" s="20">
        <f t="shared" si="6"/>
        <v>-19.902512972131333</v>
      </c>
      <c r="P23" s="20">
        <f t="shared" si="6"/>
        <v>-3.1963164511007847</v>
      </c>
      <c r="Q23" s="20">
        <f t="shared" si="6"/>
        <v>27.68546605449864</v>
      </c>
      <c r="R23" s="20">
        <f t="shared" si="6"/>
        <v>-182.23363016885742</v>
      </c>
      <c r="S23" s="21">
        <f t="shared" si="6"/>
        <v>695.66189458928261</v>
      </c>
      <c r="T23" s="20">
        <f t="shared" si="6"/>
        <v>689.13917232918288</v>
      </c>
      <c r="U23" s="20">
        <f t="shared" si="6"/>
        <v>590.2399999999999</v>
      </c>
      <c r="V23" s="20">
        <f t="shared" si="6"/>
        <v>668.59988880060814</v>
      </c>
    </row>
    <row r="24" spans="1:22" ht="12.75" thickTop="1">
      <c r="A24" s="15" t="s">
        <v>68</v>
      </c>
      <c r="B24" s="19">
        <f t="shared" ref="B24:G24" si="7">B49</f>
        <v>0</v>
      </c>
      <c r="C24" s="19">
        <f t="shared" si="7"/>
        <v>0</v>
      </c>
      <c r="D24" s="19">
        <f t="shared" si="7"/>
        <v>0</v>
      </c>
      <c r="E24" s="19">
        <f t="shared" si="7"/>
        <v>0</v>
      </c>
      <c r="F24" s="19">
        <f t="shared" si="7"/>
        <v>0</v>
      </c>
      <c r="G24" s="19">
        <f t="shared" si="7"/>
        <v>0</v>
      </c>
      <c r="H24" s="19">
        <f>MAX(H49,0)</f>
        <v>0</v>
      </c>
      <c r="I24" s="19">
        <f>MAX(I49,0)</f>
        <v>0</v>
      </c>
      <c r="J24" s="19">
        <f>J49</f>
        <v>0</v>
      </c>
      <c r="K24" s="19">
        <f t="shared" ref="K24:Q24" si="8">K49</f>
        <v>0</v>
      </c>
      <c r="L24" s="19">
        <f t="shared" si="8"/>
        <v>0</v>
      </c>
      <c r="M24" s="19">
        <f t="shared" si="8"/>
        <v>0</v>
      </c>
      <c r="N24" s="19">
        <f t="shared" si="8"/>
        <v>0</v>
      </c>
      <c r="O24" s="19">
        <f t="shared" si="8"/>
        <v>0</v>
      </c>
      <c r="P24" s="19">
        <v>0</v>
      </c>
      <c r="Q24" s="19">
        <f t="shared" si="8"/>
        <v>0</v>
      </c>
      <c r="R24" s="19">
        <f>SUM(B24:Q24)</f>
        <v>0</v>
      </c>
      <c r="S24" s="24">
        <v>115.88535668914456</v>
      </c>
      <c r="T24" s="19">
        <v>105.67674837739351</v>
      </c>
      <c r="U24" s="19">
        <v>74.680000000000007</v>
      </c>
      <c r="V24" s="19">
        <v>80.994368413504674</v>
      </c>
    </row>
    <row r="25" spans="1:22" ht="12.75" thickBot="1">
      <c r="A25" s="13" t="s">
        <v>69</v>
      </c>
      <c r="B25" s="20">
        <f t="shared" ref="B25:V25" si="9">B23-SUM(B24:B24)</f>
        <v>-3.0274063199999985</v>
      </c>
      <c r="C25" s="20">
        <f t="shared" si="9"/>
        <v>-1.9572504707529128</v>
      </c>
      <c r="D25" s="20">
        <f t="shared" si="9"/>
        <v>-0.76338589610987295</v>
      </c>
      <c r="E25" s="20">
        <f t="shared" si="9"/>
        <v>-0.17026523188562681</v>
      </c>
      <c r="F25" s="20">
        <f t="shared" si="9"/>
        <v>7.8600000000002779E-2</v>
      </c>
      <c r="G25" s="20">
        <f t="shared" si="9"/>
        <v>0.26279999999999815</v>
      </c>
      <c r="H25" s="20">
        <f t="shared" si="9"/>
        <v>-0.39000000000000523</v>
      </c>
      <c r="I25" s="20">
        <f t="shared" si="9"/>
        <v>-78.98</v>
      </c>
      <c r="J25" s="20">
        <f t="shared" si="9"/>
        <v>-72.758768000000003</v>
      </c>
      <c r="K25" s="20">
        <f t="shared" si="9"/>
        <v>62.242429281872191</v>
      </c>
      <c r="L25" s="20">
        <f t="shared" si="9"/>
        <v>-44.035078581843273</v>
      </c>
      <c r="M25" s="20">
        <f t="shared" si="9"/>
        <v>-26.56973191277163</v>
      </c>
      <c r="N25" s="20">
        <f t="shared" si="9"/>
        <v>-20.752209668632759</v>
      </c>
      <c r="O25" s="20">
        <f t="shared" si="9"/>
        <v>-19.902512972131333</v>
      </c>
      <c r="P25" s="20">
        <f t="shared" si="9"/>
        <v>-3.1963164511007847</v>
      </c>
      <c r="Q25" s="20">
        <f t="shared" si="9"/>
        <v>27.68546605449864</v>
      </c>
      <c r="R25" s="20">
        <f t="shared" si="9"/>
        <v>-182.23363016885742</v>
      </c>
      <c r="S25" s="21">
        <f>S23-SUM(S24:S24)</f>
        <v>579.77653790013801</v>
      </c>
      <c r="T25" s="20">
        <f>T23-SUM(T24:T24)</f>
        <v>583.46242395178933</v>
      </c>
      <c r="U25" s="20">
        <f t="shared" si="9"/>
        <v>515.55999999999995</v>
      </c>
      <c r="V25" s="20">
        <f t="shared" si="9"/>
        <v>587.60552038710352</v>
      </c>
    </row>
    <row r="26" spans="1:22" ht="12.75" thickTop="1">
      <c r="A26" s="13" t="s">
        <v>70</v>
      </c>
      <c r="B26" s="19">
        <f>B25</f>
        <v>-3.0274063199999985</v>
      </c>
      <c r="C26" s="19">
        <f t="shared" ref="C26:Q26" si="10">C25+B26</f>
        <v>-4.9846567907529113</v>
      </c>
      <c r="D26" s="19">
        <f t="shared" si="10"/>
        <v>-5.7480426868627843</v>
      </c>
      <c r="E26" s="19">
        <f t="shared" si="10"/>
        <v>-5.9183079187484111</v>
      </c>
      <c r="F26" s="19">
        <f t="shared" si="10"/>
        <v>-5.8397079187484087</v>
      </c>
      <c r="G26" s="19">
        <f t="shared" si="10"/>
        <v>-5.576907918748411</v>
      </c>
      <c r="H26" s="19">
        <f t="shared" si="10"/>
        <v>-5.966907918748416</v>
      </c>
      <c r="I26" s="19">
        <f t="shared" si="10"/>
        <v>-84.946907918748423</v>
      </c>
      <c r="J26" s="19">
        <f t="shared" si="10"/>
        <v>-157.70567591874843</v>
      </c>
      <c r="K26" s="19">
        <f t="shared" si="10"/>
        <v>-95.463246636876235</v>
      </c>
      <c r="L26" s="19">
        <f t="shared" si="10"/>
        <v>-139.49832521871951</v>
      </c>
      <c r="M26" s="19">
        <f t="shared" si="10"/>
        <v>-166.06805713149114</v>
      </c>
      <c r="N26" s="19">
        <f t="shared" si="10"/>
        <v>-186.8202668001239</v>
      </c>
      <c r="O26" s="19">
        <f t="shared" si="10"/>
        <v>-206.72277977225525</v>
      </c>
      <c r="P26" s="19">
        <f t="shared" si="10"/>
        <v>-209.91909622335604</v>
      </c>
      <c r="Q26" s="19">
        <f t="shared" si="10"/>
        <v>-182.23363016885739</v>
      </c>
      <c r="S26" s="24">
        <f>S25+S21</f>
        <v>817.29024423007127</v>
      </c>
      <c r="T26" s="19">
        <f>T25+T21</f>
        <v>811.04201769401948</v>
      </c>
      <c r="U26" s="19">
        <f>U25+U21</f>
        <v>787.66</v>
      </c>
      <c r="V26" s="19">
        <f>V25+V21</f>
        <v>798.97203868026099</v>
      </c>
    </row>
    <row r="27" spans="1:22">
      <c r="A27" s="13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22">
      <c r="A28" s="13"/>
      <c r="B28" s="19">
        <f t="shared" ref="B28:Q28" si="11">SUM(B22:B22)</f>
        <v>7.7491099999999993E-2</v>
      </c>
      <c r="C28" s="19">
        <f t="shared" si="11"/>
        <v>0.2278715</v>
      </c>
      <c r="D28" s="19">
        <f t="shared" si="11"/>
        <v>0.23861950000000001</v>
      </c>
      <c r="E28" s="19">
        <f t="shared" si="11"/>
        <v>0.25939272000000002</v>
      </c>
      <c r="F28" s="19">
        <f t="shared" si="11"/>
        <v>0.26590000000000003</v>
      </c>
      <c r="G28" s="19">
        <f t="shared" si="11"/>
        <v>0.5544</v>
      </c>
      <c r="H28" s="19">
        <f t="shared" si="11"/>
        <v>1.33</v>
      </c>
      <c r="I28" s="19">
        <f t="shared" si="11"/>
        <v>42.41</v>
      </c>
      <c r="J28" s="19">
        <f t="shared" si="11"/>
        <v>47.42</v>
      </c>
      <c r="K28" s="19">
        <f t="shared" si="11"/>
        <v>20.930152587584804</v>
      </c>
      <c r="L28" s="19">
        <f t="shared" si="11"/>
        <v>15.547902046218519</v>
      </c>
      <c r="M28" s="19">
        <f t="shared" si="11"/>
        <v>14.536445532786459</v>
      </c>
      <c r="N28" s="19">
        <f t="shared" si="11"/>
        <v>12.231491747369153</v>
      </c>
      <c r="O28" s="19">
        <f t="shared" si="11"/>
        <v>9.420809705235822</v>
      </c>
      <c r="P28" s="19">
        <f t="shared" si="11"/>
        <v>5.8029075610365153</v>
      </c>
      <c r="Q28" s="19">
        <f t="shared" si="11"/>
        <v>0.87854075365412954</v>
      </c>
    </row>
    <row r="29" spans="1:22">
      <c r="A29" s="13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22">
      <c r="A30" s="13" t="s">
        <v>578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</row>
    <row r="31" spans="1:22">
      <c r="A31" s="13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</row>
    <row r="32" spans="1:22">
      <c r="A32" s="13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9">
      <c r="A33" s="13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</row>
    <row r="34" spans="1:19">
      <c r="A34" s="13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</row>
    <row r="35" spans="1:19">
      <c r="A35" s="13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</row>
    <row r="36" spans="1:19">
      <c r="A36" s="15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</row>
    <row r="37" spans="1:19">
      <c r="A37" s="15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</row>
    <row r="38" spans="1:19">
      <c r="A38" s="13" t="s">
        <v>71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</row>
    <row r="39" spans="1:19">
      <c r="A39" s="15" t="s">
        <v>72</v>
      </c>
      <c r="B39" s="19">
        <f t="shared" ref="B39:Q39" si="12">B23</f>
        <v>-3.0274063199999985</v>
      </c>
      <c r="C39" s="19">
        <f t="shared" si="12"/>
        <v>-1.9572504707529128</v>
      </c>
      <c r="D39" s="19">
        <f t="shared" si="12"/>
        <v>-0.76338589610987295</v>
      </c>
      <c r="E39" s="19">
        <f t="shared" si="12"/>
        <v>-0.17026523188562681</v>
      </c>
      <c r="F39" s="19">
        <f t="shared" si="12"/>
        <v>7.8600000000002779E-2</v>
      </c>
      <c r="G39" s="19">
        <f t="shared" si="12"/>
        <v>0.26279999999999815</v>
      </c>
      <c r="H39" s="19">
        <f t="shared" si="12"/>
        <v>-0.39000000000000523</v>
      </c>
      <c r="I39" s="19">
        <f t="shared" si="12"/>
        <v>-78.98</v>
      </c>
      <c r="J39" s="19">
        <f t="shared" si="12"/>
        <v>-72.758768000000003</v>
      </c>
      <c r="K39" s="19">
        <f t="shared" si="12"/>
        <v>62.242429281872191</v>
      </c>
      <c r="L39" s="19">
        <f t="shared" si="12"/>
        <v>-44.035078581843273</v>
      </c>
      <c r="M39" s="19">
        <f t="shared" si="12"/>
        <v>-26.56973191277163</v>
      </c>
      <c r="N39" s="19">
        <f t="shared" si="12"/>
        <v>-20.752209668632759</v>
      </c>
      <c r="O39" s="19">
        <f t="shared" si="12"/>
        <v>-19.902512972131333</v>
      </c>
      <c r="P39" s="19">
        <f t="shared" si="12"/>
        <v>-3.1963164511007847</v>
      </c>
      <c r="Q39" s="19">
        <f t="shared" si="12"/>
        <v>27.68546605449864</v>
      </c>
      <c r="R39" s="19">
        <f>SUM(B39:Q39)</f>
        <v>-182.23363016885739</v>
      </c>
    </row>
    <row r="40" spans="1:19">
      <c r="A40" s="15" t="s">
        <v>73</v>
      </c>
      <c r="B40" s="19">
        <f t="shared" ref="B40:Q40" si="13">B21</f>
        <v>0.198254004381819</v>
      </c>
      <c r="C40" s="19">
        <f t="shared" si="13"/>
        <v>1.7866841</v>
      </c>
      <c r="D40" s="19">
        <f t="shared" si="13"/>
        <v>1.9100072241098698</v>
      </c>
      <c r="E40" s="19">
        <f t="shared" si="13"/>
        <v>1.0247816367689195</v>
      </c>
      <c r="F40" s="19">
        <f t="shared" si="13"/>
        <v>0.71830000000000005</v>
      </c>
      <c r="G40" s="19">
        <f t="shared" si="13"/>
        <v>0.51280000000000003</v>
      </c>
      <c r="H40" s="19">
        <f t="shared" si="13"/>
        <v>0.55000000000000004</v>
      </c>
      <c r="I40" s="19">
        <f t="shared" si="13"/>
        <v>36.24</v>
      </c>
      <c r="J40" s="19">
        <f t="shared" si="13"/>
        <v>37.049999999999997</v>
      </c>
      <c r="K40" s="19">
        <f t="shared" si="13"/>
        <v>45.5</v>
      </c>
      <c r="L40" s="19">
        <f t="shared" si="13"/>
        <v>45.5</v>
      </c>
      <c r="M40" s="19">
        <f t="shared" si="13"/>
        <v>45.5</v>
      </c>
      <c r="N40" s="19">
        <f t="shared" si="13"/>
        <v>45.5</v>
      </c>
      <c r="O40" s="19">
        <f t="shared" si="13"/>
        <v>45.5</v>
      </c>
      <c r="P40" s="19">
        <f t="shared" si="13"/>
        <v>46.04</v>
      </c>
      <c r="Q40" s="19">
        <f t="shared" si="13"/>
        <v>0</v>
      </c>
      <c r="R40" s="19">
        <f>SUM(B40:Q40)</f>
        <v>353.53082696526064</v>
      </c>
    </row>
    <row r="41" spans="1:19" ht="12.75" thickBot="1">
      <c r="A41" s="13" t="s">
        <v>74</v>
      </c>
      <c r="B41" s="20">
        <f t="shared" ref="B41:R41" si="14">B39+B40</f>
        <v>-2.8291523156181797</v>
      </c>
      <c r="C41" s="20">
        <f t="shared" si="14"/>
        <v>-0.17056637075291281</v>
      </c>
      <c r="D41" s="20">
        <f t="shared" si="14"/>
        <v>1.1466213279999968</v>
      </c>
      <c r="E41" s="20">
        <f t="shared" si="14"/>
        <v>0.85451640488329272</v>
      </c>
      <c r="F41" s="20">
        <f t="shared" si="14"/>
        <v>0.79690000000000283</v>
      </c>
      <c r="G41" s="20">
        <f t="shared" si="14"/>
        <v>0.77559999999999818</v>
      </c>
      <c r="H41" s="20">
        <f t="shared" si="14"/>
        <v>0.15999999999999481</v>
      </c>
      <c r="I41" s="20">
        <f t="shared" si="14"/>
        <v>-42.74</v>
      </c>
      <c r="J41" s="20">
        <f t="shared" si="14"/>
        <v>-35.708768000000006</v>
      </c>
      <c r="K41" s="20">
        <f t="shared" si="14"/>
        <v>107.74242928187219</v>
      </c>
      <c r="L41" s="20">
        <f t="shared" si="14"/>
        <v>1.4649214181567274</v>
      </c>
      <c r="M41" s="20">
        <f t="shared" si="14"/>
        <v>18.93026808722837</v>
      </c>
      <c r="N41" s="20">
        <f t="shared" si="14"/>
        <v>24.747790331367241</v>
      </c>
      <c r="O41" s="20">
        <f t="shared" si="14"/>
        <v>25.597487027868667</v>
      </c>
      <c r="P41" s="20">
        <f t="shared" si="14"/>
        <v>42.843683548899214</v>
      </c>
      <c r="Q41" s="20">
        <f t="shared" si="14"/>
        <v>27.68546605449864</v>
      </c>
      <c r="R41" s="20">
        <f t="shared" si="14"/>
        <v>171.29719679640326</v>
      </c>
      <c r="S41" s="26"/>
    </row>
    <row r="42" spans="1:19" ht="12.75" thickTop="1">
      <c r="A42" s="15" t="s">
        <v>75</v>
      </c>
      <c r="B42" s="19">
        <f t="shared" ref="B42:Q42" si="15">B40</f>
        <v>0.198254004381819</v>
      </c>
      <c r="C42" s="19">
        <f t="shared" si="15"/>
        <v>1.7866841</v>
      </c>
      <c r="D42" s="19">
        <f t="shared" si="15"/>
        <v>1.9100072241098698</v>
      </c>
      <c r="E42" s="19">
        <f t="shared" si="15"/>
        <v>1.0247816367689195</v>
      </c>
      <c r="F42" s="19">
        <f t="shared" si="15"/>
        <v>0.71830000000000005</v>
      </c>
      <c r="G42" s="19">
        <f t="shared" si="15"/>
        <v>0.51280000000000003</v>
      </c>
      <c r="H42" s="19">
        <f t="shared" si="15"/>
        <v>0.55000000000000004</v>
      </c>
      <c r="I42" s="19">
        <f t="shared" si="15"/>
        <v>36.24</v>
      </c>
      <c r="J42" s="19">
        <f t="shared" si="15"/>
        <v>37.049999999999997</v>
      </c>
      <c r="K42" s="19">
        <f t="shared" si="15"/>
        <v>45.5</v>
      </c>
      <c r="L42" s="19">
        <f t="shared" si="15"/>
        <v>45.5</v>
      </c>
      <c r="M42" s="19">
        <f t="shared" si="15"/>
        <v>45.5</v>
      </c>
      <c r="N42" s="19">
        <f t="shared" si="15"/>
        <v>45.5</v>
      </c>
      <c r="O42" s="19">
        <f t="shared" si="15"/>
        <v>45.5</v>
      </c>
      <c r="P42" s="19">
        <f t="shared" si="15"/>
        <v>46.04</v>
      </c>
      <c r="Q42" s="19">
        <f t="shared" si="15"/>
        <v>0</v>
      </c>
      <c r="R42" s="19">
        <f>SUM(B42:Q42)</f>
        <v>353.53082696526064</v>
      </c>
    </row>
    <row r="43" spans="1:19" ht="12.75" thickBot="1">
      <c r="A43" s="13" t="s">
        <v>76</v>
      </c>
      <c r="B43" s="20">
        <f t="shared" ref="B43:R43" si="16">B41-B42</f>
        <v>-3.0274063199999985</v>
      </c>
      <c r="C43" s="20">
        <f t="shared" si="16"/>
        <v>-1.9572504707529128</v>
      </c>
      <c r="D43" s="20">
        <f t="shared" si="16"/>
        <v>-0.76338589610987295</v>
      </c>
      <c r="E43" s="20">
        <f t="shared" si="16"/>
        <v>-0.17026523188562681</v>
      </c>
      <c r="F43" s="20">
        <f t="shared" si="16"/>
        <v>7.8600000000002779E-2</v>
      </c>
      <c r="G43" s="20">
        <f t="shared" si="16"/>
        <v>0.26279999999999815</v>
      </c>
      <c r="H43" s="20">
        <f t="shared" si="16"/>
        <v>-0.39000000000000523</v>
      </c>
      <c r="I43" s="20">
        <f t="shared" si="16"/>
        <v>-78.98</v>
      </c>
      <c r="J43" s="20">
        <f t="shared" si="16"/>
        <v>-72.758768000000003</v>
      </c>
      <c r="K43" s="20">
        <f t="shared" si="16"/>
        <v>62.242429281872191</v>
      </c>
      <c r="L43" s="20">
        <f t="shared" si="16"/>
        <v>-44.035078581843273</v>
      </c>
      <c r="M43" s="20">
        <f t="shared" si="16"/>
        <v>-26.56973191277163</v>
      </c>
      <c r="N43" s="20">
        <f t="shared" si="16"/>
        <v>-20.752209668632759</v>
      </c>
      <c r="O43" s="20">
        <f t="shared" si="16"/>
        <v>-19.902512972131333</v>
      </c>
      <c r="P43" s="20">
        <f t="shared" si="16"/>
        <v>-3.1963164511007847</v>
      </c>
      <c r="Q43" s="20">
        <f t="shared" si="16"/>
        <v>27.68546605449864</v>
      </c>
      <c r="R43" s="20">
        <f t="shared" si="16"/>
        <v>-182.23363016885739</v>
      </c>
      <c r="S43" s="26"/>
    </row>
    <row r="44" spans="1:19" ht="12.75" thickTop="1">
      <c r="A44" s="15" t="s">
        <v>77</v>
      </c>
      <c r="B44" s="19">
        <f t="shared" ref="B44:Q44" si="17">IF(B43&lt;0,B43,0)</f>
        <v>-3.0274063199999985</v>
      </c>
      <c r="C44" s="19">
        <f t="shared" si="17"/>
        <v>-1.9572504707529128</v>
      </c>
      <c r="D44" s="19">
        <f t="shared" si="17"/>
        <v>-0.76338589610987295</v>
      </c>
      <c r="E44" s="19">
        <f t="shared" si="17"/>
        <v>-0.17026523188562681</v>
      </c>
      <c r="F44" s="19">
        <f t="shared" si="17"/>
        <v>0</v>
      </c>
      <c r="G44" s="19">
        <f t="shared" si="17"/>
        <v>0</v>
      </c>
      <c r="H44" s="19">
        <f t="shared" si="17"/>
        <v>-0.39000000000000523</v>
      </c>
      <c r="I44" s="19">
        <f t="shared" si="17"/>
        <v>-78.98</v>
      </c>
      <c r="J44" s="19">
        <f t="shared" si="17"/>
        <v>-72.758768000000003</v>
      </c>
      <c r="K44" s="19">
        <f t="shared" si="17"/>
        <v>0</v>
      </c>
      <c r="L44" s="19">
        <f t="shared" si="17"/>
        <v>-44.035078581843273</v>
      </c>
      <c r="M44" s="19">
        <f t="shared" si="17"/>
        <v>-26.56973191277163</v>
      </c>
      <c r="N44" s="19">
        <f t="shared" si="17"/>
        <v>-20.752209668632759</v>
      </c>
      <c r="O44" s="19">
        <f t="shared" si="17"/>
        <v>-19.902512972131333</v>
      </c>
      <c r="P44" s="19">
        <f t="shared" si="17"/>
        <v>-3.1963164511007847</v>
      </c>
      <c r="Q44" s="19">
        <f t="shared" si="17"/>
        <v>0</v>
      </c>
    </row>
    <row r="45" spans="1:19">
      <c r="A45" s="15" t="s">
        <v>78</v>
      </c>
      <c r="B45" s="19">
        <f>B44</f>
        <v>-3.0274063199999985</v>
      </c>
      <c r="C45" s="19">
        <f t="shared" ref="C45:P45" si="18">IF((B45+C43)&lt;0,(B45+C43),0)</f>
        <v>-4.9846567907529113</v>
      </c>
      <c r="D45" s="19">
        <f t="shared" si="18"/>
        <v>-5.7480426868627843</v>
      </c>
      <c r="E45" s="19">
        <f t="shared" si="18"/>
        <v>-5.9183079187484111</v>
      </c>
      <c r="F45" s="19">
        <f t="shared" si="18"/>
        <v>-5.8397079187484087</v>
      </c>
      <c r="G45" s="19">
        <f t="shared" si="18"/>
        <v>-5.576907918748411</v>
      </c>
      <c r="H45" s="19">
        <f t="shared" si="18"/>
        <v>-5.966907918748416</v>
      </c>
      <c r="I45" s="19">
        <f t="shared" si="18"/>
        <v>-84.946907918748423</v>
      </c>
      <c r="J45" s="19">
        <f t="shared" si="18"/>
        <v>-157.70567591874843</v>
      </c>
      <c r="K45" s="19">
        <f t="shared" si="18"/>
        <v>-95.463246636876235</v>
      </c>
      <c r="L45" s="19">
        <f t="shared" si="18"/>
        <v>-139.49832521871951</v>
      </c>
      <c r="M45" s="19">
        <f t="shared" si="18"/>
        <v>-166.06805713149114</v>
      </c>
      <c r="N45" s="19">
        <f t="shared" si="18"/>
        <v>-186.8202668001239</v>
      </c>
      <c r="O45" s="19">
        <f t="shared" si="18"/>
        <v>-206.72277977225525</v>
      </c>
      <c r="P45" s="19">
        <f t="shared" si="18"/>
        <v>-209.91909622335604</v>
      </c>
      <c r="Q45" s="19">
        <f>IF((O45+Q43)&lt;0,(O45+Q43),0)</f>
        <v>-179.0373137177566</v>
      </c>
    </row>
    <row r="46" spans="1:19">
      <c r="A46" s="15" t="s">
        <v>79</v>
      </c>
      <c r="B46" s="19">
        <v>0</v>
      </c>
      <c r="C46" s="19">
        <f t="shared" ref="C46:P46" si="19">IF((C43+B45)&lt;0,0,(C43+B45))</f>
        <v>0</v>
      </c>
      <c r="D46" s="19">
        <f t="shared" si="19"/>
        <v>0</v>
      </c>
      <c r="E46" s="19">
        <f t="shared" si="19"/>
        <v>0</v>
      </c>
      <c r="F46" s="19">
        <f t="shared" si="19"/>
        <v>0</v>
      </c>
      <c r="G46" s="19">
        <f t="shared" si="19"/>
        <v>0</v>
      </c>
      <c r="H46" s="19">
        <f t="shared" si="19"/>
        <v>0</v>
      </c>
      <c r="I46" s="19">
        <f t="shared" si="19"/>
        <v>0</v>
      </c>
      <c r="J46" s="19">
        <f t="shared" si="19"/>
        <v>0</v>
      </c>
      <c r="K46" s="19">
        <f t="shared" si="19"/>
        <v>0</v>
      </c>
      <c r="L46" s="19">
        <f t="shared" si="19"/>
        <v>0</v>
      </c>
      <c r="M46" s="19">
        <f t="shared" si="19"/>
        <v>0</v>
      </c>
      <c r="N46" s="19">
        <f t="shared" si="19"/>
        <v>0</v>
      </c>
      <c r="O46" s="19">
        <f t="shared" si="19"/>
        <v>0</v>
      </c>
      <c r="P46" s="19">
        <f t="shared" si="19"/>
        <v>0</v>
      </c>
      <c r="Q46" s="19">
        <f>IF((Q43+O45)&lt;0,0,(Q43+O45))</f>
        <v>0</v>
      </c>
    </row>
    <row r="47" spans="1:19">
      <c r="A47" s="15" t="s">
        <v>80</v>
      </c>
      <c r="B47" s="19">
        <v>0</v>
      </c>
      <c r="C47" s="19">
        <v>0</v>
      </c>
      <c r="D47" s="19"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</row>
    <row r="48" spans="1:19">
      <c r="A48" s="15" t="s">
        <v>81</v>
      </c>
      <c r="B48" s="27" t="s">
        <v>82</v>
      </c>
      <c r="C48" s="27" t="s">
        <v>82</v>
      </c>
      <c r="D48" s="27" t="s">
        <v>82</v>
      </c>
      <c r="E48" s="27" t="s">
        <v>82</v>
      </c>
      <c r="F48" s="27" t="s">
        <v>82</v>
      </c>
      <c r="G48" s="27" t="s">
        <v>82</v>
      </c>
      <c r="H48" s="27" t="s">
        <v>82</v>
      </c>
      <c r="I48" s="27" t="s">
        <v>82</v>
      </c>
      <c r="J48" s="27" t="s">
        <v>82</v>
      </c>
      <c r="K48" s="27" t="s">
        <v>82</v>
      </c>
      <c r="L48" s="27" t="s">
        <v>82</v>
      </c>
      <c r="M48" s="27" t="s">
        <v>82</v>
      </c>
      <c r="N48" s="27" t="s">
        <v>82</v>
      </c>
      <c r="O48" s="27" t="s">
        <v>82</v>
      </c>
      <c r="P48" s="27" t="s">
        <v>83</v>
      </c>
      <c r="Q48" s="27" t="s">
        <v>82</v>
      </c>
    </row>
    <row r="49" spans="1:17">
      <c r="A49" s="15" t="s">
        <v>84</v>
      </c>
      <c r="B49" s="19">
        <v>0</v>
      </c>
      <c r="C49" s="19">
        <v>0</v>
      </c>
      <c r="D49" s="19">
        <v>0</v>
      </c>
      <c r="E49" s="19">
        <v>0</v>
      </c>
      <c r="F49" s="19">
        <v>0</v>
      </c>
      <c r="G49" s="19">
        <f>IF(AND(G48=$G$48,(G39+F45)&lt;0),0,(G39+F45)*(18*107.5%*103%)%)</f>
        <v>0</v>
      </c>
      <c r="H49" s="19">
        <f t="shared" ref="H49:P49" si="20">IF(AND(H48=$G$48,(H39+G45)&lt;0),0,(H39+G45)*(21.3416)%)</f>
        <v>0</v>
      </c>
      <c r="I49" s="19">
        <f t="shared" si="20"/>
        <v>0</v>
      </c>
      <c r="J49" s="19">
        <f t="shared" si="20"/>
        <v>0</v>
      </c>
      <c r="K49" s="19">
        <f t="shared" si="20"/>
        <v>0</v>
      </c>
      <c r="L49" s="19">
        <f t="shared" si="20"/>
        <v>0</v>
      </c>
      <c r="M49" s="19">
        <f t="shared" si="20"/>
        <v>0</v>
      </c>
      <c r="N49" s="19">
        <f t="shared" si="20"/>
        <v>0</v>
      </c>
      <c r="O49" s="19">
        <f t="shared" si="20"/>
        <v>0</v>
      </c>
      <c r="P49" s="19">
        <f t="shared" si="20"/>
        <v>-44.800093839603754</v>
      </c>
      <c r="Q49" s="19">
        <f>IF(AND(Q48=$G$48,(Q39+O45)&lt;0),0,(Q39+O45)*(21.3416)%)</f>
        <v>0</v>
      </c>
    </row>
    <row r="50" spans="1:17">
      <c r="A50" s="15" t="s">
        <v>85</v>
      </c>
      <c r="B50" s="19">
        <f>B49</f>
        <v>0</v>
      </c>
      <c r="C50" s="19">
        <f t="shared" ref="C50:P50" si="21">C49+B50</f>
        <v>0</v>
      </c>
      <c r="D50" s="19">
        <f t="shared" si="21"/>
        <v>0</v>
      </c>
      <c r="E50" s="19">
        <f t="shared" si="21"/>
        <v>0</v>
      </c>
      <c r="F50" s="19">
        <f t="shared" si="21"/>
        <v>0</v>
      </c>
      <c r="G50" s="19">
        <f t="shared" si="21"/>
        <v>0</v>
      </c>
      <c r="H50" s="19">
        <f t="shared" si="21"/>
        <v>0</v>
      </c>
      <c r="I50" s="19">
        <f t="shared" si="21"/>
        <v>0</v>
      </c>
      <c r="J50" s="19">
        <f t="shared" si="21"/>
        <v>0</v>
      </c>
      <c r="K50" s="19">
        <f t="shared" si="21"/>
        <v>0</v>
      </c>
      <c r="L50" s="19">
        <f t="shared" si="21"/>
        <v>0</v>
      </c>
      <c r="M50" s="19">
        <f t="shared" si="21"/>
        <v>0</v>
      </c>
      <c r="N50" s="19">
        <f t="shared" si="21"/>
        <v>0</v>
      </c>
      <c r="O50" s="19">
        <f t="shared" si="21"/>
        <v>0</v>
      </c>
      <c r="P50" s="19">
        <f t="shared" si="21"/>
        <v>-44.800093839603754</v>
      </c>
      <c r="Q50" s="19">
        <f>Q49+O50</f>
        <v>0</v>
      </c>
    </row>
  </sheetData>
  <mergeCells count="2">
    <mergeCell ref="B1:I1"/>
    <mergeCell ref="J1:Q1"/>
  </mergeCells>
  <pageMargins left="0.75" right="0.75" top="1" bottom="1" header="0.4921259845" footer="0.4921259845"/>
  <pageSetup orientation="portrait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G46"/>
  <sheetViews>
    <sheetView zoomScaleNormal="100" workbookViewId="0">
      <pane xSplit="2" ySplit="3" topLeftCell="P4" activePane="bottomRight" state="frozen"/>
      <selection pane="topRight" activeCell="C1" sqref="C1"/>
      <selection pane="bottomLeft" activeCell="A4" sqref="A4"/>
      <selection pane="bottomRight" activeCell="B18" sqref="B18"/>
    </sheetView>
  </sheetViews>
  <sheetFormatPr defaultColWidth="9.33203125" defaultRowHeight="12" customHeight="1"/>
  <cols>
    <col min="1" max="1" width="50.5" style="25" bestFit="1" customWidth="1"/>
    <col min="2" max="2" width="8" style="25" customWidth="1"/>
    <col min="3" max="15" width="7.6640625" style="25" hidden="1" customWidth="1"/>
    <col min="16" max="33" width="7.6640625" style="25" customWidth="1"/>
    <col min="34" max="16384" width="9.33203125" style="25"/>
  </cols>
  <sheetData>
    <row r="1" spans="1:33" ht="12" customHeight="1">
      <c r="A1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7"/>
      <c r="AC1" s="47"/>
      <c r="AD1" s="47"/>
      <c r="AE1" s="47"/>
      <c r="AF1" s="47"/>
      <c r="AG1" s="47"/>
    </row>
    <row r="2" spans="1:33" s="181" customFormat="1" ht="12" customHeight="1">
      <c r="A2" s="252"/>
      <c r="C2" s="253" t="s">
        <v>44</v>
      </c>
      <c r="D2" s="253" t="s">
        <v>44</v>
      </c>
      <c r="E2" s="253" t="s">
        <v>44</v>
      </c>
      <c r="F2" s="253" t="s">
        <v>44</v>
      </c>
      <c r="G2" s="253" t="s">
        <v>44</v>
      </c>
      <c r="H2" s="253" t="s">
        <v>44</v>
      </c>
      <c r="I2" s="253" t="s">
        <v>44</v>
      </c>
      <c r="J2" s="253" t="s">
        <v>44</v>
      </c>
      <c r="K2" s="253" t="s">
        <v>44</v>
      </c>
      <c r="L2" s="253" t="s">
        <v>44</v>
      </c>
      <c r="M2" s="253" t="s">
        <v>44</v>
      </c>
      <c r="N2" s="253" t="s">
        <v>44</v>
      </c>
      <c r="O2" s="253" t="s">
        <v>44</v>
      </c>
      <c r="P2" s="253" t="s">
        <v>47</v>
      </c>
      <c r="Q2" s="253" t="s">
        <v>47</v>
      </c>
      <c r="R2" s="253" t="s">
        <v>47</v>
      </c>
      <c r="S2" s="253" t="s">
        <v>47</v>
      </c>
      <c r="T2" s="253" t="s">
        <v>47</v>
      </c>
      <c r="U2" s="253" t="s">
        <v>47</v>
      </c>
      <c r="V2" s="253" t="s">
        <v>47</v>
      </c>
      <c r="W2" s="253" t="s">
        <v>47</v>
      </c>
      <c r="X2" s="253" t="s">
        <v>47</v>
      </c>
      <c r="Y2" s="253" t="s">
        <v>47</v>
      </c>
      <c r="Z2" s="253" t="s">
        <v>47</v>
      </c>
      <c r="AA2" s="253" t="s">
        <v>47</v>
      </c>
      <c r="AB2" s="253" t="s">
        <v>47</v>
      </c>
      <c r="AC2" s="253" t="s">
        <v>47</v>
      </c>
      <c r="AD2" s="253" t="s">
        <v>47</v>
      </c>
      <c r="AE2" s="253" t="s">
        <v>47</v>
      </c>
      <c r="AF2" s="253" t="s">
        <v>47</v>
      </c>
      <c r="AG2" s="253" t="s">
        <v>47</v>
      </c>
    </row>
    <row r="3" spans="1:33" ht="12" customHeight="1">
      <c r="A3" s="37" t="s">
        <v>140</v>
      </c>
      <c r="B3" s="180" t="s">
        <v>136</v>
      </c>
      <c r="C3" s="180">
        <v>44044</v>
      </c>
      <c r="D3" s="180">
        <v>44075</v>
      </c>
      <c r="E3" s="180">
        <v>44105</v>
      </c>
      <c r="F3" s="180">
        <v>44136</v>
      </c>
      <c r="G3" s="180">
        <v>44166</v>
      </c>
      <c r="H3" s="180">
        <v>44197</v>
      </c>
      <c r="I3" s="180">
        <v>44228</v>
      </c>
      <c r="J3" s="180">
        <v>44256</v>
      </c>
      <c r="K3" s="180">
        <v>44287</v>
      </c>
      <c r="L3" s="180">
        <v>44317</v>
      </c>
      <c r="M3" s="180">
        <v>44348</v>
      </c>
      <c r="N3" s="180">
        <v>44378</v>
      </c>
      <c r="O3" s="180">
        <v>44409</v>
      </c>
      <c r="P3" s="180">
        <v>44743</v>
      </c>
      <c r="Q3" s="180">
        <v>44774</v>
      </c>
      <c r="R3" s="180">
        <v>44805</v>
      </c>
      <c r="S3" s="180">
        <v>44835</v>
      </c>
      <c r="T3" s="180">
        <v>44866</v>
      </c>
      <c r="U3" s="180">
        <v>44896</v>
      </c>
      <c r="V3" s="180">
        <v>44927</v>
      </c>
      <c r="W3" s="180">
        <v>44958</v>
      </c>
      <c r="X3" s="180">
        <v>44986</v>
      </c>
      <c r="Y3" s="180">
        <v>45017</v>
      </c>
      <c r="Z3" s="180">
        <v>45047</v>
      </c>
      <c r="AA3" s="180">
        <v>45078</v>
      </c>
      <c r="AB3" s="180">
        <v>45108</v>
      </c>
      <c r="AC3" s="180">
        <v>45139</v>
      </c>
      <c r="AD3" s="180">
        <v>45170</v>
      </c>
      <c r="AE3" s="180">
        <v>45200</v>
      </c>
      <c r="AF3" s="180">
        <v>45231</v>
      </c>
      <c r="AG3" s="180">
        <v>45261</v>
      </c>
    </row>
    <row r="4" spans="1:33" ht="12" customHeight="1">
      <c r="A4" s="25" t="s">
        <v>141</v>
      </c>
      <c r="B4" s="48">
        <f>B40</f>
        <v>356.99099999999999</v>
      </c>
      <c r="C4" s="48">
        <v>0</v>
      </c>
      <c r="D4" s="48">
        <v>0</v>
      </c>
      <c r="E4" s="48">
        <v>0</v>
      </c>
      <c r="F4" s="48">
        <v>0</v>
      </c>
      <c r="G4" s="48">
        <v>0</v>
      </c>
      <c r="H4" s="48">
        <v>0</v>
      </c>
      <c r="I4" s="48">
        <v>0</v>
      </c>
      <c r="J4" s="48">
        <v>0</v>
      </c>
      <c r="K4" s="48">
        <f t="shared" ref="K4:AB4" si="0">K40</f>
        <v>0</v>
      </c>
      <c r="L4" s="48">
        <f t="shared" si="0"/>
        <v>0</v>
      </c>
      <c r="M4" s="48">
        <f t="shared" si="0"/>
        <v>0</v>
      </c>
      <c r="N4" s="48">
        <f t="shared" si="0"/>
        <v>0</v>
      </c>
      <c r="O4" s="48">
        <f t="shared" si="0"/>
        <v>0</v>
      </c>
      <c r="P4" s="48">
        <f t="shared" si="0"/>
        <v>2</v>
      </c>
      <c r="Q4" s="48">
        <f t="shared" si="0"/>
        <v>0</v>
      </c>
      <c r="R4" s="48">
        <f t="shared" si="0"/>
        <v>1.02216</v>
      </c>
      <c r="S4" s="48">
        <f t="shared" si="0"/>
        <v>8.4076136336539538</v>
      </c>
      <c r="T4" s="48">
        <f>T40-2</f>
        <v>9.9572968120040013</v>
      </c>
      <c r="U4" s="48">
        <f t="shared" si="0"/>
        <v>12.8801621009</v>
      </c>
      <c r="V4" s="48">
        <f t="shared" si="0"/>
        <v>10.524108543692005</v>
      </c>
      <c r="W4" s="48">
        <f>W40</f>
        <v>6.041589258948</v>
      </c>
      <c r="X4" s="48">
        <f t="shared" si="0"/>
        <v>9.8874741746690678</v>
      </c>
      <c r="Y4" s="48">
        <f t="shared" si="0"/>
        <v>3.8032327125280001</v>
      </c>
      <c r="Z4" s="48">
        <f t="shared" si="0"/>
        <v>4.6613522728775036</v>
      </c>
      <c r="AA4" s="48">
        <f t="shared" si="0"/>
        <v>2.8473961251520001</v>
      </c>
      <c r="AB4" s="48">
        <f t="shared" si="0"/>
        <v>3.6766982511909116</v>
      </c>
      <c r="AC4" s="48">
        <f>AC40</f>
        <v>2.7406839999999999</v>
      </c>
      <c r="AD4" s="48">
        <f>AD40</f>
        <v>2.6569424000000001</v>
      </c>
      <c r="AE4" s="48">
        <f>AE40</f>
        <v>0.91780150000000005</v>
      </c>
      <c r="AF4" s="48">
        <f>AF40</f>
        <v>0.63965799999999995</v>
      </c>
      <c r="AG4" s="48">
        <f>AG40</f>
        <v>0.67659627300000003</v>
      </c>
    </row>
    <row r="5" spans="1:33" ht="12" customHeight="1">
      <c r="A5" s="25" t="s">
        <v>142</v>
      </c>
      <c r="B5" s="48">
        <v>53.78</v>
      </c>
      <c r="C5" s="48">
        <v>0</v>
      </c>
      <c r="D5" s="48">
        <v>0</v>
      </c>
      <c r="E5" s="48">
        <v>0</v>
      </c>
      <c r="F5" s="48">
        <v>0</v>
      </c>
      <c r="G5" s="48">
        <v>0</v>
      </c>
      <c r="H5" s="48">
        <v>0</v>
      </c>
      <c r="I5" s="48">
        <v>0</v>
      </c>
      <c r="J5" s="48">
        <v>0</v>
      </c>
      <c r="K5" s="48">
        <v>0</v>
      </c>
      <c r="L5" s="48">
        <v>0</v>
      </c>
      <c r="M5" s="48">
        <v>0</v>
      </c>
      <c r="N5" s="48">
        <v>0</v>
      </c>
      <c r="O5" s="48">
        <v>0</v>
      </c>
      <c r="P5" s="48">
        <v>0</v>
      </c>
      <c r="Q5" s="48">
        <v>0</v>
      </c>
      <c r="R5" s="48">
        <v>0</v>
      </c>
      <c r="S5" s="48">
        <v>0</v>
      </c>
      <c r="T5" s="48">
        <v>0</v>
      </c>
      <c r="U5" s="48">
        <v>0</v>
      </c>
      <c r="V5" s="48">
        <v>0</v>
      </c>
      <c r="W5" s="48">
        <v>0</v>
      </c>
      <c r="X5" s="48">
        <v>0</v>
      </c>
      <c r="Y5" s="48">
        <v>0</v>
      </c>
      <c r="Z5" s="48">
        <v>0</v>
      </c>
      <c r="AA5" s="48">
        <v>0</v>
      </c>
      <c r="AB5" s="48">
        <v>0</v>
      </c>
      <c r="AC5" s="48">
        <v>0</v>
      </c>
      <c r="AD5" s="48">
        <v>0</v>
      </c>
      <c r="AE5" s="48">
        <v>0</v>
      </c>
      <c r="AF5" s="48">
        <v>0</v>
      </c>
      <c r="AG5" s="48">
        <v>0</v>
      </c>
    </row>
    <row r="6" spans="1:33" ht="12" customHeight="1">
      <c r="A6" s="25" t="s">
        <v>143</v>
      </c>
      <c r="B6" s="48">
        <v>17.399999999999999</v>
      </c>
      <c r="C6" s="48">
        <v>0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0</v>
      </c>
      <c r="K6" s="48">
        <v>0</v>
      </c>
      <c r="L6" s="48">
        <v>0</v>
      </c>
      <c r="M6" s="48">
        <v>0</v>
      </c>
      <c r="N6" s="48">
        <v>0</v>
      </c>
      <c r="O6" s="48">
        <v>0</v>
      </c>
      <c r="P6" s="48">
        <f>0.17+0.5</f>
        <v>0.67</v>
      </c>
      <c r="Q6" s="48">
        <v>0.17</v>
      </c>
      <c r="R6" s="48">
        <v>0.17</v>
      </c>
      <c r="S6" s="48">
        <v>0.17</v>
      </c>
      <c r="T6" s="48">
        <v>0.17</v>
      </c>
      <c r="U6" s="48">
        <v>0.17</v>
      </c>
      <c r="V6" s="48">
        <v>0.17</v>
      </c>
      <c r="W6" s="48">
        <v>0.17</v>
      </c>
      <c r="X6" s="48">
        <v>0.17</v>
      </c>
      <c r="Y6" s="48">
        <v>0.17</v>
      </c>
      <c r="Z6" s="48">
        <v>0.17</v>
      </c>
      <c r="AA6" s="48">
        <v>0.17</v>
      </c>
      <c r="AB6" s="48">
        <v>0.17</v>
      </c>
      <c r="AC6" s="48">
        <v>0.17</v>
      </c>
      <c r="AD6" s="48">
        <f>0.17+0.2</f>
        <v>0.37</v>
      </c>
      <c r="AE6" s="48">
        <v>0.17</v>
      </c>
      <c r="AF6" s="48">
        <v>0.17</v>
      </c>
      <c r="AG6" s="48">
        <v>0.17</v>
      </c>
    </row>
    <row r="7" spans="1:33" ht="12" customHeight="1">
      <c r="A7" s="25" t="s">
        <v>11</v>
      </c>
      <c r="B7" s="185">
        <f>8.68+4.3</f>
        <v>12.98</v>
      </c>
      <c r="C7" s="48">
        <v>0</v>
      </c>
      <c r="D7" s="48">
        <v>0</v>
      </c>
      <c r="E7" s="48">
        <v>0</v>
      </c>
      <c r="F7" s="48">
        <v>0</v>
      </c>
      <c r="G7" s="48">
        <v>0</v>
      </c>
      <c r="H7" s="48">
        <v>0</v>
      </c>
      <c r="I7" s="48">
        <v>0</v>
      </c>
      <c r="J7" s="48">
        <v>0</v>
      </c>
      <c r="K7" s="48">
        <v>0</v>
      </c>
      <c r="L7" s="34">
        <v>0</v>
      </c>
      <c r="M7" s="34">
        <v>0</v>
      </c>
      <c r="N7" s="34">
        <v>0</v>
      </c>
      <c r="O7" s="34">
        <v>0</v>
      </c>
      <c r="P7" s="34"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v>0</v>
      </c>
      <c r="W7" s="34">
        <v>4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0</v>
      </c>
      <c r="AG7" s="34">
        <v>2</v>
      </c>
    </row>
    <row r="8" spans="1:33" s="35" customFormat="1">
      <c r="A8" s="25" t="s">
        <v>16</v>
      </c>
      <c r="B8" s="34">
        <v>0</v>
      </c>
      <c r="C8" s="48">
        <v>0</v>
      </c>
      <c r="D8" s="48">
        <v>0</v>
      </c>
      <c r="E8" s="48">
        <v>0</v>
      </c>
      <c r="F8" s="48">
        <v>0</v>
      </c>
      <c r="G8" s="48">
        <v>0</v>
      </c>
      <c r="H8" s="48">
        <v>0</v>
      </c>
      <c r="I8" s="48">
        <v>0</v>
      </c>
      <c r="J8" s="48">
        <v>0</v>
      </c>
      <c r="K8" s="34">
        <v>0</v>
      </c>
      <c r="L8" s="34">
        <v>0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0</v>
      </c>
      <c r="T8" s="34">
        <v>0</v>
      </c>
      <c r="U8" s="34">
        <v>0</v>
      </c>
      <c r="V8" s="34">
        <v>0</v>
      </c>
      <c r="W8" s="34">
        <v>0</v>
      </c>
      <c r="X8" s="34">
        <v>0</v>
      </c>
      <c r="Y8" s="34">
        <v>0</v>
      </c>
      <c r="Z8" s="34">
        <v>0</v>
      </c>
      <c r="AA8" s="34">
        <v>0</v>
      </c>
      <c r="AB8" s="34">
        <v>0</v>
      </c>
      <c r="AC8" s="34">
        <v>0</v>
      </c>
      <c r="AD8" s="34">
        <v>15</v>
      </c>
      <c r="AE8" s="34">
        <v>0</v>
      </c>
      <c r="AF8" s="34">
        <v>0</v>
      </c>
      <c r="AG8" s="34">
        <v>0</v>
      </c>
    </row>
    <row r="9" spans="1:33" ht="12" customHeight="1">
      <c r="A9" s="25" t="s">
        <v>144</v>
      </c>
      <c r="B9" s="48">
        <v>27.11</v>
      </c>
      <c r="C9" s="48">
        <v>0</v>
      </c>
      <c r="D9" s="48">
        <v>0</v>
      </c>
      <c r="E9" s="48">
        <v>0</v>
      </c>
      <c r="F9" s="48">
        <v>0</v>
      </c>
      <c r="G9" s="48">
        <v>0</v>
      </c>
      <c r="H9" s="48">
        <v>0</v>
      </c>
      <c r="I9" s="48">
        <v>0</v>
      </c>
      <c r="J9" s="48">
        <v>0</v>
      </c>
      <c r="K9" s="49">
        <v>0</v>
      </c>
      <c r="L9" s="49">
        <v>0</v>
      </c>
      <c r="M9" s="49">
        <v>0</v>
      </c>
      <c r="N9" s="49">
        <v>0</v>
      </c>
      <c r="O9" s="49">
        <v>0</v>
      </c>
      <c r="P9" s="49">
        <v>0</v>
      </c>
      <c r="Q9" s="49">
        <v>0</v>
      </c>
      <c r="R9" s="49">
        <v>0</v>
      </c>
      <c r="S9" s="49">
        <v>0</v>
      </c>
      <c r="T9" s="49">
        <v>0</v>
      </c>
      <c r="U9" s="49">
        <v>0</v>
      </c>
      <c r="V9" s="49">
        <v>0</v>
      </c>
      <c r="W9" s="49">
        <v>0</v>
      </c>
      <c r="X9" s="49">
        <v>0</v>
      </c>
      <c r="Y9" s="49">
        <v>0</v>
      </c>
      <c r="Z9" s="49">
        <v>0</v>
      </c>
      <c r="AA9" s="49">
        <v>0</v>
      </c>
      <c r="AB9" s="49">
        <v>0</v>
      </c>
      <c r="AC9" s="49">
        <v>0</v>
      </c>
      <c r="AD9" s="49">
        <v>0</v>
      </c>
      <c r="AE9" s="49">
        <v>0</v>
      </c>
      <c r="AF9" s="49">
        <v>0</v>
      </c>
      <c r="AG9" s="49">
        <v>0</v>
      </c>
    </row>
    <row r="10" spans="1:33" ht="12" customHeight="1">
      <c r="A10" s="25" t="s">
        <v>145</v>
      </c>
      <c r="B10" s="48">
        <v>32</v>
      </c>
      <c r="C10" s="48">
        <v>0</v>
      </c>
      <c r="D10" s="48">
        <v>0</v>
      </c>
      <c r="E10" s="48">
        <v>0</v>
      </c>
      <c r="F10" s="48">
        <v>0</v>
      </c>
      <c r="G10" s="48">
        <v>0</v>
      </c>
      <c r="H10" s="48">
        <v>0</v>
      </c>
      <c r="I10" s="48">
        <v>0</v>
      </c>
      <c r="J10" s="48">
        <v>0</v>
      </c>
      <c r="K10" s="48">
        <v>0</v>
      </c>
      <c r="L10" s="48">
        <v>0</v>
      </c>
      <c r="M10" s="48">
        <v>0</v>
      </c>
      <c r="N10" s="48">
        <v>0</v>
      </c>
      <c r="O10" s="48">
        <v>0</v>
      </c>
      <c r="P10" s="48">
        <v>0</v>
      </c>
      <c r="Q10" s="48">
        <v>0</v>
      </c>
      <c r="R10" s="48">
        <v>0</v>
      </c>
      <c r="S10" s="48">
        <v>0</v>
      </c>
      <c r="T10" s="48">
        <v>0</v>
      </c>
      <c r="U10" s="48">
        <v>0</v>
      </c>
      <c r="V10" s="48">
        <v>0</v>
      </c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48">
        <v>0</v>
      </c>
      <c r="AD10" s="48">
        <v>0</v>
      </c>
      <c r="AE10" s="48">
        <v>0</v>
      </c>
      <c r="AF10" s="48">
        <v>0</v>
      </c>
      <c r="AG10" s="48">
        <v>0</v>
      </c>
    </row>
    <row r="11" spans="1:33" ht="12" customHeight="1">
      <c r="A11" s="25" t="s">
        <v>635</v>
      </c>
      <c r="B11" s="48">
        <v>33</v>
      </c>
      <c r="C11" s="48">
        <v>0</v>
      </c>
      <c r="D11" s="48">
        <v>0</v>
      </c>
      <c r="E11" s="48">
        <v>0</v>
      </c>
      <c r="F11" s="48">
        <v>0</v>
      </c>
      <c r="G11" s="48">
        <v>0</v>
      </c>
      <c r="H11" s="48">
        <v>0</v>
      </c>
      <c r="I11" s="48">
        <v>0</v>
      </c>
      <c r="J11" s="48">
        <v>0</v>
      </c>
      <c r="K11" s="48">
        <v>0</v>
      </c>
      <c r="L11" s="48">
        <v>0</v>
      </c>
      <c r="M11" s="48">
        <v>0</v>
      </c>
      <c r="N11" s="48">
        <v>0</v>
      </c>
      <c r="O11" s="48">
        <v>0</v>
      </c>
      <c r="P11" s="48">
        <v>0</v>
      </c>
      <c r="Q11" s="48">
        <v>50</v>
      </c>
      <c r="R11" s="48">
        <v>0</v>
      </c>
      <c r="S11" s="48">
        <v>0</v>
      </c>
      <c r="T11" s="48">
        <v>0</v>
      </c>
      <c r="U11" s="48">
        <v>0</v>
      </c>
      <c r="V11" s="48">
        <v>0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48">
        <v>0</v>
      </c>
      <c r="AD11" s="48">
        <v>0</v>
      </c>
      <c r="AE11" s="48">
        <v>0</v>
      </c>
      <c r="AF11" s="48">
        <v>0</v>
      </c>
      <c r="AG11" s="48">
        <v>0</v>
      </c>
    </row>
    <row r="12" spans="1:33" ht="12" customHeight="1">
      <c r="A12" s="25" t="s">
        <v>146</v>
      </c>
      <c r="B12" s="185">
        <f>87.66+3.91+2.66</f>
        <v>94.22999999999999</v>
      </c>
      <c r="C12" s="48">
        <v>0</v>
      </c>
      <c r="D12" s="48">
        <v>0</v>
      </c>
      <c r="E12" s="48">
        <v>0</v>
      </c>
      <c r="F12" s="48">
        <v>0</v>
      </c>
      <c r="G12" s="48">
        <v>0</v>
      </c>
      <c r="H12" s="48">
        <v>0</v>
      </c>
      <c r="I12" s="48">
        <v>0</v>
      </c>
      <c r="J12" s="48">
        <v>0</v>
      </c>
      <c r="K12" s="48">
        <v>0</v>
      </c>
      <c r="L12" s="48">
        <v>0</v>
      </c>
      <c r="M12" s="48">
        <v>0</v>
      </c>
      <c r="N12" s="48">
        <v>0</v>
      </c>
      <c r="O12" s="48">
        <v>0</v>
      </c>
      <c r="P12" s="48">
        <v>0</v>
      </c>
      <c r="Q12" s="48">
        <v>0</v>
      </c>
      <c r="R12" s="48">
        <v>0</v>
      </c>
      <c r="S12" s="48">
        <v>0</v>
      </c>
      <c r="T12" s="48">
        <v>0</v>
      </c>
      <c r="U12" s="48">
        <v>0</v>
      </c>
      <c r="V12" s="48">
        <v>0</v>
      </c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48">
        <v>0</v>
      </c>
      <c r="AD12" s="48">
        <v>0</v>
      </c>
      <c r="AE12" s="48">
        <v>0</v>
      </c>
      <c r="AF12" s="48">
        <v>0</v>
      </c>
      <c r="AG12" s="48">
        <v>0</v>
      </c>
    </row>
    <row r="13" spans="1:33" ht="12" customHeight="1" thickBot="1">
      <c r="A13" s="37" t="s">
        <v>147</v>
      </c>
      <c r="B13" s="254">
        <f t="shared" ref="B13:AD13" si="1">SUM(B4:B12)</f>
        <v>627.49099999999999</v>
      </c>
      <c r="C13" s="254">
        <f t="shared" si="1"/>
        <v>0</v>
      </c>
      <c r="D13" s="254">
        <f t="shared" si="1"/>
        <v>0</v>
      </c>
      <c r="E13" s="254">
        <f t="shared" si="1"/>
        <v>0</v>
      </c>
      <c r="F13" s="254">
        <f t="shared" si="1"/>
        <v>0</v>
      </c>
      <c r="G13" s="254">
        <f t="shared" si="1"/>
        <v>0</v>
      </c>
      <c r="H13" s="254">
        <f t="shared" si="1"/>
        <v>0</v>
      </c>
      <c r="I13" s="254">
        <f t="shared" si="1"/>
        <v>0</v>
      </c>
      <c r="J13" s="254">
        <f t="shared" si="1"/>
        <v>0</v>
      </c>
      <c r="K13" s="254">
        <f t="shared" si="1"/>
        <v>0</v>
      </c>
      <c r="L13" s="254">
        <f t="shared" si="1"/>
        <v>0</v>
      </c>
      <c r="M13" s="254">
        <f t="shared" si="1"/>
        <v>0</v>
      </c>
      <c r="N13" s="254">
        <f t="shared" si="1"/>
        <v>0</v>
      </c>
      <c r="O13" s="254">
        <f t="shared" si="1"/>
        <v>0</v>
      </c>
      <c r="P13" s="254">
        <f t="shared" si="1"/>
        <v>2.67</v>
      </c>
      <c r="Q13" s="254">
        <f t="shared" si="1"/>
        <v>50.17</v>
      </c>
      <c r="R13" s="254">
        <f t="shared" si="1"/>
        <v>1.1921599999999999</v>
      </c>
      <c r="S13" s="254">
        <f t="shared" si="1"/>
        <v>8.5776136336539537</v>
      </c>
      <c r="T13" s="254">
        <f t="shared" si="1"/>
        <v>10.127296812004001</v>
      </c>
      <c r="U13" s="254">
        <f t="shared" si="1"/>
        <v>13.0501621009</v>
      </c>
      <c r="V13" s="254">
        <f t="shared" si="1"/>
        <v>10.694108543692005</v>
      </c>
      <c r="W13" s="254">
        <f t="shared" si="1"/>
        <v>10.211589258947999</v>
      </c>
      <c r="X13" s="254">
        <f t="shared" si="1"/>
        <v>10.057474174669068</v>
      </c>
      <c r="Y13" s="254">
        <f t="shared" si="1"/>
        <v>3.973232712528</v>
      </c>
      <c r="Z13" s="254">
        <f t="shared" si="1"/>
        <v>4.8313522728775036</v>
      </c>
      <c r="AA13" s="254">
        <f t="shared" si="1"/>
        <v>3.0173961251520001</v>
      </c>
      <c r="AB13" s="254">
        <f t="shared" si="1"/>
        <v>3.8466982511909116</v>
      </c>
      <c r="AC13" s="254">
        <f t="shared" si="1"/>
        <v>2.9106839999999998</v>
      </c>
      <c r="AD13" s="254">
        <f t="shared" si="1"/>
        <v>18.026942399999999</v>
      </c>
      <c r="AE13" s="254">
        <f>SUM(AE4:AE12)</f>
        <v>1.0878015000000001</v>
      </c>
      <c r="AF13" s="254">
        <f>SUM(AF4:AF12)</f>
        <v>0.80965799999999999</v>
      </c>
      <c r="AG13" s="254">
        <f>SUM(AG4:AG12)</f>
        <v>2.8465962730000003</v>
      </c>
    </row>
    <row r="14" spans="1:33" ht="12" customHeight="1" thickTop="1">
      <c r="A14" s="37"/>
      <c r="B14" s="255"/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255"/>
      <c r="W14" s="255"/>
      <c r="X14" s="255"/>
      <c r="Y14" s="255"/>
      <c r="Z14" s="255"/>
      <c r="AA14" s="255"/>
      <c r="AB14" s="255"/>
      <c r="AC14" s="255"/>
      <c r="AD14" s="255"/>
      <c r="AE14" s="255"/>
      <c r="AF14" s="255"/>
      <c r="AG14" s="255">
        <f>SUM(P13:AG13)</f>
        <v>158.10076605861545</v>
      </c>
    </row>
    <row r="15" spans="1:33" ht="12" customHeight="1">
      <c r="A15" s="37" t="s">
        <v>148</v>
      </c>
      <c r="B15" s="180" t="str">
        <f t="shared" ref="B15:AD15" si="2">B3</f>
        <v>Opening</v>
      </c>
      <c r="C15" s="180">
        <f t="shared" si="2"/>
        <v>44044</v>
      </c>
      <c r="D15" s="180">
        <f t="shared" si="2"/>
        <v>44075</v>
      </c>
      <c r="E15" s="180">
        <f t="shared" si="2"/>
        <v>44105</v>
      </c>
      <c r="F15" s="180">
        <f t="shared" si="2"/>
        <v>44136</v>
      </c>
      <c r="G15" s="180">
        <f t="shared" si="2"/>
        <v>44166</v>
      </c>
      <c r="H15" s="180">
        <f t="shared" si="2"/>
        <v>44197</v>
      </c>
      <c r="I15" s="180">
        <f t="shared" si="2"/>
        <v>44228</v>
      </c>
      <c r="J15" s="180">
        <f t="shared" si="2"/>
        <v>44256</v>
      </c>
      <c r="K15" s="180">
        <f t="shared" si="2"/>
        <v>44287</v>
      </c>
      <c r="L15" s="180">
        <f t="shared" si="2"/>
        <v>44317</v>
      </c>
      <c r="M15" s="180">
        <f t="shared" si="2"/>
        <v>44348</v>
      </c>
      <c r="N15" s="180">
        <f t="shared" si="2"/>
        <v>44378</v>
      </c>
      <c r="O15" s="180">
        <f t="shared" si="2"/>
        <v>44409</v>
      </c>
      <c r="P15" s="180">
        <f t="shared" si="2"/>
        <v>44743</v>
      </c>
      <c r="Q15" s="180">
        <f t="shared" si="2"/>
        <v>44774</v>
      </c>
      <c r="R15" s="180">
        <f t="shared" si="2"/>
        <v>44805</v>
      </c>
      <c r="S15" s="180">
        <f t="shared" si="2"/>
        <v>44835</v>
      </c>
      <c r="T15" s="180">
        <f t="shared" si="2"/>
        <v>44866</v>
      </c>
      <c r="U15" s="180">
        <f t="shared" si="2"/>
        <v>44896</v>
      </c>
      <c r="V15" s="180">
        <f t="shared" si="2"/>
        <v>44927</v>
      </c>
      <c r="W15" s="180">
        <f t="shared" si="2"/>
        <v>44958</v>
      </c>
      <c r="X15" s="180">
        <f t="shared" si="2"/>
        <v>44986</v>
      </c>
      <c r="Y15" s="180">
        <f t="shared" si="2"/>
        <v>45017</v>
      </c>
      <c r="Z15" s="180">
        <f t="shared" si="2"/>
        <v>45047</v>
      </c>
      <c r="AA15" s="180">
        <f t="shared" si="2"/>
        <v>45078</v>
      </c>
      <c r="AB15" s="180">
        <f t="shared" si="2"/>
        <v>45108</v>
      </c>
      <c r="AC15" s="180">
        <f t="shared" si="2"/>
        <v>45139</v>
      </c>
      <c r="AD15" s="180">
        <f t="shared" si="2"/>
        <v>45170</v>
      </c>
      <c r="AE15" s="180">
        <f>AE3</f>
        <v>45200</v>
      </c>
      <c r="AF15" s="180">
        <f>AF3</f>
        <v>45231</v>
      </c>
      <c r="AG15" s="180">
        <f>AG3</f>
        <v>45261</v>
      </c>
    </row>
    <row r="16" spans="1:33" ht="12" customHeight="1">
      <c r="A16" s="25" t="s">
        <v>149</v>
      </c>
      <c r="B16" s="185">
        <v>442.41</v>
      </c>
      <c r="C16" s="185">
        <v>0</v>
      </c>
      <c r="D16" s="185">
        <v>0</v>
      </c>
      <c r="E16" s="185">
        <v>0</v>
      </c>
      <c r="F16" s="185">
        <v>0</v>
      </c>
      <c r="G16" s="185">
        <v>0</v>
      </c>
      <c r="H16" s="185">
        <v>0</v>
      </c>
      <c r="I16" s="185">
        <v>0</v>
      </c>
      <c r="J16" s="185">
        <v>0</v>
      </c>
      <c r="K16" s="185">
        <v>0</v>
      </c>
      <c r="L16" s="185">
        <v>0</v>
      </c>
      <c r="M16" s="185">
        <v>0</v>
      </c>
      <c r="N16" s="185">
        <v>0</v>
      </c>
      <c r="O16" s="185">
        <v>0</v>
      </c>
      <c r="P16" s="185">
        <f>'R&amp;P'!B8+0.5+2</f>
        <v>2.7833591148214287</v>
      </c>
      <c r="Q16" s="185">
        <f>'R&amp;P'!C8-0.5</f>
        <v>1.5309182308214289</v>
      </c>
      <c r="R16" s="185">
        <f>'R&amp;P'!D8</f>
        <v>8.372420120729668</v>
      </c>
      <c r="S16" s="185">
        <f>'R&amp;P'!E8</f>
        <v>13.418746178428115</v>
      </c>
      <c r="T16" s="185">
        <f>'R&amp;P'!F8-2</f>
        <v>11.442692739735714</v>
      </c>
      <c r="U16" s="185">
        <f>'R&amp;P'!G8</f>
        <v>15.748333117733765</v>
      </c>
      <c r="V16" s="185">
        <f>'R&amp;P'!H8</f>
        <v>15.446724835853855</v>
      </c>
      <c r="W16" s="185">
        <f>'R&amp;P'!I8</f>
        <v>14.025048693825715</v>
      </c>
      <c r="X16" s="185">
        <f>'R&amp;P'!J8</f>
        <v>8.2131932028227972</v>
      </c>
      <c r="Y16" s="185">
        <f>'R&amp;P'!K8</f>
        <v>5.046697952877504</v>
      </c>
      <c r="Z16" s="185">
        <f>'R&amp;P'!L8</f>
        <v>4.0410802751519999</v>
      </c>
      <c r="AA16" s="185">
        <f>'R&amp;P'!M8</f>
        <v>4.193342971190912</v>
      </c>
      <c r="AB16" s="185">
        <f>'R&amp;P'!N8</f>
        <v>3.77336969</v>
      </c>
      <c r="AC16" s="185">
        <f>'R&amp;P'!O8</f>
        <v>3.09942568</v>
      </c>
      <c r="AD16" s="185">
        <f>'R&amp;P'!P8</f>
        <v>1.1312425499999998</v>
      </c>
      <c r="AE16" s="185">
        <f>'R&amp;P'!Q8</f>
        <v>0.52559820000000002</v>
      </c>
      <c r="AF16" s="185">
        <f>'R&amp;P'!R8</f>
        <v>0.55539062699999997</v>
      </c>
      <c r="AG16" s="185">
        <f>'R&amp;P'!S8</f>
        <v>0</v>
      </c>
    </row>
    <row r="17" spans="1:33" ht="12" customHeight="1">
      <c r="A17" s="25" t="s">
        <v>150</v>
      </c>
      <c r="B17" s="185">
        <v>26.382863769</v>
      </c>
      <c r="C17" s="185">
        <v>0</v>
      </c>
      <c r="D17" s="185">
        <v>0</v>
      </c>
      <c r="E17" s="185">
        <v>0</v>
      </c>
      <c r="F17" s="185">
        <v>0</v>
      </c>
      <c r="G17" s="185">
        <v>0</v>
      </c>
      <c r="H17" s="185">
        <v>0</v>
      </c>
      <c r="I17" s="185">
        <v>0</v>
      </c>
      <c r="J17" s="185">
        <v>0</v>
      </c>
      <c r="K17" s="185">
        <v>0</v>
      </c>
      <c r="L17" s="185">
        <v>0</v>
      </c>
      <c r="M17" s="185">
        <v>0</v>
      </c>
      <c r="N17" s="185">
        <v>0</v>
      </c>
      <c r="O17" s="185">
        <v>0</v>
      </c>
      <c r="P17" s="185">
        <f>0.21</f>
        <v>0.21</v>
      </c>
      <c r="Q17" s="185">
        <f t="shared" ref="Q17:AG17" si="3">0.21</f>
        <v>0.21</v>
      </c>
      <c r="R17" s="185">
        <f t="shared" si="3"/>
        <v>0.21</v>
      </c>
      <c r="S17" s="185">
        <f t="shared" si="3"/>
        <v>0.21</v>
      </c>
      <c r="T17" s="185">
        <f t="shared" si="3"/>
        <v>0.21</v>
      </c>
      <c r="U17" s="185">
        <f t="shared" si="3"/>
        <v>0.21</v>
      </c>
      <c r="V17" s="185">
        <f t="shared" si="3"/>
        <v>0.21</v>
      </c>
      <c r="W17" s="185">
        <f t="shared" si="3"/>
        <v>0.21</v>
      </c>
      <c r="X17" s="185">
        <f t="shared" si="3"/>
        <v>0.21</v>
      </c>
      <c r="Y17" s="185">
        <f t="shared" si="3"/>
        <v>0.21</v>
      </c>
      <c r="Z17" s="185">
        <f t="shared" si="3"/>
        <v>0.21</v>
      </c>
      <c r="AA17" s="185">
        <f t="shared" si="3"/>
        <v>0.21</v>
      </c>
      <c r="AB17" s="185">
        <f t="shared" si="3"/>
        <v>0.21</v>
      </c>
      <c r="AC17" s="185">
        <f t="shared" si="3"/>
        <v>0.21</v>
      </c>
      <c r="AD17" s="185">
        <f t="shared" si="3"/>
        <v>0.21</v>
      </c>
      <c r="AE17" s="185">
        <f t="shared" si="3"/>
        <v>0.21</v>
      </c>
      <c r="AF17" s="185">
        <f t="shared" si="3"/>
        <v>0.21</v>
      </c>
      <c r="AG17" s="185">
        <f t="shared" si="3"/>
        <v>0.21</v>
      </c>
    </row>
    <row r="18" spans="1:33" ht="12" customHeight="1">
      <c r="A18" s="25" t="s">
        <v>151</v>
      </c>
      <c r="B18" s="185">
        <v>113.79</v>
      </c>
      <c r="C18" s="185">
        <v>0</v>
      </c>
      <c r="D18" s="185">
        <v>0</v>
      </c>
      <c r="E18" s="185">
        <v>0</v>
      </c>
      <c r="F18" s="185">
        <v>0</v>
      </c>
      <c r="G18" s="185">
        <v>0</v>
      </c>
      <c r="H18" s="185">
        <v>0</v>
      </c>
      <c r="I18" s="185">
        <v>0</v>
      </c>
      <c r="J18" s="185">
        <v>0</v>
      </c>
      <c r="K18" s="185">
        <v>0</v>
      </c>
      <c r="L18" s="185">
        <v>0</v>
      </c>
      <c r="M18" s="185">
        <v>0</v>
      </c>
      <c r="N18" s="185">
        <v>0</v>
      </c>
      <c r="O18" s="185">
        <v>0</v>
      </c>
      <c r="P18" s="185">
        <v>0</v>
      </c>
      <c r="Q18" s="185">
        <v>0</v>
      </c>
      <c r="R18" s="185">
        <v>0</v>
      </c>
      <c r="S18" s="185">
        <v>0</v>
      </c>
      <c r="T18" s="185">
        <v>0</v>
      </c>
      <c r="U18" s="185">
        <v>0</v>
      </c>
      <c r="V18" s="185">
        <v>0</v>
      </c>
      <c r="W18" s="185">
        <v>0</v>
      </c>
      <c r="X18" s="185">
        <v>0</v>
      </c>
      <c r="Y18" s="185">
        <v>0</v>
      </c>
      <c r="Z18" s="185">
        <v>0</v>
      </c>
      <c r="AA18" s="185">
        <v>0</v>
      </c>
      <c r="AB18" s="185">
        <v>0</v>
      </c>
      <c r="AC18" s="185">
        <v>0</v>
      </c>
      <c r="AD18" s="185">
        <v>0</v>
      </c>
      <c r="AE18" s="185">
        <v>0</v>
      </c>
      <c r="AF18" s="185">
        <v>0</v>
      </c>
      <c r="AG18" s="185">
        <v>0</v>
      </c>
    </row>
    <row r="19" spans="1:33" ht="12" customHeight="1">
      <c r="A19" s="25" t="s">
        <v>152</v>
      </c>
      <c r="B19" s="185">
        <v>24.72</v>
      </c>
      <c r="C19" s="185">
        <v>0</v>
      </c>
      <c r="D19" s="185">
        <v>0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0</v>
      </c>
      <c r="K19" s="185">
        <v>0</v>
      </c>
      <c r="L19" s="185">
        <v>0</v>
      </c>
      <c r="M19" s="185">
        <v>0</v>
      </c>
      <c r="N19" s="185">
        <v>0</v>
      </c>
      <c r="O19" s="185">
        <v>0</v>
      </c>
      <c r="P19" s="185">
        <v>0</v>
      </c>
      <c r="Q19" s="185">
        <v>0</v>
      </c>
      <c r="R19" s="185">
        <v>0</v>
      </c>
      <c r="S19" s="185">
        <v>0</v>
      </c>
      <c r="T19" s="185">
        <v>0</v>
      </c>
      <c r="U19" s="185">
        <v>0</v>
      </c>
      <c r="V19" s="185">
        <v>0</v>
      </c>
      <c r="W19" s="185">
        <v>0</v>
      </c>
      <c r="X19" s="185">
        <v>0</v>
      </c>
      <c r="Y19" s="185">
        <v>0</v>
      </c>
      <c r="Z19" s="185">
        <v>0</v>
      </c>
      <c r="AA19" s="185">
        <v>0</v>
      </c>
      <c r="AB19" s="185">
        <v>0</v>
      </c>
      <c r="AC19" s="185">
        <v>0</v>
      </c>
      <c r="AD19" s="185">
        <v>0</v>
      </c>
      <c r="AE19" s="185">
        <v>0</v>
      </c>
      <c r="AF19" s="185">
        <v>0</v>
      </c>
      <c r="AG19" s="185">
        <v>0</v>
      </c>
    </row>
    <row r="20" spans="1:33" ht="12" customHeight="1">
      <c r="A20" s="25" t="s">
        <v>153</v>
      </c>
      <c r="B20" s="185">
        <v>37.57</v>
      </c>
      <c r="C20" s="185">
        <v>0</v>
      </c>
      <c r="D20" s="185">
        <v>0</v>
      </c>
      <c r="E20" s="185">
        <v>0</v>
      </c>
      <c r="F20" s="185">
        <v>0</v>
      </c>
      <c r="G20" s="185">
        <v>0</v>
      </c>
      <c r="H20" s="185">
        <v>0</v>
      </c>
      <c r="I20" s="185">
        <v>0</v>
      </c>
      <c r="J20" s="185">
        <v>0</v>
      </c>
      <c r="K20" s="185">
        <v>0</v>
      </c>
      <c r="L20" s="185">
        <v>0</v>
      </c>
      <c r="M20" s="185">
        <v>0</v>
      </c>
      <c r="N20" s="185">
        <v>0</v>
      </c>
      <c r="O20" s="185">
        <v>0</v>
      </c>
      <c r="P20" s="185">
        <v>0</v>
      </c>
      <c r="Q20" s="185">
        <v>0</v>
      </c>
      <c r="R20" s="185">
        <v>0</v>
      </c>
      <c r="S20" s="185">
        <v>0</v>
      </c>
      <c r="T20" s="185">
        <v>0</v>
      </c>
      <c r="U20" s="185">
        <v>0</v>
      </c>
      <c r="V20" s="185">
        <v>0</v>
      </c>
      <c r="W20" s="185">
        <v>0</v>
      </c>
      <c r="X20" s="185">
        <v>0</v>
      </c>
      <c r="Y20" s="185">
        <v>0</v>
      </c>
      <c r="Z20" s="185">
        <v>0</v>
      </c>
      <c r="AA20" s="185">
        <v>0</v>
      </c>
      <c r="AB20" s="185">
        <v>0</v>
      </c>
      <c r="AC20" s="185">
        <v>0</v>
      </c>
      <c r="AD20" s="185">
        <v>0</v>
      </c>
      <c r="AE20" s="185">
        <v>0</v>
      </c>
      <c r="AF20" s="185">
        <v>0</v>
      </c>
      <c r="AG20" s="185">
        <v>0</v>
      </c>
    </row>
    <row r="21" spans="1:33" ht="12" customHeight="1">
      <c r="A21" s="25" t="s">
        <v>131</v>
      </c>
      <c r="B21" s="185">
        <v>8.42</v>
      </c>
      <c r="C21" s="185">
        <v>0</v>
      </c>
      <c r="D21" s="185">
        <v>0</v>
      </c>
      <c r="E21" s="185">
        <v>0</v>
      </c>
      <c r="F21" s="185">
        <v>0</v>
      </c>
      <c r="G21" s="185">
        <v>0</v>
      </c>
      <c r="H21" s="185">
        <v>0</v>
      </c>
      <c r="I21" s="185">
        <v>0</v>
      </c>
      <c r="J21" s="185">
        <v>0</v>
      </c>
      <c r="K21" s="185">
        <v>0</v>
      </c>
      <c r="L21" s="185">
        <v>0</v>
      </c>
      <c r="M21" s="185">
        <v>0</v>
      </c>
      <c r="N21" s="185">
        <v>0</v>
      </c>
      <c r="O21" s="185">
        <v>0</v>
      </c>
      <c r="P21" s="185">
        <v>0</v>
      </c>
      <c r="Q21" s="185">
        <v>0</v>
      </c>
      <c r="R21" s="185">
        <v>0</v>
      </c>
      <c r="S21" s="185">
        <v>0</v>
      </c>
      <c r="T21" s="185">
        <v>0</v>
      </c>
      <c r="U21" s="185">
        <v>0</v>
      </c>
      <c r="V21" s="185">
        <v>0</v>
      </c>
      <c r="W21" s="185">
        <v>0</v>
      </c>
      <c r="X21" s="185">
        <v>0</v>
      </c>
      <c r="Y21" s="185">
        <v>0</v>
      </c>
      <c r="Z21" s="185">
        <v>0</v>
      </c>
      <c r="AA21" s="185">
        <v>0</v>
      </c>
      <c r="AB21" s="185">
        <v>0</v>
      </c>
      <c r="AC21" s="185">
        <v>0</v>
      </c>
      <c r="AD21" s="185">
        <v>0</v>
      </c>
      <c r="AE21" s="185">
        <v>0</v>
      </c>
      <c r="AF21" s="185">
        <v>0</v>
      </c>
      <c r="AG21" s="185">
        <v>0</v>
      </c>
    </row>
    <row r="22" spans="1:33" ht="12" customHeight="1">
      <c r="A22" s="25" t="s">
        <v>154</v>
      </c>
      <c r="B22" s="185">
        <v>8.4269999999999996</v>
      </c>
      <c r="C22" s="185">
        <v>0</v>
      </c>
      <c r="D22" s="185">
        <v>0</v>
      </c>
      <c r="E22" s="185">
        <v>0</v>
      </c>
      <c r="F22" s="185">
        <v>0</v>
      </c>
      <c r="G22" s="185">
        <v>0</v>
      </c>
      <c r="H22" s="185">
        <v>0</v>
      </c>
      <c r="I22" s="185">
        <v>0</v>
      </c>
      <c r="J22" s="185">
        <v>0</v>
      </c>
      <c r="K22" s="185">
        <v>0</v>
      </c>
      <c r="L22" s="185">
        <v>0</v>
      </c>
      <c r="M22" s="185">
        <v>0</v>
      </c>
      <c r="N22" s="185">
        <v>0</v>
      </c>
      <c r="O22" s="185">
        <v>0</v>
      </c>
      <c r="P22" s="185">
        <v>0</v>
      </c>
      <c r="Q22" s="185">
        <v>0</v>
      </c>
      <c r="R22" s="185">
        <v>0</v>
      </c>
      <c r="S22" s="185">
        <v>0</v>
      </c>
      <c r="T22" s="185">
        <v>0</v>
      </c>
      <c r="U22" s="185">
        <v>0</v>
      </c>
      <c r="V22" s="185">
        <v>0</v>
      </c>
      <c r="W22" s="185">
        <v>0</v>
      </c>
      <c r="X22" s="185">
        <v>0</v>
      </c>
      <c r="Y22" s="185">
        <v>0</v>
      </c>
      <c r="Z22" s="185">
        <v>0</v>
      </c>
      <c r="AA22" s="185">
        <v>0</v>
      </c>
      <c r="AB22" s="185">
        <v>0</v>
      </c>
      <c r="AC22" s="185">
        <v>0</v>
      </c>
      <c r="AD22" s="185">
        <v>0</v>
      </c>
      <c r="AE22" s="185">
        <v>0</v>
      </c>
      <c r="AF22" s="185">
        <v>0</v>
      </c>
      <c r="AG22" s="185">
        <v>0</v>
      </c>
    </row>
    <row r="23" spans="1:33" ht="12" customHeight="1">
      <c r="A23" s="25" t="s">
        <v>91</v>
      </c>
      <c r="B23" s="185">
        <v>-34.229999999999997</v>
      </c>
      <c r="C23" s="185">
        <v>0</v>
      </c>
      <c r="D23" s="185">
        <v>0</v>
      </c>
      <c r="E23" s="185">
        <v>0</v>
      </c>
      <c r="F23" s="185">
        <v>0</v>
      </c>
      <c r="G23" s="185">
        <v>0</v>
      </c>
      <c r="H23" s="185">
        <v>0</v>
      </c>
      <c r="I23" s="185">
        <v>0</v>
      </c>
      <c r="J23" s="185">
        <v>0</v>
      </c>
      <c r="K23" s="185">
        <v>0</v>
      </c>
      <c r="L23" s="185">
        <v>0</v>
      </c>
      <c r="M23" s="185">
        <v>0</v>
      </c>
      <c r="N23" s="185">
        <v>0</v>
      </c>
      <c r="O23" s="185">
        <v>0</v>
      </c>
      <c r="P23" s="185">
        <v>0.5</v>
      </c>
      <c r="Q23" s="185">
        <v>0.5</v>
      </c>
      <c r="R23" s="185">
        <v>0.5</v>
      </c>
      <c r="S23" s="185">
        <v>1</v>
      </c>
      <c r="T23" s="185">
        <v>1</v>
      </c>
      <c r="U23" s="185">
        <v>1</v>
      </c>
      <c r="V23" s="185">
        <v>1</v>
      </c>
      <c r="W23" s="185">
        <v>1</v>
      </c>
      <c r="X23" s="185">
        <v>1</v>
      </c>
      <c r="Y23" s="185">
        <v>3</v>
      </c>
      <c r="Z23" s="185">
        <v>3</v>
      </c>
      <c r="AA23" s="185">
        <v>3</v>
      </c>
      <c r="AB23" s="185">
        <v>3</v>
      </c>
      <c r="AC23" s="185">
        <v>3</v>
      </c>
      <c r="AD23" s="185">
        <v>3</v>
      </c>
      <c r="AE23" s="185">
        <v>3</v>
      </c>
      <c r="AF23" s="185">
        <v>3</v>
      </c>
      <c r="AG23" s="185">
        <v>2.73</v>
      </c>
    </row>
    <row r="24" spans="1:33" ht="12" customHeight="1">
      <c r="A24" s="25" t="s">
        <v>155</v>
      </c>
      <c r="B24" s="48">
        <v>0</v>
      </c>
      <c r="C24" s="185">
        <v>0</v>
      </c>
      <c r="D24" s="185">
        <v>0</v>
      </c>
      <c r="E24" s="185">
        <v>0</v>
      </c>
      <c r="F24" s="185">
        <v>0</v>
      </c>
      <c r="G24" s="185">
        <v>0</v>
      </c>
      <c r="H24" s="185">
        <v>0</v>
      </c>
      <c r="I24" s="185">
        <v>0</v>
      </c>
      <c r="J24" s="185">
        <v>0</v>
      </c>
      <c r="K24" s="185">
        <v>0</v>
      </c>
      <c r="L24" s="185">
        <v>0</v>
      </c>
      <c r="M24" s="185">
        <v>0</v>
      </c>
      <c r="N24" s="185">
        <v>0</v>
      </c>
      <c r="O24" s="185">
        <v>0</v>
      </c>
      <c r="P24" s="185">
        <v>0</v>
      </c>
      <c r="Q24" s="185">
        <v>0</v>
      </c>
      <c r="R24" s="185">
        <v>0</v>
      </c>
      <c r="S24" s="185">
        <v>0</v>
      </c>
      <c r="T24" s="185">
        <v>0</v>
      </c>
      <c r="U24" s="185">
        <v>0</v>
      </c>
      <c r="V24" s="185">
        <v>0</v>
      </c>
      <c r="W24" s="185">
        <v>0</v>
      </c>
      <c r="X24" s="185">
        <v>0</v>
      </c>
      <c r="Y24" s="185">
        <v>0</v>
      </c>
      <c r="Z24" s="185">
        <v>0</v>
      </c>
      <c r="AA24" s="185">
        <v>0</v>
      </c>
      <c r="AB24" s="185">
        <v>0</v>
      </c>
      <c r="AC24" s="185">
        <v>0</v>
      </c>
      <c r="AD24" s="185">
        <v>0</v>
      </c>
      <c r="AE24" s="185">
        <v>0</v>
      </c>
      <c r="AF24" s="185">
        <v>0</v>
      </c>
      <c r="AG24" s="185">
        <v>0</v>
      </c>
    </row>
    <row r="25" spans="1:33" ht="12" customHeight="1" thickBot="1">
      <c r="A25" s="37" t="s">
        <v>156</v>
      </c>
      <c r="B25" s="254">
        <f t="shared" ref="B25:AG25" si="4">SUM(B16:B24)</f>
        <v>627.48986376900007</v>
      </c>
      <c r="C25" s="254">
        <f t="shared" si="4"/>
        <v>0</v>
      </c>
      <c r="D25" s="254">
        <f t="shared" si="4"/>
        <v>0</v>
      </c>
      <c r="E25" s="254">
        <f t="shared" si="4"/>
        <v>0</v>
      </c>
      <c r="F25" s="254">
        <f t="shared" si="4"/>
        <v>0</v>
      </c>
      <c r="G25" s="254">
        <f t="shared" si="4"/>
        <v>0</v>
      </c>
      <c r="H25" s="254">
        <f t="shared" si="4"/>
        <v>0</v>
      </c>
      <c r="I25" s="254">
        <f t="shared" si="4"/>
        <v>0</v>
      </c>
      <c r="J25" s="254">
        <f t="shared" si="4"/>
        <v>0</v>
      </c>
      <c r="K25" s="254">
        <f t="shared" si="4"/>
        <v>0</v>
      </c>
      <c r="L25" s="254">
        <f t="shared" si="4"/>
        <v>0</v>
      </c>
      <c r="M25" s="254">
        <f t="shared" si="4"/>
        <v>0</v>
      </c>
      <c r="N25" s="254">
        <f t="shared" si="4"/>
        <v>0</v>
      </c>
      <c r="O25" s="254">
        <f t="shared" si="4"/>
        <v>0</v>
      </c>
      <c r="P25" s="254">
        <f t="shared" si="4"/>
        <v>3.4933591148214287</v>
      </c>
      <c r="Q25" s="254">
        <f t="shared" si="4"/>
        <v>2.2409182308214288</v>
      </c>
      <c r="R25" s="254">
        <f t="shared" si="4"/>
        <v>9.0824201207296689</v>
      </c>
      <c r="S25" s="254">
        <f t="shared" si="4"/>
        <v>14.628746178428116</v>
      </c>
      <c r="T25" s="254">
        <f t="shared" si="4"/>
        <v>12.652692739735715</v>
      </c>
      <c r="U25" s="254">
        <f t="shared" si="4"/>
        <v>16.958333117733766</v>
      </c>
      <c r="V25" s="254">
        <f t="shared" si="4"/>
        <v>16.656724835853858</v>
      </c>
      <c r="W25" s="254">
        <f t="shared" si="4"/>
        <v>15.235048693825716</v>
      </c>
      <c r="X25" s="254">
        <f t="shared" si="4"/>
        <v>9.423193202822798</v>
      </c>
      <c r="Y25" s="254">
        <f t="shared" si="4"/>
        <v>8.256697952877504</v>
      </c>
      <c r="Z25" s="254">
        <f t="shared" si="4"/>
        <v>7.2510802751519998</v>
      </c>
      <c r="AA25" s="254">
        <f t="shared" si="4"/>
        <v>7.403342971190912</v>
      </c>
      <c r="AB25" s="254">
        <f t="shared" si="4"/>
        <v>6.98336969</v>
      </c>
      <c r="AC25" s="254">
        <f t="shared" si="4"/>
        <v>6.3094256800000004</v>
      </c>
      <c r="AD25" s="254">
        <f t="shared" si="4"/>
        <v>4.3412425499999996</v>
      </c>
      <c r="AE25" s="254">
        <f t="shared" si="4"/>
        <v>3.7355982000000001</v>
      </c>
      <c r="AF25" s="254">
        <f t="shared" si="4"/>
        <v>3.7653906269999999</v>
      </c>
      <c r="AG25" s="254">
        <f t="shared" si="4"/>
        <v>2.94</v>
      </c>
    </row>
    <row r="26" spans="1:33" s="37" customFormat="1" ht="12" customHeight="1" thickTop="1">
      <c r="A26" s="37" t="s">
        <v>157</v>
      </c>
      <c r="B26" s="255">
        <f t="shared" ref="B26:AG26" si="5">+B13-B25</f>
        <v>1.1362309999185527E-3</v>
      </c>
      <c r="C26" s="255">
        <f t="shared" si="5"/>
        <v>0</v>
      </c>
      <c r="D26" s="255">
        <f t="shared" si="5"/>
        <v>0</v>
      </c>
      <c r="E26" s="255">
        <f t="shared" si="5"/>
        <v>0</v>
      </c>
      <c r="F26" s="255">
        <f t="shared" si="5"/>
        <v>0</v>
      </c>
      <c r="G26" s="255">
        <f t="shared" si="5"/>
        <v>0</v>
      </c>
      <c r="H26" s="255">
        <f t="shared" si="5"/>
        <v>0</v>
      </c>
      <c r="I26" s="255">
        <f t="shared" si="5"/>
        <v>0</v>
      </c>
      <c r="J26" s="255">
        <f t="shared" si="5"/>
        <v>0</v>
      </c>
      <c r="K26" s="255">
        <f t="shared" si="5"/>
        <v>0</v>
      </c>
      <c r="L26" s="255">
        <f t="shared" si="5"/>
        <v>0</v>
      </c>
      <c r="M26" s="255">
        <f t="shared" si="5"/>
        <v>0</v>
      </c>
      <c r="N26" s="255">
        <f t="shared" si="5"/>
        <v>0</v>
      </c>
      <c r="O26" s="255">
        <f t="shared" si="5"/>
        <v>0</v>
      </c>
      <c r="P26" s="255">
        <f t="shared" si="5"/>
        <v>-0.82335911482142876</v>
      </c>
      <c r="Q26" s="255">
        <f t="shared" si="5"/>
        <v>47.929081769178573</v>
      </c>
      <c r="R26" s="255">
        <f t="shared" si="5"/>
        <v>-7.8902601207296694</v>
      </c>
      <c r="S26" s="255">
        <f t="shared" si="5"/>
        <v>-6.0511325447741626</v>
      </c>
      <c r="T26" s="255">
        <f t="shared" si="5"/>
        <v>-2.5253959277317133</v>
      </c>
      <c r="U26" s="255">
        <f t="shared" si="5"/>
        <v>-3.9081710168337658</v>
      </c>
      <c r="V26" s="255">
        <f t="shared" si="5"/>
        <v>-5.9626162921618526</v>
      </c>
      <c r="W26" s="255">
        <f t="shared" si="5"/>
        <v>-5.0234594348777168</v>
      </c>
      <c r="X26" s="255">
        <f t="shared" si="5"/>
        <v>0.63428097184626964</v>
      </c>
      <c r="Y26" s="255">
        <f t="shared" si="5"/>
        <v>-4.2834652403495035</v>
      </c>
      <c r="Z26" s="255">
        <f t="shared" si="5"/>
        <v>-2.4197280022744962</v>
      </c>
      <c r="AA26" s="255">
        <f t="shared" si="5"/>
        <v>-4.3859468460389124</v>
      </c>
      <c r="AB26" s="255">
        <f t="shared" si="5"/>
        <v>-3.1366714388090884</v>
      </c>
      <c r="AC26" s="255">
        <f t="shared" si="5"/>
        <v>-3.3987416800000005</v>
      </c>
      <c r="AD26" s="255">
        <f t="shared" si="5"/>
        <v>13.685699849999999</v>
      </c>
      <c r="AE26" s="255">
        <f t="shared" si="5"/>
        <v>-2.6477966999999998</v>
      </c>
      <c r="AF26" s="255">
        <f t="shared" si="5"/>
        <v>-2.9557326269999997</v>
      </c>
      <c r="AG26" s="255">
        <f t="shared" si="5"/>
        <v>-9.3403726999999659E-2</v>
      </c>
    </row>
    <row r="27" spans="1:33" ht="12" customHeight="1">
      <c r="A27" s="37"/>
      <c r="B27" s="255"/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  <c r="R27" s="255"/>
      <c r="S27" s="255"/>
      <c r="T27" s="255"/>
      <c r="U27" s="255"/>
      <c r="V27" s="255"/>
      <c r="W27" s="255"/>
      <c r="X27" s="255"/>
      <c r="Y27" s="255"/>
      <c r="Z27" s="255"/>
      <c r="AA27" s="255"/>
      <c r="AB27" s="255"/>
      <c r="AC27" s="255"/>
      <c r="AD27" s="255"/>
      <c r="AE27" s="255"/>
      <c r="AF27" s="255"/>
      <c r="AG27" s="255">
        <f>SUM(P25:AG25)</f>
        <v>151.35758418099289</v>
      </c>
    </row>
    <row r="28" spans="1:33" ht="12" customHeight="1">
      <c r="A28" s="37"/>
      <c r="B28" s="185">
        <f t="shared" ref="B28:AG28" si="6">SUM(B16:B22)-SUM(B5:B7)-B38</f>
        <v>338.55986376900012</v>
      </c>
      <c r="C28" s="185">
        <f t="shared" si="6"/>
        <v>0</v>
      </c>
      <c r="D28" s="185">
        <f t="shared" si="6"/>
        <v>0</v>
      </c>
      <c r="E28" s="185">
        <f t="shared" si="6"/>
        <v>0</v>
      </c>
      <c r="F28" s="185">
        <f t="shared" si="6"/>
        <v>0</v>
      </c>
      <c r="G28" s="185">
        <f t="shared" si="6"/>
        <v>0</v>
      </c>
      <c r="H28" s="185">
        <f t="shared" si="6"/>
        <v>0</v>
      </c>
      <c r="I28" s="185">
        <f t="shared" si="6"/>
        <v>0</v>
      </c>
      <c r="J28" s="185">
        <f t="shared" si="6"/>
        <v>0</v>
      </c>
      <c r="K28" s="185">
        <f t="shared" si="6"/>
        <v>0</v>
      </c>
      <c r="L28" s="185">
        <f t="shared" si="6"/>
        <v>0</v>
      </c>
      <c r="M28" s="185">
        <f t="shared" si="6"/>
        <v>0</v>
      </c>
      <c r="N28" s="185">
        <f t="shared" si="6"/>
        <v>0</v>
      </c>
      <c r="O28" s="185">
        <f t="shared" si="6"/>
        <v>0</v>
      </c>
      <c r="P28" s="185">
        <f t="shared" si="6"/>
        <v>2.3233591148214288</v>
      </c>
      <c r="Q28" s="185">
        <f t="shared" si="6"/>
        <v>1.5709182308214289</v>
      </c>
      <c r="R28" s="185">
        <f t="shared" si="6"/>
        <v>8.4124201207296689</v>
      </c>
      <c r="S28" s="185">
        <f t="shared" si="6"/>
        <v>12.458746178428116</v>
      </c>
      <c r="T28" s="185">
        <f t="shared" si="6"/>
        <v>-0.51730726026428542</v>
      </c>
      <c r="U28" s="185">
        <f t="shared" si="6"/>
        <v>15.788333117733766</v>
      </c>
      <c r="V28" s="185">
        <f t="shared" si="6"/>
        <v>8.4867248358538561</v>
      </c>
      <c r="W28" s="185">
        <f t="shared" si="6"/>
        <v>1.065048693825716</v>
      </c>
      <c r="X28" s="185">
        <f t="shared" si="6"/>
        <v>-0.55680679717720238</v>
      </c>
      <c r="Y28" s="185">
        <f t="shared" si="6"/>
        <v>8.6697952877504036E-2</v>
      </c>
      <c r="Z28" s="185">
        <f t="shared" si="6"/>
        <v>8.1080275151999892E-2</v>
      </c>
      <c r="AA28" s="185">
        <f t="shared" si="6"/>
        <v>1.2333429711909121</v>
      </c>
      <c r="AB28" s="185">
        <f t="shared" si="6"/>
        <v>0.81336969000000003</v>
      </c>
      <c r="AC28" s="185">
        <f t="shared" si="6"/>
        <v>0.13942568</v>
      </c>
      <c r="AD28" s="185">
        <f t="shared" si="6"/>
        <v>-2.0287574500000001</v>
      </c>
      <c r="AE28" s="185">
        <f t="shared" si="6"/>
        <v>-1.0544018000000002</v>
      </c>
      <c r="AF28" s="185">
        <f t="shared" si="6"/>
        <v>0.59539062699999989</v>
      </c>
      <c r="AG28" s="185">
        <f t="shared" si="6"/>
        <v>-1.96</v>
      </c>
    </row>
    <row r="29" spans="1:33" ht="12" customHeight="1">
      <c r="A29" s="37"/>
      <c r="B29" s="185"/>
      <c r="C29" s="185"/>
      <c r="D29" s="185"/>
      <c r="E29" s="185"/>
      <c r="F29" s="185"/>
      <c r="G29" s="185"/>
      <c r="H29" s="185"/>
      <c r="I29" s="185"/>
      <c r="J29" s="185"/>
      <c r="K29" s="185"/>
      <c r="L29" s="185"/>
      <c r="M29" s="185"/>
      <c r="N29" s="185"/>
      <c r="O29" s="185"/>
      <c r="P29" s="185"/>
      <c r="Q29" s="185"/>
      <c r="R29" s="185"/>
      <c r="S29" s="185"/>
      <c r="T29" s="185"/>
      <c r="U29" s="185"/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</row>
    <row r="30" spans="1:33" ht="12" customHeight="1">
      <c r="A30" s="37" t="s">
        <v>97</v>
      </c>
      <c r="B30" s="180" t="str">
        <f t="shared" ref="B30:AG30" si="7">B15</f>
        <v>Opening</v>
      </c>
      <c r="C30" s="180">
        <f t="shared" si="7"/>
        <v>44044</v>
      </c>
      <c r="D30" s="180">
        <f t="shared" si="7"/>
        <v>44075</v>
      </c>
      <c r="E30" s="180">
        <f t="shared" si="7"/>
        <v>44105</v>
      </c>
      <c r="F30" s="180">
        <f t="shared" si="7"/>
        <v>44136</v>
      </c>
      <c r="G30" s="180">
        <f t="shared" si="7"/>
        <v>44166</v>
      </c>
      <c r="H30" s="180">
        <f t="shared" si="7"/>
        <v>44197</v>
      </c>
      <c r="I30" s="180">
        <f t="shared" si="7"/>
        <v>44228</v>
      </c>
      <c r="J30" s="180">
        <f t="shared" si="7"/>
        <v>44256</v>
      </c>
      <c r="K30" s="180">
        <f t="shared" si="7"/>
        <v>44287</v>
      </c>
      <c r="L30" s="180">
        <f t="shared" si="7"/>
        <v>44317</v>
      </c>
      <c r="M30" s="180">
        <f t="shared" si="7"/>
        <v>44348</v>
      </c>
      <c r="N30" s="180">
        <f t="shared" si="7"/>
        <v>44378</v>
      </c>
      <c r="O30" s="180">
        <f t="shared" si="7"/>
        <v>44409</v>
      </c>
      <c r="P30" s="180">
        <f t="shared" si="7"/>
        <v>44743</v>
      </c>
      <c r="Q30" s="180">
        <f t="shared" si="7"/>
        <v>44774</v>
      </c>
      <c r="R30" s="180">
        <f t="shared" si="7"/>
        <v>44805</v>
      </c>
      <c r="S30" s="180">
        <f t="shared" si="7"/>
        <v>44835</v>
      </c>
      <c r="T30" s="180">
        <f t="shared" si="7"/>
        <v>44866</v>
      </c>
      <c r="U30" s="180">
        <f t="shared" si="7"/>
        <v>44896</v>
      </c>
      <c r="V30" s="180">
        <f t="shared" si="7"/>
        <v>44927</v>
      </c>
      <c r="W30" s="180">
        <f t="shared" si="7"/>
        <v>44958</v>
      </c>
      <c r="X30" s="180">
        <f t="shared" si="7"/>
        <v>44986</v>
      </c>
      <c r="Y30" s="180">
        <f t="shared" si="7"/>
        <v>45017</v>
      </c>
      <c r="Z30" s="180">
        <f t="shared" si="7"/>
        <v>45047</v>
      </c>
      <c r="AA30" s="180">
        <f t="shared" si="7"/>
        <v>45078</v>
      </c>
      <c r="AB30" s="180">
        <f t="shared" si="7"/>
        <v>45108</v>
      </c>
      <c r="AC30" s="180">
        <f t="shared" si="7"/>
        <v>45139</v>
      </c>
      <c r="AD30" s="180">
        <f t="shared" si="7"/>
        <v>45170</v>
      </c>
      <c r="AE30" s="180">
        <f t="shared" si="7"/>
        <v>45200</v>
      </c>
      <c r="AF30" s="180">
        <f t="shared" si="7"/>
        <v>45231</v>
      </c>
      <c r="AG30" s="180">
        <f t="shared" si="7"/>
        <v>45261</v>
      </c>
    </row>
    <row r="31" spans="1:33" ht="12" customHeight="1">
      <c r="A31" s="25" t="s">
        <v>138</v>
      </c>
      <c r="B31" s="50">
        <v>0</v>
      </c>
      <c r="C31" s="50">
        <f>B32</f>
        <v>1.1362309999185527E-3</v>
      </c>
      <c r="D31" s="50">
        <f t="shared" ref="D31:AB31" si="8">C33</f>
        <v>1.1362309999185527E-3</v>
      </c>
      <c r="E31" s="50">
        <f t="shared" si="8"/>
        <v>1.1362309999185527E-3</v>
      </c>
      <c r="F31" s="50">
        <f t="shared" si="8"/>
        <v>1.1362309999185527E-3</v>
      </c>
      <c r="G31" s="50">
        <f t="shared" si="8"/>
        <v>1.1362309999185527E-3</v>
      </c>
      <c r="H31" s="50">
        <f t="shared" si="8"/>
        <v>1.1362309999185527E-3</v>
      </c>
      <c r="I31" s="50">
        <f t="shared" si="8"/>
        <v>1.1362309999185527E-3</v>
      </c>
      <c r="J31" s="50">
        <f t="shared" si="8"/>
        <v>1.1362309999185527E-3</v>
      </c>
      <c r="K31" s="50">
        <f t="shared" si="8"/>
        <v>1.1362309999185527E-3</v>
      </c>
      <c r="L31" s="50">
        <f t="shared" si="8"/>
        <v>1.1362309999185527E-3</v>
      </c>
      <c r="M31" s="50">
        <f t="shared" si="8"/>
        <v>1.1362309999185527E-3</v>
      </c>
      <c r="N31" s="50">
        <f t="shared" si="8"/>
        <v>1.1362309999185527E-3</v>
      </c>
      <c r="O31" s="50">
        <f t="shared" si="8"/>
        <v>1.1362309999185527E-3</v>
      </c>
      <c r="P31" s="50">
        <f t="shared" si="8"/>
        <v>1.1362309999185527E-3</v>
      </c>
      <c r="Q31" s="50">
        <f t="shared" si="8"/>
        <v>-0.82222288382151021</v>
      </c>
      <c r="R31" s="50">
        <f t="shared" si="8"/>
        <v>47.106858885357063</v>
      </c>
      <c r="S31" s="50">
        <f t="shared" si="8"/>
        <v>39.216598764627392</v>
      </c>
      <c r="T31" s="50">
        <f t="shared" si="8"/>
        <v>33.165466219853229</v>
      </c>
      <c r="U31" s="50">
        <f t="shared" si="8"/>
        <v>30.640070292121514</v>
      </c>
      <c r="V31" s="50">
        <f t="shared" si="8"/>
        <v>26.731899275287748</v>
      </c>
      <c r="W31" s="50">
        <f t="shared" si="8"/>
        <v>20.769282983125898</v>
      </c>
      <c r="X31" s="50">
        <f t="shared" si="8"/>
        <v>15.745823548248181</v>
      </c>
      <c r="Y31" s="50">
        <f t="shared" si="8"/>
        <v>16.380104520094449</v>
      </c>
      <c r="Z31" s="50">
        <f t="shared" si="8"/>
        <v>12.096639279744945</v>
      </c>
      <c r="AA31" s="50">
        <f t="shared" si="8"/>
        <v>9.6769112774704489</v>
      </c>
      <c r="AB31" s="50">
        <f t="shared" si="8"/>
        <v>5.2909644314315365</v>
      </c>
      <c r="AC31" s="50">
        <f>AB33</f>
        <v>2.1542929926224481</v>
      </c>
      <c r="AD31" s="50">
        <f>AC33</f>
        <v>-1.2444486873775524</v>
      </c>
      <c r="AE31" s="50">
        <f>AD33</f>
        <v>12.441251162622446</v>
      </c>
      <c r="AF31" s="50">
        <f>AE33</f>
        <v>9.7934544626224458</v>
      </c>
      <c r="AG31" s="50">
        <f>AF33</f>
        <v>6.8377218356224461</v>
      </c>
    </row>
    <row r="32" spans="1:33" ht="12" customHeight="1">
      <c r="A32" s="25" t="s">
        <v>135</v>
      </c>
      <c r="B32" s="50">
        <f t="shared" ref="B32:AB32" si="9">B26</f>
        <v>1.1362309999185527E-3</v>
      </c>
      <c r="C32" s="50">
        <f t="shared" si="9"/>
        <v>0</v>
      </c>
      <c r="D32" s="50">
        <f t="shared" si="9"/>
        <v>0</v>
      </c>
      <c r="E32" s="50">
        <f t="shared" si="9"/>
        <v>0</v>
      </c>
      <c r="F32" s="50">
        <f t="shared" si="9"/>
        <v>0</v>
      </c>
      <c r="G32" s="50">
        <f t="shared" si="9"/>
        <v>0</v>
      </c>
      <c r="H32" s="50">
        <f t="shared" si="9"/>
        <v>0</v>
      </c>
      <c r="I32" s="50">
        <f t="shared" si="9"/>
        <v>0</v>
      </c>
      <c r="J32" s="50">
        <f t="shared" si="9"/>
        <v>0</v>
      </c>
      <c r="K32" s="50">
        <f t="shared" si="9"/>
        <v>0</v>
      </c>
      <c r="L32" s="50">
        <f t="shared" si="9"/>
        <v>0</v>
      </c>
      <c r="M32" s="50">
        <f t="shared" si="9"/>
        <v>0</v>
      </c>
      <c r="N32" s="50">
        <f t="shared" si="9"/>
        <v>0</v>
      </c>
      <c r="O32" s="50">
        <f t="shared" si="9"/>
        <v>0</v>
      </c>
      <c r="P32" s="50">
        <f t="shared" si="9"/>
        <v>-0.82335911482142876</v>
      </c>
      <c r="Q32" s="50">
        <f t="shared" si="9"/>
        <v>47.929081769178573</v>
      </c>
      <c r="R32" s="50">
        <f t="shared" si="9"/>
        <v>-7.8902601207296694</v>
      </c>
      <c r="S32" s="50">
        <f t="shared" si="9"/>
        <v>-6.0511325447741626</v>
      </c>
      <c r="T32" s="50">
        <f t="shared" si="9"/>
        <v>-2.5253959277317133</v>
      </c>
      <c r="U32" s="50">
        <f t="shared" si="9"/>
        <v>-3.9081710168337658</v>
      </c>
      <c r="V32" s="50">
        <f t="shared" si="9"/>
        <v>-5.9626162921618526</v>
      </c>
      <c r="W32" s="50">
        <f t="shared" si="9"/>
        <v>-5.0234594348777168</v>
      </c>
      <c r="X32" s="50">
        <f t="shared" si="9"/>
        <v>0.63428097184626964</v>
      </c>
      <c r="Y32" s="50">
        <f t="shared" si="9"/>
        <v>-4.2834652403495035</v>
      </c>
      <c r="Z32" s="50">
        <f t="shared" si="9"/>
        <v>-2.4197280022744962</v>
      </c>
      <c r="AA32" s="50">
        <f t="shared" si="9"/>
        <v>-4.3859468460389124</v>
      </c>
      <c r="AB32" s="50">
        <f t="shared" si="9"/>
        <v>-3.1366714388090884</v>
      </c>
      <c r="AC32" s="50">
        <f>AC26</f>
        <v>-3.3987416800000005</v>
      </c>
      <c r="AD32" s="50">
        <f>AD26</f>
        <v>13.685699849999999</v>
      </c>
      <c r="AE32" s="50">
        <f>AE26</f>
        <v>-2.6477966999999998</v>
      </c>
      <c r="AF32" s="50">
        <f>AF26</f>
        <v>-2.9557326269999997</v>
      </c>
      <c r="AG32" s="50">
        <f>AG26</f>
        <v>-9.3403726999999659E-2</v>
      </c>
    </row>
    <row r="33" spans="1:33" ht="12" customHeight="1" thickBot="1">
      <c r="A33" s="37" t="s">
        <v>139</v>
      </c>
      <c r="B33" s="51">
        <f t="shared" ref="B33:AB33" si="10">SUM(B31:B32)</f>
        <v>1.1362309999185527E-3</v>
      </c>
      <c r="C33" s="51">
        <f t="shared" si="10"/>
        <v>1.1362309999185527E-3</v>
      </c>
      <c r="D33" s="51">
        <f t="shared" si="10"/>
        <v>1.1362309999185527E-3</v>
      </c>
      <c r="E33" s="51">
        <f t="shared" si="10"/>
        <v>1.1362309999185527E-3</v>
      </c>
      <c r="F33" s="51">
        <f t="shared" si="10"/>
        <v>1.1362309999185527E-3</v>
      </c>
      <c r="G33" s="51">
        <f t="shared" si="10"/>
        <v>1.1362309999185527E-3</v>
      </c>
      <c r="H33" s="51">
        <f t="shared" si="10"/>
        <v>1.1362309999185527E-3</v>
      </c>
      <c r="I33" s="51">
        <f t="shared" si="10"/>
        <v>1.1362309999185527E-3</v>
      </c>
      <c r="J33" s="51">
        <f t="shared" si="10"/>
        <v>1.1362309999185527E-3</v>
      </c>
      <c r="K33" s="51">
        <f t="shared" si="10"/>
        <v>1.1362309999185527E-3</v>
      </c>
      <c r="L33" s="51">
        <f t="shared" si="10"/>
        <v>1.1362309999185527E-3</v>
      </c>
      <c r="M33" s="51">
        <f t="shared" si="10"/>
        <v>1.1362309999185527E-3</v>
      </c>
      <c r="N33" s="51">
        <f t="shared" si="10"/>
        <v>1.1362309999185527E-3</v>
      </c>
      <c r="O33" s="51">
        <f t="shared" si="10"/>
        <v>1.1362309999185527E-3</v>
      </c>
      <c r="P33" s="51">
        <f t="shared" si="10"/>
        <v>-0.82222288382151021</v>
      </c>
      <c r="Q33" s="51">
        <f t="shared" si="10"/>
        <v>47.106858885357063</v>
      </c>
      <c r="R33" s="51">
        <f t="shared" si="10"/>
        <v>39.216598764627392</v>
      </c>
      <c r="S33" s="51">
        <f t="shared" si="10"/>
        <v>33.165466219853229</v>
      </c>
      <c r="T33" s="51">
        <f t="shared" si="10"/>
        <v>30.640070292121514</v>
      </c>
      <c r="U33" s="51">
        <f t="shared" si="10"/>
        <v>26.731899275287748</v>
      </c>
      <c r="V33" s="51">
        <f t="shared" si="10"/>
        <v>20.769282983125898</v>
      </c>
      <c r="W33" s="51">
        <f t="shared" si="10"/>
        <v>15.745823548248181</v>
      </c>
      <c r="X33" s="51">
        <f t="shared" si="10"/>
        <v>16.380104520094449</v>
      </c>
      <c r="Y33" s="51">
        <f t="shared" si="10"/>
        <v>12.096639279744945</v>
      </c>
      <c r="Z33" s="51">
        <f t="shared" si="10"/>
        <v>9.6769112774704489</v>
      </c>
      <c r="AA33" s="51">
        <f t="shared" si="10"/>
        <v>5.2909644314315365</v>
      </c>
      <c r="AB33" s="51">
        <f t="shared" si="10"/>
        <v>2.1542929926224481</v>
      </c>
      <c r="AC33" s="51">
        <f>SUM(AC31:AC32)</f>
        <v>-1.2444486873775524</v>
      </c>
      <c r="AD33" s="51">
        <f>SUM(AD31:AD32)</f>
        <v>12.441251162622446</v>
      </c>
      <c r="AE33" s="51">
        <f>SUM(AE31:AE32)</f>
        <v>9.7934544626224458</v>
      </c>
      <c r="AF33" s="51">
        <f>SUM(AF31:AF32)</f>
        <v>6.8377218356224461</v>
      </c>
      <c r="AG33" s="51">
        <f>SUM(AG31:AG32)</f>
        <v>6.744318108622446</v>
      </c>
    </row>
    <row r="34" spans="1:33" ht="12" customHeight="1" thickTop="1">
      <c r="A34" s="37"/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  <c r="N34" s="255"/>
      <c r="O34" s="255"/>
      <c r="P34" s="255"/>
      <c r="Q34" s="255"/>
      <c r="R34" s="255"/>
      <c r="S34" s="255"/>
      <c r="T34" s="255"/>
      <c r="U34" s="255"/>
      <c r="V34" s="255"/>
      <c r="W34" s="255"/>
      <c r="X34" s="255"/>
      <c r="Y34" s="255"/>
      <c r="Z34" s="255"/>
      <c r="AA34" s="255"/>
      <c r="AB34" s="255"/>
      <c r="AC34" s="255"/>
      <c r="AD34" s="255"/>
      <c r="AE34" s="255"/>
      <c r="AF34" s="255"/>
      <c r="AG34" s="255"/>
    </row>
    <row r="35" spans="1:33" ht="12" customHeight="1">
      <c r="A35" s="37" t="s">
        <v>158</v>
      </c>
      <c r="B35" s="180" t="str">
        <f t="shared" ref="B35:AB35" si="11">B30</f>
        <v>Opening</v>
      </c>
      <c r="C35" s="180">
        <f t="shared" si="11"/>
        <v>44044</v>
      </c>
      <c r="D35" s="180">
        <f t="shared" si="11"/>
        <v>44075</v>
      </c>
      <c r="E35" s="180">
        <f t="shared" si="11"/>
        <v>44105</v>
      </c>
      <c r="F35" s="180">
        <f t="shared" si="11"/>
        <v>44136</v>
      </c>
      <c r="G35" s="180">
        <f t="shared" si="11"/>
        <v>44166</v>
      </c>
      <c r="H35" s="180">
        <f t="shared" si="11"/>
        <v>44197</v>
      </c>
      <c r="I35" s="180">
        <f t="shared" si="11"/>
        <v>44228</v>
      </c>
      <c r="J35" s="180">
        <f t="shared" si="11"/>
        <v>44256</v>
      </c>
      <c r="K35" s="180">
        <f t="shared" si="11"/>
        <v>44287</v>
      </c>
      <c r="L35" s="180">
        <f t="shared" si="11"/>
        <v>44317</v>
      </c>
      <c r="M35" s="180">
        <f t="shared" si="11"/>
        <v>44348</v>
      </c>
      <c r="N35" s="180">
        <f t="shared" si="11"/>
        <v>44378</v>
      </c>
      <c r="O35" s="180">
        <f t="shared" si="11"/>
        <v>44409</v>
      </c>
      <c r="P35" s="180">
        <f t="shared" si="11"/>
        <v>44743</v>
      </c>
      <c r="Q35" s="180">
        <f t="shared" si="11"/>
        <v>44774</v>
      </c>
      <c r="R35" s="180">
        <f t="shared" si="11"/>
        <v>44805</v>
      </c>
      <c r="S35" s="180">
        <f t="shared" si="11"/>
        <v>44835</v>
      </c>
      <c r="T35" s="180">
        <f t="shared" si="11"/>
        <v>44866</v>
      </c>
      <c r="U35" s="180">
        <f t="shared" si="11"/>
        <v>44896</v>
      </c>
      <c r="V35" s="180">
        <f t="shared" si="11"/>
        <v>44927</v>
      </c>
      <c r="W35" s="180">
        <f t="shared" si="11"/>
        <v>44958</v>
      </c>
      <c r="X35" s="180">
        <f t="shared" si="11"/>
        <v>44986</v>
      </c>
      <c r="Y35" s="180">
        <f t="shared" si="11"/>
        <v>45017</v>
      </c>
      <c r="Z35" s="180">
        <f t="shared" si="11"/>
        <v>45047</v>
      </c>
      <c r="AA35" s="180">
        <f t="shared" si="11"/>
        <v>45078</v>
      </c>
      <c r="AB35" s="180">
        <f t="shared" si="11"/>
        <v>45108</v>
      </c>
      <c r="AC35" s="180">
        <f>AC30</f>
        <v>45139</v>
      </c>
      <c r="AD35" s="180">
        <f>AD30</f>
        <v>45170</v>
      </c>
      <c r="AE35" s="180">
        <f>AE30</f>
        <v>45200</v>
      </c>
      <c r="AF35" s="180">
        <f>AF30</f>
        <v>45231</v>
      </c>
      <c r="AG35" s="180">
        <f>AG30</f>
        <v>45261</v>
      </c>
    </row>
    <row r="36" spans="1:33" ht="12" customHeight="1">
      <c r="A36" s="25" t="s">
        <v>159</v>
      </c>
      <c r="B36" s="48">
        <v>0</v>
      </c>
      <c r="C36" s="48">
        <f>B41</f>
        <v>0</v>
      </c>
      <c r="D36" s="48">
        <f t="shared" ref="D36:AB36" si="12">C41</f>
        <v>0</v>
      </c>
      <c r="E36" s="48">
        <f t="shared" si="12"/>
        <v>0</v>
      </c>
      <c r="F36" s="48">
        <f t="shared" si="12"/>
        <v>0</v>
      </c>
      <c r="G36" s="48">
        <f t="shared" si="12"/>
        <v>0</v>
      </c>
      <c r="H36" s="48">
        <f t="shared" si="12"/>
        <v>0</v>
      </c>
      <c r="I36" s="48">
        <f t="shared" si="12"/>
        <v>0</v>
      </c>
      <c r="J36" s="48">
        <f t="shared" si="12"/>
        <v>0</v>
      </c>
      <c r="K36" s="48">
        <f>J41</f>
        <v>0</v>
      </c>
      <c r="L36" s="48">
        <f t="shared" si="12"/>
        <v>0</v>
      </c>
      <c r="M36" s="48">
        <f t="shared" si="12"/>
        <v>0</v>
      </c>
      <c r="N36" s="48">
        <f t="shared" si="12"/>
        <v>0</v>
      </c>
      <c r="O36" s="48">
        <f t="shared" si="12"/>
        <v>0</v>
      </c>
      <c r="P36" s="48">
        <v>17.41</v>
      </c>
      <c r="Q36" s="48">
        <f t="shared" si="12"/>
        <v>15.41</v>
      </c>
      <c r="R36" s="48">
        <f t="shared" si="12"/>
        <v>15.41</v>
      </c>
      <c r="S36" s="48">
        <f t="shared" si="12"/>
        <v>14.387840000000001</v>
      </c>
      <c r="T36" s="48">
        <f t="shared" si="12"/>
        <v>6.9802263663460469</v>
      </c>
      <c r="U36" s="48">
        <f t="shared" si="12"/>
        <v>7.0229295543420438</v>
      </c>
      <c r="V36" s="48">
        <f t="shared" si="12"/>
        <v>1.642767453442044</v>
      </c>
      <c r="W36" s="48">
        <f t="shared" si="12"/>
        <v>-1.8813410902499612</v>
      </c>
      <c r="X36" s="48">
        <f t="shared" si="12"/>
        <v>1.0770696508020388</v>
      </c>
      <c r="Y36" s="48">
        <f t="shared" si="12"/>
        <v>-4.0452386702760634E-4</v>
      </c>
      <c r="Z36" s="48">
        <f t="shared" si="12"/>
        <v>1.1963627636049723</v>
      </c>
      <c r="AA36" s="48">
        <f t="shared" si="12"/>
        <v>0.5350104907274682</v>
      </c>
      <c r="AB36" s="48">
        <f t="shared" si="12"/>
        <v>0.68761436557546807</v>
      </c>
      <c r="AC36" s="48">
        <f>AB41</f>
        <v>1.0916114384556419E-2</v>
      </c>
      <c r="AD36" s="48">
        <f>AC41</f>
        <v>0.27023211438455652</v>
      </c>
      <c r="AE36" s="48">
        <f>AD41</f>
        <v>0.61328971438455637</v>
      </c>
      <c r="AF36" s="48">
        <f>AE41</f>
        <v>1.3154882143845565</v>
      </c>
      <c r="AG36" s="48">
        <f>AF41</f>
        <v>0.67583021438455659</v>
      </c>
    </row>
    <row r="37" spans="1:33" ht="12" customHeight="1">
      <c r="A37" s="25" t="s">
        <v>160</v>
      </c>
      <c r="B37" s="48">
        <v>34.390999999999998</v>
      </c>
      <c r="C37" s="49">
        <v>0</v>
      </c>
      <c r="D37" s="49">
        <v>0</v>
      </c>
      <c r="E37" s="49">
        <v>0</v>
      </c>
      <c r="F37" s="49">
        <v>0</v>
      </c>
      <c r="G37" s="49">
        <v>0</v>
      </c>
      <c r="H37" s="49">
        <v>0</v>
      </c>
      <c r="I37" s="49">
        <v>0</v>
      </c>
      <c r="J37" s="49">
        <v>0</v>
      </c>
      <c r="K37" s="49">
        <v>0</v>
      </c>
      <c r="L37" s="49">
        <v>0</v>
      </c>
      <c r="M37" s="49">
        <v>0</v>
      </c>
      <c r="N37" s="49">
        <v>0</v>
      </c>
      <c r="O37" s="49">
        <v>0</v>
      </c>
      <c r="P37" s="49">
        <v>0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>
        <v>0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>
        <v>0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</row>
    <row r="38" spans="1:33" ht="12" customHeight="1">
      <c r="A38" s="25" t="s">
        <v>161</v>
      </c>
      <c r="B38" s="48">
        <v>239</v>
      </c>
      <c r="C38" s="48">
        <v>0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f>K40/4.1*3.1</f>
        <v>0</v>
      </c>
      <c r="L38" s="48">
        <f>L40/4.1*3.1</f>
        <v>0</v>
      </c>
      <c r="M38" s="48">
        <f>M40/4.1*3.1</f>
        <v>0</v>
      </c>
      <c r="N38" s="48">
        <f>N40/4.1*3.1</f>
        <v>0</v>
      </c>
      <c r="O38" s="48">
        <f>O40/4.1*3.1</f>
        <v>0</v>
      </c>
      <c r="P38" s="48">
        <v>0</v>
      </c>
      <c r="Q38" s="48">
        <v>0</v>
      </c>
      <c r="R38" s="48">
        <v>0</v>
      </c>
      <c r="S38" s="48">
        <v>1</v>
      </c>
      <c r="T38" s="48">
        <v>12</v>
      </c>
      <c r="U38" s="48">
        <v>0</v>
      </c>
      <c r="V38" s="48">
        <v>7</v>
      </c>
      <c r="W38" s="48">
        <v>9</v>
      </c>
      <c r="X38" s="48">
        <v>8.81</v>
      </c>
      <c r="Y38" s="48">
        <v>5</v>
      </c>
      <c r="Z38" s="48">
        <v>4</v>
      </c>
      <c r="AA38" s="48">
        <v>3</v>
      </c>
      <c r="AB38" s="48">
        <v>3</v>
      </c>
      <c r="AC38" s="48">
        <v>3</v>
      </c>
      <c r="AD38" s="48">
        <v>3</v>
      </c>
      <c r="AE38" s="48">
        <v>1.62</v>
      </c>
      <c r="AF38" s="48">
        <v>0</v>
      </c>
      <c r="AG38" s="48">
        <v>0</v>
      </c>
    </row>
    <row r="39" spans="1:33" ht="12" customHeight="1">
      <c r="A39" s="25" t="s">
        <v>628</v>
      </c>
      <c r="B39" s="48">
        <f>70.05+13.55</f>
        <v>83.6</v>
      </c>
      <c r="C39" s="48">
        <v>0</v>
      </c>
      <c r="D39" s="48">
        <v>0</v>
      </c>
      <c r="E39" s="48"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8">
        <v>0</v>
      </c>
      <c r="P39" s="48">
        <v>0</v>
      </c>
      <c r="Q39" s="48">
        <v>0</v>
      </c>
      <c r="R39" s="48">
        <v>0</v>
      </c>
      <c r="S39" s="48">
        <v>0</v>
      </c>
      <c r="T39" s="48">
        <v>0</v>
      </c>
      <c r="U39" s="48">
        <v>7.5</v>
      </c>
      <c r="V39" s="48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8">
        <v>0</v>
      </c>
      <c r="AE39" s="48">
        <v>0</v>
      </c>
      <c r="AF39" s="48">
        <v>0</v>
      </c>
      <c r="AG39" s="48">
        <v>0</v>
      </c>
    </row>
    <row r="40" spans="1:33" ht="12" customHeight="1">
      <c r="A40" s="25" t="s">
        <v>162</v>
      </c>
      <c r="B40" s="48">
        <f>SUM(B37:B39)</f>
        <v>356.99099999999999</v>
      </c>
      <c r="C40" s="48">
        <v>0</v>
      </c>
      <c r="D40" s="48">
        <v>0</v>
      </c>
      <c r="E40" s="48"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f>'Work CF'!C11+SUM(O44:O46)</f>
        <v>0</v>
      </c>
      <c r="P40" s="48">
        <v>2</v>
      </c>
      <c r="Q40" s="48">
        <f>'R&amp;P'!C17</f>
        <v>0</v>
      </c>
      <c r="R40" s="48">
        <f>'R&amp;P'!D17</f>
        <v>1.02216</v>
      </c>
      <c r="S40" s="48">
        <f>'R&amp;P'!E17</f>
        <v>8.4076136336539538</v>
      </c>
      <c r="T40" s="48">
        <f>'R&amp;P'!F17</f>
        <v>11.957296812004001</v>
      </c>
      <c r="U40" s="48">
        <f>'R&amp;P'!G17</f>
        <v>12.8801621009</v>
      </c>
      <c r="V40" s="48">
        <f>'R&amp;P'!H17</f>
        <v>10.524108543692005</v>
      </c>
      <c r="W40" s="48">
        <f>'R&amp;P'!I17</f>
        <v>6.041589258948</v>
      </c>
      <c r="X40" s="48">
        <f>'R&amp;P'!J17</f>
        <v>9.8874741746690678</v>
      </c>
      <c r="Y40" s="48">
        <f>'R&amp;P'!K17</f>
        <v>3.8032327125280001</v>
      </c>
      <c r="Z40" s="48">
        <f>'R&amp;P'!L17</f>
        <v>4.6613522728775036</v>
      </c>
      <c r="AA40" s="48">
        <f>'R&amp;P'!M17</f>
        <v>2.8473961251520001</v>
      </c>
      <c r="AB40" s="48">
        <f>'R&amp;P'!N17</f>
        <v>3.6766982511909116</v>
      </c>
      <c r="AC40" s="48">
        <f>'R&amp;P'!O17</f>
        <v>2.7406839999999999</v>
      </c>
      <c r="AD40" s="48">
        <f>'R&amp;P'!P17</f>
        <v>2.6569424000000001</v>
      </c>
      <c r="AE40" s="48">
        <f>'R&amp;P'!Q17</f>
        <v>0.91780150000000005</v>
      </c>
      <c r="AF40" s="48">
        <f>'R&amp;P'!R17</f>
        <v>0.63965799999999995</v>
      </c>
      <c r="AG40" s="48">
        <f>'R&amp;P'!S17</f>
        <v>0.67659627300000003</v>
      </c>
    </row>
    <row r="41" spans="1:33" ht="12" customHeight="1" thickBot="1">
      <c r="A41" s="37" t="s">
        <v>163</v>
      </c>
      <c r="B41" s="52">
        <f t="shared" ref="B41:U41" si="13">SUM(B36:B39)-B40</f>
        <v>0</v>
      </c>
      <c r="C41" s="52">
        <f t="shared" si="13"/>
        <v>0</v>
      </c>
      <c r="D41" s="52">
        <f>SUM(D36:D39)-D40</f>
        <v>0</v>
      </c>
      <c r="E41" s="52">
        <f t="shared" si="13"/>
        <v>0</v>
      </c>
      <c r="F41" s="52">
        <f t="shared" si="13"/>
        <v>0</v>
      </c>
      <c r="G41" s="52">
        <f t="shared" si="13"/>
        <v>0</v>
      </c>
      <c r="H41" s="52">
        <f t="shared" si="13"/>
        <v>0</v>
      </c>
      <c r="I41" s="52">
        <f t="shared" si="13"/>
        <v>0</v>
      </c>
      <c r="J41" s="52">
        <f t="shared" si="13"/>
        <v>0</v>
      </c>
      <c r="K41" s="52">
        <f t="shared" si="13"/>
        <v>0</v>
      </c>
      <c r="L41" s="52">
        <f t="shared" si="13"/>
        <v>0</v>
      </c>
      <c r="M41" s="52">
        <f t="shared" si="13"/>
        <v>0</v>
      </c>
      <c r="N41" s="52">
        <f t="shared" si="13"/>
        <v>0</v>
      </c>
      <c r="O41" s="52">
        <f t="shared" si="13"/>
        <v>0</v>
      </c>
      <c r="P41" s="52">
        <f t="shared" si="13"/>
        <v>15.41</v>
      </c>
      <c r="Q41" s="52">
        <f t="shared" si="13"/>
        <v>15.41</v>
      </c>
      <c r="R41" s="52">
        <f t="shared" si="13"/>
        <v>14.387840000000001</v>
      </c>
      <c r="S41" s="52">
        <f t="shared" si="13"/>
        <v>6.9802263663460469</v>
      </c>
      <c r="T41" s="52">
        <f t="shared" si="13"/>
        <v>7.0229295543420438</v>
      </c>
      <c r="U41" s="52">
        <f t="shared" si="13"/>
        <v>1.642767453442044</v>
      </c>
      <c r="V41" s="52">
        <f t="shared" ref="V41:AG41" si="14">SUM(V36:V39)-V40</f>
        <v>-1.8813410902499612</v>
      </c>
      <c r="W41" s="52">
        <f t="shared" si="14"/>
        <v>1.0770696508020388</v>
      </c>
      <c r="X41" s="52">
        <f t="shared" si="14"/>
        <v>-4.0452386702760634E-4</v>
      </c>
      <c r="Y41" s="52">
        <f t="shared" si="14"/>
        <v>1.1963627636049723</v>
      </c>
      <c r="Z41" s="52">
        <f t="shared" si="14"/>
        <v>0.5350104907274682</v>
      </c>
      <c r="AA41" s="52">
        <f t="shared" si="14"/>
        <v>0.68761436557546807</v>
      </c>
      <c r="AB41" s="52">
        <f t="shared" si="14"/>
        <v>1.0916114384556419E-2</v>
      </c>
      <c r="AC41" s="52">
        <f t="shared" si="14"/>
        <v>0.27023211438455652</v>
      </c>
      <c r="AD41" s="52">
        <f t="shared" si="14"/>
        <v>0.61328971438455637</v>
      </c>
      <c r="AE41" s="52">
        <f t="shared" si="14"/>
        <v>1.3154882143845565</v>
      </c>
      <c r="AF41" s="52">
        <f t="shared" si="14"/>
        <v>0.67583021438455659</v>
      </c>
      <c r="AG41" s="52">
        <f t="shared" si="14"/>
        <v>-7.6605861544343234E-4</v>
      </c>
    </row>
    <row r="42" spans="1:33" ht="12" customHeight="1" thickTop="1">
      <c r="A42" s="37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</row>
    <row r="43" spans="1:33" ht="12" customHeight="1">
      <c r="A43" s="37"/>
      <c r="B43" s="49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</row>
    <row r="44" spans="1:33" s="35" customFormat="1">
      <c r="A44" s="25" t="s">
        <v>164</v>
      </c>
      <c r="B44" s="34">
        <v>0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0</v>
      </c>
      <c r="I44" s="34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</row>
    <row r="45" spans="1:33" s="35" customFormat="1">
      <c r="A45" s="25" t="s">
        <v>165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</v>
      </c>
      <c r="I45" s="34">
        <v>0</v>
      </c>
      <c r="J45" s="34">
        <v>0</v>
      </c>
      <c r="K45" s="34">
        <v>0</v>
      </c>
      <c r="L45" s="34">
        <v>0</v>
      </c>
      <c r="M45" s="34">
        <v>0</v>
      </c>
      <c r="N45" s="34">
        <v>0</v>
      </c>
      <c r="O45" s="34">
        <v>0</v>
      </c>
      <c r="P45" s="34">
        <v>0</v>
      </c>
      <c r="Q45" s="34">
        <v>0</v>
      </c>
      <c r="R45" s="34">
        <v>0</v>
      </c>
      <c r="S45" s="34">
        <v>0</v>
      </c>
      <c r="T45" s="34">
        <v>0</v>
      </c>
      <c r="U45" s="34">
        <v>0</v>
      </c>
      <c r="V45" s="34">
        <v>0</v>
      </c>
      <c r="W45" s="34">
        <v>0</v>
      </c>
      <c r="X45" s="34">
        <v>0</v>
      </c>
      <c r="Y45" s="34">
        <v>0</v>
      </c>
      <c r="Z45" s="34">
        <v>0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0</v>
      </c>
      <c r="AG45" s="34">
        <v>0</v>
      </c>
    </row>
    <row r="46" spans="1:33" ht="12" hidden="1" customHeight="1">
      <c r="B46" s="185">
        <v>0</v>
      </c>
      <c r="C46" s="185">
        <v>0</v>
      </c>
      <c r="D46" s="185">
        <v>0</v>
      </c>
      <c r="E46" s="185">
        <v>0</v>
      </c>
      <c r="F46" s="185">
        <v>0</v>
      </c>
      <c r="G46" s="185">
        <v>0</v>
      </c>
      <c r="H46" s="185">
        <v>0</v>
      </c>
      <c r="I46" s="185">
        <v>0</v>
      </c>
      <c r="J46" s="185">
        <v>0</v>
      </c>
      <c r="K46" s="185">
        <v>0</v>
      </c>
      <c r="L46" s="185">
        <v>0</v>
      </c>
      <c r="M46" s="185">
        <v>0</v>
      </c>
      <c r="N46" s="185">
        <v>0</v>
      </c>
      <c r="O46" s="185">
        <f>-'Work CF'!C39</f>
        <v>0</v>
      </c>
      <c r="P46" s="185">
        <f>-'Work CF'!D39</f>
        <v>0</v>
      </c>
      <c r="Q46" s="185">
        <f>-'Work CF'!E39</f>
        <v>0</v>
      </c>
      <c r="R46" s="185">
        <f>-'Work CF'!F39</f>
        <v>0</v>
      </c>
      <c r="S46" s="185">
        <f>-'Work CF'!G39</f>
        <v>0</v>
      </c>
      <c r="T46" s="185">
        <f>-'Work CF'!H39</f>
        <v>0</v>
      </c>
      <c r="U46" s="185">
        <f>-'Work CF'!I39</f>
        <v>-4.9319971220802827</v>
      </c>
      <c r="V46" s="185">
        <f>-'Work CF'!J39</f>
        <v>-9.9492235573247925</v>
      </c>
      <c r="W46" s="185">
        <f>-'Work CF'!K39</f>
        <v>0</v>
      </c>
      <c r="X46" s="185" t="e">
        <f>-'Work CF'!#REF!</f>
        <v>#REF!</v>
      </c>
      <c r="Y46" s="185" t="e">
        <f>-'Work CF'!#REF!</f>
        <v>#REF!</v>
      </c>
      <c r="Z46" s="185" t="e">
        <f>-'Work CF'!#REF!</f>
        <v>#REF!</v>
      </c>
      <c r="AA46" s="185" t="e">
        <f>-'Work CF'!#REF!</f>
        <v>#REF!</v>
      </c>
      <c r="AB46" s="185" t="e">
        <f>-'Work CF'!#REF!</f>
        <v>#REF!</v>
      </c>
      <c r="AC46" s="185" t="e">
        <f>-'Work CF'!#REF!</f>
        <v>#REF!</v>
      </c>
      <c r="AD46" s="185" t="e">
        <f>-'Work CF'!#REF!</f>
        <v>#REF!</v>
      </c>
      <c r="AE46" s="185" t="e">
        <f>-'Work CF'!#REF!</f>
        <v>#REF!</v>
      </c>
      <c r="AF46" s="185" t="e">
        <f>-'Work CF'!#REF!</f>
        <v>#REF!</v>
      </c>
      <c r="AG46" s="185" t="e">
        <f>-'Work CF'!#REF!</f>
        <v>#REF!</v>
      </c>
    </row>
  </sheetData>
  <pageMargins left="0.7" right="0.7" top="0.75" bottom="0.75" header="0.3" footer="0.3"/>
  <pageSetup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41"/>
  <sheetViews>
    <sheetView zoomScaleNormal="100" workbookViewId="0">
      <pane xSplit="3" ySplit="2" topLeftCell="D22" activePane="bottomRight" state="frozen"/>
      <selection activeCell="X23" sqref="X23"/>
      <selection pane="topRight" activeCell="X23" sqref="X23"/>
      <selection pane="bottomLeft" activeCell="X23" sqref="X23"/>
      <selection pane="bottomRight" activeCell="L37" sqref="L37"/>
    </sheetView>
  </sheetViews>
  <sheetFormatPr defaultColWidth="13.33203125" defaultRowHeight="12"/>
  <cols>
    <col min="1" max="1" width="26.1640625" style="38" customWidth="1"/>
    <col min="2" max="3" width="7.83203125" style="35" hidden="1" customWidth="1"/>
    <col min="4" max="4" width="8" style="35" bestFit="1" customWidth="1"/>
    <col min="5" max="6" width="8.33203125" style="35" bestFit="1" customWidth="1"/>
    <col min="7" max="7" width="7.83203125" style="35" customWidth="1"/>
    <col min="8" max="8" width="8.6640625" style="35" bestFit="1" customWidth="1"/>
    <col min="9" max="9" width="8" style="35" bestFit="1" customWidth="1"/>
    <col min="10" max="10" width="7.83203125" style="35" bestFit="1" customWidth="1"/>
    <col min="11" max="16384" width="13.33203125" style="35"/>
  </cols>
  <sheetData>
    <row r="1" spans="1:12" customFormat="1">
      <c r="B1" s="29"/>
      <c r="J1" s="6" t="s">
        <v>20</v>
      </c>
    </row>
    <row r="2" spans="1:12" s="31" customFormat="1">
      <c r="A2" s="37" t="s">
        <v>37</v>
      </c>
      <c r="B2" s="16" t="s">
        <v>45</v>
      </c>
      <c r="C2" s="16" t="s">
        <v>46</v>
      </c>
      <c r="D2" s="16" t="s">
        <v>47</v>
      </c>
      <c r="E2" s="16" t="s">
        <v>48</v>
      </c>
      <c r="F2" s="16" t="s">
        <v>49</v>
      </c>
      <c r="G2" s="16" t="s">
        <v>50</v>
      </c>
      <c r="H2" s="16" t="s">
        <v>51</v>
      </c>
      <c r="I2" s="16" t="s">
        <v>52</v>
      </c>
      <c r="J2" s="16" t="s">
        <v>53</v>
      </c>
    </row>
    <row r="3" spans="1:12">
      <c r="A3" s="25" t="str">
        <f>'Monthly CF'!A4</f>
        <v>Receipt from Customer</v>
      </c>
      <c r="B3" s="34">
        <f>SUMIF('Monthly CF'!$2:$2,B$2,'Monthly CF'!4:4)</f>
        <v>0</v>
      </c>
      <c r="C3" s="34">
        <f>SUMIF('Monthly CF'!$2:$2,C$2,'Monthly CF'!4:4)+30.61</f>
        <v>30.61</v>
      </c>
      <c r="D3" s="34">
        <f>SUMIF('Monthly CF'!$2:$2,D$2,'Monthly CF'!4:4)</f>
        <v>62.622774858666666</v>
      </c>
      <c r="E3" s="34">
        <f>SUMIF('Monthly CF'!$2:$2,E$2,'Monthly CF'!4:4)</f>
        <v>69.641656840533344</v>
      </c>
      <c r="F3" s="34">
        <f>SUMIF('Monthly CF'!$2:$2,F$2,'Monthly CF'!4:4)</f>
        <v>87.153067688821352</v>
      </c>
      <c r="G3" s="34">
        <f>SUMIF('Monthly CF'!$2:$2,G$2,'Monthly CF'!4:4)</f>
        <v>94.724819533655747</v>
      </c>
      <c r="H3" s="34">
        <f>SUMIF('Monthly CF'!$2:$2,H$2,'Monthly CF'!4:4)</f>
        <v>105.93361548822855</v>
      </c>
      <c r="I3" s="34">
        <f>SUMIF('Monthly CF'!$2:$2,I$2,'Monthly CF'!4:4)</f>
        <v>114.32497327299792</v>
      </c>
      <c r="J3" s="34">
        <f>SUMIF('Monthly CF'!$2:$2,J$2,'Monthly CF'!4:4)</f>
        <v>73.641273718572791</v>
      </c>
    </row>
    <row r="4" spans="1:12">
      <c r="A4" s="25" t="str">
        <f>'Monthly CF'!A5</f>
        <v>GST Claim from DJB-NOR</v>
      </c>
      <c r="B4" s="34">
        <f>SUMIF('Monthly CF'!$2:$2,B$2,'Monthly CF'!5:5)</f>
        <v>0</v>
      </c>
      <c r="C4" s="34">
        <f>SUMIF('Monthly CF'!$2:$2,C$2,'Monthly CF'!5:5)</f>
        <v>0</v>
      </c>
      <c r="D4" s="34">
        <f>SUMIF('Monthly CF'!$2:$2,D$2,'Monthly CF'!5:5)</f>
        <v>3</v>
      </c>
      <c r="E4" s="34">
        <f>SUMIF('Monthly CF'!$2:$2,E$2,'Monthly CF'!5:5)</f>
        <v>1.3928331368106672</v>
      </c>
      <c r="F4" s="34">
        <f>SUMIF('Monthly CF'!$2:$2,F$2,'Monthly CF'!5:5)</f>
        <v>1.7430613537764272</v>
      </c>
      <c r="G4" s="34">
        <f>SUMIF('Monthly CF'!$2:$2,G$2,'Monthly CF'!5:5)</f>
        <v>1.8944963906731149</v>
      </c>
      <c r="H4" s="34">
        <f>SUMIF('Monthly CF'!$2:$2,H$2,'Monthly CF'!5:5)</f>
        <v>2.1186723097645714</v>
      </c>
      <c r="I4" s="34">
        <f>SUMIF('Monthly CF'!$2:$2,I$2,'Monthly CF'!5:5)</f>
        <v>2.2864994654599586</v>
      </c>
      <c r="J4" s="34">
        <f>SUMIF('Monthly CF'!$2:$2,J$2,'Monthly CF'!5:5)</f>
        <v>1.4728254743714557</v>
      </c>
    </row>
    <row r="5" spans="1:12">
      <c r="A5" s="25" t="str">
        <f>'Monthly CF'!A6</f>
        <v>Power Incentive</v>
      </c>
      <c r="B5" s="34">
        <f>SUMIF('Monthly CF'!$2:$2,B$2,'Monthly CF'!6:6)</f>
        <v>0</v>
      </c>
      <c r="C5" s="34">
        <f>SUMIF('Monthly CF'!$2:$2,C$2,'Monthly CF'!6:6)</f>
        <v>0</v>
      </c>
      <c r="D5" s="34">
        <f>SUMIF('Monthly CF'!$2:$2,D$2,'Monthly CF'!6:6)</f>
        <v>0.43999999999999995</v>
      </c>
      <c r="E5" s="34">
        <f>SUMIF('Monthly CF'!$2:$2,E$2,'Monthly CF'!6:6)</f>
        <v>0.47999999999999993</v>
      </c>
      <c r="F5" s="34">
        <f>SUMIF('Monthly CF'!$2:$2,F$2,'Monthly CF'!6:6)</f>
        <v>0.47999999999999993</v>
      </c>
      <c r="G5" s="34">
        <f>SUMIF('Monthly CF'!$2:$2,G$2,'Monthly CF'!6:6)</f>
        <v>0.47999999999999993</v>
      </c>
      <c r="H5" s="34">
        <f>SUMIF('Monthly CF'!$2:$2,H$2,'Monthly CF'!6:6)</f>
        <v>0.47999999999999993</v>
      </c>
      <c r="I5" s="34">
        <f>SUMIF('Monthly CF'!$2:$2,I$2,'Monthly CF'!6:6)</f>
        <v>0.47999999999999993</v>
      </c>
      <c r="J5" s="34">
        <f>SUMIF('Monthly CF'!$2:$2,J$2,'Monthly CF'!6:6)</f>
        <v>0.28000000000000003</v>
      </c>
    </row>
    <row r="6" spans="1:12">
      <c r="A6" s="25" t="str">
        <f>'Monthly CF'!A7</f>
        <v>New HSC Revenue Post Capex</v>
      </c>
      <c r="B6" s="34">
        <f>SUMIF('Monthly CF'!$2:$2,B$2,'Monthly CF'!7:7)</f>
        <v>0</v>
      </c>
      <c r="C6" s="34">
        <f>SUMIF('Monthly CF'!$2:$2,C$2,'Monthly CF'!7:7)</f>
        <v>0</v>
      </c>
      <c r="D6" s="34">
        <f>SUMIF('Monthly CF'!$2:$2,D$2,'Monthly CF'!7:7)</f>
        <v>0</v>
      </c>
      <c r="E6" s="34">
        <f>SUMIF('Monthly CF'!$2:$2,E$2,'Monthly CF'!7:7)</f>
        <v>10.7487396</v>
      </c>
      <c r="F6" s="34">
        <f>SUMIF('Monthly CF'!$2:$2,F$2,'Monthly CF'!7:7)</f>
        <v>5.3743698000000002</v>
      </c>
      <c r="G6" s="34">
        <f>SUMIF('Monthly CF'!$2:$2,G$2,'Monthly CF'!7:7)</f>
        <v>2.6871849000000001</v>
      </c>
      <c r="H6" s="34">
        <f>SUMIF('Monthly CF'!$2:$2,H$2,'Monthly CF'!7:7)</f>
        <v>2.6871849000000001</v>
      </c>
      <c r="I6" s="34">
        <f>SUMIF('Monthly CF'!$2:$2,I$2,'Monthly CF'!7:7)</f>
        <v>2.6871849000000001</v>
      </c>
      <c r="J6" s="34">
        <f>SUMIF('Monthly CF'!$2:$2,J$2,'Monthly CF'!7:7)</f>
        <v>1.5675245250000001</v>
      </c>
    </row>
    <row r="7" spans="1:12">
      <c r="A7" s="25" t="str">
        <f>'Monthly CF'!A8</f>
        <v>Tanker Current Bills</v>
      </c>
      <c r="B7" s="34">
        <f>SUMIF('Monthly CF'!$2:$2,B$2,'Monthly CF'!8:8)</f>
        <v>0</v>
      </c>
      <c r="C7" s="34">
        <f>SUMIF('Monthly CF'!$2:$2,C$2,'Monthly CF'!8:8)+2</f>
        <v>2</v>
      </c>
      <c r="D7" s="34">
        <f>SUMIF('Monthly CF'!$2:$2,D$2,'Monthly CF'!8:8)</f>
        <v>1.47897984</v>
      </c>
      <c r="E7" s="34">
        <f>SUMIF('Monthly CF'!$2:$2,E$2,'Monthly CF'!8:8)</f>
        <v>0.48864092159999994</v>
      </c>
      <c r="F7" s="34">
        <f>SUMIF('Monthly CF'!$2:$2,F$2,'Monthly CF'!8:8)</f>
        <v>0</v>
      </c>
      <c r="G7" s="34">
        <f>SUMIF('Monthly CF'!$2:$2,G$2,'Monthly CF'!8:8)</f>
        <v>0</v>
      </c>
      <c r="H7" s="34">
        <f>SUMIF('Monthly CF'!$2:$2,H$2,'Monthly CF'!8:8)</f>
        <v>0</v>
      </c>
      <c r="I7" s="34">
        <f>SUMIF('Monthly CF'!$2:$2,I$2,'Monthly CF'!8:8)</f>
        <v>0</v>
      </c>
      <c r="J7" s="34">
        <f>SUMIF('Monthly CF'!$2:$2,J$2,'Monthly CF'!8:8)</f>
        <v>0</v>
      </c>
    </row>
    <row r="8" spans="1:12">
      <c r="A8" s="25" t="str">
        <f>'Monthly CF'!A9</f>
        <v>ACE Bill</v>
      </c>
      <c r="B8" s="34">
        <f>SUMIF('Monthly CF'!$2:$2,B$2,'Monthly CF'!9:9)</f>
        <v>0</v>
      </c>
      <c r="C8" s="34">
        <f>SUMIF('Monthly CF'!$2:$2,C$2,'Monthly CF'!9:9)</f>
        <v>0</v>
      </c>
      <c r="D8" s="34">
        <f>SUMIF('Monthly CF'!$2:$2,D$2,'Monthly CF'!9:9)</f>
        <v>0</v>
      </c>
      <c r="E8" s="34">
        <f>SUMIF('Monthly CF'!$2:$2,E$2,'Monthly CF'!9:9)</f>
        <v>0</v>
      </c>
      <c r="F8" s="34">
        <f>SUMIF('Monthly CF'!$2:$2,F$2,'Monthly CF'!9:9)</f>
        <v>0</v>
      </c>
      <c r="G8" s="34">
        <f>SUMIF('Monthly CF'!$2:$2,G$2,'Monthly CF'!9:9)</f>
        <v>0</v>
      </c>
      <c r="H8" s="34">
        <f>SUMIF('Monthly CF'!$2:$2,H$2,'Monthly CF'!9:9)</f>
        <v>0</v>
      </c>
      <c r="I8" s="34">
        <f>SUMIF('Monthly CF'!$2:$2,I$2,'Monthly CF'!9:9)</f>
        <v>0</v>
      </c>
      <c r="J8" s="34">
        <f>SUMIF('Monthly CF'!$2:$2,J$2,'Monthly CF'!9:9)</f>
        <v>0</v>
      </c>
    </row>
    <row r="9" spans="1:12">
      <c r="A9" s="25" t="str">
        <f>'Monthly CF'!A10</f>
        <v>Tanker Old Bills</v>
      </c>
      <c r="B9" s="34">
        <f>SUMIF('Monthly CF'!$2:$2,B$2,'Monthly CF'!10:10)</f>
        <v>0</v>
      </c>
      <c r="C9" s="34">
        <f>SUMIF('Monthly CF'!$2:$2,C$2,'Monthly CF'!10:10)</f>
        <v>0</v>
      </c>
      <c r="D9" s="34">
        <f>SUMIF('Monthly CF'!$2:$2,D$2,'Monthly CF'!10:10)</f>
        <v>4</v>
      </c>
      <c r="E9" s="34">
        <f>SUMIF('Monthly CF'!$2:$2,E$2,'Monthly CF'!10:10)</f>
        <v>0</v>
      </c>
      <c r="F9" s="34">
        <f>SUMIF('Monthly CF'!$2:$2,F$2,'Monthly CF'!10:10)</f>
        <v>0</v>
      </c>
      <c r="G9" s="34">
        <f>SUMIF('Monthly CF'!$2:$2,G$2,'Monthly CF'!10:10)</f>
        <v>0</v>
      </c>
      <c r="H9" s="34">
        <f>SUMIF('Monthly CF'!$2:$2,H$2,'Monthly CF'!10:10)</f>
        <v>0</v>
      </c>
      <c r="I9" s="34">
        <f>SUMIF('Monthly CF'!$2:$2,I$2,'Monthly CF'!10:10)</f>
        <v>0</v>
      </c>
      <c r="J9" s="34">
        <f>SUMIF('Monthly CF'!$2:$2,J$2,'Monthly CF'!10:10)</f>
        <v>0</v>
      </c>
    </row>
    <row r="10" spans="1:12">
      <c r="A10" s="25" t="str">
        <f>'Monthly CF'!A11</f>
        <v>Key Experts</v>
      </c>
      <c r="B10" s="34">
        <f>SUMIF('Monthly CF'!$2:$2,B$2,'Monthly CF'!11:11)</f>
        <v>0</v>
      </c>
      <c r="C10" s="34">
        <f>SUMIF('Monthly CF'!$2:$2,C$2,'Monthly CF'!11:11)</f>
        <v>0</v>
      </c>
      <c r="D10" s="34">
        <f>SUMIF('Monthly CF'!$2:$2,D$2,'Monthly CF'!11:11)</f>
        <v>0</v>
      </c>
      <c r="E10" s="34">
        <f>SUMIF('Monthly CF'!$2:$2,E$2,'Monthly CF'!11:11)</f>
        <v>0</v>
      </c>
      <c r="F10" s="34">
        <f>SUMIF('Monthly CF'!$2:$2,F$2,'Monthly CF'!11:11)</f>
        <v>0</v>
      </c>
      <c r="G10" s="34">
        <f>SUMIF('Monthly CF'!$2:$2,G$2,'Monthly CF'!11:11)</f>
        <v>0</v>
      </c>
      <c r="H10" s="34">
        <f>SUMIF('Monthly CF'!$2:$2,H$2,'Monthly CF'!11:11)</f>
        <v>0</v>
      </c>
      <c r="I10" s="34">
        <f>SUMIF('Monthly CF'!$2:$2,I$2,'Monthly CF'!11:11)</f>
        <v>0</v>
      </c>
      <c r="J10" s="34">
        <f>SUMIF('Monthly CF'!$2:$2,J$2,'Monthly CF'!11:11)</f>
        <v>0</v>
      </c>
    </row>
    <row r="11" spans="1:12">
      <c r="A11" s="25" t="str">
        <f>'Monthly CF'!A12</f>
        <v>KPIs</v>
      </c>
      <c r="B11" s="34">
        <f>SUMIF('Monthly CF'!$2:$2,B$2,'Monthly CF'!12:12)</f>
        <v>0</v>
      </c>
      <c r="C11" s="34">
        <f>SUMIF('Monthly CF'!$2:$2,C$2,'Monthly CF'!12:12)</f>
        <v>0</v>
      </c>
      <c r="D11" s="34">
        <f>SUMIF('Monthly CF'!$2:$2,D$2,'Monthly CF'!12:12)</f>
        <v>0.89</v>
      </c>
      <c r="E11" s="34">
        <f>SUMIF('Monthly CF'!$2:$2,E$2,'Monthly CF'!12:12)</f>
        <v>0</v>
      </c>
      <c r="F11" s="34">
        <f>SUMIF('Monthly CF'!$2:$2,F$2,'Monthly CF'!12:12)</f>
        <v>0</v>
      </c>
      <c r="G11" s="34">
        <f>SUMIF('Monthly CF'!$2:$2,G$2,'Monthly CF'!12:12)</f>
        <v>0</v>
      </c>
      <c r="H11" s="34">
        <f>SUMIF('Monthly CF'!$2:$2,H$2,'Monthly CF'!12:12)</f>
        <v>0</v>
      </c>
      <c r="I11" s="34">
        <f>SUMIF('Monthly CF'!$2:$2,I$2,'Monthly CF'!12:12)</f>
        <v>0</v>
      </c>
      <c r="J11" s="34">
        <f>SUMIF('Monthly CF'!$2:$2,J$2,'Monthly CF'!12:12)</f>
        <v>0</v>
      </c>
    </row>
    <row r="12" spans="1:12">
      <c r="A12" s="25" t="str">
        <f>'Monthly CF'!A13</f>
        <v>E&amp;M</v>
      </c>
      <c r="B12" s="34" t="e">
        <f>SUMIF('Monthly CF'!$2:$2,B$2,'Monthly CF'!#REF!)</f>
        <v>#REF!</v>
      </c>
      <c r="C12" s="34">
        <f>SUMIF('Monthly CF'!$2:$2,C$2,'Monthly CF'!13:13)</f>
        <v>0</v>
      </c>
      <c r="D12" s="34">
        <f>SUMIF('Monthly CF'!$2:$2,D$2,'Monthly CF'!13:13)</f>
        <v>1.5</v>
      </c>
      <c r="E12" s="34">
        <f>SUMIF('Monthly CF'!$2:$2,E$2,'Monthly CF'!13:13)</f>
        <v>0</v>
      </c>
      <c r="F12" s="34">
        <f>SUMIF('Monthly CF'!$2:$2,F$2,'Monthly CF'!13:13)</f>
        <v>0</v>
      </c>
      <c r="G12" s="34">
        <f>SUMIF('Monthly CF'!$2:$2,G$2,'Monthly CF'!13:13)</f>
        <v>0</v>
      </c>
      <c r="H12" s="34">
        <f>SUMIF('Monthly CF'!$2:$2,H$2,'Monthly CF'!13:13)</f>
        <v>0</v>
      </c>
      <c r="I12" s="34">
        <f>SUMIF('Monthly CF'!$2:$2,I$2,'Monthly CF'!13:13)</f>
        <v>0</v>
      </c>
      <c r="J12" s="34">
        <f>SUMIF('Monthly CF'!$2:$2,J$2,'Monthly CF'!13:13)</f>
        <v>0</v>
      </c>
    </row>
    <row r="13" spans="1:12">
      <c r="A13" s="25" t="s">
        <v>22</v>
      </c>
      <c r="B13" s="34"/>
      <c r="C13" s="34">
        <v>1</v>
      </c>
      <c r="D13" s="34">
        <f>SUMIF('Monthly CF'!$2:$2,D$2,'Monthly CF'!14:14)</f>
        <v>0</v>
      </c>
      <c r="E13" s="34">
        <f>SUMIF('Monthly CF'!$2:$2,E$2,'Monthly CF'!14:14)</f>
        <v>0</v>
      </c>
      <c r="F13" s="34">
        <f>SUMIF('Monthly CF'!$2:$2,F$2,'Monthly CF'!14:14)</f>
        <v>0</v>
      </c>
      <c r="G13" s="34">
        <f>SUMIF('Monthly CF'!$2:$2,G$2,'Monthly CF'!14:14)</f>
        <v>0</v>
      </c>
      <c r="H13" s="34">
        <f>SUMIF('Monthly CF'!$2:$2,H$2,'Monthly CF'!14:14)</f>
        <v>0</v>
      </c>
      <c r="I13" s="34">
        <f>SUMIF('Monthly CF'!$2:$2,I$2,'Monthly CF'!14:14)</f>
        <v>0</v>
      </c>
      <c r="J13" s="34">
        <f>SUMIF('Monthly CF'!$2:$2,J$2,'Monthly CF'!14:14)</f>
        <v>0</v>
      </c>
    </row>
    <row r="14" spans="1:12">
      <c r="A14" s="25" t="s">
        <v>624</v>
      </c>
      <c r="B14" s="34"/>
      <c r="C14" s="34">
        <f>SUMIF('Monthly CF'!$2:$2,C$2,'Monthly CF'!15:15)</f>
        <v>0</v>
      </c>
      <c r="D14" s="34">
        <f>SUMIF('Monthly CF'!$2:$2,D$2,'Monthly CF'!15:15)</f>
        <v>50</v>
      </c>
      <c r="E14" s="34">
        <f>SUMIF('Monthly CF'!$2:$2,E$2,'Monthly CF'!15:15)</f>
        <v>0</v>
      </c>
      <c r="F14" s="34">
        <f>SUMIF('Monthly CF'!$2:$2,F$2,'Monthly CF'!15:15)</f>
        <v>0</v>
      </c>
      <c r="G14" s="34">
        <f>SUMIF('Monthly CF'!$2:$2,G$2,'Monthly CF'!15:15)</f>
        <v>0</v>
      </c>
      <c r="H14" s="34">
        <f>SUMIF('Monthly CF'!$2:$2,H$2,'Monthly CF'!15:15)</f>
        <v>0</v>
      </c>
      <c r="I14" s="34">
        <f>SUMIF('Monthly CF'!$2:$2,I$2,'Monthly CF'!15:15)</f>
        <v>0</v>
      </c>
      <c r="J14" s="34">
        <f>SUMIF('Monthly CF'!$2:$2,J$2,'Monthly CF'!15:15)</f>
        <v>0</v>
      </c>
    </row>
    <row r="15" spans="1:12">
      <c r="A15" s="25" t="str">
        <f>'Monthly CF'!A16</f>
        <v>Receipt Capex</v>
      </c>
      <c r="B15" s="34">
        <f>SUMIF('Monthly CF'!$2:$2,B$2,'Monthly CF'!16:16)</f>
        <v>0</v>
      </c>
      <c r="C15" s="34">
        <f>SUMIF('Monthly CF'!$2:$2,C$2,'Monthly CF'!16:16)+20</f>
        <v>20</v>
      </c>
      <c r="D15" s="34">
        <f>SUMIF('Monthly CF'!$2:$2,D$2,'Monthly CF'!16:16)</f>
        <v>66.750404523867033</v>
      </c>
      <c r="E15" s="34">
        <f>SUMIF('Monthly CF'!$2:$2,E$2,'Monthly CF'!16:16)</f>
        <v>41.350361534748416</v>
      </c>
      <c r="F15" s="34">
        <f>SUMIF('Monthly CF'!$2:$2,F$2,'Monthly CF'!16:16)</f>
        <v>0</v>
      </c>
      <c r="G15" s="34">
        <f>SUMIF('Monthly CF'!$2:$2,G$2,'Monthly CF'!16:16)</f>
        <v>0</v>
      </c>
      <c r="H15" s="34">
        <f>SUMIF('Monthly CF'!$2:$2,H$2,'Monthly CF'!16:16)</f>
        <v>0</v>
      </c>
      <c r="I15" s="34">
        <f>SUMIF('Monthly CF'!$2:$2,I$2,'Monthly CF'!16:16)</f>
        <v>0</v>
      </c>
      <c r="J15" s="34">
        <f>SUMIF('Monthly CF'!$2:$2,J$2,'Monthly CF'!16:16)</f>
        <v>0</v>
      </c>
    </row>
    <row r="16" spans="1:12" ht="12.75" thickBot="1">
      <c r="A16" s="37" t="s">
        <v>126</v>
      </c>
      <c r="B16" s="36" t="e">
        <f t="shared" ref="B16:J16" si="0">SUM(B3:B15)</f>
        <v>#REF!</v>
      </c>
      <c r="C16" s="36">
        <f t="shared" si="0"/>
        <v>53.61</v>
      </c>
      <c r="D16" s="36">
        <f t="shared" si="0"/>
        <v>190.6821592225337</v>
      </c>
      <c r="E16" s="36">
        <f t="shared" si="0"/>
        <v>124.10223203369243</v>
      </c>
      <c r="F16" s="36">
        <f t="shared" si="0"/>
        <v>94.750498842597779</v>
      </c>
      <c r="G16" s="36">
        <f t="shared" si="0"/>
        <v>99.786500824328868</v>
      </c>
      <c r="H16" s="36">
        <f t="shared" si="0"/>
        <v>111.21947269799314</v>
      </c>
      <c r="I16" s="36">
        <f t="shared" si="0"/>
        <v>119.77865763845789</v>
      </c>
      <c r="J16" s="36">
        <f t="shared" si="0"/>
        <v>76.961623717944249</v>
      </c>
      <c r="L16" s="34">
        <f>J16*2</f>
        <v>153.9232474358885</v>
      </c>
    </row>
    <row r="17" spans="1:10" ht="12.75" thickTop="1">
      <c r="A17" s="22"/>
    </row>
    <row r="18" spans="1:10" s="31" customFormat="1">
      <c r="A18" s="44" t="s">
        <v>37</v>
      </c>
      <c r="B18" s="8" t="str">
        <f t="shared" ref="B18:J18" si="1">B2</f>
        <v>2020-21</v>
      </c>
      <c r="C18" s="8" t="str">
        <f t="shared" si="1"/>
        <v>2021-22</v>
      </c>
      <c r="D18" s="8" t="str">
        <f t="shared" si="1"/>
        <v>2022-23</v>
      </c>
      <c r="E18" s="8" t="str">
        <f t="shared" si="1"/>
        <v>2023-24</v>
      </c>
      <c r="F18" s="8" t="str">
        <f t="shared" si="1"/>
        <v>2024-25</v>
      </c>
      <c r="G18" s="8" t="str">
        <f t="shared" si="1"/>
        <v>2025-26</v>
      </c>
      <c r="H18" s="8" t="str">
        <f t="shared" si="1"/>
        <v>2026-27</v>
      </c>
      <c r="I18" s="8" t="str">
        <f t="shared" si="1"/>
        <v>2027-28</v>
      </c>
      <c r="J18" s="8" t="str">
        <f t="shared" si="1"/>
        <v>2028-29</v>
      </c>
    </row>
    <row r="19" spans="1:10">
      <c r="A19" s="25" t="str">
        <f>'Monthly CF'!A20</f>
        <v>Operation Costs</v>
      </c>
      <c r="B19" s="34">
        <f>SUMIF('Monthly CF'!$2:$2,B$2,'Monthly CF'!20:20)</f>
        <v>0</v>
      </c>
      <c r="C19" s="34">
        <f>SUMIF('Monthly CF'!$2:$2,C$2,'Monthly CF'!20:20)+12</f>
        <v>12</v>
      </c>
      <c r="D19" s="34">
        <f>SUMIF('Monthly CF'!$2:$2,D$2,'Monthly CF'!20:20)</f>
        <v>22.944346375953803</v>
      </c>
      <c r="E19" s="34">
        <f>SUMIF('Monthly CF'!$2:$2,E$2,'Monthly CF'!20:20)</f>
        <v>22.360490831226844</v>
      </c>
      <c r="F19" s="34">
        <f>SUMIF('Monthly CF'!$2:$2,F$2,'Monthly CF'!20:20)</f>
        <v>22.350940735368418</v>
      </c>
      <c r="G19" s="34">
        <f>SUMIF('Monthly CF'!$2:$2,G$2,'Monthly CF'!20:20)</f>
        <v>23.492483955674409</v>
      </c>
      <c r="H19" s="34">
        <f>SUMIF('Monthly CF'!$2:$2,H$2,'Monthly CF'!20:20)</f>
        <v>35.078702200067724</v>
      </c>
      <c r="I19" s="34">
        <f>SUMIF('Monthly CF'!$2:$2,I$2,'Monthly CF'!20:20)</f>
        <v>27.137054674910068</v>
      </c>
      <c r="J19" s="34">
        <f>SUMIF('Monthly CF'!$2:$2,J$2,'Monthly CF'!20:20)</f>
        <v>11.475355589635893</v>
      </c>
    </row>
    <row r="20" spans="1:10">
      <c r="A20" s="25" t="str">
        <f>'Monthly CF'!A21</f>
        <v>Operations Staff costs</v>
      </c>
      <c r="B20" s="34">
        <f>SUMIF('Monthly CF'!$2:$2,B$2,'Monthly CF'!21:21)</f>
        <v>0</v>
      </c>
      <c r="C20" s="34">
        <f>SUMIF('Monthly CF'!$2:$2,C$2,'Monthly CF'!21:21)+12</f>
        <v>12</v>
      </c>
      <c r="D20" s="34">
        <f>SUMIF('Monthly CF'!$2:$2,D$2,'Monthly CF'!21:21)</f>
        <v>22.87732600437252</v>
      </c>
      <c r="E20" s="34">
        <f>SUMIF('Monthly CF'!$2:$2,E$2,'Monthly CF'!21:21)</f>
        <v>24.014434054591153</v>
      </c>
      <c r="F20" s="34">
        <f>SUMIF('Monthly CF'!$2:$2,F$2,'Monthly CF'!21:21)</f>
        <v>25.208334177320708</v>
      </c>
      <c r="G20" s="34">
        <f>SUMIF('Monthly CF'!$2:$2,G$2,'Monthly CF'!21:21)</f>
        <v>26.461860456186741</v>
      </c>
      <c r="H20" s="34">
        <f>SUMIF('Monthly CF'!$2:$2,H$2,'Monthly CF'!21:21)</f>
        <v>27.777997348996088</v>
      </c>
      <c r="I20" s="34">
        <f>SUMIF('Monthly CF'!$2:$2,I$2,'Monthly CF'!21:21)</f>
        <v>29.159875986445883</v>
      </c>
      <c r="J20" s="34">
        <f>SUMIF('Monthly CF'!$2:$2,J$2,'Monthly CF'!21:21)</f>
        <v>15.305227912884083</v>
      </c>
    </row>
    <row r="21" spans="1:10">
      <c r="A21" s="25" t="s">
        <v>108</v>
      </c>
      <c r="B21" s="34">
        <f>SUMIF('Monthly CF'!$2:$2,B$2,'Monthly CF'!22:22)</f>
        <v>0</v>
      </c>
      <c r="C21" s="34">
        <f>SUMIF('Monthly CF'!$2:$2,C$2,'Monthly CF'!22:22)</f>
        <v>0</v>
      </c>
      <c r="D21" s="34">
        <f>SUMIF('Monthly CF'!$2:$2,D$2,'Monthly CF'!22:22)</f>
        <v>0</v>
      </c>
      <c r="E21" s="34">
        <f>SUMIF('Monthly CF'!$2:$2,E$2,'Monthly CF'!22:22)</f>
        <v>10.7487396</v>
      </c>
      <c r="F21" s="34">
        <f>SUMIF('Monthly CF'!$2:$2,F$2,'Monthly CF'!22:22)</f>
        <v>5.3743698000000002</v>
      </c>
      <c r="G21" s="34">
        <f>SUMIF('Monthly CF'!$2:$2,G$2,'Monthly CF'!22:22)</f>
        <v>2.6871849000000001</v>
      </c>
      <c r="H21" s="34">
        <f>SUMIF('Monthly CF'!$2:$2,H$2,'Monthly CF'!22:22)</f>
        <v>2.6871849000000001</v>
      </c>
      <c r="I21" s="34">
        <f>SUMIF('Monthly CF'!$2:$2,I$2,'Monthly CF'!22:22)</f>
        <v>2.6871849000000001</v>
      </c>
      <c r="J21" s="34">
        <f>SUMIF('Monthly CF'!$2:$2,J$2,'Monthly CF'!22:22)</f>
        <v>1.34359245</v>
      </c>
    </row>
    <row r="22" spans="1:10">
      <c r="A22" s="144" t="s">
        <v>630</v>
      </c>
      <c r="B22" s="34"/>
      <c r="C22" s="34"/>
      <c r="D22" s="34">
        <f>SUMIF('Monthly CF'!$2:$2,D$2,'Monthly CF'!23:23)</f>
        <v>0.35644314666666665</v>
      </c>
      <c r="E22" s="34">
        <f>SUMIF('Monthly CF'!$2:$2,E$2,'Monthly CF'!23:23)</f>
        <v>3.5331949619200005</v>
      </c>
      <c r="F22" s="34">
        <f>SUMIF('Monthly CF'!$2:$2,F$2,'Monthly CF'!23:23)</f>
        <v>4.4507730370105607</v>
      </c>
      <c r="G22" s="34">
        <f>SUMIF('Monthly CF'!$2:$2,G$2,'Monthly CF'!23:23)</f>
        <v>4.7669265836596368</v>
      </c>
      <c r="H22" s="34">
        <f>SUMIF('Monthly CF'!$2:$2,H$2,'Monthly CF'!23:23)</f>
        <v>5.3688945519458811</v>
      </c>
      <c r="I22" s="34">
        <f>SUMIF('Monthly CF'!$2:$2,I$2,'Monthly CF'!23:23)</f>
        <v>5.7577878997189504</v>
      </c>
      <c r="J22" s="34">
        <f>SUMIF('Monthly CF'!$2:$2,J$2,'Monthly CF'!23:23)</f>
        <v>3.0369501462187909</v>
      </c>
    </row>
    <row r="23" spans="1:10">
      <c r="A23" s="25" t="str">
        <f>'Monthly CF'!A24</f>
        <v>Contingency-Operation</v>
      </c>
      <c r="B23" s="34">
        <f>SUMIF('Monthly CF'!$2:$2,B$2,'Monthly CF'!24:24)</f>
        <v>0</v>
      </c>
      <c r="C23" s="34">
        <f>SUMIF('Monthly CF'!$2:$2,C$2,'Monthly CF'!24:24)</f>
        <v>0</v>
      </c>
      <c r="D23" s="34">
        <f>SUMIF('Monthly CF'!$2:$2,D$2,'Monthly CF'!24:24)</f>
        <v>4.0796143091200001</v>
      </c>
      <c r="E23" s="34">
        <f>SUMIF('Monthly CF'!$2:$2,E$2,'Monthly CF'!24:24)</f>
        <v>5.0236239542860801</v>
      </c>
      <c r="F23" s="34">
        <f>SUMIF('Monthly CF'!$2:$2,F$2,'Monthly CF'!24:24)</f>
        <v>5.799008385300926</v>
      </c>
      <c r="G23" s="34">
        <f>SUMIF('Monthly CF'!$2:$2,G$2,'Monthly CF'!24:24)</f>
        <v>6.0247492323993956</v>
      </c>
      <c r="H23" s="34">
        <f>SUMIF('Monthly CF'!$2:$2,H$2,'Monthly CF'!24:24)</f>
        <v>6.761558025581758</v>
      </c>
      <c r="I23" s="34">
        <f>SUMIF('Monthly CF'!$2:$2,I$2,'Monthly CF'!24:24)</f>
        <v>7.237563483255995</v>
      </c>
      <c r="J23" s="34">
        <f>SUMIF('Monthly CF'!$2:$2,J$2,'Monthly CF'!24:24)</f>
        <v>3.8122425259717994</v>
      </c>
    </row>
    <row r="24" spans="1:10">
      <c r="A24" s="25" t="str">
        <f>'Monthly CF'!A25</f>
        <v>Contingency-Works</v>
      </c>
      <c r="B24" s="34">
        <f>SUMIF('Monthly CF'!$2:$2,B$2,'Monthly CF'!25:25)</f>
        <v>0</v>
      </c>
      <c r="C24" s="34">
        <f>SUMIF('Monthly CF'!$2:$2,C$2,'Monthly CF'!25:25)</f>
        <v>0</v>
      </c>
      <c r="D24" s="34">
        <f>SUMIF('Monthly CF'!$2:$2,D$2,'Monthly CF'!25:25)</f>
        <v>2.5925060605741761</v>
      </c>
      <c r="E24" s="34">
        <f>SUMIF('Monthly CF'!$2:$2,E$2,'Monthly CF'!25:25)</f>
        <v>1.0337590383687105</v>
      </c>
      <c r="F24" s="34">
        <f>SUMIF('Monthly CF'!$2:$2,F$2,'Monthly CF'!25:25)</f>
        <v>0</v>
      </c>
      <c r="G24" s="34">
        <f>SUMIF('Monthly CF'!$2:$2,G$2,'Monthly CF'!25:25)</f>
        <v>0</v>
      </c>
      <c r="H24" s="34">
        <f>SUMIF('Monthly CF'!$2:$2,H$2,'Monthly CF'!25:25)</f>
        <v>0</v>
      </c>
      <c r="I24" s="34">
        <f>SUMIF('Monthly CF'!$2:$2,I$2,'Monthly CF'!25:25)</f>
        <v>0</v>
      </c>
      <c r="J24" s="34">
        <f>SUMIF('Monthly CF'!$2:$2,J$2,'Monthly CF'!25:25)</f>
        <v>0</v>
      </c>
    </row>
    <row r="25" spans="1:10">
      <c r="A25" s="25" t="str">
        <f>'Monthly CF'!A26</f>
        <v>Interest on Loan</v>
      </c>
      <c r="B25" s="34">
        <f>SUMIF('Monthly CF'!$2:$2,B$2,'Monthly CF'!26:26)</f>
        <v>0</v>
      </c>
      <c r="C25" s="34">
        <f>SUMIF('Monthly CF'!$2:$2,C$2,'Monthly CF'!26:26)</f>
        <v>0</v>
      </c>
      <c r="D25" s="34">
        <f>SUMIF('Monthly CF'!$2:$2,D$2,'Monthly CF'!26:26)</f>
        <v>20.604652587584802</v>
      </c>
      <c r="E25" s="34">
        <f>SUMIF('Monthly CF'!$2:$2,E$2,'Monthly CF'!26:26)</f>
        <v>15.547902046218519</v>
      </c>
      <c r="F25" s="34">
        <f>SUMIF('Monthly CF'!$2:$2,F$2,'Monthly CF'!26:26)</f>
        <v>14.536445532786459</v>
      </c>
      <c r="G25" s="34">
        <f>SUMIF('Monthly CF'!$2:$2,G$2,'Monthly CF'!26:26)</f>
        <v>12.231491747369153</v>
      </c>
      <c r="H25" s="34">
        <f>SUMIF('Monthly CF'!$2:$2,H$2,'Monthly CF'!26:26)</f>
        <v>9.420809705235822</v>
      </c>
      <c r="I25" s="34">
        <f>SUMIF('Monthly CF'!$2:$2,I$2,'Monthly CF'!26:26)</f>
        <v>5.8029075610365153</v>
      </c>
      <c r="J25" s="34">
        <f>SUMIF('Monthly CF'!$2:$2,J$2,'Monthly CF'!26:26)</f>
        <v>0.87854075365412954</v>
      </c>
    </row>
    <row r="26" spans="1:10">
      <c r="A26" s="25" t="str">
        <f>'Monthly CF'!A27</f>
        <v>Interest on Short Term Loan</v>
      </c>
      <c r="B26" s="34">
        <f>SUMIF('Monthly CF'!$2:$2,B$2,'Monthly CF'!27:27)</f>
        <v>0</v>
      </c>
      <c r="C26" s="34">
        <f>SUMIF('Monthly CF'!$2:$2,C$2,'Monthly CF'!27:27)</f>
        <v>0</v>
      </c>
      <c r="D26" s="34">
        <f>SUMIF('Monthly CF'!$2:$2,D$2,'Monthly CF'!27:27)</f>
        <v>0.32550000000000007</v>
      </c>
      <c r="E26" s="34">
        <f>SUMIF('Monthly CF'!$2:$2,E$2,'Monthly CF'!27:27)</f>
        <v>0</v>
      </c>
      <c r="F26" s="34">
        <f>SUMIF('Monthly CF'!$2:$2,F$2,'Monthly CF'!27:27)</f>
        <v>0</v>
      </c>
      <c r="G26" s="34">
        <f>SUMIF('Monthly CF'!$2:$2,G$2,'Monthly CF'!27:27)</f>
        <v>0</v>
      </c>
      <c r="H26" s="34">
        <f>SUMIF('Monthly CF'!$2:$2,H$2,'Monthly CF'!27:27)</f>
        <v>0</v>
      </c>
      <c r="I26" s="34">
        <f>SUMIF('Monthly CF'!$2:$2,I$2,'Monthly CF'!27:27)</f>
        <v>0</v>
      </c>
      <c r="J26" s="34">
        <f>SUMIF('Monthly CF'!$2:$2,J$2,'Monthly CF'!27:27)</f>
        <v>0</v>
      </c>
    </row>
    <row r="27" spans="1:10">
      <c r="A27" s="25" t="str">
        <f>'Monthly CF'!A28</f>
        <v>OCPIDs Short Term Repayment</v>
      </c>
      <c r="B27" s="34">
        <f>SUMIF('Monthly CF'!$2:$2,B$2,'Monthly CF'!28:28)</f>
        <v>0</v>
      </c>
      <c r="C27" s="34">
        <f>SUMIF('Monthly CF'!$2:$2,C$2,'Monthly CF'!28:28)</f>
        <v>0</v>
      </c>
      <c r="D27" s="34">
        <f>SUMIF('Monthly CF'!$2:$2,D$2,'Monthly CF'!28:28)</f>
        <v>0</v>
      </c>
      <c r="E27" s="34">
        <f>SUMIF('Monthly CF'!$2:$2,E$2,'Monthly CF'!28:28)</f>
        <v>0</v>
      </c>
      <c r="F27" s="34">
        <f>SUMIF('Monthly CF'!$2:$2,F$2,'Monthly CF'!28:28)</f>
        <v>0</v>
      </c>
      <c r="G27" s="34">
        <f>SUMIF('Monthly CF'!$2:$2,G$2,'Monthly CF'!28:28)</f>
        <v>0</v>
      </c>
      <c r="H27" s="34">
        <f>SUMIF('Monthly CF'!$2:$2,H$2,'Monthly CF'!28:28)</f>
        <v>0</v>
      </c>
      <c r="I27" s="34">
        <f>SUMIF('Monthly CF'!$2:$2,I$2,'Monthly CF'!28:28)</f>
        <v>0</v>
      </c>
      <c r="J27" s="34">
        <f>SUMIF('Monthly CF'!$2:$2,J$2,'Monthly CF'!28:28)</f>
        <v>0</v>
      </c>
    </row>
    <row r="28" spans="1:10">
      <c r="A28" s="25" t="str">
        <f>'Monthly CF'!A29</f>
        <v>Interest on OCPIDs Short Term</v>
      </c>
      <c r="B28" s="34">
        <f>SUMIF('Monthly CF'!$2:$2,B$2,'Monthly CF'!29:29)</f>
        <v>0</v>
      </c>
      <c r="C28" s="34">
        <f>SUMIF('Monthly CF'!$2:$2,C$2,'Monthly CF'!29:29)</f>
        <v>0</v>
      </c>
      <c r="D28" s="34">
        <f>SUMIF('Monthly CF'!$2:$2,D$2,'Monthly CF'!29:29)</f>
        <v>0</v>
      </c>
      <c r="E28" s="34">
        <f>SUMIF('Monthly CF'!$2:$2,E$2,'Monthly CF'!29:29)</f>
        <v>0</v>
      </c>
      <c r="F28" s="34">
        <f>SUMIF('Monthly CF'!$2:$2,F$2,'Monthly CF'!29:29)</f>
        <v>0</v>
      </c>
      <c r="G28" s="34">
        <f>SUMIF('Monthly CF'!$2:$2,G$2,'Monthly CF'!29:29)</f>
        <v>0</v>
      </c>
      <c r="H28" s="34">
        <f>SUMIF('Monthly CF'!$2:$2,H$2,'Monthly CF'!29:29)</f>
        <v>0</v>
      </c>
      <c r="I28" s="34">
        <f>SUMIF('Monthly CF'!$2:$2,I$2,'Monthly CF'!29:29)</f>
        <v>0</v>
      </c>
      <c r="J28" s="34">
        <f>SUMIF('Monthly CF'!$2:$2,J$2,'Monthly CF'!29:29)</f>
        <v>0</v>
      </c>
    </row>
    <row r="29" spans="1:10">
      <c r="A29" s="25" t="str">
        <f>'Monthly CF'!A30</f>
        <v>Interest on Working Capital Loan</v>
      </c>
      <c r="B29" s="34">
        <f>SUMIF('Monthly CF'!$2:$2,B$2,'Monthly CF'!30:30)</f>
        <v>0</v>
      </c>
      <c r="C29" s="34">
        <f>SUMIF('Monthly CF'!$2:$2,C$2,'Monthly CF'!30:30)</f>
        <v>0</v>
      </c>
      <c r="D29" s="34">
        <f>SUMIF('Monthly CF'!$2:$2,D$2,'Monthly CF'!30:30)</f>
        <v>0</v>
      </c>
      <c r="E29" s="34">
        <f>SUMIF('Monthly CF'!$2:$2,E$2,'Monthly CF'!30:30)</f>
        <v>0</v>
      </c>
      <c r="F29" s="34">
        <f>SUMIF('Monthly CF'!$2:$2,F$2,'Monthly CF'!30:30)</f>
        <v>0</v>
      </c>
      <c r="G29" s="34">
        <f>SUMIF('Monthly CF'!$2:$2,G$2,'Monthly CF'!30:30)</f>
        <v>0</v>
      </c>
      <c r="H29" s="34">
        <f>SUMIF('Monthly CF'!$2:$2,H$2,'Monthly CF'!30:30)</f>
        <v>0</v>
      </c>
      <c r="I29" s="34">
        <f>SUMIF('Monthly CF'!$2:$2,I$2,'Monthly CF'!30:30)</f>
        <v>0</v>
      </c>
      <c r="J29" s="34">
        <f>SUMIF('Monthly CF'!$2:$2,J$2,'Monthly CF'!30:30)</f>
        <v>0</v>
      </c>
    </row>
    <row r="30" spans="1:10">
      <c r="A30" s="25" t="str">
        <f>'Monthly CF'!A31</f>
        <v>Income Tax Payment</v>
      </c>
      <c r="B30" s="34">
        <f>SUMIF('Monthly CF'!$2:$2,B$2,'Monthly CF'!31:31)</f>
        <v>0</v>
      </c>
      <c r="C30" s="34">
        <f>SUMIF('Monthly CF'!$2:$2,C$2,'Monthly CF'!31:31)</f>
        <v>0</v>
      </c>
      <c r="D30" s="34">
        <f>SUMIF('Monthly CF'!$2:$2,D$2,'Monthly CF'!31:31)</f>
        <v>0</v>
      </c>
      <c r="E30" s="34">
        <f>SUMIF('Monthly CF'!$2:$2,E$2,'Monthly CF'!31:31)</f>
        <v>0</v>
      </c>
      <c r="F30" s="34">
        <f>SUMIF('Monthly CF'!$2:$2,F$2,'Monthly CF'!31:31)</f>
        <v>0</v>
      </c>
      <c r="G30" s="34">
        <f>SUMIF('Monthly CF'!$2:$2,G$2,'Monthly CF'!31:31)</f>
        <v>0</v>
      </c>
      <c r="H30" s="34">
        <f>SUMIF('Monthly CF'!$2:$2,H$2,'Monthly CF'!31:31)</f>
        <v>0</v>
      </c>
      <c r="I30" s="34">
        <f>SUMIF('Monthly CF'!$2:$2,I$2,'Monthly CF'!31:31)</f>
        <v>0</v>
      </c>
      <c r="J30" s="34">
        <f>SUMIF('Monthly CF'!$2:$2,J$2,'Monthly CF'!31:31)</f>
        <v>0</v>
      </c>
    </row>
    <row r="31" spans="1:10">
      <c r="A31" s="25" t="s">
        <v>22</v>
      </c>
      <c r="B31" s="34"/>
      <c r="C31" s="34">
        <f>SUMIF('Monthly CF'!$2:$2,C$2,'Monthly CF'!32:32)</f>
        <v>0</v>
      </c>
      <c r="D31" s="34">
        <f>SUMIF('Monthly CF'!$2:$2,D$2,'Monthly CF'!32:32)</f>
        <v>3</v>
      </c>
      <c r="E31" s="34">
        <f>SUMIF('Monthly CF'!$2:$2,E$2,'Monthly CF'!32:32)</f>
        <v>0</v>
      </c>
      <c r="F31" s="34">
        <f>SUMIF('Monthly CF'!$2:$2,F$2,'Monthly CF'!32:32)</f>
        <v>0</v>
      </c>
      <c r="G31" s="34">
        <f>SUMIF('Monthly CF'!$2:$2,G$2,'Monthly CF'!32:32)</f>
        <v>0</v>
      </c>
      <c r="H31" s="34">
        <f>SUMIF('Monthly CF'!$2:$2,H$2,'Monthly CF'!32:32)</f>
        <v>0</v>
      </c>
      <c r="I31" s="34">
        <f>SUMIF('Monthly CF'!$2:$2,I$2,'Monthly CF'!32:32)</f>
        <v>0</v>
      </c>
      <c r="J31" s="34">
        <f>SUMIF('Monthly CF'!$2:$2,J$2,'Monthly CF'!32:32)</f>
        <v>0</v>
      </c>
    </row>
    <row r="32" spans="1:10" s="34" customFormat="1">
      <c r="A32" s="25" t="str">
        <f>'Monthly CF'!A33</f>
        <v>Loan Repayment</v>
      </c>
      <c r="B32" s="34">
        <f>SUMIF('Monthly CF'!$2:$2,B$2,'Monthly CF'!33:33)</f>
        <v>0</v>
      </c>
      <c r="C32" s="34">
        <f>SUMIF('Monthly CF'!$2:$2,C$2,'Monthly CF'!33:33)</f>
        <v>0</v>
      </c>
      <c r="D32" s="34">
        <f>SUMIF('Monthly CF'!$2:$2,D$2,'Monthly CF'!33:33)</f>
        <v>-2.5</v>
      </c>
      <c r="E32" s="34">
        <f>SUMIF('Monthly CF'!$2:$2,E$2,'Monthly CF'!33:33)</f>
        <v>1.4690449999999999</v>
      </c>
      <c r="F32" s="34">
        <f>SUMIF('Monthly CF'!$2:$2,F$2,'Monthly CF'!33:33)</f>
        <v>19.097584999999995</v>
      </c>
      <c r="G32" s="34">
        <f>SUMIF('Monthly CF'!$2:$2,G$2,'Monthly CF'!33:33)</f>
        <v>24.606503750000002</v>
      </c>
      <c r="H32" s="34">
        <f>SUMIF('Monthly CF'!$2:$2,H$2,'Monthly CF'!33:33)</f>
        <v>27.911854999999996</v>
      </c>
      <c r="I32" s="34">
        <f>SUMIF('Monthly CF'!$2:$2,I$2,'Monthly CF'!33:33)</f>
        <v>45.540394999999997</v>
      </c>
      <c r="J32" s="34">
        <f>SUMIF('Monthly CF'!$2:$2,J$2,'Monthly CF'!33:33)</f>
        <v>28.279116249999994</v>
      </c>
    </row>
    <row r="33" spans="1:14">
      <c r="A33" s="25" t="str">
        <f>'Monthly CF'!A34</f>
        <v>Operator Capex</v>
      </c>
      <c r="B33" s="34">
        <f>SUMIF('Monthly CF'!$2:$2,B$2,'Monthly CF'!34:34)</f>
        <v>0</v>
      </c>
      <c r="C33" s="34">
        <f>SUMIF('Monthly CF'!$2:$2,C$2,'Monthly CF'!34:34)</f>
        <v>0</v>
      </c>
      <c r="D33" s="34">
        <f>SUMIF('Monthly CF'!$2:$2,D$2,'Monthly CF'!34:34)</f>
        <v>0.47999999999999993</v>
      </c>
      <c r="E33" s="34">
        <f>SUMIF('Monthly CF'!$2:$2,E$2,'Monthly CF'!34:34)</f>
        <v>0.47999999999999993</v>
      </c>
      <c r="F33" s="34">
        <f>SUMIF('Monthly CF'!$2:$2,F$2,'Monthly CF'!34:34)</f>
        <v>0.47999999999999993</v>
      </c>
      <c r="G33" s="34">
        <f>SUMIF('Monthly CF'!$2:$2,G$2,'Monthly CF'!34:34)</f>
        <v>0.47999999999999993</v>
      </c>
      <c r="H33" s="34">
        <f>SUMIF('Monthly CF'!$2:$2,H$2,'Monthly CF'!34:34)</f>
        <v>0.47999999999999993</v>
      </c>
      <c r="I33" s="34">
        <f>SUMIF('Monthly CF'!$2:$2,I$2,'Monthly CF'!34:34)</f>
        <v>0.47999999999999993</v>
      </c>
      <c r="J33" s="34">
        <f>SUMIF('Monthly CF'!$2:$2,J$2,'Monthly CF'!34:34)</f>
        <v>0.24000000000000002</v>
      </c>
    </row>
    <row r="34" spans="1:14" s="25" customFormat="1" ht="12" customHeight="1">
      <c r="A34" s="25" t="str">
        <f>'Monthly CF'!A35</f>
        <v>Payment Capex</v>
      </c>
      <c r="B34" s="34">
        <f>SUMIF('Monthly CF'!$2:$2,B$2,'Monthly CF'!35:35)</f>
        <v>0</v>
      </c>
      <c r="C34" s="34">
        <f>SUMIF('Monthly CF'!$2:$2,C$2,'Monthly CF'!35:35)+20.72</f>
        <v>20.72</v>
      </c>
      <c r="D34" s="34">
        <f>SUMIF('Monthly CF'!$2:$2,D$2,'Monthly CF'!35:35)</f>
        <v>100.37143623477249</v>
      </c>
      <c r="E34" s="34">
        <f>SUMIF('Monthly CF'!$2:$2,E$2,'Monthly CF'!35:35)</f>
        <v>50.986147946220413</v>
      </c>
      <c r="F34" s="34">
        <f>SUMIF('Monthly CF'!$2:$2,F$2,'Monthly CF'!35:35)</f>
        <v>0</v>
      </c>
      <c r="G34" s="34">
        <f>SUMIF('Monthly CF'!$2:$2,G$2,'Monthly CF'!35:35)</f>
        <v>0</v>
      </c>
      <c r="H34" s="34">
        <f>SUMIF('Monthly CF'!$2:$2,H$2,'Monthly CF'!35:35)</f>
        <v>0</v>
      </c>
      <c r="I34" s="34">
        <f>SUMIF('Monthly CF'!$2:$2,I$2,'Monthly CF'!35:35)</f>
        <v>0</v>
      </c>
      <c r="J34" s="34">
        <f>SUMIF('Monthly CF'!$2:$2,J$2,'Monthly CF'!35:35)</f>
        <v>0</v>
      </c>
    </row>
    <row r="35" spans="1:14" s="25" customFormat="1" ht="12" customHeight="1">
      <c r="A35" s="25" t="s">
        <v>634</v>
      </c>
      <c r="B35" s="34"/>
      <c r="C35" s="34"/>
      <c r="D35" s="34">
        <f>SUMIF('Monthly CF'!$2:$2,D$2,'Monthly CF'!36:36)</f>
        <v>0</v>
      </c>
      <c r="E35" s="34">
        <f>SUMIF('Monthly CF'!$2:$2,E$2,'Monthly CF'!36:36)</f>
        <v>3</v>
      </c>
      <c r="F35" s="34">
        <f>SUMIF('Monthly CF'!$2:$2,F$2,'Monthly CF'!36:36)</f>
        <v>3</v>
      </c>
      <c r="G35" s="34">
        <f>SUMIF('Monthly CF'!$2:$2,G$2,'Monthly CF'!36:36)</f>
        <v>3</v>
      </c>
      <c r="H35" s="34">
        <f>SUMIF('Monthly CF'!$2:$2,H$2,'Monthly CF'!36:36)</f>
        <v>3</v>
      </c>
      <c r="I35" s="34">
        <f>SUMIF('Monthly CF'!$2:$2,I$2,'Monthly CF'!36:36)</f>
        <v>3</v>
      </c>
      <c r="J35" s="34">
        <f>SUMIF('Monthly CF'!$2:$2,J$2,'Monthly CF'!36:36)</f>
        <v>0.75</v>
      </c>
    </row>
    <row r="36" spans="1:14" ht="12.75" thickBot="1">
      <c r="A36" s="37" t="s">
        <v>134</v>
      </c>
      <c r="B36" s="36">
        <f>SUM(B19:B34)</f>
        <v>0</v>
      </c>
      <c r="C36" s="36">
        <f>SUM(C19:C34)</f>
        <v>44.72</v>
      </c>
      <c r="D36" s="36">
        <f>SUM(D19:D35)</f>
        <v>175.13182471904446</v>
      </c>
      <c r="E36" s="36">
        <f t="shared" ref="E36:J36" si="2">SUM(E19:E35)</f>
        <v>138.19733743283172</v>
      </c>
      <c r="F36" s="36">
        <f t="shared" si="2"/>
        <v>100.29745666778707</v>
      </c>
      <c r="G36" s="36">
        <f t="shared" si="2"/>
        <v>103.75120062528934</v>
      </c>
      <c r="H36" s="36">
        <f t="shared" si="2"/>
        <v>118.48700173182728</v>
      </c>
      <c r="I36" s="36">
        <f t="shared" si="2"/>
        <v>126.80276950536741</v>
      </c>
      <c r="J36" s="36">
        <f t="shared" si="2"/>
        <v>65.121025628364677</v>
      </c>
      <c r="L36" s="34"/>
      <c r="M36" s="43"/>
    </row>
    <row r="37" spans="1:14" s="41" customFormat="1" ht="12.75" thickTop="1">
      <c r="A37" s="37" t="s">
        <v>135</v>
      </c>
      <c r="B37" s="43" t="e">
        <f t="shared" ref="B37:J37" si="3">B16-B36</f>
        <v>#REF!</v>
      </c>
      <c r="C37" s="43">
        <f t="shared" si="3"/>
        <v>8.89</v>
      </c>
      <c r="D37" s="43">
        <f t="shared" si="3"/>
        <v>15.550334503489239</v>
      </c>
      <c r="E37" s="43">
        <f t="shared" si="3"/>
        <v>-14.095105399139285</v>
      </c>
      <c r="F37" s="43">
        <f t="shared" si="3"/>
        <v>-5.5469578251892955</v>
      </c>
      <c r="G37" s="43">
        <f t="shared" si="3"/>
        <v>-3.9646998009604744</v>
      </c>
      <c r="H37" s="43">
        <f t="shared" si="3"/>
        <v>-7.267529033834137</v>
      </c>
      <c r="I37" s="43">
        <f t="shared" si="3"/>
        <v>-7.0241118669095215</v>
      </c>
      <c r="J37" s="43">
        <f t="shared" si="3"/>
        <v>11.840598089579572</v>
      </c>
      <c r="L37" s="43"/>
      <c r="M37" s="43"/>
      <c r="N37" s="43"/>
    </row>
    <row r="38" spans="1:14" s="41" customFormat="1">
      <c r="A38" s="25" t="s">
        <v>138</v>
      </c>
      <c r="B38" s="34">
        <f>'Monthly CF'!B39</f>
        <v>0</v>
      </c>
      <c r="C38" s="34">
        <v>0</v>
      </c>
      <c r="D38" s="34">
        <v>0</v>
      </c>
      <c r="E38" s="34">
        <f t="shared" ref="E38:J38" si="4">D39</f>
        <v>15.550334503489239</v>
      </c>
      <c r="F38" s="34">
        <f t="shared" si="4"/>
        <v>1.4552291043499537</v>
      </c>
      <c r="G38" s="34">
        <f t="shared" si="4"/>
        <v>-4.0917287208393418</v>
      </c>
      <c r="H38" s="34">
        <f t="shared" si="4"/>
        <v>-8.0564285217998162</v>
      </c>
      <c r="I38" s="34">
        <f t="shared" si="4"/>
        <v>-15.323957555633953</v>
      </c>
      <c r="J38" s="34">
        <f t="shared" si="4"/>
        <v>-22.348069422543475</v>
      </c>
      <c r="N38" s="43"/>
    </row>
    <row r="39" spans="1:14" ht="12.75" thickBot="1">
      <c r="A39" s="37" t="s">
        <v>139</v>
      </c>
      <c r="B39" s="36" t="e">
        <f>SUM(B37:B38)</f>
        <v>#REF!</v>
      </c>
      <c r="C39" s="36">
        <f t="shared" ref="C39:J39" si="5">SUM(C37:C38)</f>
        <v>8.89</v>
      </c>
      <c r="D39" s="36">
        <f t="shared" si="5"/>
        <v>15.550334503489239</v>
      </c>
      <c r="E39" s="36">
        <f t="shared" si="5"/>
        <v>1.4552291043499537</v>
      </c>
      <c r="F39" s="36">
        <f t="shared" si="5"/>
        <v>-4.0917287208393418</v>
      </c>
      <c r="G39" s="36">
        <f t="shared" si="5"/>
        <v>-8.0564285217998162</v>
      </c>
      <c r="H39" s="36">
        <f t="shared" si="5"/>
        <v>-15.323957555633953</v>
      </c>
      <c r="I39" s="36">
        <f t="shared" si="5"/>
        <v>-22.348069422543475</v>
      </c>
      <c r="J39" s="36">
        <f t="shared" si="5"/>
        <v>-10.507471332963902</v>
      </c>
    </row>
    <row r="40" spans="1:14" ht="12.75" thickTop="1">
      <c r="A40" s="45"/>
      <c r="B40" s="34"/>
      <c r="C40" s="34"/>
      <c r="D40" s="34"/>
      <c r="E40" s="34"/>
      <c r="F40" s="34"/>
      <c r="G40" s="34"/>
      <c r="H40" s="34"/>
      <c r="I40" s="34"/>
      <c r="J40" s="34">
        <f>J39-'Monthly CF'!DA40</f>
        <v>2.8421709430404007E-14</v>
      </c>
    </row>
    <row r="41" spans="1:14">
      <c r="B41" s="34" t="e">
        <f>B39-BS!I21</f>
        <v>#REF!</v>
      </c>
      <c r="C41" s="34">
        <f>C39-BS!J21</f>
        <v>-8.52</v>
      </c>
      <c r="D41" s="34">
        <f>D39-BS!K21</f>
        <v>-1.0770696508020308</v>
      </c>
      <c r="E41" s="34">
        <f>E39-BS!L21</f>
        <v>-9.7355523982324463</v>
      </c>
      <c r="F41" s="34">
        <f>F39-BS!M21</f>
        <v>-13.446731276666403</v>
      </c>
      <c r="G41" s="34">
        <f>G39-BS!N21</f>
        <v>-16.354680462310505</v>
      </c>
      <c r="H41" s="34">
        <f>H39-BS!O21</f>
        <v>-29.906005255017785</v>
      </c>
      <c r="I41" s="34">
        <f>I39-BS!P21</f>
        <v>-36.743625658218363</v>
      </c>
      <c r="J41" s="34">
        <f>J39-BS!Q21</f>
        <v>2.8421709430404007E-14</v>
      </c>
    </row>
  </sheetData>
  <pageMargins left="0.75" right="0.75" top="1" bottom="1" header="0.4921259845" footer="0.4921259845"/>
  <pageSetup orientation="portrait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38</vt:i4>
      </vt:variant>
    </vt:vector>
  </HeadingPairs>
  <TitlesOfParts>
    <vt:vector size="38" baseType="lpstr">
      <vt:lpstr>Assumption</vt:lpstr>
      <vt:lpstr>Summary </vt:lpstr>
      <vt:lpstr>DSCR</vt:lpstr>
      <vt:lpstr>BS</vt:lpstr>
      <vt:lpstr>Monthly BS</vt:lpstr>
      <vt:lpstr>Monthly PL</vt:lpstr>
      <vt:lpstr>PL</vt:lpstr>
      <vt:lpstr>CF Capex</vt:lpstr>
      <vt:lpstr>CF</vt:lpstr>
      <vt:lpstr>Monthly CF</vt:lpstr>
      <vt:lpstr>IRR</vt:lpstr>
      <vt:lpstr>Debt</vt:lpstr>
      <vt:lpstr>Water Revenue</vt:lpstr>
      <vt:lpstr>Sheet1</vt:lpstr>
      <vt:lpstr>NOR Revenue</vt:lpstr>
      <vt:lpstr>Revenue Increase</vt:lpstr>
      <vt:lpstr>O&amp;M</vt:lpstr>
      <vt:lpstr>Expenses</vt:lpstr>
      <vt:lpstr>IT</vt:lpstr>
      <vt:lpstr>F&amp;A</vt:lpstr>
      <vt:lpstr>G&amp;A</vt:lpstr>
      <vt:lpstr>Employee Nos</vt:lpstr>
      <vt:lpstr>Employee Cost</vt:lpstr>
      <vt:lpstr>List</vt:lpstr>
      <vt:lpstr>Work Schedule</vt:lpstr>
      <vt:lpstr>Work CF</vt:lpstr>
      <vt:lpstr>CF Working</vt:lpstr>
      <vt:lpstr>Works Working</vt:lpstr>
      <vt:lpstr>Automation</vt:lpstr>
      <vt:lpstr>Existing UGRs</vt:lpstr>
      <vt:lpstr>New UGRs</vt:lpstr>
      <vt:lpstr>WTP</vt:lpstr>
      <vt:lpstr>Supply Revenue</vt:lpstr>
      <vt:lpstr>Supply Cost</vt:lpstr>
      <vt:lpstr>Execulation Revenue</vt:lpstr>
      <vt:lpstr>Execution Cost</vt:lpstr>
      <vt:lpstr>R&amp;P</vt:lpstr>
      <vt:lpstr>Work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user2</cp:lastModifiedBy>
  <dcterms:created xsi:type="dcterms:W3CDTF">2022-03-16T11:39:55Z</dcterms:created>
  <dcterms:modified xsi:type="dcterms:W3CDTF">2023-12-30T10:37:59Z</dcterms:modified>
</cp:coreProperties>
</file>