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Z:\In Progress Files\Yash Bhatnagar\WIP\RS Infra Sector 136\"/>
    </mc:Choice>
  </mc:AlternateContent>
  <xr:revisionPtr revIDLastSave="0" documentId="13_ncr:1_{1F8B3C9F-9BE4-424D-9123-7BFF53F453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in" sheetId="4" r:id="rId1"/>
    <sheet name="Sheet2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4" i="4" l="1"/>
  <c r="X13" i="4"/>
  <c r="X11" i="4"/>
  <c r="X12" i="4"/>
  <c r="T17" i="4"/>
  <c r="T16" i="4"/>
  <c r="T15" i="4"/>
  <c r="T14" i="4"/>
  <c r="T13" i="4"/>
  <c r="T12" i="4"/>
  <c r="T11" i="4"/>
  <c r="T10" i="4"/>
  <c r="T9" i="4"/>
  <c r="T8" i="4"/>
  <c r="T7" i="4"/>
  <c r="T6" i="4"/>
  <c r="X20" i="4"/>
  <c r="X22" i="4" s="1"/>
  <c r="X29" i="4"/>
  <c r="F17" i="4"/>
  <c r="G7" i="4"/>
  <c r="G8" i="4"/>
  <c r="G9" i="4"/>
  <c r="G10" i="4"/>
  <c r="G11" i="4"/>
  <c r="G12" i="4"/>
  <c r="G13" i="4"/>
  <c r="O13" i="4" s="1"/>
  <c r="G14" i="4"/>
  <c r="O14" i="4" s="1"/>
  <c r="G15" i="4"/>
  <c r="G16" i="4"/>
  <c r="G6" i="4"/>
  <c r="O6" i="4" s="1"/>
  <c r="M12" i="4"/>
  <c r="M13" i="4"/>
  <c r="M14" i="4"/>
  <c r="M15" i="4"/>
  <c r="M16" i="4"/>
  <c r="J12" i="4"/>
  <c r="J13" i="4"/>
  <c r="J14" i="4"/>
  <c r="J15" i="4"/>
  <c r="J16" i="4"/>
  <c r="O8" i="4"/>
  <c r="O11" i="4"/>
  <c r="M11" i="4"/>
  <c r="J11" i="4"/>
  <c r="M10" i="4"/>
  <c r="J10" i="4"/>
  <c r="M9" i="4"/>
  <c r="J9" i="4"/>
  <c r="M8" i="4"/>
  <c r="J8" i="4"/>
  <c r="M7" i="4"/>
  <c r="J7" i="4"/>
  <c r="M6" i="4"/>
  <c r="J6" i="4"/>
  <c r="P13" i="4" l="1"/>
  <c r="R13" i="4" s="1"/>
  <c r="P8" i="4"/>
  <c r="R8" i="4" s="1"/>
  <c r="P6" i="4"/>
  <c r="R6" i="4" s="1"/>
  <c r="P14" i="4"/>
  <c r="R14" i="4" s="1"/>
  <c r="P11" i="4"/>
  <c r="R11" i="4" s="1"/>
  <c r="G17" i="4"/>
  <c r="O7" i="4"/>
  <c r="O16" i="4"/>
  <c r="O15" i="4"/>
  <c r="O12" i="4"/>
  <c r="O10" i="4"/>
  <c r="O9" i="4"/>
  <c r="I3" i="3"/>
  <c r="G3" i="3"/>
  <c r="D3" i="3"/>
  <c r="P9" i="4" l="1"/>
  <c r="R9" i="4" s="1"/>
  <c r="P15" i="4"/>
  <c r="R15" i="4" s="1"/>
  <c r="P12" i="4"/>
  <c r="R12" i="4" s="1"/>
  <c r="P10" i="4"/>
  <c r="R10" i="4" s="1"/>
  <c r="P16" i="4"/>
  <c r="R16" i="4" s="1"/>
  <c r="P7" i="4"/>
  <c r="O17" i="4"/>
  <c r="X35" i="4" s="1"/>
  <c r="J3" i="3"/>
  <c r="K3" i="3" s="1"/>
  <c r="M3" i="3" s="1"/>
  <c r="P17" i="4" l="1"/>
  <c r="R7" i="4"/>
  <c r="R17" i="4" l="1"/>
  <c r="X23" i="4" s="1"/>
  <c r="X25" i="4" s="1"/>
  <c r="X31" i="4" s="1"/>
  <c r="X33" i="4" l="1"/>
  <c r="X32" i="4"/>
</calcChain>
</file>

<file path=xl/sharedStrings.xml><?xml version="1.0" encoding="utf-8"?>
<sst xmlns="http://schemas.openxmlformats.org/spreadsheetml/2006/main" count="78" uniqueCount="58">
  <si>
    <t>Type of Structure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</si>
  <si>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</si>
  <si>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</si>
  <si>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</si>
  <si>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</si>
  <si>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</si>
  <si>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Gross Replacement Value
(INR)</t>
  </si>
  <si>
    <t xml:space="preserve">Depreciation
(INR) </t>
  </si>
  <si>
    <t>Depreciated Value
(INR)</t>
  </si>
  <si>
    <t>Depreciated Replacement Market Value
(INR)</t>
  </si>
  <si>
    <t>Remarks:</t>
  </si>
  <si>
    <t>Detoration</t>
  </si>
  <si>
    <t>Boundary wall valuation</t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</si>
  <si>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</si>
  <si>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</si>
  <si>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</si>
  <si>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Discounting Factor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</si>
  <si>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plan approx.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</si>
  <si>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mtr)</t>
    </r>
  </si>
  <si>
    <t xml:space="preserve">Year of Construction </t>
  </si>
  <si>
    <t>RCC</t>
  </si>
  <si>
    <t>Sr. No.</t>
  </si>
  <si>
    <t>3. Age of construction taken from the information as per documents provided to us.</t>
  </si>
  <si>
    <t>building</t>
  </si>
  <si>
    <t>wall</t>
  </si>
  <si>
    <t>FMV</t>
  </si>
  <si>
    <t>round off</t>
  </si>
  <si>
    <t>ins</t>
  </si>
  <si>
    <t>Basement</t>
  </si>
  <si>
    <t>Floor</t>
  </si>
  <si>
    <t>RV</t>
  </si>
  <si>
    <t>DV</t>
  </si>
  <si>
    <t>Built-up area (in sq.mtr)</t>
  </si>
  <si>
    <t>Circle</t>
  </si>
  <si>
    <t>Total</t>
  </si>
  <si>
    <t>Buit-up area 
(in sq ft)</t>
  </si>
  <si>
    <t>Plinth Area  Rate 
(INR per sq feet)</t>
  </si>
  <si>
    <t>1. All the details pertaing to the building area statement such as area, floor, etc has been taken from the area sheet provided to us and more-or-less same was found during site measurment.</t>
  </si>
  <si>
    <t>land value</t>
  </si>
  <si>
    <t>Area</t>
  </si>
  <si>
    <t>Stilt</t>
  </si>
  <si>
    <t>Upper Ground</t>
  </si>
  <si>
    <t>First</t>
  </si>
  <si>
    <t>Second</t>
  </si>
  <si>
    <t>Third</t>
  </si>
  <si>
    <t>Fourth</t>
  </si>
  <si>
    <t>Fifth</t>
  </si>
  <si>
    <t>Sixth</t>
  </si>
  <si>
    <t>Seventh</t>
  </si>
  <si>
    <t>Eighth</t>
  </si>
  <si>
    <t>Height 
(in mtr.)</t>
  </si>
  <si>
    <t xml:space="preserve">2.The maintinence of the building was good as per site survey observation. </t>
  </si>
  <si>
    <t>M/s. R.S. Infraprojects Pvt. Ltd. |Situated at Plot no. 18, Block A, Sector-136, Noida, Gautam Bugh Nagar, Uttar Pradesh</t>
  </si>
  <si>
    <t>Rate</t>
  </si>
  <si>
    <t>land area</t>
  </si>
  <si>
    <t>Land value</t>
  </si>
  <si>
    <t>Circle Vaue
(INR)</t>
  </si>
  <si>
    <t>Circle Rate
(INR per sq mtr.)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</si>
</sst>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  <numFmt numFmtId="168" formatCode="_ [$₹-4009]\ * #,##0_ ;_ [$₹-4009]\ * \-#,##0_ ;_ [$₹-4009]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6" fontId="2" fillId="0" borderId="1" xfId="6" applyNumberFormat="1" applyFont="1" applyBorder="1" applyAlignment="1">
      <alignment horizontal="center" vertical="center" wrapText="1"/>
    </xf>
    <xf numFmtId="166" fontId="0" fillId="0" borderId="0" xfId="0" applyNumberFormat="1"/>
    <xf numFmtId="0" fontId="2" fillId="2" borderId="1" xfId="3" applyFont="1" applyBorder="1" applyAlignment="1">
      <alignment horizontal="center" vertical="center"/>
    </xf>
    <xf numFmtId="9" fontId="2" fillId="5" borderId="1" xfId="3" applyNumberFormat="1" applyFont="1" applyFill="1" applyBorder="1" applyAlignment="1">
      <alignment horizontal="center" vertical="center" wrapText="1"/>
    </xf>
    <xf numFmtId="0" fontId="2" fillId="5" borderId="1" xfId="3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8" fontId="0" fillId="0" borderId="1" xfId="5" applyNumberFormat="1" applyFont="1" applyBorder="1" applyAlignment="1">
      <alignment vertical="center"/>
    </xf>
    <xf numFmtId="168" fontId="0" fillId="0" borderId="0" xfId="0" applyNumberFormat="1"/>
    <xf numFmtId="44" fontId="0" fillId="0" borderId="0" xfId="0" applyNumberFormat="1"/>
    <xf numFmtId="9" fontId="0" fillId="0" borderId="1" xfId="2" applyFont="1" applyBorder="1" applyAlignment="1">
      <alignment horizontal="right" vertical="center" wrapText="1"/>
    </xf>
    <xf numFmtId="43" fontId="2" fillId="0" borderId="1" xfId="6" applyFont="1" applyBorder="1" applyAlignment="1">
      <alignment horizontal="center" vertical="center" wrapText="1"/>
    </xf>
    <xf numFmtId="166" fontId="0" fillId="0" borderId="1" xfId="6" applyNumberFormat="1" applyFont="1" applyBorder="1" applyAlignment="1">
      <alignment horizontal="right" vertical="center" wrapText="1"/>
    </xf>
    <xf numFmtId="166" fontId="0" fillId="0" borderId="0" xfId="6" applyNumberFormat="1" applyFont="1"/>
    <xf numFmtId="166" fontId="0" fillId="0" borderId="1" xfId="6" applyNumberFormat="1" applyFont="1" applyFill="1" applyBorder="1" applyAlignment="1">
      <alignment horizontal="right" vertical="center" wrapText="1"/>
    </xf>
    <xf numFmtId="0" fontId="2" fillId="0" borderId="0" xfId="0" applyFont="1"/>
    <xf numFmtId="43" fontId="2" fillId="0" borderId="0" xfId="0" applyNumberFormat="1" applyFont="1"/>
    <xf numFmtId="43" fontId="0" fillId="0" borderId="1" xfId="0" applyNumberFormat="1" applyBorder="1" applyAlignment="1">
      <alignment horizontal="center" vertical="center"/>
    </xf>
    <xf numFmtId="43" fontId="0" fillId="0" borderId="1" xfId="6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3" xfId="6" applyNumberFormat="1" applyFont="1" applyBorder="1" applyAlignment="1">
      <alignment horizontal="center" vertical="center" wrapText="1"/>
    </xf>
    <xf numFmtId="166" fontId="2" fillId="0" borderId="4" xfId="6" applyNumberFormat="1" applyFont="1" applyBorder="1" applyAlignment="1">
      <alignment horizontal="center" vertical="center" wrapText="1"/>
    </xf>
    <xf numFmtId="166" fontId="2" fillId="0" borderId="5" xfId="6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Border="1"/>
    <xf numFmtId="166" fontId="0" fillId="0" borderId="1" xfId="6" applyNumberFormat="1" applyFont="1" applyBorder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7">
    <cellStyle name="40% - Accent1" xfId="3" builtinId="31"/>
    <cellStyle name="Comma" xfId="6" builtinId="3"/>
    <cellStyle name="Comma 2" xfId="4" xr:uid="{00000000-0005-0000-0000-000002000000}"/>
    <cellStyle name="Currency" xfId="1" builtinId="4"/>
    <cellStyle name="Currency 2" xfId="5" xr:uid="{00000000-0005-0000-0000-000004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7611C-3EBA-4C0E-8F3A-F0BAD5B5C08D}">
  <dimension ref="B4:X35"/>
  <sheetViews>
    <sheetView tabSelected="1" zoomScale="85" zoomScaleNormal="85" workbookViewId="0">
      <selection activeCell="X32" sqref="X32"/>
    </sheetView>
  </sheetViews>
  <sheetFormatPr defaultRowHeight="15" x14ac:dyDescent="0.25"/>
  <cols>
    <col min="2" max="2" width="7.28515625" customWidth="1"/>
    <col min="3" max="3" width="14.7109375" customWidth="1"/>
    <col min="4" max="4" width="9.28515625" customWidth="1"/>
    <col min="5" max="5" width="11.85546875" customWidth="1"/>
    <col min="6" max="6" width="11.140625" customWidth="1"/>
    <col min="7" max="7" width="10.42578125" customWidth="1"/>
    <col min="8" max="8" width="12.7109375" customWidth="1"/>
    <col min="9" max="9" width="10.5703125" hidden="1" customWidth="1"/>
    <col min="10" max="10" width="10.28515625" customWidth="1"/>
    <col min="11" max="11" width="12.140625" customWidth="1"/>
    <col min="12" max="12" width="9.140625" hidden="1" customWidth="1"/>
    <col min="13" max="13" width="13.140625" hidden="1" customWidth="1"/>
    <col min="14" max="14" width="12.28515625" customWidth="1"/>
    <col min="15" max="15" width="13" customWidth="1"/>
    <col min="16" max="16" width="14" hidden="1" customWidth="1"/>
    <col min="17" max="17" width="11.28515625" hidden="1" customWidth="1"/>
    <col min="18" max="18" width="13" customWidth="1"/>
    <col min="19" max="19" width="11" customWidth="1"/>
    <col min="20" max="20" width="12.140625" customWidth="1"/>
    <col min="23" max="23" width="16.140625" customWidth="1"/>
    <col min="24" max="24" width="21.7109375" customWidth="1"/>
  </cols>
  <sheetData>
    <row r="4" spans="2:24" ht="20.25" customHeight="1" x14ac:dyDescent="0.25">
      <c r="B4" s="32" t="s">
        <v>52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2:24" ht="75" x14ac:dyDescent="0.25">
      <c r="B5" s="16" t="s">
        <v>21</v>
      </c>
      <c r="C5" s="1" t="s">
        <v>29</v>
      </c>
      <c r="D5" s="1" t="s">
        <v>50</v>
      </c>
      <c r="E5" s="1" t="s">
        <v>0</v>
      </c>
      <c r="F5" s="1" t="s">
        <v>32</v>
      </c>
      <c r="G5" s="1" t="s">
        <v>35</v>
      </c>
      <c r="H5" s="1" t="s">
        <v>19</v>
      </c>
      <c r="I5" s="18" t="s">
        <v>1</v>
      </c>
      <c r="J5" s="1" t="s">
        <v>2</v>
      </c>
      <c r="K5" s="1" t="s">
        <v>3</v>
      </c>
      <c r="L5" s="18" t="s">
        <v>4</v>
      </c>
      <c r="M5" s="18" t="s">
        <v>5</v>
      </c>
      <c r="N5" s="1" t="s">
        <v>36</v>
      </c>
      <c r="O5" s="1" t="s">
        <v>6</v>
      </c>
      <c r="P5" s="18" t="s">
        <v>7</v>
      </c>
      <c r="Q5" s="17" t="s">
        <v>11</v>
      </c>
      <c r="R5" s="1" t="s">
        <v>9</v>
      </c>
      <c r="S5" s="1" t="s">
        <v>57</v>
      </c>
      <c r="T5" s="1" t="s">
        <v>56</v>
      </c>
    </row>
    <row r="6" spans="2:24" x14ac:dyDescent="0.25">
      <c r="B6" s="2">
        <v>1</v>
      </c>
      <c r="C6" s="2" t="s">
        <v>28</v>
      </c>
      <c r="D6" s="19">
        <v>3.3</v>
      </c>
      <c r="E6" s="2" t="s">
        <v>20</v>
      </c>
      <c r="F6" s="30">
        <v>621</v>
      </c>
      <c r="G6" s="31">
        <f>F6*10.7639</f>
        <v>6684.3818999999994</v>
      </c>
      <c r="H6" s="19">
        <v>2023</v>
      </c>
      <c r="I6" s="2">
        <v>2024</v>
      </c>
      <c r="J6" s="2">
        <f t="shared" ref="J6:J16" si="0">I6-H6</f>
        <v>1</v>
      </c>
      <c r="K6" s="2">
        <v>70</v>
      </c>
      <c r="L6" s="3">
        <v>0.1</v>
      </c>
      <c r="M6" s="4">
        <f>(1-L6)/K6</f>
        <v>1.2857142857142857E-2</v>
      </c>
      <c r="N6" s="27">
        <v>1850</v>
      </c>
      <c r="O6" s="25">
        <f>N6*G6</f>
        <v>12366106.514999999</v>
      </c>
      <c r="P6" s="25">
        <f>O6*M6*IF(J6&gt;K6,K6,J6)</f>
        <v>158992.79804999998</v>
      </c>
      <c r="Q6" s="23">
        <v>0</v>
      </c>
      <c r="R6" s="25">
        <f>O6-P6</f>
        <v>12207113.716949999</v>
      </c>
      <c r="S6" s="39">
        <v>15000</v>
      </c>
      <c r="T6" s="25">
        <f>S6*F6</f>
        <v>9315000</v>
      </c>
    </row>
    <row r="7" spans="2:24" x14ac:dyDescent="0.25">
      <c r="B7" s="2">
        <v>2</v>
      </c>
      <c r="C7" s="2" t="s">
        <v>40</v>
      </c>
      <c r="D7" s="19">
        <v>3.3</v>
      </c>
      <c r="E7" s="2" t="s">
        <v>20</v>
      </c>
      <c r="F7" s="30">
        <v>302.75</v>
      </c>
      <c r="G7" s="31">
        <f t="shared" ref="G7:G16" si="1">F7*10.7639</f>
        <v>3258.7707249999999</v>
      </c>
      <c r="H7" s="19">
        <v>2023</v>
      </c>
      <c r="I7" s="2">
        <v>2024</v>
      </c>
      <c r="J7" s="2">
        <f t="shared" si="0"/>
        <v>1</v>
      </c>
      <c r="K7" s="2">
        <v>70</v>
      </c>
      <c r="L7" s="3">
        <v>0.1</v>
      </c>
      <c r="M7" s="4">
        <f t="shared" ref="M7:M16" si="2">(1-L7)/K7</f>
        <v>1.2857142857142857E-2</v>
      </c>
      <c r="N7" s="27">
        <v>1850</v>
      </c>
      <c r="O7" s="25">
        <f t="shared" ref="O7:O11" si="3">N7*G7</f>
        <v>6028725.8412499996</v>
      </c>
      <c r="P7" s="25">
        <f t="shared" ref="P7:P16" si="4">O7*M7*IF(J7&gt;K7,K7,J7)</f>
        <v>77512.189387499995</v>
      </c>
      <c r="Q7" s="23">
        <v>0</v>
      </c>
      <c r="R7" s="25">
        <f t="shared" ref="R7:R16" si="5">O7-P7</f>
        <v>5951213.6518624993</v>
      </c>
      <c r="S7" s="39">
        <v>15000</v>
      </c>
      <c r="T7" s="25">
        <f t="shared" ref="T7:T16" si="6">S7*F7</f>
        <v>4541250</v>
      </c>
      <c r="W7" s="28" t="s">
        <v>33</v>
      </c>
    </row>
    <row r="8" spans="2:24" x14ac:dyDescent="0.25">
      <c r="B8" s="2">
        <v>3</v>
      </c>
      <c r="C8" s="2" t="s">
        <v>41</v>
      </c>
      <c r="D8" s="19">
        <v>3.3</v>
      </c>
      <c r="E8" s="2" t="s">
        <v>20</v>
      </c>
      <c r="F8" s="30">
        <v>302.75</v>
      </c>
      <c r="G8" s="31">
        <f t="shared" si="1"/>
        <v>3258.7707249999999</v>
      </c>
      <c r="H8" s="19">
        <v>2023</v>
      </c>
      <c r="I8" s="2">
        <v>2024</v>
      </c>
      <c r="J8" s="2">
        <f t="shared" si="0"/>
        <v>1</v>
      </c>
      <c r="K8" s="2">
        <v>70</v>
      </c>
      <c r="L8" s="3">
        <v>0.1</v>
      </c>
      <c r="M8" s="4">
        <f t="shared" si="2"/>
        <v>1.2857142857142857E-2</v>
      </c>
      <c r="N8" s="27">
        <v>1850</v>
      </c>
      <c r="O8" s="25">
        <f t="shared" si="3"/>
        <v>6028725.8412499996</v>
      </c>
      <c r="P8" s="25">
        <f t="shared" si="4"/>
        <v>77512.189387499995</v>
      </c>
      <c r="Q8" s="23">
        <v>0</v>
      </c>
      <c r="R8" s="25">
        <f t="shared" si="5"/>
        <v>5951213.6518624993</v>
      </c>
      <c r="S8" s="39">
        <v>15000</v>
      </c>
      <c r="T8" s="25">
        <f t="shared" si="6"/>
        <v>4541250</v>
      </c>
      <c r="W8" s="37" t="s">
        <v>53</v>
      </c>
      <c r="X8" s="26">
        <v>57750</v>
      </c>
    </row>
    <row r="9" spans="2:24" x14ac:dyDescent="0.25">
      <c r="B9" s="2">
        <v>4</v>
      </c>
      <c r="C9" s="2" t="s">
        <v>42</v>
      </c>
      <c r="D9" s="19">
        <v>3.3</v>
      </c>
      <c r="E9" s="2" t="s">
        <v>20</v>
      </c>
      <c r="F9" s="30">
        <v>302.75</v>
      </c>
      <c r="G9" s="31">
        <f t="shared" si="1"/>
        <v>3258.7707249999999</v>
      </c>
      <c r="H9" s="19">
        <v>2023</v>
      </c>
      <c r="I9" s="2">
        <v>2024</v>
      </c>
      <c r="J9" s="2">
        <f t="shared" si="0"/>
        <v>1</v>
      </c>
      <c r="K9" s="2">
        <v>70</v>
      </c>
      <c r="L9" s="3">
        <v>0.1</v>
      </c>
      <c r="M9" s="4">
        <f t="shared" si="2"/>
        <v>1.2857142857142857E-2</v>
      </c>
      <c r="N9" s="27">
        <v>1850</v>
      </c>
      <c r="O9" s="25">
        <f t="shared" si="3"/>
        <v>6028725.8412499996</v>
      </c>
      <c r="P9" s="25">
        <f t="shared" si="4"/>
        <v>77512.189387499995</v>
      </c>
      <c r="Q9" s="23">
        <v>0</v>
      </c>
      <c r="R9" s="25">
        <f t="shared" si="5"/>
        <v>5951213.6518624993</v>
      </c>
      <c r="S9" s="39">
        <v>15000</v>
      </c>
      <c r="T9" s="25">
        <f t="shared" si="6"/>
        <v>4541250</v>
      </c>
      <c r="W9" t="s">
        <v>54</v>
      </c>
      <c r="X9" s="26">
        <v>1014</v>
      </c>
    </row>
    <row r="10" spans="2:24" x14ac:dyDescent="0.25">
      <c r="B10" s="2">
        <v>5</v>
      </c>
      <c r="C10" s="2" t="s">
        <v>43</v>
      </c>
      <c r="D10" s="19">
        <v>3.3</v>
      </c>
      <c r="E10" s="2" t="s">
        <v>20</v>
      </c>
      <c r="F10" s="30">
        <v>302.75</v>
      </c>
      <c r="G10" s="31">
        <f t="shared" si="1"/>
        <v>3258.7707249999999</v>
      </c>
      <c r="H10" s="19">
        <v>2023</v>
      </c>
      <c r="I10" s="2">
        <v>2024</v>
      </c>
      <c r="J10" s="2">
        <f t="shared" si="0"/>
        <v>1</v>
      </c>
      <c r="K10" s="2">
        <v>70</v>
      </c>
      <c r="L10" s="3">
        <v>0.1</v>
      </c>
      <c r="M10" s="4">
        <f t="shared" si="2"/>
        <v>1.2857142857142857E-2</v>
      </c>
      <c r="N10" s="27">
        <v>1850</v>
      </c>
      <c r="O10" s="25">
        <f t="shared" si="3"/>
        <v>6028725.8412499996</v>
      </c>
      <c r="P10" s="25">
        <f t="shared" si="4"/>
        <v>77512.189387499995</v>
      </c>
      <c r="Q10" s="23">
        <v>0</v>
      </c>
      <c r="R10" s="25">
        <f t="shared" si="5"/>
        <v>5951213.6518624993</v>
      </c>
      <c r="S10" s="39">
        <v>15000</v>
      </c>
      <c r="T10" s="25">
        <f t="shared" si="6"/>
        <v>4541250</v>
      </c>
    </row>
    <row r="11" spans="2:24" x14ac:dyDescent="0.25">
      <c r="B11" s="2">
        <v>6</v>
      </c>
      <c r="C11" s="2" t="s">
        <v>44</v>
      </c>
      <c r="D11" s="19">
        <v>3.3</v>
      </c>
      <c r="E11" s="2" t="s">
        <v>20</v>
      </c>
      <c r="F11" s="30">
        <v>302.75</v>
      </c>
      <c r="G11" s="31">
        <f t="shared" si="1"/>
        <v>3258.7707249999999</v>
      </c>
      <c r="H11" s="19">
        <v>2023</v>
      </c>
      <c r="I11" s="2">
        <v>2024</v>
      </c>
      <c r="J11" s="2">
        <f t="shared" si="0"/>
        <v>1</v>
      </c>
      <c r="K11" s="2">
        <v>70</v>
      </c>
      <c r="L11" s="3">
        <v>0.1</v>
      </c>
      <c r="M11" s="4">
        <f t="shared" si="2"/>
        <v>1.2857142857142857E-2</v>
      </c>
      <c r="N11" s="27">
        <v>1850</v>
      </c>
      <c r="O11" s="25">
        <f t="shared" si="3"/>
        <v>6028725.8412499996</v>
      </c>
      <c r="P11" s="25">
        <f t="shared" si="4"/>
        <v>77512.189387499995</v>
      </c>
      <c r="Q11" s="23">
        <v>0</v>
      </c>
      <c r="R11" s="25">
        <f t="shared" si="5"/>
        <v>5951213.6518624993</v>
      </c>
      <c r="S11" s="39">
        <v>15000</v>
      </c>
      <c r="T11" s="25">
        <f t="shared" si="6"/>
        <v>4541250</v>
      </c>
      <c r="W11" t="s">
        <v>55</v>
      </c>
      <c r="X11" s="26">
        <f>X9*X8</f>
        <v>58558500</v>
      </c>
    </row>
    <row r="12" spans="2:24" x14ac:dyDescent="0.25">
      <c r="B12" s="2">
        <v>7</v>
      </c>
      <c r="C12" s="2" t="s">
        <v>45</v>
      </c>
      <c r="D12" s="19">
        <v>3.3</v>
      </c>
      <c r="E12" s="2" t="s">
        <v>20</v>
      </c>
      <c r="F12" s="30">
        <v>302.75</v>
      </c>
      <c r="G12" s="31">
        <f t="shared" si="1"/>
        <v>3258.7707249999999</v>
      </c>
      <c r="H12" s="19">
        <v>2023</v>
      </c>
      <c r="I12" s="2">
        <v>2024</v>
      </c>
      <c r="J12" s="2">
        <f t="shared" si="0"/>
        <v>1</v>
      </c>
      <c r="K12" s="2">
        <v>70</v>
      </c>
      <c r="L12" s="3">
        <v>0.1</v>
      </c>
      <c r="M12" s="4">
        <f t="shared" si="2"/>
        <v>1.2857142857142857E-2</v>
      </c>
      <c r="N12" s="27">
        <v>1850</v>
      </c>
      <c r="O12" s="25">
        <f t="shared" ref="O12:O16" si="7">N12*G12</f>
        <v>6028725.8412499996</v>
      </c>
      <c r="P12" s="25">
        <f t="shared" si="4"/>
        <v>77512.189387499995</v>
      </c>
      <c r="Q12" s="23"/>
      <c r="R12" s="25">
        <f t="shared" si="5"/>
        <v>5951213.6518624993</v>
      </c>
      <c r="S12" s="39">
        <v>15000</v>
      </c>
      <c r="T12" s="25">
        <f t="shared" si="6"/>
        <v>4541250</v>
      </c>
      <c r="W12" t="s">
        <v>23</v>
      </c>
      <c r="X12" s="15">
        <f>T17</f>
        <v>50748000</v>
      </c>
    </row>
    <row r="13" spans="2:24" x14ac:dyDescent="0.25">
      <c r="B13" s="2">
        <v>8</v>
      </c>
      <c r="C13" s="2" t="s">
        <v>46</v>
      </c>
      <c r="D13" s="19">
        <v>3.3</v>
      </c>
      <c r="E13" s="2" t="s">
        <v>20</v>
      </c>
      <c r="F13" s="30">
        <v>302.75</v>
      </c>
      <c r="G13" s="31">
        <f t="shared" si="1"/>
        <v>3258.7707249999999</v>
      </c>
      <c r="H13" s="19">
        <v>2023</v>
      </c>
      <c r="I13" s="2">
        <v>2024</v>
      </c>
      <c r="J13" s="2">
        <f t="shared" si="0"/>
        <v>1</v>
      </c>
      <c r="K13" s="2">
        <v>70</v>
      </c>
      <c r="L13" s="3">
        <v>0.1</v>
      </c>
      <c r="M13" s="4">
        <f t="shared" si="2"/>
        <v>1.2857142857142857E-2</v>
      </c>
      <c r="N13" s="27">
        <v>1850</v>
      </c>
      <c r="O13" s="25">
        <f t="shared" si="7"/>
        <v>6028725.8412499996</v>
      </c>
      <c r="P13" s="25">
        <f t="shared" si="4"/>
        <v>77512.189387499995</v>
      </c>
      <c r="Q13" s="23"/>
      <c r="R13" s="25">
        <f t="shared" si="5"/>
        <v>5951213.6518624993</v>
      </c>
      <c r="S13" s="39">
        <v>15000</v>
      </c>
      <c r="T13" s="25">
        <f t="shared" si="6"/>
        <v>4541250</v>
      </c>
      <c r="W13" t="s">
        <v>55</v>
      </c>
      <c r="X13" s="15">
        <f>X12+X11</f>
        <v>109306500</v>
      </c>
    </row>
    <row r="14" spans="2:24" x14ac:dyDescent="0.25">
      <c r="B14" s="2">
        <v>9</v>
      </c>
      <c r="C14" s="2" t="s">
        <v>47</v>
      </c>
      <c r="D14" s="19">
        <v>3.3</v>
      </c>
      <c r="E14" s="2" t="s">
        <v>20</v>
      </c>
      <c r="F14" s="30">
        <v>302.75</v>
      </c>
      <c r="G14" s="31">
        <f t="shared" si="1"/>
        <v>3258.7707249999999</v>
      </c>
      <c r="H14" s="19">
        <v>2023</v>
      </c>
      <c r="I14" s="2">
        <v>2024</v>
      </c>
      <c r="J14" s="2">
        <f t="shared" si="0"/>
        <v>1</v>
      </c>
      <c r="K14" s="2">
        <v>70</v>
      </c>
      <c r="L14" s="3">
        <v>0.1</v>
      </c>
      <c r="M14" s="4">
        <f t="shared" si="2"/>
        <v>1.2857142857142857E-2</v>
      </c>
      <c r="N14" s="27">
        <v>1850</v>
      </c>
      <c r="O14" s="25">
        <f t="shared" si="7"/>
        <v>6028725.8412499996</v>
      </c>
      <c r="P14" s="25">
        <f t="shared" si="4"/>
        <v>77512.189387499995</v>
      </c>
      <c r="Q14" s="23"/>
      <c r="R14" s="25">
        <f t="shared" si="5"/>
        <v>5951213.6518624993</v>
      </c>
      <c r="S14" s="39">
        <v>15000</v>
      </c>
      <c r="T14" s="25">
        <f t="shared" si="6"/>
        <v>4541250</v>
      </c>
    </row>
    <row r="15" spans="2:24" x14ac:dyDescent="0.25">
      <c r="B15" s="2">
        <v>10</v>
      </c>
      <c r="C15" s="2" t="s">
        <v>48</v>
      </c>
      <c r="D15" s="19">
        <v>3.3</v>
      </c>
      <c r="E15" s="2" t="s">
        <v>20</v>
      </c>
      <c r="F15" s="30">
        <v>241.1</v>
      </c>
      <c r="G15" s="31">
        <f t="shared" si="1"/>
        <v>2595.1762899999999</v>
      </c>
      <c r="H15" s="19">
        <v>2023</v>
      </c>
      <c r="I15" s="2">
        <v>2024</v>
      </c>
      <c r="J15" s="2">
        <f t="shared" si="0"/>
        <v>1</v>
      </c>
      <c r="K15" s="2">
        <v>70</v>
      </c>
      <c r="L15" s="3">
        <v>0.1</v>
      </c>
      <c r="M15" s="4">
        <f t="shared" si="2"/>
        <v>1.2857142857142857E-2</v>
      </c>
      <c r="N15" s="27">
        <v>1850</v>
      </c>
      <c r="O15" s="25">
        <f t="shared" si="7"/>
        <v>4801076.1365</v>
      </c>
      <c r="P15" s="25">
        <f t="shared" si="4"/>
        <v>61728.121755</v>
      </c>
      <c r="Q15" s="23"/>
      <c r="R15" s="25">
        <f t="shared" si="5"/>
        <v>4739348.0147449998</v>
      </c>
      <c r="S15" s="39">
        <v>15000</v>
      </c>
      <c r="T15" s="25">
        <f t="shared" si="6"/>
        <v>3616500</v>
      </c>
    </row>
    <row r="16" spans="2:24" x14ac:dyDescent="0.25">
      <c r="B16" s="2">
        <v>11</v>
      </c>
      <c r="C16" s="2" t="s">
        <v>49</v>
      </c>
      <c r="D16" s="19">
        <v>3.3</v>
      </c>
      <c r="E16" s="2" t="s">
        <v>20</v>
      </c>
      <c r="F16" s="30">
        <v>99.1</v>
      </c>
      <c r="G16" s="31">
        <f t="shared" si="1"/>
        <v>1066.7024899999999</v>
      </c>
      <c r="H16" s="19">
        <v>2023</v>
      </c>
      <c r="I16" s="2">
        <v>2024</v>
      </c>
      <c r="J16" s="2">
        <f t="shared" si="0"/>
        <v>1</v>
      </c>
      <c r="K16" s="2">
        <v>70</v>
      </c>
      <c r="L16" s="3">
        <v>0.1</v>
      </c>
      <c r="M16" s="4">
        <f t="shared" si="2"/>
        <v>1.2857142857142857E-2</v>
      </c>
      <c r="N16" s="27">
        <v>1850</v>
      </c>
      <c r="O16" s="25">
        <f t="shared" si="7"/>
        <v>1973399.6064999998</v>
      </c>
      <c r="P16" s="25">
        <f t="shared" si="4"/>
        <v>25372.280654999995</v>
      </c>
      <c r="Q16" s="23"/>
      <c r="R16" s="25">
        <f t="shared" si="5"/>
        <v>1948027.3258449999</v>
      </c>
      <c r="S16" s="39">
        <v>15000</v>
      </c>
      <c r="T16" s="25">
        <f t="shared" si="6"/>
        <v>1486500</v>
      </c>
    </row>
    <row r="17" spans="2:24" x14ac:dyDescent="0.25">
      <c r="B17" s="33" t="s">
        <v>34</v>
      </c>
      <c r="C17" s="33"/>
      <c r="D17" s="33"/>
      <c r="E17" s="33"/>
      <c r="F17" s="24">
        <f>SUM(F6:F16)</f>
        <v>3383.2</v>
      </c>
      <c r="G17" s="24">
        <f>SUM(G6:G16)</f>
        <v>36416.426479999995</v>
      </c>
      <c r="H17" s="34"/>
      <c r="I17" s="35"/>
      <c r="J17" s="35"/>
      <c r="K17" s="35"/>
      <c r="L17" s="35"/>
      <c r="M17" s="35"/>
      <c r="N17" s="36"/>
      <c r="O17" s="14">
        <f>SUM(O6:O16)</f>
        <v>67370388.988000005</v>
      </c>
      <c r="P17" s="14">
        <f>SUM(P6:P16)</f>
        <v>866190.71556000004</v>
      </c>
      <c r="Q17" s="14">
        <v>0</v>
      </c>
      <c r="R17" s="14">
        <f>SUM(R6:R16)</f>
        <v>66504198.272440001</v>
      </c>
      <c r="S17" s="38"/>
      <c r="T17" s="14">
        <f>SUM(T6:T16)</f>
        <v>50748000</v>
      </c>
    </row>
    <row r="18" spans="2:24" x14ac:dyDescent="0.25">
      <c r="B18" s="40" t="s">
        <v>10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 spans="2:24" ht="14.25" customHeight="1" x14ac:dyDescent="0.25">
      <c r="B19" s="41" t="s">
        <v>37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W19" s="28" t="s">
        <v>25</v>
      </c>
    </row>
    <row r="20" spans="2:24" ht="15" customHeight="1" x14ac:dyDescent="0.25">
      <c r="B20" s="41" t="s">
        <v>51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W20" s="28" t="s">
        <v>53</v>
      </c>
      <c r="X20" s="26">
        <f>105000</f>
        <v>105000</v>
      </c>
    </row>
    <row r="21" spans="2:24" ht="15" customHeight="1" x14ac:dyDescent="0.25">
      <c r="B21" s="41" t="s">
        <v>22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W21" s="6" t="s">
        <v>39</v>
      </c>
      <c r="X21">
        <v>1014</v>
      </c>
    </row>
    <row r="22" spans="2:24" x14ac:dyDescent="0.25">
      <c r="W22" s="29" t="s">
        <v>38</v>
      </c>
      <c r="X22" s="26">
        <f>X21*X20</f>
        <v>106470000</v>
      </c>
    </row>
    <row r="23" spans="2:24" x14ac:dyDescent="0.25">
      <c r="W23" s="29" t="s">
        <v>23</v>
      </c>
      <c r="X23" s="5">
        <f>R17</f>
        <v>66504198.272440001</v>
      </c>
    </row>
    <row r="24" spans="2:24" x14ac:dyDescent="0.25">
      <c r="N24" s="22"/>
      <c r="W24" s="28" t="s">
        <v>24</v>
      </c>
      <c r="X24" s="12">
        <f>525000</f>
        <v>525000</v>
      </c>
    </row>
    <row r="25" spans="2:24" x14ac:dyDescent="0.25">
      <c r="N25" s="26"/>
      <c r="W25" s="29" t="s">
        <v>25</v>
      </c>
      <c r="X25" s="5">
        <f>X22+X23+X24</f>
        <v>173499198.27244002</v>
      </c>
    </row>
    <row r="27" spans="2:24" x14ac:dyDescent="0.25">
      <c r="X27" s="20"/>
    </row>
    <row r="29" spans="2:24" x14ac:dyDescent="0.25">
      <c r="X29" s="21">
        <f>X28+X27</f>
        <v>0</v>
      </c>
    </row>
    <row r="31" spans="2:24" x14ac:dyDescent="0.25">
      <c r="W31" s="28" t="s">
        <v>26</v>
      </c>
      <c r="X31" s="5">
        <f>ROUNDUP(X25:X25,(-5))</f>
        <v>173500000</v>
      </c>
    </row>
    <row r="32" spans="2:24" x14ac:dyDescent="0.25">
      <c r="W32" s="28" t="s">
        <v>30</v>
      </c>
      <c r="X32" s="5">
        <f>0.85*X31</f>
        <v>147475000</v>
      </c>
    </row>
    <row r="33" spans="23:24" x14ac:dyDescent="0.25">
      <c r="W33" s="28" t="s">
        <v>31</v>
      </c>
      <c r="X33" s="5">
        <f>X31*0.75</f>
        <v>130125000</v>
      </c>
    </row>
    <row r="34" spans="23:24" x14ac:dyDescent="0.25">
      <c r="W34" s="28"/>
    </row>
    <row r="35" spans="23:24" x14ac:dyDescent="0.25">
      <c r="W35" s="28" t="s">
        <v>27</v>
      </c>
      <c r="X35" s="5">
        <f>0.8*O17</f>
        <v>53896311.190400004</v>
      </c>
    </row>
  </sheetData>
  <mergeCells count="7">
    <mergeCell ref="B17:E17"/>
    <mergeCell ref="H17:N17"/>
    <mergeCell ref="B18:T18"/>
    <mergeCell ref="B19:T19"/>
    <mergeCell ref="B20:T20"/>
    <mergeCell ref="B21:T21"/>
    <mergeCell ref="B4:T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"/>
  <sheetViews>
    <sheetView workbookViewId="0">
      <selection activeCell="H3" sqref="H3"/>
    </sheetView>
  </sheetViews>
  <sheetFormatPr defaultRowHeight="15" x14ac:dyDescent="0.25"/>
  <cols>
    <col min="1" max="1" width="8.7109375" bestFit="1" customWidth="1"/>
    <col min="2" max="2" width="13.7109375" customWidth="1"/>
    <col min="3" max="4" width="10.7109375" customWidth="1"/>
    <col min="5" max="5" width="8.5703125" bestFit="1" customWidth="1"/>
    <col min="6" max="6" width="7.7109375" bestFit="1" customWidth="1"/>
    <col min="7" max="7" width="9" customWidth="1"/>
    <col min="8" max="8" width="9.5703125" customWidth="1"/>
    <col min="9" max="9" width="13" customWidth="1"/>
    <col min="10" max="10" width="12.7109375" customWidth="1"/>
    <col min="11" max="11" width="11.5703125" customWidth="1"/>
    <col min="12" max="12" width="11.85546875" customWidth="1"/>
    <col min="13" max="13" width="13" customWidth="1"/>
  </cols>
  <sheetData>
    <row r="1" spans="1:13" ht="15.75" x14ac:dyDescent="0.2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04.25" x14ac:dyDescent="0.25">
      <c r="A2" s="7" t="s">
        <v>17</v>
      </c>
      <c r="B2" s="7" t="s">
        <v>13</v>
      </c>
      <c r="C2" s="7" t="s">
        <v>1</v>
      </c>
      <c r="D2" s="7" t="s">
        <v>14</v>
      </c>
      <c r="E2" s="7" t="s">
        <v>15</v>
      </c>
      <c r="F2" s="7" t="s">
        <v>4</v>
      </c>
      <c r="G2" s="7" t="s">
        <v>5</v>
      </c>
      <c r="H2" s="7" t="s">
        <v>18</v>
      </c>
      <c r="I2" s="7" t="s">
        <v>6</v>
      </c>
      <c r="J2" s="7" t="s">
        <v>7</v>
      </c>
      <c r="K2" s="7" t="s">
        <v>8</v>
      </c>
      <c r="L2" s="7" t="s">
        <v>16</v>
      </c>
      <c r="M2" s="7" t="s">
        <v>9</v>
      </c>
    </row>
    <row r="3" spans="1:13" x14ac:dyDescent="0.25">
      <c r="A3" s="8">
        <v>130</v>
      </c>
      <c r="B3" s="9">
        <v>2023</v>
      </c>
      <c r="C3" s="9">
        <v>2024</v>
      </c>
      <c r="D3" s="9">
        <f>C3-B3</f>
        <v>1</v>
      </c>
      <c r="E3" s="9">
        <v>60</v>
      </c>
      <c r="F3" s="10">
        <v>0.1</v>
      </c>
      <c r="G3" s="11">
        <f>(1-F3)/E3</f>
        <v>1.5000000000000001E-2</v>
      </c>
      <c r="H3" s="12">
        <v>4000</v>
      </c>
      <c r="I3" s="12">
        <f>H3*A3</f>
        <v>520000</v>
      </c>
      <c r="J3" s="12">
        <f>I3*G3*D3</f>
        <v>7800.0000000000009</v>
      </c>
      <c r="K3" s="12">
        <f>MAX(I3-J3,0)</f>
        <v>512200</v>
      </c>
      <c r="L3" s="13">
        <v>0</v>
      </c>
      <c r="M3" s="12">
        <f>IF(K3&gt;F3*I3,K3*(1-L3),I3*F3)</f>
        <v>512200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Mahesh Joshi</cp:lastModifiedBy>
  <dcterms:created xsi:type="dcterms:W3CDTF">2022-07-28T09:17:09Z</dcterms:created>
  <dcterms:modified xsi:type="dcterms:W3CDTF">2024-01-12T11:48:18Z</dcterms:modified>
</cp:coreProperties>
</file>