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lcome\Desktop\Mahecha Boutique Hotel Private Limited\RK Working\"/>
    </mc:Choice>
  </mc:AlternateContent>
  <xr:revisionPtr revIDLastSave="0" documentId="13_ncr:1_{E1FB94FC-E6CF-4065-9199-3EC15C484B9D}" xr6:coauthVersionLast="47" xr6:coauthVersionMax="47" xr10:uidLastSave="{00000000-0000-0000-0000-000000000000}"/>
  <bookViews>
    <workbookView xWindow="-108" yWindow="-108" windowWidth="23256" windowHeight="12576" firstSheet="9" activeTab="10" xr2:uid="{00000000-000D-0000-FFFF-FFFF00000000}"/>
  </bookViews>
  <sheets>
    <sheet name="Cost" sheetId="9" r:id="rId1"/>
    <sheet name="Cost Break Up" sheetId="18" r:id="rId2"/>
    <sheet name="Estimation" sheetId="1" r:id="rId3"/>
    <sheet name="Profitability" sheetId="4" r:id="rId4"/>
    <sheet name="Balance Sheet" sheetId="2" r:id="rId5"/>
    <sheet name="Cash Flow" sheetId="5" r:id="rId6"/>
    <sheet name="Intt &amp; Depreciation" sheetId="6" r:id="rId7"/>
    <sheet name="Debt Schedule-1" sheetId="23" r:id="rId8"/>
    <sheet name="Debt Schedule" sheetId="22" state="hidden" r:id="rId9"/>
    <sheet name="Ratio Analysis" sheetId="21" r:id="rId10"/>
    <sheet name="BEP, Sensitivity " sheetId="24" r:id="rId11"/>
    <sheet name="IRR" sheetId="19" r:id="rId12"/>
    <sheet name="Sheet2" sheetId="20" state="hidden" r:id="rId13"/>
  </sheets>
  <externalReferences>
    <externalReference r:id="rId14"/>
    <externalReference r:id="rId15"/>
  </externalReferences>
  <definedNames>
    <definedName name="_xlnm.Print_Area" localSheetId="4">'Balance Sheet'!$A$1:$K$42</definedName>
    <definedName name="_xlnm.Print_Area" localSheetId="5">'Cash Flow'!$A$1:$K$39</definedName>
    <definedName name="_xlnm.Print_Area" localSheetId="0">Cost!$A$1:$E$39</definedName>
    <definedName name="_xlnm.Print_Area" localSheetId="1">'Cost Break Up'!$A$1:$E$78</definedName>
    <definedName name="_xlnm.Print_Area" localSheetId="2">Estimation!$A$1:$G$71</definedName>
    <definedName name="_xlnm.Print_Area" localSheetId="6">'Intt &amp; Depreciation'!$A$1:$G$55</definedName>
    <definedName name="_xlnm.Print_Area" localSheetId="3">Profitability!$A$1:$K$41</definedName>
    <definedName name="_xlnm.Print_Area" localSheetId="9">'Ratio Analysis'!$A$1:$L$119</definedName>
  </definedNames>
  <calcPr calcId="191029" iterate="1"/>
</workbook>
</file>

<file path=xl/calcChain.xml><?xml version="1.0" encoding="utf-8"?>
<calcChain xmlns="http://schemas.openxmlformats.org/spreadsheetml/2006/main">
  <c r="J13" i="24" l="1"/>
  <c r="H30" i="24"/>
  <c r="L93" i="24"/>
  <c r="J94" i="21" l="1"/>
  <c r="K94" i="21"/>
  <c r="L94" i="21"/>
  <c r="F37" i="18" l="1"/>
  <c r="F50" i="18" s="1"/>
  <c r="D19" i="4" l="1"/>
  <c r="E19" i="4" s="1"/>
  <c r="F19" i="4" l="1"/>
  <c r="G19" i="4" s="1"/>
  <c r="H19" i="4" s="1"/>
  <c r="I19" i="4" s="1"/>
  <c r="J19" i="4" s="1"/>
  <c r="K19" i="4" s="1"/>
  <c r="K100" i="24" l="1"/>
  <c r="J100" i="24"/>
  <c r="I100" i="24"/>
  <c r="H100" i="24"/>
  <c r="G100" i="24"/>
  <c r="F100" i="24"/>
  <c r="E100" i="24"/>
  <c r="D100" i="24"/>
  <c r="O17" i="9" l="1"/>
  <c r="M15" i="9"/>
  <c r="M17" i="9" s="1"/>
  <c r="I108" i="24" l="1"/>
  <c r="J108" i="24"/>
  <c r="K108" i="24"/>
  <c r="C114" i="24"/>
  <c r="C89" i="24" l="1"/>
  <c r="C64" i="24"/>
  <c r="C38" i="24"/>
  <c r="I32" i="24"/>
  <c r="I58" i="24" s="1"/>
  <c r="I83" i="24" s="1"/>
  <c r="J32" i="24"/>
  <c r="J58" i="24" s="1"/>
  <c r="J83" i="24" s="1"/>
  <c r="K32" i="24"/>
  <c r="K58" i="24" s="1"/>
  <c r="K83" i="24" s="1"/>
  <c r="K5" i="24" l="1"/>
  <c r="D5" i="24"/>
  <c r="K6" i="23" l="1"/>
  <c r="K7" i="23" s="1"/>
  <c r="K8" i="23" s="1"/>
  <c r="K9" i="23" s="1"/>
  <c r="K10" i="23" s="1"/>
  <c r="K11" i="23" s="1"/>
  <c r="K12" i="23" s="1"/>
  <c r="B20" i="2" l="1"/>
  <c r="B27" i="2"/>
  <c r="K21" i="19"/>
  <c r="J21" i="19"/>
  <c r="I21" i="19"/>
  <c r="E10" i="23"/>
  <c r="E9" i="23"/>
  <c r="I27" i="5" l="1"/>
  <c r="J27" i="5"/>
  <c r="K27" i="5"/>
  <c r="D18" i="4"/>
  <c r="E18" i="4" s="1"/>
  <c r="F18" i="4" s="1"/>
  <c r="G18" i="4" s="1"/>
  <c r="H18" i="4" s="1"/>
  <c r="I18" i="4" s="1"/>
  <c r="J18" i="4" s="1"/>
  <c r="K18" i="4" s="1"/>
  <c r="E33" i="4"/>
  <c r="F33" i="4"/>
  <c r="G33" i="4"/>
  <c r="G27" i="5" s="1"/>
  <c r="H33" i="4"/>
  <c r="D33" i="4"/>
  <c r="G94" i="21" l="1"/>
  <c r="F108" i="24"/>
  <c r="F32" i="24"/>
  <c r="F58" i="24" s="1"/>
  <c r="F83" i="24" s="1"/>
  <c r="E27" i="5"/>
  <c r="F94" i="21"/>
  <c r="E108" i="24"/>
  <c r="E32" i="24"/>
  <c r="E58" i="24" s="1"/>
  <c r="E83" i="24" s="1"/>
  <c r="D20" i="2"/>
  <c r="E20" i="2" s="1"/>
  <c r="F20" i="2" s="1"/>
  <c r="G20" i="2" s="1"/>
  <c r="H20" i="2" s="1"/>
  <c r="I20" i="2" s="1"/>
  <c r="J20" i="2" s="1"/>
  <c r="K20" i="2" s="1"/>
  <c r="E94" i="21"/>
  <c r="D108" i="24"/>
  <c r="D32" i="24"/>
  <c r="D58" i="24" s="1"/>
  <c r="D83" i="24" s="1"/>
  <c r="H27" i="5"/>
  <c r="I94" i="21"/>
  <c r="H108" i="24"/>
  <c r="H32" i="24"/>
  <c r="H58" i="24" s="1"/>
  <c r="H83" i="24" s="1"/>
  <c r="H94" i="21"/>
  <c r="G108" i="24"/>
  <c r="G32" i="24"/>
  <c r="G58" i="24" s="1"/>
  <c r="G83" i="24" s="1"/>
  <c r="F27" i="5"/>
  <c r="D27" i="5"/>
  <c r="G33" i="23"/>
  <c r="E14" i="6" s="1"/>
  <c r="J42" i="24" s="1"/>
  <c r="J68" i="24" s="1"/>
  <c r="J93" i="24" s="1"/>
  <c r="J118" i="24" s="1"/>
  <c r="G37" i="23"/>
  <c r="E15" i="6" s="1"/>
  <c r="K42" i="24" s="1"/>
  <c r="K68" i="24" s="1"/>
  <c r="K93" i="24" s="1"/>
  <c r="K118" i="24" s="1"/>
  <c r="G29" i="23"/>
  <c r="E13" i="6" s="1"/>
  <c r="I42" i="24" s="1"/>
  <c r="I68" i="24" s="1"/>
  <c r="I93" i="24" s="1"/>
  <c r="I118" i="24" s="1"/>
  <c r="G25" i="23"/>
  <c r="E12" i="6" s="1"/>
  <c r="H42" i="24" s="1"/>
  <c r="H68" i="24" s="1"/>
  <c r="H93" i="24" s="1"/>
  <c r="H118" i="24" s="1"/>
  <c r="G21" i="23"/>
  <c r="E11" i="6" s="1"/>
  <c r="G42" i="24" s="1"/>
  <c r="G68" i="24" s="1"/>
  <c r="G93" i="24" s="1"/>
  <c r="G118" i="24" s="1"/>
  <c r="G17" i="23"/>
  <c r="E10" i="6" s="1"/>
  <c r="F42" i="24" s="1"/>
  <c r="F68" i="24" s="1"/>
  <c r="F93" i="24" s="1"/>
  <c r="F118" i="24" s="1"/>
  <c r="G13" i="23"/>
  <c r="E9" i="6" s="1"/>
  <c r="E42" i="24" s="1"/>
  <c r="E68" i="24" s="1"/>
  <c r="E93" i="24" s="1"/>
  <c r="E118" i="24" s="1"/>
  <c r="G9" i="23"/>
  <c r="E8" i="6" s="1"/>
  <c r="D42" i="24" s="1"/>
  <c r="D68" i="24" l="1"/>
  <c r="L42" i="24"/>
  <c r="F9" i="23"/>
  <c r="D10" i="23" s="1"/>
  <c r="E11" i="23" s="1"/>
  <c r="M45" i="23"/>
  <c r="O38" i="23"/>
  <c r="O39" i="23"/>
  <c r="O40" i="23"/>
  <c r="O41" i="23"/>
  <c r="O42" i="23"/>
  <c r="O43" i="23"/>
  <c r="O37" i="23"/>
  <c r="O36" i="23"/>
  <c r="B12" i="23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N29" i="23"/>
  <c r="M29" i="23"/>
  <c r="N23" i="23"/>
  <c r="M23" i="23"/>
  <c r="D93" i="24" l="1"/>
  <c r="L68" i="24"/>
  <c r="F10" i="23"/>
  <c r="D11" i="23" s="1"/>
  <c r="E12" i="23" s="1"/>
  <c r="H9" i="23" s="1"/>
  <c r="G8" i="6" s="1"/>
  <c r="D34" i="4" s="1"/>
  <c r="D106" i="24" s="1"/>
  <c r="D117" i="24" s="1"/>
  <c r="N31" i="23"/>
  <c r="M31" i="23"/>
  <c r="O45" i="23"/>
  <c r="B37" i="23"/>
  <c r="B38" i="23" s="1"/>
  <c r="B39" i="23" s="1"/>
  <c r="D118" i="24" l="1"/>
  <c r="L118" i="24" s="1"/>
  <c r="F11" i="23"/>
  <c r="F12" i="23" s="1"/>
  <c r="D41" i="24"/>
  <c r="D30" i="24"/>
  <c r="D12" i="23" l="1"/>
  <c r="E13" i="23" s="1"/>
  <c r="D67" i="24"/>
  <c r="D56" i="24"/>
  <c r="D81" i="24" s="1"/>
  <c r="D92" i="24" s="1"/>
  <c r="F13" i="23"/>
  <c r="D13" i="23"/>
  <c r="E14" i="23" s="1"/>
  <c r="H16" i="22"/>
  <c r="H15" i="22"/>
  <c r="D10" i="22"/>
  <c r="E10" i="22" s="1"/>
  <c r="F10" i="22" s="1"/>
  <c r="G10" i="22" s="1"/>
  <c r="H10" i="22" s="1"/>
  <c r="I10" i="22" s="1"/>
  <c r="J10" i="22" s="1"/>
  <c r="K10" i="22" s="1"/>
  <c r="L10" i="22" s="1"/>
  <c r="M10" i="22" s="1"/>
  <c r="N10" i="22" s="1"/>
  <c r="O10" i="22" s="1"/>
  <c r="P10" i="22" s="1"/>
  <c r="Q10" i="22" s="1"/>
  <c r="R10" i="22" s="1"/>
  <c r="S10" i="22" s="1"/>
  <c r="T10" i="22" s="1"/>
  <c r="U10" i="22" s="1"/>
  <c r="V10" i="22" s="1"/>
  <c r="W10" i="22" s="1"/>
  <c r="X10" i="22" s="1"/>
  <c r="Y10" i="22" s="1"/>
  <c r="Z10" i="22" s="1"/>
  <c r="AA10" i="22" s="1"/>
  <c r="AB10" i="22" s="1"/>
  <c r="AC10" i="22" s="1"/>
  <c r="AD10" i="22" s="1"/>
  <c r="AE10" i="22" s="1"/>
  <c r="AF10" i="22" s="1"/>
  <c r="AG10" i="22" s="1"/>
  <c r="AH10" i="22" s="1"/>
  <c r="AI10" i="22" s="1"/>
  <c r="D14" i="23" l="1"/>
  <c r="E15" i="23" s="1"/>
  <c r="F14" i="23"/>
  <c r="C27" i="9"/>
  <c r="C29" i="9"/>
  <c r="B8" i="2" s="1"/>
  <c r="C8" i="2" s="1"/>
  <c r="E75" i="18"/>
  <c r="C33" i="9" l="1"/>
  <c r="B10" i="5"/>
  <c r="C10" i="5" s="1"/>
  <c r="B14" i="2"/>
  <c r="C14" i="2" s="1"/>
  <c r="D14" i="2" s="1"/>
  <c r="D15" i="23"/>
  <c r="E16" i="23" s="1"/>
  <c r="H13" i="23" s="1"/>
  <c r="G9" i="6" s="1"/>
  <c r="E34" i="4" s="1"/>
  <c r="E106" i="24" s="1"/>
  <c r="E117" i="24" s="1"/>
  <c r="F15" i="23"/>
  <c r="C37" i="4"/>
  <c r="E30" i="24" l="1"/>
  <c r="E41" i="24"/>
  <c r="D16" i="23"/>
  <c r="E17" i="23" s="1"/>
  <c r="F16" i="23"/>
  <c r="E67" i="24" l="1"/>
  <c r="E56" i="24"/>
  <c r="E81" i="24" s="1"/>
  <c r="E92" i="24" s="1"/>
  <c r="D17" i="23"/>
  <c r="E18" i="23" s="1"/>
  <c r="F17" i="23"/>
  <c r="D19" i="1"/>
  <c r="G26" i="1" s="1"/>
  <c r="D18" i="23" l="1"/>
  <c r="E19" i="23" s="1"/>
  <c r="F18" i="23"/>
  <c r="G7" i="22"/>
  <c r="F5" i="22"/>
  <c r="D29" i="19"/>
  <c r="E29" i="19"/>
  <c r="F29" i="19"/>
  <c r="G29" i="19"/>
  <c r="H29" i="19"/>
  <c r="I29" i="19"/>
  <c r="J29" i="19"/>
  <c r="K29" i="19"/>
  <c r="C29" i="19"/>
  <c r="B29" i="19"/>
  <c r="F4" i="21"/>
  <c r="G4" i="21"/>
  <c r="H4" i="21"/>
  <c r="I4" i="21"/>
  <c r="J4" i="21"/>
  <c r="K4" i="21"/>
  <c r="L4" i="21"/>
  <c r="E4" i="21"/>
  <c r="B100" i="21"/>
  <c r="B99" i="21"/>
  <c r="B98" i="21"/>
  <c r="B95" i="21"/>
  <c r="B13" i="21"/>
  <c r="E5" i="24" l="1"/>
  <c r="D19" i="23"/>
  <c r="E20" i="23" s="1"/>
  <c r="H17" i="23" s="1"/>
  <c r="G10" i="6" s="1"/>
  <c r="F19" i="23"/>
  <c r="E90" i="21"/>
  <c r="F5" i="24" l="1"/>
  <c r="D20" i="23"/>
  <c r="E21" i="23" s="1"/>
  <c r="F20" i="23"/>
  <c r="F90" i="21"/>
  <c r="G5" i="24" l="1"/>
  <c r="D21" i="23"/>
  <c r="E22" i="23" s="1"/>
  <c r="F21" i="23"/>
  <c r="G90" i="21"/>
  <c r="H5" i="24" l="1"/>
  <c r="D22" i="23"/>
  <c r="E23" i="23" s="1"/>
  <c r="F22" i="23"/>
  <c r="H90" i="21"/>
  <c r="I5" i="24" l="1"/>
  <c r="D23" i="23"/>
  <c r="E24" i="23" s="1"/>
  <c r="H21" i="23" s="1"/>
  <c r="G11" i="6" s="1"/>
  <c r="F23" i="23"/>
  <c r="I90" i="21"/>
  <c r="J5" i="24" l="1"/>
  <c r="D24" i="23"/>
  <c r="E25" i="23" s="1"/>
  <c r="F24" i="23"/>
  <c r="J90" i="21"/>
  <c r="D25" i="23" l="1"/>
  <c r="E26" i="23" s="1"/>
  <c r="F25" i="23"/>
  <c r="K90" i="21"/>
  <c r="L90" i="21"/>
  <c r="D26" i="23" l="1"/>
  <c r="E27" i="23" s="1"/>
  <c r="F26" i="23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E103" i="20"/>
  <c r="E104" i="20"/>
  <c r="E105" i="20"/>
  <c r="E106" i="20"/>
  <c r="E107" i="20"/>
  <c r="E108" i="20"/>
  <c r="E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83" i="20"/>
  <c r="D84" i="20"/>
  <c r="D85" i="20"/>
  <c r="D86" i="20"/>
  <c r="D87" i="20"/>
  <c r="D88" i="20"/>
  <c r="D89" i="20"/>
  <c r="D90" i="20"/>
  <c r="D91" i="20"/>
  <c r="D92" i="20"/>
  <c r="D93" i="20"/>
  <c r="D94" i="20"/>
  <c r="D95" i="20"/>
  <c r="D96" i="20"/>
  <c r="D97" i="20"/>
  <c r="D98" i="20"/>
  <c r="D99" i="20"/>
  <c r="D100" i="20"/>
  <c r="D101" i="20"/>
  <c r="D102" i="20"/>
  <c r="D103" i="20"/>
  <c r="D104" i="20"/>
  <c r="D105" i="20"/>
  <c r="D106" i="20"/>
  <c r="D107" i="20"/>
  <c r="D108" i="20"/>
  <c r="D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6" i="20"/>
  <c r="C87" i="20"/>
  <c r="C88" i="20"/>
  <c r="C89" i="20"/>
  <c r="C90" i="20"/>
  <c r="C91" i="20"/>
  <c r="C92" i="20"/>
  <c r="C93" i="20"/>
  <c r="C94" i="20"/>
  <c r="C95" i="20"/>
  <c r="C96" i="20"/>
  <c r="C97" i="20"/>
  <c r="C98" i="20"/>
  <c r="C99" i="20"/>
  <c r="C100" i="20"/>
  <c r="C101" i="20"/>
  <c r="C102" i="20"/>
  <c r="C103" i="20"/>
  <c r="C104" i="20"/>
  <c r="C105" i="20"/>
  <c r="C106" i="20"/>
  <c r="C107" i="20"/>
  <c r="C108" i="20"/>
  <c r="C10" i="20"/>
  <c r="D27" i="23" l="1"/>
  <c r="E28" i="23" s="1"/>
  <c r="F27" i="23"/>
  <c r="H25" i="23"/>
  <c r="G12" i="6" s="1"/>
  <c r="C26" i="4"/>
  <c r="C11" i="9"/>
  <c r="E17" i="18"/>
  <c r="D28" i="23" l="1"/>
  <c r="E29" i="23" s="1"/>
  <c r="F28" i="23"/>
  <c r="D5" i="22"/>
  <c r="D7" i="22" s="1"/>
  <c r="I12" i="22" s="1"/>
  <c r="E77" i="18"/>
  <c r="E21" i="18"/>
  <c r="D29" i="23" l="1"/>
  <c r="E30" i="23" s="1"/>
  <c r="F29" i="23"/>
  <c r="J18" i="5"/>
  <c r="N12" i="22"/>
  <c r="R12" i="22"/>
  <c r="V12" i="22"/>
  <c r="Z12" i="22"/>
  <c r="AD12" i="22"/>
  <c r="AH12" i="22"/>
  <c r="L12" i="22"/>
  <c r="P12" i="22"/>
  <c r="T12" i="22"/>
  <c r="X12" i="22"/>
  <c r="AB12" i="22"/>
  <c r="AF12" i="22"/>
  <c r="J12" i="22"/>
  <c r="L16" i="22" s="1"/>
  <c r="E18" i="5" s="1"/>
  <c r="M12" i="22"/>
  <c r="Q12" i="22"/>
  <c r="U12" i="22"/>
  <c r="Y12" i="22"/>
  <c r="AC12" i="22"/>
  <c r="AG12" i="22"/>
  <c r="AI16" i="22" s="1"/>
  <c r="K12" i="22"/>
  <c r="O12" i="22"/>
  <c r="S12" i="22"/>
  <c r="W12" i="22"/>
  <c r="AA12" i="22"/>
  <c r="AE12" i="22"/>
  <c r="AI12" i="22"/>
  <c r="D18" i="5"/>
  <c r="F18" i="5"/>
  <c r="C11" i="22"/>
  <c r="C13" i="22" s="1"/>
  <c r="E7" i="22"/>
  <c r="D11" i="22"/>
  <c r="E7" i="6"/>
  <c r="C18" i="5" s="1"/>
  <c r="C30" i="5" s="1"/>
  <c r="C22" i="2"/>
  <c r="C21" i="2"/>
  <c r="C25" i="2" s="1"/>
  <c r="D5" i="4"/>
  <c r="E5" i="4" s="1"/>
  <c r="T16" i="22" l="1"/>
  <c r="G18" i="5" s="1"/>
  <c r="AF16" i="22"/>
  <c r="P16" i="22"/>
  <c r="D30" i="23"/>
  <c r="E31" i="23" s="1"/>
  <c r="F30" i="23"/>
  <c r="C26" i="2"/>
  <c r="AB16" i="22"/>
  <c r="I18" i="5" s="1"/>
  <c r="X16" i="22"/>
  <c r="H18" i="5" s="1"/>
  <c r="B7" i="6"/>
  <c r="D13" i="22"/>
  <c r="G7" i="6" s="1"/>
  <c r="C14" i="22"/>
  <c r="D14" i="22"/>
  <c r="E11" i="22" s="1"/>
  <c r="D16" i="1"/>
  <c r="D31" i="23" l="1"/>
  <c r="E32" i="23" s="1"/>
  <c r="H29" i="23" s="1"/>
  <c r="G13" i="6" s="1"/>
  <c r="F31" i="23"/>
  <c r="E13" i="22"/>
  <c r="E14" i="22"/>
  <c r="F11" i="22" s="1"/>
  <c r="F13" i="22" s="1"/>
  <c r="G24" i="1"/>
  <c r="G53" i="1"/>
  <c r="E14" i="2"/>
  <c r="F14" i="2" s="1"/>
  <c r="G14" i="2" s="1"/>
  <c r="H14" i="2" s="1"/>
  <c r="I14" i="2" s="1"/>
  <c r="J14" i="2" s="1"/>
  <c r="K14" i="2" s="1"/>
  <c r="D32" i="23" l="1"/>
  <c r="E33" i="23" s="1"/>
  <c r="F32" i="23"/>
  <c r="F14" i="22"/>
  <c r="G11" i="22" s="1"/>
  <c r="D33" i="23" l="1"/>
  <c r="E34" i="23" s="1"/>
  <c r="F33" i="23"/>
  <c r="G14" i="22"/>
  <c r="H11" i="22" s="1"/>
  <c r="H13" i="22" s="1"/>
  <c r="G13" i="22"/>
  <c r="D6" i="6"/>
  <c r="C30" i="9"/>
  <c r="H14" i="22" l="1"/>
  <c r="I11" i="22" s="1"/>
  <c r="D34" i="23"/>
  <c r="E35" i="23" s="1"/>
  <c r="F34" i="23"/>
  <c r="C10" i="2"/>
  <c r="C12" i="2" s="1"/>
  <c r="C7" i="5"/>
  <c r="I14" i="22"/>
  <c r="J11" i="22" s="1"/>
  <c r="I13" i="22"/>
  <c r="D35" i="23" l="1"/>
  <c r="E36" i="23" s="1"/>
  <c r="H33" i="23" s="1"/>
  <c r="G14" i="6" s="1"/>
  <c r="F35" i="23"/>
  <c r="J13" i="22"/>
  <c r="J14" i="22"/>
  <c r="K11" i="22" s="1"/>
  <c r="E6" i="4"/>
  <c r="E7" i="4" s="1"/>
  <c r="F6" i="4"/>
  <c r="F7" i="4" s="1"/>
  <c r="G6" i="4"/>
  <c r="G7" i="4" s="1"/>
  <c r="H6" i="4"/>
  <c r="H7" i="4" s="1"/>
  <c r="I6" i="4"/>
  <c r="I7" i="4" s="1"/>
  <c r="J6" i="4"/>
  <c r="J7" i="4" s="1"/>
  <c r="K6" i="4"/>
  <c r="K7" i="4" s="1"/>
  <c r="D6" i="4"/>
  <c r="D7" i="4" s="1"/>
  <c r="D11" i="1"/>
  <c r="D12" i="1" s="1"/>
  <c r="D36" i="23" l="1"/>
  <c r="E37" i="23" s="1"/>
  <c r="F36" i="23"/>
  <c r="K14" i="22"/>
  <c r="L11" i="22" s="1"/>
  <c r="K13" i="22"/>
  <c r="D18" i="1"/>
  <c r="D17" i="1"/>
  <c r="H2" i="6"/>
  <c r="K1" i="5"/>
  <c r="K2" i="2"/>
  <c r="L2" i="4"/>
  <c r="D37" i="23" l="1"/>
  <c r="E38" i="23" s="1"/>
  <c r="F37" i="23"/>
  <c r="K18" i="5"/>
  <c r="L13" i="22"/>
  <c r="L15" i="22" s="1"/>
  <c r="C20" i="6"/>
  <c r="C22" i="6" s="1"/>
  <c r="C23" i="6" s="1"/>
  <c r="C25" i="6" s="1"/>
  <c r="C27" i="6" s="1"/>
  <c r="C28" i="6" s="1"/>
  <c r="C31" i="6" s="1"/>
  <c r="C32" i="6" s="1"/>
  <c r="C35" i="6" s="1"/>
  <c r="C36" i="6" s="1"/>
  <c r="C39" i="6" s="1"/>
  <c r="C40" i="6" s="1"/>
  <c r="C43" i="6" s="1"/>
  <c r="C44" i="6" s="1"/>
  <c r="C47" i="6" s="1"/>
  <c r="C48" i="6" s="1"/>
  <c r="C51" i="6" s="1"/>
  <c r="C52" i="6" s="1"/>
  <c r="C55" i="6" s="1"/>
  <c r="D38" i="23" l="1"/>
  <c r="E39" i="23" s="1"/>
  <c r="H37" i="23" s="1"/>
  <c r="G15" i="6" s="1"/>
  <c r="F38" i="23"/>
  <c r="L14" i="22"/>
  <c r="M11" i="22" s="1"/>
  <c r="D17" i="4"/>
  <c r="D25" i="4" s="1"/>
  <c r="D10" i="4"/>
  <c r="E10" i="4" s="1"/>
  <c r="F10" i="4" s="1"/>
  <c r="G10" i="4" s="1"/>
  <c r="H10" i="4" s="1"/>
  <c r="I10" i="4" s="1"/>
  <c r="J10" i="4" s="1"/>
  <c r="K10" i="4" s="1"/>
  <c r="D39" i="23" l="1"/>
  <c r="F39" i="23"/>
  <c r="M13" i="22"/>
  <c r="M14" i="22"/>
  <c r="N11" i="22" s="1"/>
  <c r="E17" i="4"/>
  <c r="E25" i="4" s="1"/>
  <c r="D14" i="4"/>
  <c r="N13" i="22" l="1"/>
  <c r="N14" i="22"/>
  <c r="O11" i="22" s="1"/>
  <c r="D26" i="4"/>
  <c r="F17" i="4"/>
  <c r="F25" i="4" s="1"/>
  <c r="E14" i="4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B50" i="1"/>
  <c r="G25" i="1"/>
  <c r="E29" i="18"/>
  <c r="O13" i="22" l="1"/>
  <c r="O14" i="22"/>
  <c r="P11" i="22" s="1"/>
  <c r="E26" i="4"/>
  <c r="F14" i="4"/>
  <c r="G17" i="4"/>
  <c r="G25" i="4" s="1"/>
  <c r="D12" i="4"/>
  <c r="D16" i="4" s="1"/>
  <c r="P14" i="22" l="1"/>
  <c r="Q11" i="22" s="1"/>
  <c r="P13" i="22"/>
  <c r="P15" i="22" s="1"/>
  <c r="F26" i="4"/>
  <c r="H17" i="4"/>
  <c r="H25" i="4" s="1"/>
  <c r="G14" i="4"/>
  <c r="E12" i="4"/>
  <c r="A2" i="1"/>
  <c r="E28" i="18"/>
  <c r="A2" i="18"/>
  <c r="Q13" i="22" l="1"/>
  <c r="Q14" i="22"/>
  <c r="R11" i="22" s="1"/>
  <c r="F12" i="4"/>
  <c r="F16" i="4" s="1"/>
  <c r="E16" i="4"/>
  <c r="G26" i="4"/>
  <c r="H14" i="4"/>
  <c r="I17" i="4"/>
  <c r="I25" i="4" s="1"/>
  <c r="E34" i="18"/>
  <c r="E33" i="18"/>
  <c r="E32" i="18"/>
  <c r="E30" i="18"/>
  <c r="E54" i="18"/>
  <c r="E69" i="18" s="1"/>
  <c r="G12" i="4" l="1"/>
  <c r="G16" i="4" s="1"/>
  <c r="R14" i="22"/>
  <c r="S11" i="22" s="1"/>
  <c r="R13" i="22"/>
  <c r="H26" i="4"/>
  <c r="J17" i="4"/>
  <c r="J25" i="4" s="1"/>
  <c r="I14" i="4"/>
  <c r="B22" i="4"/>
  <c r="C22" i="4" s="1"/>
  <c r="G61" i="1"/>
  <c r="G51" i="1"/>
  <c r="G52" i="1"/>
  <c r="H12" i="4" l="1"/>
  <c r="H16" i="4" s="1"/>
  <c r="S13" i="22"/>
  <c r="S14" i="22"/>
  <c r="T11" i="22" s="1"/>
  <c r="D31" i="4"/>
  <c r="I26" i="4"/>
  <c r="I22" i="4"/>
  <c r="D22" i="4"/>
  <c r="E22" i="4"/>
  <c r="F22" i="4"/>
  <c r="G22" i="4"/>
  <c r="H22" i="4"/>
  <c r="I12" i="4"/>
  <c r="I16" i="4" s="1"/>
  <c r="K17" i="4"/>
  <c r="K25" i="4" s="1"/>
  <c r="K14" i="4"/>
  <c r="J14" i="4"/>
  <c r="E31" i="4"/>
  <c r="F31" i="4" s="1"/>
  <c r="G31" i="4" s="1"/>
  <c r="H31" i="4" s="1"/>
  <c r="I31" i="4" s="1"/>
  <c r="J31" i="4" s="1"/>
  <c r="K31" i="4" s="1"/>
  <c r="D11" i="4"/>
  <c r="T14" i="22" l="1"/>
  <c r="U11" i="22" s="1"/>
  <c r="T13" i="22"/>
  <c r="T15" i="22" s="1"/>
  <c r="K22" i="4"/>
  <c r="J22" i="4"/>
  <c r="E11" i="4"/>
  <c r="D15" i="4"/>
  <c r="D25" i="24" s="1"/>
  <c r="K26" i="4"/>
  <c r="J26" i="4"/>
  <c r="J12" i="4"/>
  <c r="J16" i="4" s="1"/>
  <c r="C19" i="9"/>
  <c r="C13" i="9"/>
  <c r="D21" i="2" l="1"/>
  <c r="U13" i="22"/>
  <c r="U14" i="22"/>
  <c r="V11" i="22" s="1"/>
  <c r="F19" i="9"/>
  <c r="G19" i="9" s="1"/>
  <c r="F13" i="9"/>
  <c r="D20" i="6"/>
  <c r="F11" i="4"/>
  <c r="E15" i="4"/>
  <c r="E25" i="24" s="1"/>
  <c r="K12" i="4"/>
  <c r="K16" i="4" s="1"/>
  <c r="G21" i="1"/>
  <c r="A1" i="18"/>
  <c r="G27" i="1" l="1"/>
  <c r="V14" i="22"/>
  <c r="W11" i="22" s="1"/>
  <c r="V13" i="22"/>
  <c r="G13" i="9"/>
  <c r="H13" i="9" s="1"/>
  <c r="E22" i="2"/>
  <c r="G11" i="4"/>
  <c r="F15" i="4"/>
  <c r="F25" i="24" s="1"/>
  <c r="A1" i="2"/>
  <c r="C17" i="9"/>
  <c r="F17" i="9" s="1"/>
  <c r="G17" i="9" s="1"/>
  <c r="H17" i="9" s="1"/>
  <c r="F22" i="2" l="1"/>
  <c r="W13" i="22"/>
  <c r="W14" i="22"/>
  <c r="X11" i="22" s="1"/>
  <c r="H11" i="4"/>
  <c r="G15" i="4"/>
  <c r="G25" i="24" s="1"/>
  <c r="F20" i="6"/>
  <c r="A1" i="6"/>
  <c r="A1" i="1"/>
  <c r="A1" i="5" s="1"/>
  <c r="X14" i="22" l="1"/>
  <c r="Y11" i="22" s="1"/>
  <c r="X13" i="22"/>
  <c r="X15" i="22" s="1"/>
  <c r="G22" i="2"/>
  <c r="I11" i="4"/>
  <c r="H15" i="4"/>
  <c r="H25" i="24" s="1"/>
  <c r="E31" i="18"/>
  <c r="E27" i="18"/>
  <c r="H22" i="2" l="1"/>
  <c r="Y13" i="22"/>
  <c r="Y14" i="22"/>
  <c r="Z11" i="22" s="1"/>
  <c r="J11" i="4"/>
  <c r="I15" i="4"/>
  <c r="I25" i="24" s="1"/>
  <c r="E50" i="18"/>
  <c r="B32" i="5"/>
  <c r="B29" i="5"/>
  <c r="B23" i="5"/>
  <c r="C21" i="5" s="1"/>
  <c r="F6" i="6"/>
  <c r="C15" i="9" l="1"/>
  <c r="K15" i="9" s="1"/>
  <c r="K16" i="9" s="1"/>
  <c r="G50" i="18"/>
  <c r="I22" i="2"/>
  <c r="B13" i="2"/>
  <c r="B34" i="2" s="1"/>
  <c r="Z14" i="22"/>
  <c r="AA11" i="22" s="1"/>
  <c r="Z13" i="22"/>
  <c r="C21" i="9"/>
  <c r="F15" i="9"/>
  <c r="K11" i="4"/>
  <c r="K15" i="4" s="1"/>
  <c r="K25" i="24" s="1"/>
  <c r="J15" i="4"/>
  <c r="J25" i="24" s="1"/>
  <c r="D10" i="19"/>
  <c r="E20" i="6"/>
  <c r="A1" i="4"/>
  <c r="A2" i="5" s="1"/>
  <c r="A2" i="6" s="1"/>
  <c r="J22" i="2" l="1"/>
  <c r="C31" i="9"/>
  <c r="C21" i="19"/>
  <c r="C23" i="19" s="1"/>
  <c r="AA13" i="22"/>
  <c r="AA14" i="22"/>
  <c r="AB11" i="22" s="1"/>
  <c r="G15" i="9"/>
  <c r="F21" i="9"/>
  <c r="K22" i="2"/>
  <c r="G20" i="6"/>
  <c r="H20" i="6"/>
  <c r="B21" i="2"/>
  <c r="B25" i="2" s="1"/>
  <c r="B9" i="5"/>
  <c r="B30" i="19" l="1"/>
  <c r="B33" i="19" s="1"/>
  <c r="B26" i="2"/>
  <c r="B28" i="2" s="1"/>
  <c r="AB14" i="22"/>
  <c r="AC11" i="22" s="1"/>
  <c r="AB13" i="22"/>
  <c r="AB15" i="22" s="1"/>
  <c r="H15" i="9"/>
  <c r="G21" i="9"/>
  <c r="F7" i="6"/>
  <c r="C13" i="2" s="1"/>
  <c r="B30" i="2"/>
  <c r="AC13" i="22" l="1"/>
  <c r="AC14" i="22"/>
  <c r="AD11" i="22" s="1"/>
  <c r="C34" i="2"/>
  <c r="C9" i="5"/>
  <c r="C30" i="2"/>
  <c r="A67" i="1"/>
  <c r="AD14" i="22" l="1"/>
  <c r="AE11" i="22" s="1"/>
  <c r="AD13" i="22"/>
  <c r="C28" i="5"/>
  <c r="C31" i="5"/>
  <c r="E21" i="2"/>
  <c r="E25" i="2" s="1"/>
  <c r="G30" i="5"/>
  <c r="H96" i="21" s="1"/>
  <c r="F30" i="5"/>
  <c r="G96" i="21" s="1"/>
  <c r="E30" i="5"/>
  <c r="F96" i="21" s="1"/>
  <c r="D30" i="5"/>
  <c r="E96" i="21" s="1"/>
  <c r="J30" i="5"/>
  <c r="K96" i="21" s="1"/>
  <c r="I30" i="5"/>
  <c r="J96" i="21" s="1"/>
  <c r="H30" i="5"/>
  <c r="I96" i="21" s="1"/>
  <c r="B24" i="4"/>
  <c r="E26" i="2" l="1"/>
  <c r="AE13" i="22"/>
  <c r="AE14" i="22"/>
  <c r="AF11" i="22" s="1"/>
  <c r="C32" i="5"/>
  <c r="F21" i="2"/>
  <c r="F25" i="2" s="1"/>
  <c r="F17" i="5" s="1"/>
  <c r="B8" i="6"/>
  <c r="F26" i="2" l="1"/>
  <c r="AF14" i="22"/>
  <c r="AG11" i="22" s="1"/>
  <c r="AF13" i="22"/>
  <c r="AF15" i="22" s="1"/>
  <c r="G21" i="2"/>
  <c r="G25" i="2" s="1"/>
  <c r="G17" i="5" s="1"/>
  <c r="G41" i="6"/>
  <c r="H21" i="19" s="1"/>
  <c r="G37" i="6"/>
  <c r="G21" i="19" s="1"/>
  <c r="G33" i="6"/>
  <c r="F21" i="19" s="1"/>
  <c r="G29" i="6"/>
  <c r="E21" i="19" s="1"/>
  <c r="G26" i="2" l="1"/>
  <c r="AG13" i="22"/>
  <c r="AG14" i="22"/>
  <c r="AH11" i="22" s="1"/>
  <c r="H21" i="2"/>
  <c r="H25" i="2" s="1"/>
  <c r="H17" i="5" s="1"/>
  <c r="H26" i="2" l="1"/>
  <c r="AH14" i="22"/>
  <c r="AI11" i="22" s="1"/>
  <c r="AH13" i="22"/>
  <c r="D23" i="4"/>
  <c r="E23" i="4"/>
  <c r="F23" i="4"/>
  <c r="G23" i="4"/>
  <c r="H23" i="4"/>
  <c r="I23" i="4"/>
  <c r="J23" i="4"/>
  <c r="K23" i="4"/>
  <c r="I21" i="2"/>
  <c r="I25" i="2" s="1"/>
  <c r="I17" i="5" s="1"/>
  <c r="H21" i="6"/>
  <c r="I26" i="2" l="1"/>
  <c r="AI13" i="22"/>
  <c r="AI15" i="22" s="1"/>
  <c r="AI14" i="22"/>
  <c r="J21" i="2"/>
  <c r="J25" i="2" s="1"/>
  <c r="J17" i="5" s="1"/>
  <c r="K21" i="2"/>
  <c r="K25" i="2" s="1"/>
  <c r="F22" i="6"/>
  <c r="G24" i="6"/>
  <c r="D21" i="19" s="1"/>
  <c r="K17" i="5" l="1"/>
  <c r="J26" i="2"/>
  <c r="K26" i="2"/>
  <c r="D22" i="6"/>
  <c r="D23" i="6" s="1"/>
  <c r="D25" i="6" s="1"/>
  <c r="D26" i="6" s="1"/>
  <c r="G21" i="6"/>
  <c r="G22" i="6" s="1"/>
  <c r="E22" i="6"/>
  <c r="C18" i="2" l="1"/>
  <c r="C16" i="5" s="1"/>
  <c r="B18" i="2"/>
  <c r="B16" i="5" s="1"/>
  <c r="G23" i="6"/>
  <c r="G25" i="6" s="1"/>
  <c r="F23" i="6"/>
  <c r="F25" i="6" s="1"/>
  <c r="F26" i="6" s="1"/>
  <c r="D29" i="4"/>
  <c r="D28" i="4"/>
  <c r="E28" i="4" s="1"/>
  <c r="F28" i="4" s="1"/>
  <c r="G28" i="4" s="1"/>
  <c r="H28" i="4" s="1"/>
  <c r="I28" i="4" s="1"/>
  <c r="J28" i="4" s="1"/>
  <c r="K28" i="4" s="1"/>
  <c r="F27" i="6" l="1"/>
  <c r="F28" i="6" s="1"/>
  <c r="F30" i="6" s="1"/>
  <c r="F31" i="6" s="1"/>
  <c r="F32" i="6" s="1"/>
  <c r="F34" i="6" s="1"/>
  <c r="F35" i="6" s="1"/>
  <c r="F36" i="6" s="1"/>
  <c r="F38" i="6" s="1"/>
  <c r="F39" i="6" s="1"/>
  <c r="F40" i="6" s="1"/>
  <c r="F42" i="6" s="1"/>
  <c r="F43" i="6" s="1"/>
  <c r="F44" i="6" s="1"/>
  <c r="F46" i="6" s="1"/>
  <c r="F47" i="6" s="1"/>
  <c r="F48" i="6" s="1"/>
  <c r="F50" i="6" s="1"/>
  <c r="F51" i="6" s="1"/>
  <c r="F52" i="6" s="1"/>
  <c r="F54" i="6" s="1"/>
  <c r="F55" i="6" s="1"/>
  <c r="E29" i="4"/>
  <c r="F29" i="4" s="1"/>
  <c r="G29" i="4" s="1"/>
  <c r="H29" i="4" s="1"/>
  <c r="I29" i="4" s="1"/>
  <c r="J29" i="4" s="1"/>
  <c r="K29" i="4" s="1"/>
  <c r="B10" i="2"/>
  <c r="B12" i="2" s="1"/>
  <c r="B7" i="5"/>
  <c r="B14" i="5" s="1"/>
  <c r="E23" i="6"/>
  <c r="E25" i="6" s="1"/>
  <c r="E26" i="6" s="1"/>
  <c r="D27" i="6"/>
  <c r="D28" i="6" s="1"/>
  <c r="D30" i="6" s="1"/>
  <c r="B31" i="2" l="1"/>
  <c r="B32" i="2" s="1"/>
  <c r="B35" i="2"/>
  <c r="B36" i="2" s="1"/>
  <c r="B16" i="2"/>
  <c r="E27" i="6"/>
  <c r="E28" i="6" s="1"/>
  <c r="E30" i="6" s="1"/>
  <c r="E31" i="6" s="1"/>
  <c r="E32" i="6" s="1"/>
  <c r="E34" i="6" s="1"/>
  <c r="E35" i="6" s="1"/>
  <c r="E36" i="6" s="1"/>
  <c r="E38" i="6" s="1"/>
  <c r="E39" i="6" s="1"/>
  <c r="E40" i="6" s="1"/>
  <c r="E42" i="6" s="1"/>
  <c r="E43" i="6" s="1"/>
  <c r="E44" i="6" s="1"/>
  <c r="E46" i="6" s="1"/>
  <c r="E47" i="6" s="1"/>
  <c r="E48" i="6" s="1"/>
  <c r="E50" i="6" s="1"/>
  <c r="E51" i="6" s="1"/>
  <c r="E52" i="6" s="1"/>
  <c r="E54" i="6" s="1"/>
  <c r="E55" i="6" s="1"/>
  <c r="G26" i="6"/>
  <c r="D22" i="2"/>
  <c r="D20" i="4"/>
  <c r="D30" i="4" s="1"/>
  <c r="D31" i="6"/>
  <c r="D32" i="6" s="1"/>
  <c r="D34" i="6" s="1"/>
  <c r="E24" i="1"/>
  <c r="E17" i="1"/>
  <c r="E21" i="1" s="1"/>
  <c r="E27" i="1" s="1"/>
  <c r="D30" i="1"/>
  <c r="D50" i="1" s="1"/>
  <c r="G50" i="1" s="1"/>
  <c r="E61" i="1"/>
  <c r="D51" i="24" l="1"/>
  <c r="D76" i="24" s="1"/>
  <c r="D4" i="24"/>
  <c r="D25" i="2"/>
  <c r="E17" i="5" s="1"/>
  <c r="D11" i="5"/>
  <c r="D32" i="4"/>
  <c r="B20" i="5"/>
  <c r="E6" i="21"/>
  <c r="E13" i="21" s="1"/>
  <c r="E14" i="21" s="1"/>
  <c r="D24" i="4"/>
  <c r="D26" i="2"/>
  <c r="G27" i="6"/>
  <c r="D18" i="2" s="1"/>
  <c r="C26" i="5"/>
  <c r="F20" i="4"/>
  <c r="F30" i="4" s="1"/>
  <c r="G34" i="6"/>
  <c r="G30" i="6"/>
  <c r="B24" i="2"/>
  <c r="B37" i="2" s="1"/>
  <c r="E20" i="4"/>
  <c r="E30" i="4" s="1"/>
  <c r="D35" i="6"/>
  <c r="D36" i="6" s="1"/>
  <c r="D38" i="6" s="1"/>
  <c r="G38" i="6" s="1"/>
  <c r="E25" i="1"/>
  <c r="E64" i="1" s="1"/>
  <c r="D20" i="19" l="1"/>
  <c r="D107" i="24"/>
  <c r="D31" i="24"/>
  <c r="D57" i="24" s="1"/>
  <c r="D82" i="24" s="1"/>
  <c r="D109" i="24"/>
  <c r="D113" i="24" s="1"/>
  <c r="D114" i="24" s="1"/>
  <c r="D115" i="24" s="1"/>
  <c r="F6" i="21"/>
  <c r="F13" i="21" s="1"/>
  <c r="F14" i="21" s="1"/>
  <c r="E51" i="24"/>
  <c r="E76" i="24" s="1"/>
  <c r="E4" i="24"/>
  <c r="G6" i="21"/>
  <c r="G13" i="21" s="1"/>
  <c r="F51" i="24"/>
  <c r="F76" i="24" s="1"/>
  <c r="F4" i="24"/>
  <c r="G63" i="1"/>
  <c r="E11" i="5"/>
  <c r="E26" i="5" s="1"/>
  <c r="F92" i="21" s="1"/>
  <c r="E32" i="4"/>
  <c r="G11" i="5"/>
  <c r="G32" i="4"/>
  <c r="F11" i="5"/>
  <c r="F26" i="5" s="1"/>
  <c r="G92" i="21" s="1"/>
  <c r="F32" i="4"/>
  <c r="D17" i="5"/>
  <c r="C24" i="2"/>
  <c r="C37" i="2" s="1"/>
  <c r="E24" i="4"/>
  <c r="F24" i="4"/>
  <c r="G28" i="6"/>
  <c r="G31" i="6" s="1"/>
  <c r="E18" i="2" s="1"/>
  <c r="D26" i="5"/>
  <c r="E92" i="21" s="1"/>
  <c r="L26" i="2"/>
  <c r="G20" i="4"/>
  <c r="G30" i="4" s="1"/>
  <c r="D39" i="6"/>
  <c r="D40" i="6" s="1"/>
  <c r="D42" i="6" s="1"/>
  <c r="G42" i="6" s="1"/>
  <c r="D27" i="4"/>
  <c r="F8" i="6"/>
  <c r="D11" i="24" l="1"/>
  <c r="D29" i="24"/>
  <c r="D80" i="24"/>
  <c r="D55" i="24"/>
  <c r="G20" i="19"/>
  <c r="G107" i="24"/>
  <c r="G31" i="24"/>
  <c r="G57" i="24" s="1"/>
  <c r="G82" i="24" s="1"/>
  <c r="D54" i="24"/>
  <c r="F20" i="19"/>
  <c r="F107" i="24"/>
  <c r="F31" i="24"/>
  <c r="F57" i="24" s="1"/>
  <c r="F82" i="24" s="1"/>
  <c r="E20" i="19"/>
  <c r="E107" i="24"/>
  <c r="E31" i="24"/>
  <c r="E57" i="24" s="1"/>
  <c r="E82" i="24" s="1"/>
  <c r="D28" i="24"/>
  <c r="D119" i="24"/>
  <c r="D116" i="24"/>
  <c r="D79" i="24"/>
  <c r="E109" i="24"/>
  <c r="E113" i="24" s="1"/>
  <c r="E114" i="24" s="1"/>
  <c r="E115" i="24" s="1"/>
  <c r="D7" i="24"/>
  <c r="D33" i="24"/>
  <c r="D37" i="24" s="1"/>
  <c r="D38" i="24" s="1"/>
  <c r="D39" i="24" s="1"/>
  <c r="G14" i="21"/>
  <c r="H6" i="21"/>
  <c r="H13" i="21" s="1"/>
  <c r="H14" i="21" s="1"/>
  <c r="G51" i="24"/>
  <c r="G76" i="24" s="1"/>
  <c r="G4" i="24"/>
  <c r="H11" i="5"/>
  <c r="H32" i="4"/>
  <c r="C15" i="2"/>
  <c r="D24" i="2"/>
  <c r="C19" i="5"/>
  <c r="C20" i="5" s="1"/>
  <c r="G24" i="4"/>
  <c r="D13" i="2"/>
  <c r="C8" i="5"/>
  <c r="G26" i="5"/>
  <c r="H92" i="21" s="1"/>
  <c r="H20" i="4"/>
  <c r="H30" i="4" s="1"/>
  <c r="G32" i="6"/>
  <c r="G35" i="6" s="1"/>
  <c r="E27" i="4"/>
  <c r="E28" i="24" s="1"/>
  <c r="D43" i="6"/>
  <c r="D44" i="6" s="1"/>
  <c r="D46" i="6" s="1"/>
  <c r="G46" i="6" s="1"/>
  <c r="B9" i="6"/>
  <c r="D59" i="24" l="1"/>
  <c r="D63" i="24" s="1"/>
  <c r="E54" i="24"/>
  <c r="H20" i="19"/>
  <c r="H107" i="24"/>
  <c r="H31" i="24"/>
  <c r="H57" i="24" s="1"/>
  <c r="H82" i="24" s="1"/>
  <c r="E11" i="24"/>
  <c r="E55" i="24"/>
  <c r="E80" i="24"/>
  <c r="E29" i="24"/>
  <c r="E79" i="24"/>
  <c r="E116" i="24"/>
  <c r="D40" i="24"/>
  <c r="D84" i="24"/>
  <c r="D88" i="24" s="1"/>
  <c r="D89" i="24" s="1"/>
  <c r="D90" i="24" s="1"/>
  <c r="E7" i="24"/>
  <c r="D8" i="24"/>
  <c r="D65" i="24"/>
  <c r="E84" i="24"/>
  <c r="E88" i="24" s="1"/>
  <c r="I6" i="21"/>
  <c r="I13" i="21" s="1"/>
  <c r="I14" i="21" s="1"/>
  <c r="H51" i="24"/>
  <c r="H76" i="24" s="1"/>
  <c r="H4" i="24"/>
  <c r="E24" i="2"/>
  <c r="F18" i="2"/>
  <c r="I11" i="5"/>
  <c r="I32" i="4"/>
  <c r="D34" i="2"/>
  <c r="C13" i="5"/>
  <c r="C27" i="2"/>
  <c r="C41" i="2" s="1"/>
  <c r="D37" i="2"/>
  <c r="D35" i="4"/>
  <c r="D15" i="2" s="1"/>
  <c r="G62" i="1"/>
  <c r="G64" i="1" s="1"/>
  <c r="G65" i="1" s="1"/>
  <c r="F27" i="4"/>
  <c r="H24" i="4"/>
  <c r="H26" i="5"/>
  <c r="I92" i="21" s="1"/>
  <c r="C14" i="5"/>
  <c r="C22" i="5" s="1"/>
  <c r="C23" i="5" s="1"/>
  <c r="D21" i="5" s="1"/>
  <c r="D30" i="2"/>
  <c r="I20" i="4"/>
  <c r="I30" i="4" s="1"/>
  <c r="G36" i="6"/>
  <c r="G39" i="6" s="1"/>
  <c r="D47" i="6"/>
  <c r="D48" i="6" s="1"/>
  <c r="D50" i="6" s="1"/>
  <c r="G50" i="6" s="1"/>
  <c r="F9" i="6"/>
  <c r="E13" i="2" s="1"/>
  <c r="I20" i="19" l="1"/>
  <c r="I107" i="24"/>
  <c r="I31" i="24"/>
  <c r="I57" i="24" s="1"/>
  <c r="I82" i="24" s="1"/>
  <c r="E119" i="24"/>
  <c r="F55" i="24"/>
  <c r="F29" i="24"/>
  <c r="F80" i="24"/>
  <c r="F79" i="24"/>
  <c r="F28" i="24"/>
  <c r="F54" i="24"/>
  <c r="D43" i="24"/>
  <c r="E59" i="24"/>
  <c r="E63" i="24" s="1"/>
  <c r="E65" i="24" s="1"/>
  <c r="D91" i="24"/>
  <c r="D66" i="24"/>
  <c r="E33" i="24"/>
  <c r="E37" i="24" s="1"/>
  <c r="E38" i="24" s="1"/>
  <c r="E39" i="24" s="1"/>
  <c r="E8" i="24"/>
  <c r="E12" i="24" s="1"/>
  <c r="E13" i="24" s="1"/>
  <c r="E14" i="24" s="1"/>
  <c r="E90" i="24"/>
  <c r="D12" i="24"/>
  <c r="D13" i="24" s="1"/>
  <c r="D14" i="24" s="1"/>
  <c r="D9" i="24"/>
  <c r="F7" i="24"/>
  <c r="F8" i="24" s="1"/>
  <c r="J6" i="21"/>
  <c r="J13" i="21" s="1"/>
  <c r="J14" i="21" s="1"/>
  <c r="I51" i="24"/>
  <c r="I76" i="24" s="1"/>
  <c r="I4" i="24"/>
  <c r="J11" i="5"/>
  <c r="J32" i="4"/>
  <c r="F24" i="2"/>
  <c r="G18" i="2"/>
  <c r="E34" i="2"/>
  <c r="D27" i="2"/>
  <c r="D41" i="2" s="1"/>
  <c r="D42" i="2" s="1"/>
  <c r="D22" i="19" s="1"/>
  <c r="C28" i="2"/>
  <c r="C25" i="5"/>
  <c r="D28" i="5"/>
  <c r="E93" i="21" s="1"/>
  <c r="D31" i="5"/>
  <c r="D36" i="4"/>
  <c r="E30" i="2"/>
  <c r="D13" i="5"/>
  <c r="I24" i="4"/>
  <c r="G27" i="4"/>
  <c r="I26" i="5"/>
  <c r="J92" i="21" s="1"/>
  <c r="J20" i="4"/>
  <c r="J30" i="4" s="1"/>
  <c r="G40" i="6"/>
  <c r="G43" i="6" s="1"/>
  <c r="D51" i="6"/>
  <c r="D52" i="6" s="1"/>
  <c r="B10" i="6"/>
  <c r="D94" i="24" l="1"/>
  <c r="G80" i="24"/>
  <c r="G29" i="24"/>
  <c r="G55" i="24"/>
  <c r="G28" i="24"/>
  <c r="G79" i="24"/>
  <c r="G54" i="24"/>
  <c r="J20" i="19"/>
  <c r="J107" i="24"/>
  <c r="J31" i="24"/>
  <c r="J57" i="24" s="1"/>
  <c r="J82" i="24" s="1"/>
  <c r="D69" i="24"/>
  <c r="E66" i="24"/>
  <c r="E69" i="24" s="1"/>
  <c r="E40" i="24"/>
  <c r="E91" i="24"/>
  <c r="E94" i="24" s="1"/>
  <c r="E9" i="24"/>
  <c r="D28" i="2"/>
  <c r="F12" i="24"/>
  <c r="F9" i="24"/>
  <c r="G7" i="24"/>
  <c r="G8" i="24" s="1"/>
  <c r="K6" i="21"/>
  <c r="K13" i="21" s="1"/>
  <c r="K14" i="21" s="1"/>
  <c r="J51" i="24"/>
  <c r="J76" i="24" s="1"/>
  <c r="J4" i="24"/>
  <c r="G24" i="2"/>
  <c r="H18" i="2"/>
  <c r="D29" i="2"/>
  <c r="D39" i="4"/>
  <c r="D38" i="4"/>
  <c r="D8" i="5"/>
  <c r="D14" i="5" s="1"/>
  <c r="E9" i="21"/>
  <c r="D18" i="19" s="1"/>
  <c r="E7" i="21"/>
  <c r="C30" i="19"/>
  <c r="C33" i="19" s="1"/>
  <c r="D7" i="2"/>
  <c r="C40" i="2"/>
  <c r="D32" i="5"/>
  <c r="E97" i="21"/>
  <c r="E98" i="21" s="1"/>
  <c r="C29" i="5"/>
  <c r="H27" i="4"/>
  <c r="J24" i="4"/>
  <c r="E28" i="5"/>
  <c r="F93" i="21" s="1"/>
  <c r="E35" i="4"/>
  <c r="E36" i="4" s="1"/>
  <c r="E31" i="5"/>
  <c r="K20" i="4"/>
  <c r="K30" i="4" s="1"/>
  <c r="G44" i="6"/>
  <c r="G47" i="6" s="1"/>
  <c r="D54" i="6"/>
  <c r="G54" i="6" s="1"/>
  <c r="F10" i="6"/>
  <c r="E43" i="24" l="1"/>
  <c r="H29" i="24"/>
  <c r="H55" i="24"/>
  <c r="H80" i="24"/>
  <c r="H54" i="24"/>
  <c r="H79" i="24"/>
  <c r="H28" i="24"/>
  <c r="H7" i="24"/>
  <c r="H8" i="24" s="1"/>
  <c r="G9" i="24"/>
  <c r="G12" i="24"/>
  <c r="L6" i="21"/>
  <c r="L13" i="21" s="1"/>
  <c r="L14" i="21" s="1"/>
  <c r="E19" i="21" s="1"/>
  <c r="K51" i="24"/>
  <c r="K76" i="24" s="1"/>
  <c r="K4" i="24"/>
  <c r="H24" i="2"/>
  <c r="I18" i="2"/>
  <c r="K11" i="5"/>
  <c r="K32" i="4"/>
  <c r="E37" i="4"/>
  <c r="C35" i="2"/>
  <c r="C36" i="2" s="1"/>
  <c r="C31" i="2"/>
  <c r="C32" i="2" s="1"/>
  <c r="D19" i="5"/>
  <c r="D20" i="5" s="1"/>
  <c r="D22" i="5" s="1"/>
  <c r="D23" i="5" s="1"/>
  <c r="C16" i="2"/>
  <c r="C17" i="2" s="1"/>
  <c r="E32" i="5"/>
  <c r="F97" i="21"/>
  <c r="F98" i="21" s="1"/>
  <c r="F7" i="21"/>
  <c r="F9" i="21"/>
  <c r="E18" i="19" s="1"/>
  <c r="D9" i="2"/>
  <c r="D40" i="2" s="1"/>
  <c r="D19" i="19"/>
  <c r="D23" i="19" s="1"/>
  <c r="E11" i="21"/>
  <c r="E39" i="4"/>
  <c r="I27" i="4"/>
  <c r="K24" i="4"/>
  <c r="F34" i="4"/>
  <c r="F13" i="2"/>
  <c r="J26" i="5"/>
  <c r="K92" i="21" s="1"/>
  <c r="E15" i="2"/>
  <c r="E27" i="2" s="1"/>
  <c r="G48" i="6"/>
  <c r="G51" i="6" s="1"/>
  <c r="D25" i="5"/>
  <c r="D55" i="6"/>
  <c r="B11" i="6"/>
  <c r="F106" i="24" l="1"/>
  <c r="F11" i="24"/>
  <c r="K20" i="19"/>
  <c r="K107" i="24"/>
  <c r="K31" i="24"/>
  <c r="K57" i="24" s="1"/>
  <c r="K82" i="24" s="1"/>
  <c r="I29" i="24"/>
  <c r="I55" i="24"/>
  <c r="I80" i="24"/>
  <c r="I28" i="24"/>
  <c r="I79" i="24"/>
  <c r="I54" i="24"/>
  <c r="I7" i="24"/>
  <c r="I8" i="24" s="1"/>
  <c r="H9" i="24"/>
  <c r="H12" i="24"/>
  <c r="F31" i="5"/>
  <c r="F32" i="5" s="1"/>
  <c r="F41" i="24"/>
  <c r="F30" i="24"/>
  <c r="I24" i="2"/>
  <c r="J18" i="2"/>
  <c r="F34" i="2"/>
  <c r="E29" i="2"/>
  <c r="D30" i="19"/>
  <c r="D33" i="19" s="1"/>
  <c r="D29" i="5"/>
  <c r="E91" i="21"/>
  <c r="F35" i="4"/>
  <c r="F36" i="4" s="1"/>
  <c r="F37" i="4" s="1"/>
  <c r="J27" i="4"/>
  <c r="F28" i="5"/>
  <c r="G93" i="21" s="1"/>
  <c r="E41" i="2"/>
  <c r="E42" i="2" s="1"/>
  <c r="E22" i="19" s="1"/>
  <c r="E13" i="5"/>
  <c r="F30" i="2"/>
  <c r="E8" i="5"/>
  <c r="G52" i="6"/>
  <c r="G55" i="6" s="1"/>
  <c r="F11" i="6"/>
  <c r="E95" i="21" l="1"/>
  <c r="F67" i="24"/>
  <c r="J55" i="24"/>
  <c r="J80" i="24"/>
  <c r="J29" i="24"/>
  <c r="J28" i="24"/>
  <c r="J79" i="24"/>
  <c r="J54" i="24"/>
  <c r="F117" i="24"/>
  <c r="F109" i="24"/>
  <c r="F113" i="24" s="1"/>
  <c r="F115" i="24" s="1"/>
  <c r="F116" i="24" s="1"/>
  <c r="J7" i="24"/>
  <c r="J8" i="24" s="1"/>
  <c r="I12" i="24"/>
  <c r="I9" i="24"/>
  <c r="G97" i="21"/>
  <c r="G98" i="21" s="1"/>
  <c r="F56" i="24"/>
  <c r="F33" i="24"/>
  <c r="F37" i="24" s="1"/>
  <c r="F38" i="24" s="1"/>
  <c r="F13" i="24"/>
  <c r="F14" i="24" s="1"/>
  <c r="J24" i="2"/>
  <c r="K18" i="2"/>
  <c r="L23" i="19" s="1"/>
  <c r="D35" i="5"/>
  <c r="G7" i="21"/>
  <c r="G9" i="21"/>
  <c r="F18" i="19" s="1"/>
  <c r="F39" i="4"/>
  <c r="F15" i="2"/>
  <c r="E28" i="2"/>
  <c r="K27" i="4"/>
  <c r="E38" i="4"/>
  <c r="F38" i="4" s="1"/>
  <c r="E19" i="5"/>
  <c r="E20" i="5" s="1"/>
  <c r="G34" i="4"/>
  <c r="G13" i="2"/>
  <c r="E14" i="5"/>
  <c r="K26" i="5"/>
  <c r="L92" i="21" s="1"/>
  <c r="F8" i="5"/>
  <c r="B12" i="6"/>
  <c r="F12" i="6" s="1"/>
  <c r="K29" i="24" l="1"/>
  <c r="K55" i="24"/>
  <c r="K80" i="24"/>
  <c r="K54" i="24"/>
  <c r="K79" i="24"/>
  <c r="K28" i="24"/>
  <c r="K24" i="2"/>
  <c r="G106" i="24"/>
  <c r="G11" i="24"/>
  <c r="E99" i="21"/>
  <c r="F81" i="24"/>
  <c r="F92" i="24" s="1"/>
  <c r="F59" i="24"/>
  <c r="F63" i="24" s="1"/>
  <c r="F64" i="24" s="1"/>
  <c r="K7" i="24"/>
  <c r="K8" i="24" s="1"/>
  <c r="J9" i="24"/>
  <c r="J12" i="24"/>
  <c r="G41" i="24"/>
  <c r="G30" i="24"/>
  <c r="F39" i="24"/>
  <c r="F40" i="24" s="1"/>
  <c r="G34" i="2"/>
  <c r="F27" i="2"/>
  <c r="F41" i="2" s="1"/>
  <c r="F42" i="2" s="1"/>
  <c r="F22" i="19" s="1"/>
  <c r="F9" i="2"/>
  <c r="F40" i="2" s="1"/>
  <c r="F19" i="19"/>
  <c r="G11" i="21"/>
  <c r="E9" i="2"/>
  <c r="E40" i="2" s="1"/>
  <c r="F11" i="21"/>
  <c r="E19" i="19"/>
  <c r="E23" i="19" s="1"/>
  <c r="F13" i="5"/>
  <c r="F14" i="5" s="1"/>
  <c r="G28" i="5"/>
  <c r="H93" i="21" s="1"/>
  <c r="G31" i="5"/>
  <c r="G35" i="4"/>
  <c r="G36" i="4" s="1"/>
  <c r="G37" i="4" s="1"/>
  <c r="G30" i="2"/>
  <c r="H34" i="4"/>
  <c r="H13" i="2"/>
  <c r="F19" i="5"/>
  <c r="F20" i="5" s="1"/>
  <c r="B13" i="6"/>
  <c r="G117" i="24" l="1"/>
  <c r="G109" i="24"/>
  <c r="G113" i="24" s="1"/>
  <c r="H106" i="24"/>
  <c r="H11" i="24"/>
  <c r="G67" i="24"/>
  <c r="F119" i="24"/>
  <c r="F84" i="24"/>
  <c r="F88" i="24" s="1"/>
  <c r="F65" i="24"/>
  <c r="K12" i="24"/>
  <c r="K9" i="24"/>
  <c r="F43" i="24"/>
  <c r="H41" i="24"/>
  <c r="H67" i="24" s="1"/>
  <c r="G13" i="24"/>
  <c r="G14" i="24" s="1"/>
  <c r="G56" i="24"/>
  <c r="G33" i="24"/>
  <c r="G37" i="24" s="1"/>
  <c r="F28" i="2"/>
  <c r="F29" i="2"/>
  <c r="H34" i="2"/>
  <c r="F23" i="19"/>
  <c r="F30" i="19" s="1"/>
  <c r="F33" i="19" s="1"/>
  <c r="G39" i="4"/>
  <c r="H9" i="21"/>
  <c r="G18" i="19" s="1"/>
  <c r="H7" i="21"/>
  <c r="G32" i="5"/>
  <c r="H97" i="21"/>
  <c r="H98" i="21" s="1"/>
  <c r="E30" i="19"/>
  <c r="E33" i="19" s="1"/>
  <c r="G38" i="4"/>
  <c r="G15" i="2"/>
  <c r="H30" i="2"/>
  <c r="H35" i="4"/>
  <c r="H36" i="4" s="1"/>
  <c r="H37" i="4" s="1"/>
  <c r="H31" i="5"/>
  <c r="H28" i="5"/>
  <c r="I93" i="21" s="1"/>
  <c r="G8" i="5"/>
  <c r="F13" i="6"/>
  <c r="I13" i="2" s="1"/>
  <c r="H117" i="24" l="1"/>
  <c r="H109" i="24"/>
  <c r="H113" i="24" s="1"/>
  <c r="G114" i="24"/>
  <c r="G115" i="24" s="1"/>
  <c r="G116" i="24" s="1"/>
  <c r="F66" i="24"/>
  <c r="G81" i="24"/>
  <c r="G92" i="24" s="1"/>
  <c r="F89" i="24"/>
  <c r="F90" i="24" s="1"/>
  <c r="G59" i="24"/>
  <c r="G63" i="24" s="1"/>
  <c r="H33" i="24"/>
  <c r="H37" i="24" s="1"/>
  <c r="H56" i="24"/>
  <c r="G38" i="24"/>
  <c r="G39" i="24" s="1"/>
  <c r="G40" i="24" s="1"/>
  <c r="H13" i="24"/>
  <c r="H14" i="24" s="1"/>
  <c r="I34" i="2"/>
  <c r="G13" i="5"/>
  <c r="G14" i="5" s="1"/>
  <c r="G27" i="2"/>
  <c r="G29" i="2" s="1"/>
  <c r="H32" i="5"/>
  <c r="I97" i="21"/>
  <c r="I98" i="21" s="1"/>
  <c r="H11" i="21"/>
  <c r="G19" i="19"/>
  <c r="G9" i="2"/>
  <c r="G40" i="2" s="1"/>
  <c r="H39" i="4"/>
  <c r="I9" i="21"/>
  <c r="H18" i="19" s="1"/>
  <c r="I7" i="21"/>
  <c r="I30" i="2"/>
  <c r="H15" i="2"/>
  <c r="H27" i="2" s="1"/>
  <c r="H29" i="2" s="1"/>
  <c r="G19" i="5"/>
  <c r="G20" i="5" s="1"/>
  <c r="I34" i="4"/>
  <c r="K30" i="5"/>
  <c r="L96" i="21" s="1"/>
  <c r="B14" i="6"/>
  <c r="J34" i="4" s="1"/>
  <c r="I106" i="24" l="1"/>
  <c r="I11" i="24"/>
  <c r="G119" i="24"/>
  <c r="J106" i="24"/>
  <c r="J11" i="24"/>
  <c r="F69" i="24"/>
  <c r="H114" i="24"/>
  <c r="H115" i="24"/>
  <c r="H116" i="24" s="1"/>
  <c r="F91" i="24"/>
  <c r="H81" i="24"/>
  <c r="H92" i="24" s="1"/>
  <c r="G84" i="24"/>
  <c r="G88" i="24" s="1"/>
  <c r="G89" i="24" s="1"/>
  <c r="G90" i="24" s="1"/>
  <c r="H59" i="24"/>
  <c r="H63" i="24" s="1"/>
  <c r="H64" i="24" s="1"/>
  <c r="H65" i="24" s="1"/>
  <c r="G64" i="24"/>
  <c r="G65" i="24" s="1"/>
  <c r="I30" i="24"/>
  <c r="I41" i="24"/>
  <c r="I67" i="24" s="1"/>
  <c r="G43" i="24"/>
  <c r="J41" i="24"/>
  <c r="J67" i="24" s="1"/>
  <c r="J30" i="24"/>
  <c r="G28" i="2"/>
  <c r="H38" i="24"/>
  <c r="H39" i="24" s="1"/>
  <c r="H40" i="24" s="1"/>
  <c r="G41" i="2"/>
  <c r="G42" i="2" s="1"/>
  <c r="G22" i="19" s="1"/>
  <c r="G23" i="19" s="1"/>
  <c r="H13" i="5"/>
  <c r="H41" i="2"/>
  <c r="I28" i="5"/>
  <c r="J93" i="21" s="1"/>
  <c r="I31" i="5"/>
  <c r="I35" i="4"/>
  <c r="I36" i="4" s="1"/>
  <c r="I37" i="4" s="1"/>
  <c r="H8" i="5"/>
  <c r="F14" i="6"/>
  <c r="J13" i="2" s="1"/>
  <c r="H119" i="24" l="1"/>
  <c r="L92" i="24"/>
  <c r="F94" i="24"/>
  <c r="J117" i="24"/>
  <c r="J109" i="24"/>
  <c r="J113" i="24" s="1"/>
  <c r="I117" i="24"/>
  <c r="I109" i="24"/>
  <c r="I113" i="24" s="1"/>
  <c r="I114" i="24" s="1"/>
  <c r="I115" i="24" s="1"/>
  <c r="I116" i="24" s="1"/>
  <c r="G91" i="24"/>
  <c r="G94" i="24" s="1"/>
  <c r="G66" i="24"/>
  <c r="H66" i="24"/>
  <c r="H69" i="24" s="1"/>
  <c r="H84" i="24"/>
  <c r="H88" i="24" s="1"/>
  <c r="H89" i="24" s="1"/>
  <c r="H90" i="24" s="1"/>
  <c r="H43" i="24"/>
  <c r="I13" i="24"/>
  <c r="I14" i="24" s="1"/>
  <c r="J56" i="24"/>
  <c r="J33" i="24"/>
  <c r="J37" i="24" s="1"/>
  <c r="I33" i="24"/>
  <c r="I37" i="24" s="1"/>
  <c r="I56" i="24"/>
  <c r="I81" i="24" s="1"/>
  <c r="I92" i="24" s="1"/>
  <c r="I119" i="24" s="1"/>
  <c r="J59" i="24"/>
  <c r="J63" i="24" s="1"/>
  <c r="J14" i="24"/>
  <c r="J34" i="2"/>
  <c r="G30" i="19"/>
  <c r="G33" i="19" s="1"/>
  <c r="I39" i="4"/>
  <c r="J9" i="21"/>
  <c r="I18" i="19" s="1"/>
  <c r="J7" i="21"/>
  <c r="I32" i="5"/>
  <c r="J97" i="21"/>
  <c r="J98" i="21" s="1"/>
  <c r="H42" i="2"/>
  <c r="H22" i="19" s="1"/>
  <c r="H28" i="2"/>
  <c r="H14" i="5"/>
  <c r="J30" i="2"/>
  <c r="I15" i="2"/>
  <c r="I27" i="2" s="1"/>
  <c r="I29" i="2" s="1"/>
  <c r="H38" i="4"/>
  <c r="H19" i="5"/>
  <c r="H20" i="5" s="1"/>
  <c r="B15" i="6"/>
  <c r="K34" i="4" s="1"/>
  <c r="J35" i="4"/>
  <c r="J36" i="4" s="1"/>
  <c r="J37" i="4" s="1"/>
  <c r="J31" i="5"/>
  <c r="J28" i="5"/>
  <c r="K93" i="21" s="1"/>
  <c r="G69" i="24" l="1"/>
  <c r="J114" i="24"/>
  <c r="J115" i="24"/>
  <c r="J116" i="24" s="1"/>
  <c r="K106" i="24"/>
  <c r="K11" i="24"/>
  <c r="H91" i="24"/>
  <c r="J81" i="24"/>
  <c r="J92" i="24" s="1"/>
  <c r="J64" i="24"/>
  <c r="J65" i="24" s="1"/>
  <c r="I59" i="24"/>
  <c r="I63" i="24" s="1"/>
  <c r="I84" i="24"/>
  <c r="I88" i="24" s="1"/>
  <c r="K41" i="24"/>
  <c r="K30" i="24"/>
  <c r="I38" i="24"/>
  <c r="I39" i="24" s="1"/>
  <c r="I40" i="24" s="1"/>
  <c r="J38" i="24"/>
  <c r="J39" i="24" s="1"/>
  <c r="J40" i="24" s="1"/>
  <c r="J32" i="5"/>
  <c r="K97" i="21"/>
  <c r="K98" i="21" s="1"/>
  <c r="H9" i="2"/>
  <c r="H40" i="2" s="1"/>
  <c r="H19" i="19"/>
  <c r="H23" i="19" s="1"/>
  <c r="I11" i="21"/>
  <c r="J39" i="4"/>
  <c r="K9" i="21"/>
  <c r="J18" i="19" s="1"/>
  <c r="K7" i="21"/>
  <c r="K28" i="5"/>
  <c r="L93" i="21" s="1"/>
  <c r="K35" i="4"/>
  <c r="K36" i="4" s="1"/>
  <c r="K37" i="4" s="1"/>
  <c r="K31" i="5"/>
  <c r="I41" i="2"/>
  <c r="I42" i="2" s="1"/>
  <c r="I22" i="19" s="1"/>
  <c r="I13" i="5"/>
  <c r="I8" i="5"/>
  <c r="F15" i="6"/>
  <c r="K13" i="2" s="1"/>
  <c r="J38" i="4"/>
  <c r="J15" i="2"/>
  <c r="J27" i="2" s="1"/>
  <c r="H94" i="24" l="1"/>
  <c r="L91" i="24"/>
  <c r="D95" i="24" s="1"/>
  <c r="K117" i="24"/>
  <c r="L117" i="24" s="1"/>
  <c r="K109" i="24"/>
  <c r="K113" i="24" s="1"/>
  <c r="K67" i="24"/>
  <c r="L67" i="24" s="1"/>
  <c r="L41" i="24"/>
  <c r="J119" i="24"/>
  <c r="J66" i="24"/>
  <c r="J69" i="24" s="1"/>
  <c r="J84" i="24"/>
  <c r="J88" i="24" s="1"/>
  <c r="J89" i="24" s="1"/>
  <c r="J90" i="24" s="1"/>
  <c r="I89" i="24"/>
  <c r="I90" i="24" s="1"/>
  <c r="I64" i="24"/>
  <c r="I65" i="24" s="1"/>
  <c r="J43" i="24"/>
  <c r="I43" i="24"/>
  <c r="K56" i="24"/>
  <c r="K33" i="24"/>
  <c r="K37" i="24" s="1"/>
  <c r="K13" i="24"/>
  <c r="K14" i="24" s="1"/>
  <c r="K30" i="2"/>
  <c r="L30" i="2" s="1"/>
  <c r="J29" i="2"/>
  <c r="K32" i="5"/>
  <c r="L32" i="5" s="1"/>
  <c r="L97" i="21"/>
  <c r="L98" i="21" s="1"/>
  <c r="M98" i="21" s="1"/>
  <c r="J19" i="19"/>
  <c r="K11" i="21"/>
  <c r="L7" i="21"/>
  <c r="L9" i="21"/>
  <c r="K18" i="19" s="1"/>
  <c r="H30" i="19"/>
  <c r="H33" i="19" s="1"/>
  <c r="K15" i="2"/>
  <c r="K39" i="4"/>
  <c r="D6" i="19"/>
  <c r="D8" i="19" s="1"/>
  <c r="D12" i="19" s="1"/>
  <c r="K34" i="2"/>
  <c r="I28" i="2"/>
  <c r="K8" i="5"/>
  <c r="K38" i="4"/>
  <c r="I14" i="5"/>
  <c r="I38" i="4"/>
  <c r="I19" i="5"/>
  <c r="I20" i="5" s="1"/>
  <c r="J13" i="5"/>
  <c r="J41" i="2"/>
  <c r="J42" i="2" s="1"/>
  <c r="J22" i="19" s="1"/>
  <c r="J8" i="5"/>
  <c r="J9" i="2"/>
  <c r="J40" i="2" s="1"/>
  <c r="E21" i="5"/>
  <c r="D10" i="2"/>
  <c r="D12" i="2" s="1"/>
  <c r="K114" i="24" l="1"/>
  <c r="K115" i="24" s="1"/>
  <c r="K116" i="24" s="1"/>
  <c r="L116" i="24" s="1"/>
  <c r="D120" i="24" s="1"/>
  <c r="I91" i="24"/>
  <c r="I94" i="24" s="1"/>
  <c r="J91" i="24"/>
  <c r="J94" i="24" s="1"/>
  <c r="I66" i="24"/>
  <c r="K81" i="24"/>
  <c r="K92" i="24" s="1"/>
  <c r="K59" i="24"/>
  <c r="K63" i="24" s="1"/>
  <c r="K38" i="24"/>
  <c r="K39" i="24" s="1"/>
  <c r="K40" i="24" s="1"/>
  <c r="L40" i="24" s="1"/>
  <c r="D44" i="24" s="1"/>
  <c r="K27" i="2"/>
  <c r="K28" i="2" s="1"/>
  <c r="K13" i="5"/>
  <c r="K14" i="5" s="1"/>
  <c r="J23" i="19"/>
  <c r="J30" i="19" s="1"/>
  <c r="J33" i="19" s="1"/>
  <c r="I9" i="2"/>
  <c r="I40" i="2" s="1"/>
  <c r="I19" i="19"/>
  <c r="I23" i="19" s="1"/>
  <c r="J11" i="21"/>
  <c r="K9" i="2"/>
  <c r="K40" i="2" s="1"/>
  <c r="L11" i="21"/>
  <c r="K19" i="19"/>
  <c r="J28" i="2"/>
  <c r="D35" i="2"/>
  <c r="D36" i="2" s="1"/>
  <c r="D31" i="2"/>
  <c r="J14" i="5"/>
  <c r="D16" i="2"/>
  <c r="K19" i="5"/>
  <c r="K20" i="5" s="1"/>
  <c r="J19" i="5"/>
  <c r="J20" i="5" s="1"/>
  <c r="E7" i="2"/>
  <c r="K119" i="24" l="1"/>
  <c r="I69" i="24"/>
  <c r="K84" i="24"/>
  <c r="K88" i="24" s="1"/>
  <c r="K89" i="24" s="1"/>
  <c r="K90" i="24" s="1"/>
  <c r="K64" i="24"/>
  <c r="K65" i="24" s="1"/>
  <c r="L27" i="2"/>
  <c r="L29" i="2" s="1"/>
  <c r="K43" i="24"/>
  <c r="K41" i="2"/>
  <c r="K42" i="2" s="1"/>
  <c r="K22" i="19" s="1"/>
  <c r="K23" i="19" s="1"/>
  <c r="K29" i="2"/>
  <c r="I30" i="19"/>
  <c r="I33" i="19" s="1"/>
  <c r="D32" i="2"/>
  <c r="D17" i="2"/>
  <c r="K66" i="24" l="1"/>
  <c r="K91" i="24"/>
  <c r="L28" i="2"/>
  <c r="K31" i="19"/>
  <c r="K32" i="19" s="1"/>
  <c r="B24" i="19"/>
  <c r="K30" i="19"/>
  <c r="E22" i="5"/>
  <c r="E23" i="5" s="1"/>
  <c r="E25" i="5"/>
  <c r="K94" i="24" l="1"/>
  <c r="K69" i="24"/>
  <c r="L66" i="24"/>
  <c r="D70" i="24" s="1"/>
  <c r="K33" i="19"/>
  <c r="B34" i="19" s="1"/>
  <c r="B35" i="19" s="1"/>
  <c r="E29" i="5"/>
  <c r="F91" i="21"/>
  <c r="F21" i="5"/>
  <c r="E37" i="2"/>
  <c r="E10" i="2"/>
  <c r="E12" i="2" s="1"/>
  <c r="F95" i="21" l="1"/>
  <c r="E35" i="5"/>
  <c r="E35" i="2"/>
  <c r="E36" i="2" s="1"/>
  <c r="E31" i="2"/>
  <c r="E16" i="2"/>
  <c r="E17" i="2" s="1"/>
  <c r="F7" i="2"/>
  <c r="F99" i="21" l="1"/>
  <c r="E32" i="2"/>
  <c r="F22" i="5"/>
  <c r="F23" i="5" s="1"/>
  <c r="F37" i="2"/>
  <c r="G21" i="5" l="1"/>
  <c r="F10" i="2"/>
  <c r="F12" i="2" s="1"/>
  <c r="F25" i="5"/>
  <c r="F29" i="5" l="1"/>
  <c r="G91" i="21"/>
  <c r="F35" i="2"/>
  <c r="F36" i="2" s="1"/>
  <c r="F31" i="2"/>
  <c r="F16" i="2"/>
  <c r="F17" i="2" s="1"/>
  <c r="G7" i="2"/>
  <c r="G95" i="21" l="1"/>
  <c r="F35" i="5"/>
  <c r="F32" i="2"/>
  <c r="G22" i="5"/>
  <c r="G23" i="5" s="1"/>
  <c r="G10" i="2"/>
  <c r="G12" i="2" s="1"/>
  <c r="G99" i="21" l="1"/>
  <c r="G35" i="2"/>
  <c r="G36" i="2" s="1"/>
  <c r="G31" i="2"/>
  <c r="G16" i="2"/>
  <c r="H21" i="5"/>
  <c r="G25" i="5"/>
  <c r="H7" i="2"/>
  <c r="G37" i="2"/>
  <c r="G29" i="5" l="1"/>
  <c r="H91" i="21"/>
  <c r="G32" i="2"/>
  <c r="G17" i="2"/>
  <c r="H95" i="21" l="1"/>
  <c r="G35" i="5"/>
  <c r="H22" i="5"/>
  <c r="H23" i="5" s="1"/>
  <c r="H99" i="21" l="1"/>
  <c r="I21" i="5"/>
  <c r="H10" i="2"/>
  <c r="H12" i="2" s="1"/>
  <c r="H25" i="5"/>
  <c r="H37" i="2"/>
  <c r="H29" i="5" l="1"/>
  <c r="I91" i="21"/>
  <c r="H35" i="2"/>
  <c r="H36" i="2" s="1"/>
  <c r="H31" i="2"/>
  <c r="H16" i="2"/>
  <c r="H17" i="2" s="1"/>
  <c r="I7" i="2"/>
  <c r="I95" i="21" l="1"/>
  <c r="H35" i="5"/>
  <c r="H32" i="2"/>
  <c r="I25" i="5"/>
  <c r="I99" i="21" l="1"/>
  <c r="I29" i="5"/>
  <c r="I35" i="5" s="1"/>
  <c r="J91" i="21"/>
  <c r="I22" i="5"/>
  <c r="I23" i="5" s="1"/>
  <c r="I10" i="2"/>
  <c r="I12" i="2" s="1"/>
  <c r="I37" i="2"/>
  <c r="J95" i="21" l="1"/>
  <c r="J99" i="21" s="1"/>
  <c r="I35" i="2"/>
  <c r="I36" i="2" s="1"/>
  <c r="I31" i="2"/>
  <c r="I16" i="2"/>
  <c r="I17" i="2" s="1"/>
  <c r="J21" i="5"/>
  <c r="J7" i="2"/>
  <c r="I32" i="2" l="1"/>
  <c r="J22" i="5"/>
  <c r="J23" i="5" s="1"/>
  <c r="J10" i="2"/>
  <c r="J12" i="2" s="1"/>
  <c r="J35" i="2" l="1"/>
  <c r="J36" i="2" s="1"/>
  <c r="J31" i="2"/>
  <c r="J37" i="2"/>
  <c r="B38" i="2" s="1"/>
  <c r="J16" i="2"/>
  <c r="J17" i="2" s="1"/>
  <c r="K21" i="5"/>
  <c r="K7" i="2"/>
  <c r="J25" i="5"/>
  <c r="J29" i="5" l="1"/>
  <c r="J35" i="5" s="1"/>
  <c r="K91" i="21"/>
  <c r="J32" i="2"/>
  <c r="K22" i="5"/>
  <c r="K23" i="5" s="1"/>
  <c r="K25" i="5"/>
  <c r="L91" i="21" s="1"/>
  <c r="K10" i="2"/>
  <c r="K12" i="2" s="1"/>
  <c r="K95" i="21" l="1"/>
  <c r="K99" i="21" s="1"/>
  <c r="L95" i="21"/>
  <c r="K35" i="2"/>
  <c r="K36" i="2" s="1"/>
  <c r="L36" i="2" s="1"/>
  <c r="K31" i="2"/>
  <c r="K29" i="5"/>
  <c r="K16" i="2"/>
  <c r="L12" i="2"/>
  <c r="M95" i="21" l="1"/>
  <c r="D100" i="21" s="1"/>
  <c r="D101" i="21"/>
  <c r="L99" i="21"/>
  <c r="K35" i="5"/>
  <c r="L29" i="5"/>
  <c r="D33" i="5" s="1"/>
  <c r="K32" i="2"/>
  <c r="E33" i="2" s="1"/>
  <c r="L31" i="2"/>
  <c r="L32" i="2" s="1"/>
  <c r="K17" i="2"/>
  <c r="L17" i="2"/>
  <c r="E8" i="21" l="1"/>
  <c r="I8" i="21"/>
  <c r="K8" i="21"/>
  <c r="H8" i="21"/>
  <c r="G8" i="21"/>
  <c r="J8" i="21"/>
  <c r="F8" i="21"/>
  <c r="L8" i="21"/>
  <c r="E16" i="21" l="1"/>
  <c r="J10" i="21"/>
  <c r="H10" i="21"/>
  <c r="E10" i="21"/>
  <c r="I10" i="21"/>
  <c r="G10" i="21"/>
  <c r="K10" i="21"/>
  <c r="F10" i="21"/>
  <c r="L10" i="21"/>
  <c r="E17" i="21" l="1"/>
  <c r="E12" i="21"/>
  <c r="K12" i="21"/>
  <c r="J12" i="21"/>
  <c r="F12" i="21"/>
  <c r="G12" i="21"/>
  <c r="I12" i="21"/>
  <c r="L12" i="21"/>
  <c r="H12" i="21"/>
  <c r="E18" i="21" l="1"/>
</calcChain>
</file>

<file path=xl/sharedStrings.xml><?xml version="1.0" encoding="utf-8"?>
<sst xmlns="http://schemas.openxmlformats.org/spreadsheetml/2006/main" count="765" uniqueCount="472">
  <si>
    <t xml:space="preserve"> </t>
  </si>
  <si>
    <t>Amount</t>
  </si>
  <si>
    <t>Average for first year</t>
  </si>
  <si>
    <t>Particular</t>
  </si>
  <si>
    <t xml:space="preserve">Estimated Revenue </t>
  </si>
  <si>
    <t>Food Sale</t>
  </si>
  <si>
    <t>Cost of Services</t>
  </si>
  <si>
    <t>Designation</t>
  </si>
  <si>
    <t>No. of Persons</t>
  </si>
  <si>
    <t>Salary &amp; Wages</t>
  </si>
  <si>
    <t>Power &amp; Fuel</t>
  </si>
  <si>
    <t>Rs. In Lakhs</t>
  </si>
  <si>
    <t>Total</t>
  </si>
  <si>
    <t>( Rs. In Lakhs)</t>
  </si>
  <si>
    <t>Year</t>
  </si>
  <si>
    <t>Income</t>
  </si>
  <si>
    <t>Expenditure</t>
  </si>
  <si>
    <t>Repairs &amp; Maintenance</t>
  </si>
  <si>
    <t>Other Admin. Exp.</t>
  </si>
  <si>
    <t>Depreciation</t>
  </si>
  <si>
    <t>Profit after Tax</t>
  </si>
  <si>
    <t>Application of Funds</t>
  </si>
  <si>
    <t>Cash &amp; Bank Balance</t>
  </si>
  <si>
    <t xml:space="preserve">Sources of Funds </t>
  </si>
  <si>
    <t>Increase in Current Liabilites</t>
  </si>
  <si>
    <t>Capital Expenditure</t>
  </si>
  <si>
    <t>Increase in Current Assets</t>
  </si>
  <si>
    <t>Taxation</t>
  </si>
  <si>
    <t>Opening Balance</t>
  </si>
  <si>
    <t>Surplus</t>
  </si>
  <si>
    <t>Closing Balance</t>
  </si>
  <si>
    <t>Opening Balance of Term Loan</t>
  </si>
  <si>
    <t>Addition</t>
  </si>
  <si>
    <t>Repayment during the year</t>
  </si>
  <si>
    <t>Closing Balance of Term Loan</t>
  </si>
  <si>
    <t>Interest on Term Loan</t>
  </si>
  <si>
    <t>WDV</t>
  </si>
  <si>
    <t xml:space="preserve">Depreciation </t>
  </si>
  <si>
    <t xml:space="preserve">Depreciation Chart </t>
  </si>
  <si>
    <t>Sweepers</t>
  </si>
  <si>
    <t xml:space="preserve">TOTAL </t>
  </si>
  <si>
    <t>Chef</t>
  </si>
  <si>
    <t>Particulars</t>
  </si>
  <si>
    <t xml:space="preserve">Profit after tax </t>
  </si>
  <si>
    <t xml:space="preserve">Add: Depreciation for the year </t>
  </si>
  <si>
    <t>Add: Interest on Term Loan</t>
  </si>
  <si>
    <t xml:space="preserve">Total  ( A ) </t>
  </si>
  <si>
    <t>Repayment of Term Loan</t>
  </si>
  <si>
    <t>Total ( B )</t>
  </si>
  <si>
    <t>Misc. Income [ Net ]</t>
  </si>
  <si>
    <t>Current Assets other than cash &amp; bank</t>
  </si>
  <si>
    <t>Years</t>
  </si>
  <si>
    <t>Total       -          A</t>
  </si>
  <si>
    <t>Total      -     B</t>
  </si>
  <si>
    <t xml:space="preserve">Term Loan </t>
  </si>
  <si>
    <t>CALCULATION OF DEBT S.COVERAGE RATIO</t>
  </si>
  <si>
    <t>Projected</t>
  </si>
  <si>
    <t xml:space="preserve">Term Loan Interest </t>
  </si>
  <si>
    <t xml:space="preserve">Income Tax </t>
  </si>
  <si>
    <t>Total Current Assets  = A</t>
  </si>
  <si>
    <t>Current Liabilities = B</t>
  </si>
  <si>
    <t>Net Working Capital=[ A - B ]</t>
  </si>
  <si>
    <t>Current Ratio = [ A / B ]</t>
  </si>
  <si>
    <t>Furniture &amp; Fixtures</t>
  </si>
  <si>
    <t xml:space="preserve">Application of  funds : </t>
  </si>
  <si>
    <t>SOURCES OF FUNDS</t>
  </si>
  <si>
    <t>Average Debt Equity Ratio for projected period</t>
  </si>
  <si>
    <t>Room Sale</t>
  </si>
  <si>
    <t>Term Loan</t>
  </si>
  <si>
    <t>Rs.in Lakhs</t>
  </si>
  <si>
    <t xml:space="preserve">Food &amp; Beverage sale per person per day </t>
  </si>
  <si>
    <t xml:space="preserve">Total </t>
  </si>
  <si>
    <t xml:space="preserve">Building </t>
  </si>
  <si>
    <t>Security Guards</t>
  </si>
  <si>
    <t>Front Office Assistant</t>
  </si>
  <si>
    <t>Housekeeping In Charge</t>
  </si>
  <si>
    <t>Room Boys</t>
  </si>
  <si>
    <t>Kitchen Staff</t>
  </si>
  <si>
    <t>Total Salary Paid</t>
  </si>
  <si>
    <t>Salary</t>
  </si>
  <si>
    <t>Salary p.m.</t>
  </si>
  <si>
    <t>Postage &amp; Telegraph [ Official only ]</t>
  </si>
  <si>
    <t xml:space="preserve">Legal &amp; Professional </t>
  </si>
  <si>
    <t xml:space="preserve">Insurance Premium </t>
  </si>
  <si>
    <t xml:space="preserve">Travelling &amp; Conveyance </t>
  </si>
  <si>
    <t xml:space="preserve">Printing &amp; Stationery </t>
  </si>
  <si>
    <t>Miscellaneous Exp.</t>
  </si>
  <si>
    <t>Max.Room Nights [ No. of Rooms * 365]</t>
  </si>
  <si>
    <t xml:space="preserve">Amount </t>
  </si>
  <si>
    <t>Total of Expenses</t>
  </si>
  <si>
    <t>Depreciation as per Income Tax Act</t>
  </si>
  <si>
    <t>Furniture &amp; Furnishing@ 10 %</t>
  </si>
  <si>
    <t>Building @ 10 %</t>
  </si>
  <si>
    <t>Depreciation Rates as per Income Tax Act</t>
  </si>
  <si>
    <t xml:space="preserve">Accountant </t>
  </si>
  <si>
    <t>Restaurant / Banquest Staff</t>
  </si>
  <si>
    <t>YEARS</t>
  </si>
  <si>
    <t xml:space="preserve">Addition </t>
  </si>
  <si>
    <t>Plumber / electrcian / carpenter</t>
  </si>
  <si>
    <t>Debt [ Term Loan ] = C</t>
  </si>
  <si>
    <t>S.No.</t>
  </si>
  <si>
    <t>Description of each building</t>
  </si>
  <si>
    <t>S.No</t>
  </si>
  <si>
    <t>TOTAL</t>
  </si>
  <si>
    <t>Description</t>
  </si>
  <si>
    <t xml:space="preserve">No. of days hotel is in operation </t>
  </si>
  <si>
    <t>Average Room Rent[Net of Commi.]</t>
  </si>
  <si>
    <t xml:space="preserve">At a capicity utilisation of </t>
  </si>
  <si>
    <t xml:space="preserve">House Keeping Exp. As % of Room Sale </t>
  </si>
  <si>
    <t xml:space="preserve">Sales &amp; Marketing Exp. as % of Total Sales  </t>
  </si>
  <si>
    <t>Repairs &amp; Maintenance @ per month</t>
  </si>
  <si>
    <t xml:space="preserve">Power &amp; Fuel @ per month average </t>
  </si>
  <si>
    <t>Capacity Utilised</t>
  </si>
  <si>
    <t xml:space="preserve">Housekeeping Exp.(% of Room Sale) </t>
  </si>
  <si>
    <t xml:space="preserve">Sales &amp; Marketing Exp. (% of Total Sales) </t>
  </si>
  <si>
    <t xml:space="preserve">                  Interest Calculation @</t>
  </si>
  <si>
    <t>Equipments</t>
  </si>
  <si>
    <t xml:space="preserve">Op. Balance </t>
  </si>
  <si>
    <t>Max. Room Nights [ No. of Rooms * 365]</t>
  </si>
  <si>
    <t>Location</t>
  </si>
  <si>
    <t xml:space="preserve"> 2. COST OF CONSTRUCTION</t>
  </si>
  <si>
    <t xml:space="preserve">Water Tanks </t>
  </si>
  <si>
    <t>S. No.</t>
  </si>
  <si>
    <t>Plant &amp; Machinery and equipments @ 15 %</t>
  </si>
  <si>
    <t>Depriciation</t>
  </si>
  <si>
    <t>Current Liabilities[=30day exp.,other than dep.&amp; int on term loan]</t>
  </si>
  <si>
    <t>Rs.In Lakhs</t>
  </si>
  <si>
    <t>Balance Sheet</t>
  </si>
  <si>
    <t>Rs. In lakhs</t>
  </si>
  <si>
    <t>Internal paths</t>
  </si>
  <si>
    <t>Fencing and boundary wall</t>
  </si>
  <si>
    <t>House keeping Equipment</t>
  </si>
  <si>
    <t>STP plant &amp; connection + Water harvesting pipelines etc</t>
  </si>
  <si>
    <t>Geysers</t>
  </si>
  <si>
    <t>Front office furniture</t>
  </si>
  <si>
    <t>Furniture of garden</t>
  </si>
  <si>
    <t>Electric connection including transformer</t>
  </si>
  <si>
    <t>Fire fighting system</t>
  </si>
  <si>
    <t>Computer Hradware &amp; Software</t>
  </si>
  <si>
    <t xml:space="preserve">Other Administrative Exp: - </t>
  </si>
  <si>
    <t xml:space="preserve">Crockery &amp; Cutlery for Restaurant &amp; Bar </t>
  </si>
  <si>
    <t>Profit after tax</t>
  </si>
  <si>
    <t>Profit before tax</t>
  </si>
  <si>
    <t>Profitability Statement</t>
  </si>
  <si>
    <t>Net Profit after tax transferred to Capital a/c</t>
  </si>
  <si>
    <t>Cash Flow Statement</t>
  </si>
  <si>
    <t>Owned</t>
  </si>
  <si>
    <t>QTY</t>
  </si>
  <si>
    <t>Rate</t>
  </si>
  <si>
    <t>Fans</t>
  </si>
  <si>
    <t>L.S</t>
  </si>
  <si>
    <t>Qty</t>
  </si>
  <si>
    <t xml:space="preserve"> Estimated Cost </t>
  </si>
  <si>
    <t xml:space="preserve">Estimated Cost </t>
  </si>
  <si>
    <t xml:space="preserve">Architect/Project Consultancy Fees </t>
  </si>
  <si>
    <t xml:space="preserve">Deposit &amp; Advances </t>
  </si>
  <si>
    <t>No. of Rooms</t>
  </si>
  <si>
    <t>Construction Period</t>
  </si>
  <si>
    <t xml:space="preserve"> L.S </t>
  </si>
  <si>
    <t xml:space="preserve">Solar Water Heater </t>
  </si>
  <si>
    <t xml:space="preserve">Misc. Furniture </t>
  </si>
  <si>
    <t>Gardner</t>
  </si>
  <si>
    <t xml:space="preserve">Area in sq ft </t>
  </si>
  <si>
    <t xml:space="preserve">Rate per sq ft </t>
  </si>
  <si>
    <t xml:space="preserve">Miscellaneous </t>
  </si>
  <si>
    <t xml:space="preserve">Bar Sale </t>
  </si>
  <si>
    <t xml:space="preserve">Bar Sale per person per day </t>
  </si>
  <si>
    <t>Food Expenses (% of food, Banquet &amp; Bar sale )</t>
  </si>
  <si>
    <t xml:space="preserve">Construction </t>
  </si>
  <si>
    <t xml:space="preserve">Period </t>
  </si>
  <si>
    <t xml:space="preserve">Accounts / Stores Assistant </t>
  </si>
  <si>
    <t>Housekeeping Supervisors</t>
  </si>
  <si>
    <t xml:space="preserve">Whether owned or Leased </t>
  </si>
  <si>
    <t>LED TVS</t>
  </si>
  <si>
    <t xml:space="preserve">Mini Bars for the rooms </t>
  </si>
  <si>
    <t xml:space="preserve">Safes for the rooms </t>
  </si>
  <si>
    <t xml:space="preserve">Hair Dryers </t>
  </si>
  <si>
    <t xml:space="preserve">Electric Kettles for the rooms </t>
  </si>
  <si>
    <t xml:space="preserve">Front office euipment </t>
  </si>
  <si>
    <t>CCTV &amp; Camera</t>
  </si>
  <si>
    <t xml:space="preserve">Intercom and Wi Fi System </t>
  </si>
  <si>
    <t xml:space="preserve">Gardening Tools and Equipments </t>
  </si>
  <si>
    <t>Kitchen Equipments</t>
  </si>
  <si>
    <t xml:space="preserve">Restaurant </t>
  </si>
  <si>
    <t>Food &amp; Liquor Cost as % of Food &amp; Beverage Sale, Bar Sale</t>
  </si>
  <si>
    <t xml:space="preserve">Banquet </t>
  </si>
  <si>
    <t>Bar</t>
  </si>
  <si>
    <t>Stores</t>
  </si>
  <si>
    <t>Kitchen</t>
  </si>
  <si>
    <t>Pantry</t>
  </si>
  <si>
    <t>Time Office</t>
  </si>
  <si>
    <t>Security Office</t>
  </si>
  <si>
    <t>Administration Office</t>
  </si>
  <si>
    <t>Laundry Room</t>
  </si>
  <si>
    <t>Staff Changing room</t>
  </si>
  <si>
    <t>Rooms Category</t>
  </si>
  <si>
    <t>Rooms</t>
  </si>
  <si>
    <t>Room Rent</t>
  </si>
  <si>
    <t>Banquet Expenses % of Banquet Sale</t>
  </si>
  <si>
    <t>Front Office Manager</t>
  </si>
  <si>
    <t>Shift Incharge</t>
  </si>
  <si>
    <t>General Manager</t>
  </si>
  <si>
    <t>Assistant Chef</t>
  </si>
  <si>
    <t>Food &amp; Beverage Manager</t>
  </si>
  <si>
    <t>Bell Boys</t>
  </si>
  <si>
    <t>Conference/Banquet receipts</t>
  </si>
  <si>
    <t>Banquet Expenses (% of Banquet Sale)</t>
  </si>
  <si>
    <t>Sundry Debtors[=2 months Room &amp; Food Sale]</t>
  </si>
  <si>
    <t>Net Capital a/c</t>
  </si>
  <si>
    <t>Share Capital a/c</t>
  </si>
  <si>
    <t>Land</t>
  </si>
  <si>
    <t>Assitant Manager</t>
  </si>
  <si>
    <t>Mahecha Boutique Hotels Private Limited</t>
  </si>
  <si>
    <t>Mobile : 73740-00007              E-mail : vikrampratapsingh13@gmail.com</t>
  </si>
  <si>
    <t>Unsecured Loan</t>
  </si>
  <si>
    <t>Land [owned]</t>
  </si>
  <si>
    <t>Swimming pool</t>
  </si>
  <si>
    <t>Area ( In Sq Mtr )</t>
  </si>
  <si>
    <t xml:space="preserve">Details of Equipments and Plant &amp; Machinery:                              </t>
  </si>
  <si>
    <t>Details of Furniture &amp; Furnishing [Rs. In lakhs]</t>
  </si>
  <si>
    <t xml:space="preserve"> L.S.</t>
  </si>
  <si>
    <t>Cost of Land including Regsitation &amp; Stamp duty (Rs. In lakhs)</t>
  </si>
  <si>
    <t>Air Conditioner (100 for rooms &amp; 15 for public area)</t>
  </si>
  <si>
    <t>DG set-850 KVA each</t>
  </si>
  <si>
    <t xml:space="preserve">Furniture </t>
  </si>
  <si>
    <t>L.S.</t>
  </si>
  <si>
    <t>Landscaping of Gardens &amp; Horticulture</t>
  </si>
  <si>
    <t xml:space="preserve">Calculation of ARR </t>
  </si>
  <si>
    <t>No. of years</t>
  </si>
  <si>
    <t>Total Net profit</t>
  </si>
  <si>
    <t>Average profit</t>
  </si>
  <si>
    <t>Initial cost</t>
  </si>
  <si>
    <t>ARR %</t>
  </si>
  <si>
    <t>Lift</t>
  </si>
  <si>
    <t>ToL to TNW</t>
  </si>
  <si>
    <t xml:space="preserve">Initial Franchise fees payable to the Hotel Management Group </t>
  </si>
  <si>
    <t xml:space="preserve">Technical Service fees payable to the Hotel Management Group </t>
  </si>
  <si>
    <t>Less: Dividends</t>
  </si>
  <si>
    <t>Royalty &amp; Marketing Service Fees to Hotel Management Company [ % of GRR ]</t>
  </si>
  <si>
    <t>Quality Circle Fee payable to Hotel Management Compnay USD 5,000</t>
  </si>
  <si>
    <t xml:space="preserve">Average DSCR </t>
  </si>
  <si>
    <t xml:space="preserve">Average Interest Coverage Ratio </t>
  </si>
  <si>
    <t xml:space="preserve">Total Outside Liabilites </t>
  </si>
  <si>
    <t>Average Security Coverage Ratio</t>
  </si>
  <si>
    <t>DCCO</t>
  </si>
  <si>
    <t>Basis of Estimation ( For the full year of operations i.e FY 2026-27 )</t>
  </si>
  <si>
    <t>26-27</t>
  </si>
  <si>
    <t>27-28</t>
  </si>
  <si>
    <t>28-29</t>
  </si>
  <si>
    <t>29-30</t>
  </si>
  <si>
    <t>30-31</t>
  </si>
  <si>
    <t>31-32</t>
  </si>
  <si>
    <t>32-33</t>
  </si>
  <si>
    <t>33-34</t>
  </si>
  <si>
    <t>Balance</t>
  </si>
  <si>
    <t xml:space="preserve"> Tie-up / Franchise Fees [ Rs. In Lakhs]</t>
  </si>
  <si>
    <t>Sub total</t>
  </si>
  <si>
    <t>Khasra No. 795/10, 796/10, 799/10 &amp; 803/10,  Village: Sinya, Gram Panchyat: Kariya, Tehsil: Kumbhalgarh, Dist.: Rajsamand</t>
  </si>
  <si>
    <t>24 bigha, 7 biswa &amp; 10 biswansi i.e 52,650 sq meters of land of the above khasras</t>
  </si>
  <si>
    <t>Add Tieup Exp.</t>
  </si>
  <si>
    <t>COST OF PROJECT OF HOTEL OF 100 ROOMS</t>
  </si>
  <si>
    <t>Khasra No. 795/10 &amp; others, Village: Sinya, Gram Panchyat: Kariya, Tehsil: Kumbhalgarh, Dist.: Rajsamand</t>
  </si>
  <si>
    <t>Cost as per audited balance sheet</t>
  </si>
  <si>
    <t>Administrative Exp. during the construction Period</t>
  </si>
  <si>
    <t xml:space="preserve">Preopening Advertisment &amp; Publicity Expenses </t>
  </si>
  <si>
    <t>2026-27</t>
  </si>
  <si>
    <t xml:space="preserve">Interest Service Ratio = EBIDT/Interest </t>
  </si>
  <si>
    <t>Share Capital + Unsecured loan = Equity =D</t>
  </si>
  <si>
    <t>Unsecured Loan from Directors/Relatives</t>
  </si>
  <si>
    <t xml:space="preserve">Security Coverage ratio = (Collateral security Rs 8 Crores  +  All assets) / outstanding Loan </t>
  </si>
  <si>
    <t>Profit before tax but after Interest &amp; depreciation</t>
  </si>
  <si>
    <t>Unsecured Loan from Directors/ Relatives</t>
  </si>
  <si>
    <t>PNB 24.10.23</t>
  </si>
  <si>
    <t>Annual Interest rate</t>
  </si>
  <si>
    <t>Loan Term(In Years)</t>
  </si>
  <si>
    <t>Payment per year</t>
  </si>
  <si>
    <t>Loan Amount</t>
  </si>
  <si>
    <t>Principal Amount</t>
  </si>
  <si>
    <t>Repayment Amount</t>
  </si>
  <si>
    <t>Interest Amount</t>
  </si>
  <si>
    <t>Closing balance</t>
  </si>
  <si>
    <t>Ratio Analysis</t>
  </si>
  <si>
    <t xml:space="preserve">Revenue </t>
  </si>
  <si>
    <t xml:space="preserve">EBITDA  </t>
  </si>
  <si>
    <t>EBITDA Margin %</t>
  </si>
  <si>
    <t>EBIT</t>
  </si>
  <si>
    <t>EBIT Margin %</t>
  </si>
  <si>
    <t xml:space="preserve">Net profit  </t>
  </si>
  <si>
    <t>Net Profit Margin %</t>
  </si>
  <si>
    <t>Revenue Growth Rate %</t>
  </si>
  <si>
    <t>Average EBITDA Margin</t>
  </si>
  <si>
    <t>Average EBIT Margin</t>
  </si>
  <si>
    <t>Average Net Profit Margin</t>
  </si>
  <si>
    <t>Avergae Revenue Growth Rate</t>
  </si>
  <si>
    <t>DSCR</t>
  </si>
  <si>
    <t>Cash Accrual</t>
  </si>
  <si>
    <t>NOPAT</t>
  </si>
  <si>
    <t>CAPEX</t>
  </si>
  <si>
    <t>Investment in WC</t>
  </si>
  <si>
    <t>FCFF</t>
  </si>
  <si>
    <t>IRR</t>
  </si>
  <si>
    <t>Discount rate</t>
  </si>
  <si>
    <t>(10-year average return of Nifty-50)</t>
  </si>
  <si>
    <t>Expected growth rate(Terminal)</t>
  </si>
  <si>
    <t>Period</t>
  </si>
  <si>
    <t>Discount Factor</t>
  </si>
  <si>
    <t>PV of FCF</t>
  </si>
  <si>
    <t>Terminal Value</t>
  </si>
  <si>
    <t>PV of Terminal Value</t>
  </si>
  <si>
    <t>FCF+Terminal Value</t>
  </si>
  <si>
    <t>NPV</t>
  </si>
  <si>
    <r>
      <t>Civil Work -</t>
    </r>
    <r>
      <rPr>
        <sz val="11"/>
        <rFont val="Calibri"/>
        <family val="2"/>
        <scheme val="minor"/>
      </rPr>
      <t xml:space="preserve"> Hotel consisting of 100 rooms - with all related facilities as per area statement and cost estimate of architect attached</t>
    </r>
  </si>
  <si>
    <t>Net Working Capital</t>
  </si>
  <si>
    <t>Change in New Working Capital</t>
  </si>
  <si>
    <t>In Lakhs</t>
  </si>
  <si>
    <t>In Crores</t>
  </si>
  <si>
    <t>Debt Schedule</t>
  </si>
  <si>
    <t>Units</t>
  </si>
  <si>
    <t>Outstanding Amount</t>
  </si>
  <si>
    <t>Interest Rate</t>
  </si>
  <si>
    <t>Tenure 
( Quarter )</t>
  </si>
  <si>
    <t>Tenure 
( Years )</t>
  </si>
  <si>
    <t>Long-term Debt</t>
  </si>
  <si>
    <t>INR Crore</t>
  </si>
  <si>
    <t>Opening balance</t>
  </si>
  <si>
    <t>Principal Repayment</t>
  </si>
  <si>
    <t>Interest Expense</t>
  </si>
  <si>
    <t>Moraratium Period</t>
  </si>
  <si>
    <t>INR Lakhs</t>
  </si>
  <si>
    <t xml:space="preserve">Activity </t>
  </si>
  <si>
    <t xml:space="preserve">Bench mark dates </t>
  </si>
  <si>
    <t>Financial Closure [ Loan sanction by Bank ]</t>
  </si>
  <si>
    <t xml:space="preserve">First Disbursement </t>
  </si>
  <si>
    <t>March’24</t>
  </si>
  <si>
    <t xml:space="preserve">Date of Commencement of Commercial Operations </t>
  </si>
  <si>
    <t xml:space="preserve">Moratorium </t>
  </si>
  <si>
    <t xml:space="preserve">Repayment of loan to start in </t>
  </si>
  <si>
    <t xml:space="preserve">Last instalment to be paid in </t>
  </si>
  <si>
    <t>As a rule of thumb, a healthy EBITDA should not be less than 1/3 of Total Hotel Revenues combined.</t>
  </si>
  <si>
    <t>There are hotels that make more than 50% EBITDA, if they are luxurious and located in developing countries where the expenses for labor are low and the ROOM Rates are high… Thailand, Philippines, Vietnam, Indonesia, China, India…</t>
  </si>
  <si>
    <t xml:space="preserve">Two year </t>
  </si>
  <si>
    <t>Max. No. of Guests[ Room nights * 2 ]</t>
  </si>
  <si>
    <t xml:space="preserve">2025-26 </t>
  </si>
  <si>
    <t>‘Pax’ means “passengers”</t>
  </si>
  <si>
    <t>Conference receipts/Banquet [ 10 events x 750 pax @ Rs. 1100/- per pax]</t>
  </si>
  <si>
    <r>
      <t>1</t>
    </r>
    <r>
      <rPr>
        <vertAlign val="superscript"/>
        <sz val="11"/>
        <rFont val="Cambria"/>
        <family val="1"/>
      </rPr>
      <t>st</t>
    </r>
    <r>
      <rPr>
        <sz val="11"/>
        <rFont val="Cambria"/>
        <family val="1"/>
      </rPr>
      <t xml:space="preserve"> April26</t>
    </r>
  </si>
  <si>
    <t>March’34</t>
  </si>
  <si>
    <t>Margin</t>
  </si>
  <si>
    <t>Loan Component</t>
  </si>
  <si>
    <t>DER Component</t>
  </si>
  <si>
    <t>Project ADER</t>
  </si>
  <si>
    <t>Generaly, this typically includes income from rentals or leases, resort fees and taxi rentals tiaup, commission fees, cancellation fees but does not include investment income.</t>
  </si>
  <si>
    <t>Repayment</t>
  </si>
  <si>
    <t>Interest</t>
  </si>
  <si>
    <t>Yearly Interest</t>
  </si>
  <si>
    <t>Yearly Repayment</t>
  </si>
  <si>
    <t>33-34 (Dec.)</t>
  </si>
  <si>
    <t>2 year</t>
  </si>
  <si>
    <t>Annual Interest Rate</t>
  </si>
  <si>
    <t>Payment Number</t>
  </si>
  <si>
    <t>Yearly Principal Repayment</t>
  </si>
  <si>
    <t>Equity &amp; Liability</t>
  </si>
  <si>
    <t>Assets</t>
  </si>
  <si>
    <t>24-25 Construction</t>
  </si>
  <si>
    <t>25-26 Construction</t>
  </si>
  <si>
    <t>2027-28</t>
  </si>
  <si>
    <t>2028-29</t>
  </si>
  <si>
    <t>2029-30</t>
  </si>
  <si>
    <t>2030-31</t>
  </si>
  <si>
    <t>2031-32</t>
  </si>
  <si>
    <t>2032-33</t>
  </si>
  <si>
    <t>2033-34</t>
  </si>
  <si>
    <t>2023-24</t>
  </si>
  <si>
    <t>2024-25</t>
  </si>
  <si>
    <t>2025-26</t>
  </si>
  <si>
    <t>Implementation</t>
  </si>
  <si>
    <t>Moratorium</t>
  </si>
  <si>
    <t>Actual Repayment</t>
  </si>
  <si>
    <t>Months</t>
  </si>
  <si>
    <t>Qtrs</t>
  </si>
  <si>
    <t>Total Loan Amount</t>
  </si>
  <si>
    <t>Repayment in No of Qtrs</t>
  </si>
  <si>
    <t>Qtrly Repayment</t>
  </si>
  <si>
    <t>No. of Qtrs</t>
  </si>
  <si>
    <t>Amount Per Instalment</t>
  </si>
  <si>
    <t>Oct-Dec' 26</t>
  </si>
  <si>
    <t>Oct-Dec’ 33</t>
  </si>
  <si>
    <t>FY 2026-27</t>
  </si>
  <si>
    <t>FY 2027-28</t>
  </si>
  <si>
    <t>FY 2028-29</t>
  </si>
  <si>
    <t>FY 2029-30</t>
  </si>
  <si>
    <t>FY 2030-31</t>
  </si>
  <si>
    <t>FY 2031-32</t>
  </si>
  <si>
    <t>FY 2032-23</t>
  </si>
  <si>
    <t>FY 2033-34 (Till Dec' 33)</t>
  </si>
  <si>
    <t>Total Repayment</t>
  </si>
  <si>
    <t>Qtrly</t>
  </si>
  <si>
    <t>Principal for Int</t>
  </si>
  <si>
    <t>26 - 27
(12 Months)</t>
  </si>
  <si>
    <t>Revenue from Open garden Events</t>
  </si>
  <si>
    <t>Quality Circle Fee payable to Hotel Management Compnay</t>
  </si>
  <si>
    <t>Add: Pre Operating Expenses Written Off</t>
  </si>
  <si>
    <t>Stock (1 Month of food sale and banquet sale)</t>
  </si>
  <si>
    <t>Pre- Operative Expenses Not Written Off</t>
  </si>
  <si>
    <t>Preliminary Expenses Written Off</t>
  </si>
  <si>
    <t>Fixed Assets[ Net ]/ CWIP</t>
  </si>
  <si>
    <r>
      <t>1</t>
    </r>
    <r>
      <rPr>
        <vertAlign val="superscript"/>
        <sz val="11"/>
        <rFont val="Cambria"/>
        <family val="1"/>
      </rPr>
      <t>st</t>
    </r>
    <r>
      <rPr>
        <sz val="11"/>
        <rFont val="Cambria"/>
        <family val="1"/>
      </rPr>
      <t xml:space="preserve"> April 26</t>
    </r>
  </si>
  <si>
    <t>Moratorium including Implementation</t>
  </si>
  <si>
    <t>Implementation Period</t>
  </si>
  <si>
    <t>Two year &amp; 03 months (From Jan 24 to March 26)</t>
  </si>
  <si>
    <t>Two year &amp; 09 months (From Jan 24 to Sept 26)</t>
  </si>
  <si>
    <t>Repayment of loan to start in Qtr Ending</t>
  </si>
  <si>
    <t>Last instalment to be paid in Qtr Ending</t>
  </si>
  <si>
    <t>31.12.2026</t>
  </si>
  <si>
    <t>31.12.2033</t>
  </si>
  <si>
    <t>01/04/2026</t>
  </si>
  <si>
    <t>Adjusted Debt / Equity Ratio =[ C / D ]</t>
  </si>
  <si>
    <t>TOL/ATNW</t>
  </si>
  <si>
    <t>Total Adjusted Networth [ share capital + unsecured loans]</t>
  </si>
  <si>
    <t>24-25</t>
  </si>
  <si>
    <t>25-26</t>
  </si>
  <si>
    <t>120 months</t>
  </si>
  <si>
    <t>Door to Door Tenor From Jan 24 to Dec 33</t>
  </si>
  <si>
    <t>Depreciation + Prem Write off</t>
  </si>
  <si>
    <t>Break Even Analysis</t>
  </si>
  <si>
    <t>Sales</t>
  </si>
  <si>
    <t>Capacity Utilisation</t>
  </si>
  <si>
    <t>Variable Cost</t>
  </si>
  <si>
    <t>Total Variable Cost</t>
  </si>
  <si>
    <t>Contribution</t>
  </si>
  <si>
    <t>Contribution Margin</t>
  </si>
  <si>
    <t>Fixed Cost</t>
  </si>
  <si>
    <t>Total Fixed Cost</t>
  </si>
  <si>
    <t>PV Ratio</t>
  </si>
  <si>
    <t>Break Even Point  Sales</t>
  </si>
  <si>
    <t>Break even Point % of Sales</t>
  </si>
  <si>
    <t>FY26</t>
  </si>
  <si>
    <t>FY27</t>
  </si>
  <si>
    <t>FY28</t>
  </si>
  <si>
    <t>FY29</t>
  </si>
  <si>
    <t>FY30</t>
  </si>
  <si>
    <t>FY31</t>
  </si>
  <si>
    <t>FY32</t>
  </si>
  <si>
    <t>FY33</t>
  </si>
  <si>
    <t>Preliminary/pre-operative Expenses Written off (344.50 in 05 years)</t>
  </si>
  <si>
    <t>PARTICULARS</t>
  </si>
  <si>
    <t>INCOME</t>
  </si>
  <si>
    <t>EXPENDITURE</t>
  </si>
  <si>
    <t>Finance Expenses</t>
  </si>
  <si>
    <t>Preliminary Expenses</t>
  </si>
  <si>
    <t>Total Expenditure</t>
  </si>
  <si>
    <t>Income before Tax</t>
  </si>
  <si>
    <t>Income after Tax</t>
  </si>
  <si>
    <t>Cash Accruals</t>
  </si>
  <si>
    <t>Interest on T/L</t>
  </si>
  <si>
    <t>Installment of T/L</t>
  </si>
  <si>
    <t>Net Sales</t>
  </si>
  <si>
    <t>Occupancy Rate</t>
  </si>
  <si>
    <t>Average DSCR</t>
  </si>
  <si>
    <t>Profit Volume (PV) Ratio</t>
  </si>
  <si>
    <r>
      <t xml:space="preserve">                      Sensitivity Analysis when there is decrease in room rent by 0</t>
    </r>
    <r>
      <rPr>
        <sz val="12"/>
        <color theme="0"/>
        <rFont val="Arial"/>
        <family val="2"/>
      </rPr>
      <t>5%</t>
    </r>
    <r>
      <rPr>
        <b/>
        <sz val="12"/>
        <color theme="0"/>
        <rFont val="Arial"/>
        <family val="2"/>
      </rPr>
      <t xml:space="preserve"> </t>
    </r>
  </si>
  <si>
    <r>
      <t xml:space="preserve">                      Sensitivity Analysis when there is increase in Variable Cost by </t>
    </r>
    <r>
      <rPr>
        <sz val="12"/>
        <rFont val="Arial"/>
        <family val="2"/>
      </rPr>
      <t>05%</t>
    </r>
    <r>
      <rPr>
        <b/>
        <sz val="12"/>
        <rFont val="Arial"/>
        <family val="2"/>
      </rPr>
      <t xml:space="preserve"> </t>
    </r>
  </si>
  <si>
    <t>Running Expenses Variable</t>
  </si>
  <si>
    <t>Running Expenses Fixed</t>
  </si>
  <si>
    <r>
      <t xml:space="preserve">                      Sensitivity Analysis when there is increase in Interest Rate by </t>
    </r>
    <r>
      <rPr>
        <sz val="12"/>
        <rFont val="Arial"/>
        <family val="2"/>
      </rPr>
      <t>1.00%</t>
    </r>
    <r>
      <rPr>
        <b/>
        <sz val="12"/>
        <rFont val="Arial"/>
        <family val="2"/>
      </rPr>
      <t xml:space="preserve"> </t>
    </r>
  </si>
  <si>
    <r>
      <t xml:space="preserve">                      Sensitivity Analysis when there is decrease in Occupancy Rate by </t>
    </r>
    <r>
      <rPr>
        <sz val="12"/>
        <rFont val="Arial"/>
        <family val="2"/>
      </rPr>
      <t>05%</t>
    </r>
    <r>
      <rPr>
        <b/>
        <sz val="12"/>
        <rFont val="Arial"/>
        <family val="2"/>
      </rPr>
      <t xml:space="preserve"> </t>
    </r>
  </si>
  <si>
    <t>Interest during construction</t>
  </si>
  <si>
    <t>Equity (Share Capital + Securities Premium)</t>
  </si>
  <si>
    <t xml:space="preserve">Misc/ Contingency </t>
  </si>
  <si>
    <t xml:space="preserve">Interest Capitalisation &amp; Other Soft cost </t>
  </si>
  <si>
    <t>Add:Preliminary/pre-operative Expenses Written off (344.50 in 05 years)</t>
  </si>
  <si>
    <t>O.K.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</si>
</sst>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₹&quot;\ #,##0.00;[Red]&quot;₹&quot;\ \-#,##0.00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  <numFmt numFmtId="167" formatCode="&quot;FY&quot;\ 0"/>
    <numFmt numFmtId="168" formatCode="0_)"/>
    <numFmt numFmtId="169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name val="Cambria"/>
      <family val="1"/>
    </font>
    <font>
      <vertAlign val="superscript"/>
      <sz val="11"/>
      <name val="Cambria"/>
      <family val="1"/>
    </font>
    <font>
      <sz val="9"/>
      <color rgb="FF282829"/>
      <name val="Segoe UI"/>
      <family val="2"/>
    </font>
    <font>
      <b/>
      <u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22">
    <xf numFmtId="0" fontId="0" fillId="0" borderId="0" xfId="0"/>
    <xf numFmtId="0" fontId="1" fillId="0" borderId="0" xfId="0" applyFont="1"/>
    <xf numFmtId="9" fontId="0" fillId="0" borderId="0" xfId="0" applyNumberFormat="1"/>
    <xf numFmtId="3" fontId="0" fillId="0" borderId="0" xfId="0" applyNumberFormat="1"/>
    <xf numFmtId="17" fontId="0" fillId="0" borderId="0" xfId="0" applyNumberFormat="1"/>
    <xf numFmtId="0" fontId="1" fillId="0" borderId="0" xfId="0" applyFont="1" applyAlignment="1">
      <alignment wrapText="1"/>
    </xf>
    <xf numFmtId="8" fontId="0" fillId="0" borderId="0" xfId="0" applyNumberFormat="1"/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168" fontId="9" fillId="0" borderId="0" xfId="0" applyNumberFormat="1" applyFont="1"/>
    <xf numFmtId="0" fontId="10" fillId="0" borderId="0" xfId="0" applyFont="1"/>
    <xf numFmtId="0" fontId="10" fillId="0" borderId="23" xfId="0" applyFont="1" applyBorder="1"/>
    <xf numFmtId="0" fontId="9" fillId="0" borderId="24" xfId="0" applyFont="1" applyBorder="1"/>
    <xf numFmtId="0" fontId="9" fillId="0" borderId="24" xfId="0" applyFont="1" applyBorder="1" applyAlignment="1">
      <alignment horizontal="center" vertical="center"/>
    </xf>
    <xf numFmtId="10" fontId="11" fillId="0" borderId="25" xfId="3" applyNumberFormat="1" applyFont="1" applyBorder="1" applyAlignment="1">
      <alignment horizontal="center" vertical="center"/>
    </xf>
    <xf numFmtId="0" fontId="10" fillId="0" borderId="26" xfId="0" applyFont="1" applyBorder="1"/>
    <xf numFmtId="10" fontId="11" fillId="0" borderId="27" xfId="3" applyNumberFormat="1" applyFont="1" applyBorder="1" applyAlignment="1">
      <alignment horizontal="center" vertical="center"/>
    </xf>
    <xf numFmtId="0" fontId="10" fillId="0" borderId="28" xfId="0" applyFont="1" applyBorder="1"/>
    <xf numFmtId="0" fontId="9" fillId="0" borderId="29" xfId="0" applyFont="1" applyBorder="1"/>
    <xf numFmtId="0" fontId="9" fillId="0" borderId="29" xfId="0" applyFont="1" applyBorder="1" applyAlignment="1">
      <alignment horizontal="center" vertical="center"/>
    </xf>
    <xf numFmtId="10" fontId="11" fillId="0" borderId="30" xfId="3" applyNumberFormat="1" applyFont="1" applyBorder="1" applyAlignment="1">
      <alignment horizontal="center" vertical="center"/>
    </xf>
    <xf numFmtId="164" fontId="10" fillId="0" borderId="0" xfId="1" applyFont="1" applyAlignment="1">
      <alignment horizontal="center" vertical="center"/>
    </xf>
    <xf numFmtId="9" fontId="9" fillId="0" borderId="0" xfId="0" applyNumberFormat="1" applyFont="1"/>
    <xf numFmtId="0" fontId="10" fillId="0" borderId="8" xfId="1" applyNumberFormat="1" applyFont="1" applyBorder="1" applyAlignment="1">
      <alignment horizontal="center"/>
    </xf>
    <xf numFmtId="0" fontId="12" fillId="0" borderId="0" xfId="0" applyFont="1"/>
    <xf numFmtId="164" fontId="9" fillId="0" borderId="8" xfId="1" applyFont="1" applyBorder="1" applyAlignment="1">
      <alignment horizontal="left"/>
    </xf>
    <xf numFmtId="164" fontId="9" fillId="0" borderId="11" xfId="1" applyFont="1" applyBorder="1" applyAlignment="1">
      <alignment horizontal="left"/>
    </xf>
    <xf numFmtId="164" fontId="9" fillId="0" borderId="0" xfId="1" applyFont="1"/>
    <xf numFmtId="9" fontId="9" fillId="0" borderId="0" xfId="3" applyFont="1"/>
    <xf numFmtId="164" fontId="10" fillId="0" borderId="0" xfId="1" applyFont="1"/>
    <xf numFmtId="2" fontId="9" fillId="0" borderId="0" xfId="0" applyNumberFormat="1" applyFont="1"/>
    <xf numFmtId="0" fontId="10" fillId="0" borderId="0" xfId="0" applyFont="1" applyAlignment="1">
      <alignment horizontal="center"/>
    </xf>
    <xf numFmtId="164" fontId="9" fillId="0" borderId="0" xfId="1" applyFont="1" applyAlignment="1"/>
    <xf numFmtId="10" fontId="10" fillId="0" borderId="0" xfId="0" applyNumberFormat="1" applyFont="1"/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8" xfId="0" applyFont="1" applyBorder="1"/>
    <xf numFmtId="2" fontId="9" fillId="0" borderId="8" xfId="0" applyNumberFormat="1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2" fontId="9" fillId="0" borderId="8" xfId="0" applyNumberFormat="1" applyFont="1" applyBorder="1"/>
    <xf numFmtId="0" fontId="10" fillId="0" borderId="8" xfId="0" applyFont="1" applyBorder="1" applyAlignment="1">
      <alignment horizontal="center"/>
    </xf>
    <xf numFmtId="0" fontId="13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/>
    <xf numFmtId="0" fontId="10" fillId="0" borderId="6" xfId="0" applyFont="1" applyBorder="1" applyAlignment="1">
      <alignment vertical="center" wrapText="1"/>
    </xf>
    <xf numFmtId="0" fontId="9" fillId="0" borderId="5" xfId="0" applyFont="1" applyBorder="1"/>
    <xf numFmtId="2" fontId="10" fillId="0" borderId="6" xfId="0" applyNumberFormat="1" applyFont="1" applyBorder="1"/>
    <xf numFmtId="2" fontId="10" fillId="0" borderId="1" xfId="0" applyNumberFormat="1" applyFont="1" applyBorder="1"/>
    <xf numFmtId="0" fontId="10" fillId="0" borderId="0" xfId="0" applyFont="1" applyAlignment="1">
      <alignment vertical="top"/>
    </xf>
    <xf numFmtId="0" fontId="9" fillId="0" borderId="6" xfId="0" applyFont="1" applyBorder="1" applyAlignment="1">
      <alignment vertical="top" wrapText="1"/>
    </xf>
    <xf numFmtId="2" fontId="9" fillId="0" borderId="6" xfId="0" applyNumberFormat="1" applyFont="1" applyBorder="1" applyAlignment="1">
      <alignment wrapText="1"/>
    </xf>
    <xf numFmtId="2" fontId="9" fillId="0" borderId="6" xfId="0" applyNumberFormat="1" applyFont="1" applyBorder="1"/>
    <xf numFmtId="2" fontId="9" fillId="0" borderId="1" xfId="0" applyNumberFormat="1" applyFont="1" applyBorder="1"/>
    <xf numFmtId="0" fontId="10" fillId="0" borderId="8" xfId="0" applyFont="1" applyBorder="1"/>
    <xf numFmtId="2" fontId="10" fillId="0" borderId="8" xfId="0" applyNumberFormat="1" applyFont="1" applyBorder="1"/>
    <xf numFmtId="2" fontId="10" fillId="0" borderId="8" xfId="0" applyNumberFormat="1" applyFont="1" applyBorder="1" applyAlignment="1">
      <alignment horizontal="right" vertical="center" wrapText="1"/>
    </xf>
    <xf numFmtId="0" fontId="9" fillId="0" borderId="6" xfId="0" applyFont="1" applyBorder="1"/>
    <xf numFmtId="2" fontId="10" fillId="0" borderId="5" xfId="0" applyNumberFormat="1" applyFont="1" applyBorder="1"/>
    <xf numFmtId="2" fontId="10" fillId="0" borderId="0" xfId="0" applyNumberFormat="1" applyFont="1"/>
    <xf numFmtId="2" fontId="9" fillId="0" borderId="3" xfId="0" applyNumberFormat="1" applyFont="1" applyBorder="1"/>
    <xf numFmtId="2" fontId="9" fillId="0" borderId="9" xfId="0" applyNumberFormat="1" applyFont="1" applyBorder="1"/>
    <xf numFmtId="2" fontId="10" fillId="0" borderId="11" xfId="0" applyNumberFormat="1" applyFont="1" applyBorder="1"/>
    <xf numFmtId="0" fontId="13" fillId="0" borderId="6" xfId="0" applyFont="1" applyBorder="1" applyAlignment="1">
      <alignment vertical="center" wrapText="1"/>
    </xf>
    <xf numFmtId="0" fontId="10" fillId="0" borderId="6" xfId="0" applyFont="1" applyBorder="1" applyAlignment="1">
      <alignment wrapText="1"/>
    </xf>
    <xf numFmtId="0" fontId="10" fillId="0" borderId="6" xfId="0" applyFont="1" applyBorder="1"/>
    <xf numFmtId="0" fontId="9" fillId="0" borderId="7" xfId="0" applyFont="1" applyBorder="1"/>
    <xf numFmtId="2" fontId="10" fillId="0" borderId="3" xfId="0" applyNumberFormat="1" applyFont="1" applyBorder="1"/>
    <xf numFmtId="0" fontId="10" fillId="0" borderId="0" xfId="1" applyNumberFormat="1" applyFont="1" applyBorder="1" applyAlignment="1">
      <alignment horizontal="center"/>
    </xf>
    <xf numFmtId="164" fontId="9" fillId="0" borderId="0" xfId="1" applyFont="1" applyBorder="1"/>
    <xf numFmtId="0" fontId="10" fillId="0" borderId="1" xfId="0" applyFont="1" applyBorder="1"/>
    <xf numFmtId="164" fontId="9" fillId="0" borderId="5" xfId="1" applyFont="1" applyBorder="1"/>
    <xf numFmtId="164" fontId="9" fillId="0" borderId="6" xfId="1" applyFont="1" applyBorder="1"/>
    <xf numFmtId="2" fontId="9" fillId="0" borderId="6" xfId="1" applyNumberFormat="1" applyFont="1" applyBorder="1"/>
    <xf numFmtId="2" fontId="9" fillId="0" borderId="9" xfId="1" applyNumberFormat="1" applyFont="1" applyBorder="1"/>
    <xf numFmtId="2" fontId="9" fillId="0" borderId="1" xfId="1" applyNumberFormat="1" applyFont="1" applyBorder="1"/>
    <xf numFmtId="0" fontId="10" fillId="0" borderId="11" xfId="0" applyFont="1" applyBorder="1"/>
    <xf numFmtId="164" fontId="10" fillId="0" borderId="0" xfId="1" applyFont="1" applyBorder="1"/>
    <xf numFmtId="164" fontId="5" fillId="0" borderId="0" xfId="1" applyFont="1" applyBorder="1"/>
    <xf numFmtId="43" fontId="9" fillId="0" borderId="0" xfId="0" applyNumberFormat="1" applyFont="1"/>
    <xf numFmtId="0" fontId="10" fillId="0" borderId="5" xfId="0" applyFont="1" applyBorder="1" applyAlignment="1">
      <alignment horizontal="center"/>
    </xf>
    <xf numFmtId="0" fontId="9" fillId="0" borderId="9" xfId="0" applyFont="1" applyBorder="1"/>
    <xf numFmtId="164" fontId="9" fillId="0" borderId="0" xfId="1" applyFont="1" applyBorder="1" applyAlignment="1">
      <alignment horizontal="center"/>
    </xf>
    <xf numFmtId="2" fontId="9" fillId="0" borderId="18" xfId="0" applyNumberFormat="1" applyFont="1" applyBorder="1"/>
    <xf numFmtId="2" fontId="9" fillId="0" borderId="7" xfId="0" applyNumberFormat="1" applyFont="1" applyBorder="1"/>
    <xf numFmtId="0" fontId="10" fillId="0" borderId="9" xfId="0" applyFont="1" applyBorder="1"/>
    <xf numFmtId="0" fontId="9" fillId="2" borderId="0" xfId="0" applyFont="1" applyFill="1" applyAlignment="1">
      <alignment vertical="top" wrapText="1"/>
    </xf>
    <xf numFmtId="0" fontId="10" fillId="0" borderId="2" xfId="0" applyFont="1" applyBorder="1"/>
    <xf numFmtId="164" fontId="10" fillId="0" borderId="0" xfId="1" applyFont="1" applyBorder="1" applyAlignment="1">
      <alignment horizontal="left"/>
    </xf>
    <xf numFmtId="0" fontId="9" fillId="0" borderId="1" xfId="0" applyFont="1" applyBorder="1" applyAlignment="1">
      <alignment horizontal="center" wrapText="1"/>
    </xf>
    <xf numFmtId="0" fontId="10" fillId="0" borderId="8" xfId="0" applyFont="1" applyBorder="1" applyAlignment="1">
      <alignment horizontal="left" indent="3"/>
    </xf>
    <xf numFmtId="166" fontId="10" fillId="0" borderId="9" xfId="1" applyNumberFormat="1" applyFont="1" applyBorder="1" applyAlignment="1">
      <alignment horizontal="center"/>
    </xf>
    <xf numFmtId="166" fontId="10" fillId="0" borderId="2" xfId="1" applyNumberFormat="1" applyFont="1" applyBorder="1" applyAlignment="1">
      <alignment horizontal="center"/>
    </xf>
    <xf numFmtId="166" fontId="9" fillId="0" borderId="6" xfId="1" applyNumberFormat="1" applyFont="1" applyBorder="1"/>
    <xf numFmtId="9" fontId="9" fillId="0" borderId="0" xfId="1" applyNumberFormat="1" applyFont="1" applyBorder="1"/>
    <xf numFmtId="9" fontId="9" fillId="0" borderId="6" xfId="0" applyNumberFormat="1" applyFont="1" applyBorder="1"/>
    <xf numFmtId="1" fontId="9" fillId="0" borderId="0" xfId="1" applyNumberFormat="1" applyFont="1" applyBorder="1"/>
    <xf numFmtId="0" fontId="12" fillId="0" borderId="1" xfId="0" applyFont="1" applyBorder="1"/>
    <xf numFmtId="164" fontId="9" fillId="0" borderId="9" xfId="1" applyFont="1" applyBorder="1"/>
    <xf numFmtId="164" fontId="10" fillId="0" borderId="8" xfId="1" applyFont="1" applyBorder="1"/>
    <xf numFmtId="0" fontId="9" fillId="0" borderId="1" xfId="0" applyFont="1" applyBorder="1" applyAlignment="1">
      <alignment vertical="top" wrapText="1"/>
    </xf>
    <xf numFmtId="164" fontId="9" fillId="0" borderId="0" xfId="0" applyNumberFormat="1" applyFont="1"/>
    <xf numFmtId="0" fontId="10" fillId="0" borderId="3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9" fillId="0" borderId="18" xfId="0" applyFont="1" applyBorder="1"/>
    <xf numFmtId="164" fontId="9" fillId="0" borderId="18" xfId="1" applyFont="1" applyBorder="1"/>
    <xf numFmtId="0" fontId="12" fillId="0" borderId="11" xfId="0" applyFont="1" applyBorder="1"/>
    <xf numFmtId="0" fontId="9" fillId="0" borderId="3" xfId="0" applyFont="1" applyBorder="1"/>
    <xf numFmtId="0" fontId="9" fillId="0" borderId="19" xfId="0" applyFont="1" applyBorder="1"/>
    <xf numFmtId="164" fontId="9" fillId="0" borderId="19" xfId="1" applyFont="1" applyBorder="1"/>
    <xf numFmtId="0" fontId="9" fillId="0" borderId="11" xfId="0" applyFont="1" applyBorder="1"/>
    <xf numFmtId="0" fontId="9" fillId="0" borderId="20" xfId="0" applyFont="1" applyBorder="1" applyAlignment="1">
      <alignment vertical="top" wrapText="1"/>
    </xf>
    <xf numFmtId="0" fontId="9" fillId="0" borderId="21" xfId="0" applyFont="1" applyBorder="1" applyAlignment="1">
      <alignment vertical="top" wrapText="1"/>
    </xf>
    <xf numFmtId="164" fontId="9" fillId="0" borderId="21" xfId="1" applyFont="1" applyBorder="1" applyAlignment="1">
      <alignment vertical="top" wrapText="1"/>
    </xf>
    <xf numFmtId="164" fontId="9" fillId="0" borderId="22" xfId="1" applyFont="1" applyBorder="1" applyAlignment="1">
      <alignment vertical="top" wrapText="1"/>
    </xf>
    <xf numFmtId="0" fontId="9" fillId="0" borderId="16" xfId="0" applyFont="1" applyBorder="1"/>
    <xf numFmtId="9" fontId="9" fillId="0" borderId="0" xfId="0" applyNumberFormat="1" applyFont="1" applyAlignment="1">
      <alignment vertical="top" wrapText="1"/>
    </xf>
    <xf numFmtId="164" fontId="9" fillId="0" borderId="0" xfId="1" applyFont="1" applyBorder="1" applyAlignment="1">
      <alignment vertical="top" wrapText="1"/>
    </xf>
    <xf numFmtId="164" fontId="9" fillId="0" borderId="18" xfId="1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vertical="top" wrapText="1"/>
    </xf>
    <xf numFmtId="0" fontId="9" fillId="0" borderId="13" xfId="0" applyFont="1" applyBorder="1" applyAlignment="1">
      <alignment vertical="top" wrapText="1"/>
    </xf>
    <xf numFmtId="164" fontId="9" fillId="0" borderId="12" xfId="1" applyFont="1" applyBorder="1" applyAlignment="1">
      <alignment vertical="top" wrapText="1"/>
    </xf>
    <xf numFmtId="164" fontId="9" fillId="0" borderId="14" xfId="1" applyFont="1" applyBorder="1" applyAlignment="1">
      <alignment vertical="top" wrapText="1"/>
    </xf>
    <xf numFmtId="164" fontId="9" fillId="0" borderId="17" xfId="1" applyFont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164" fontId="9" fillId="0" borderId="6" xfId="1" applyFont="1" applyBorder="1" applyAlignment="1">
      <alignment horizontal="right" vertical="top" wrapText="1"/>
    </xf>
    <xf numFmtId="0" fontId="9" fillId="0" borderId="9" xfId="0" applyFont="1" applyBorder="1" applyAlignment="1">
      <alignment horizontal="center"/>
    </xf>
    <xf numFmtId="164" fontId="9" fillId="0" borderId="6" xfId="0" applyNumberFormat="1" applyFont="1" applyBorder="1" applyAlignment="1">
      <alignment horizontal="right"/>
    </xf>
    <xf numFmtId="9" fontId="9" fillId="0" borderId="1" xfId="0" applyNumberFormat="1" applyFont="1" applyBorder="1" applyAlignment="1">
      <alignment wrapText="1"/>
    </xf>
    <xf numFmtId="2" fontId="9" fillId="0" borderId="6" xfId="0" applyNumberFormat="1" applyFont="1" applyBorder="1" applyAlignment="1">
      <alignment vertical="top" wrapText="1"/>
    </xf>
    <xf numFmtId="0" fontId="10" fillId="0" borderId="19" xfId="0" applyFont="1" applyBorder="1"/>
    <xf numFmtId="2" fontId="9" fillId="0" borderId="0" xfId="0" applyNumberFormat="1" applyFont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right" vertical="top" wrapText="1"/>
    </xf>
    <xf numFmtId="2" fontId="10" fillId="0" borderId="0" xfId="0" applyNumberFormat="1" applyFont="1" applyAlignment="1">
      <alignment horizontal="right"/>
    </xf>
    <xf numFmtId="0" fontId="9" fillId="0" borderId="8" xfId="0" applyFont="1" applyBorder="1" applyAlignment="1">
      <alignment horizontal="center" vertical="top" wrapText="1"/>
    </xf>
    <xf numFmtId="3" fontId="9" fillId="0" borderId="17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right" vertical="top" wrapText="1"/>
    </xf>
    <xf numFmtId="0" fontId="9" fillId="0" borderId="8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3" fontId="9" fillId="0" borderId="15" xfId="0" applyNumberFormat="1" applyFont="1" applyBorder="1" applyAlignment="1">
      <alignment horizontal="center" vertical="top"/>
    </xf>
    <xf numFmtId="3" fontId="9" fillId="0" borderId="19" xfId="0" applyNumberFormat="1" applyFont="1" applyBorder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2" fontId="10" fillId="0" borderId="0" xfId="0" applyNumberFormat="1" applyFont="1" applyAlignment="1">
      <alignment vertical="top" wrapText="1"/>
    </xf>
    <xf numFmtId="0" fontId="9" fillId="0" borderId="8" xfId="0" applyFont="1" applyBorder="1" applyAlignment="1">
      <alignment horizontal="justify" vertical="top" wrapText="1"/>
    </xf>
    <xf numFmtId="0" fontId="9" fillId="0" borderId="8" xfId="0" applyFont="1" applyBorder="1" applyAlignment="1">
      <alignment horizontal="center" wrapText="1"/>
    </xf>
    <xf numFmtId="0" fontId="9" fillId="0" borderId="8" xfId="0" applyFont="1" applyBorder="1" applyAlignment="1">
      <alignment wrapText="1"/>
    </xf>
    <xf numFmtId="0" fontId="9" fillId="0" borderId="8" xfId="0" applyFont="1" applyBorder="1" applyAlignment="1">
      <alignment horizontal="center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right" vertical="top" wrapText="1"/>
    </xf>
    <xf numFmtId="2" fontId="10" fillId="0" borderId="3" xfId="0" applyNumberFormat="1" applyFont="1" applyBorder="1" applyAlignment="1">
      <alignment horizontal="right" vertical="top" wrapText="1"/>
    </xf>
    <xf numFmtId="0" fontId="9" fillId="0" borderId="19" xfId="0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9" fillId="0" borderId="2" xfId="0" applyFont="1" applyBorder="1"/>
    <xf numFmtId="0" fontId="10" fillId="0" borderId="2" xfId="0" applyFont="1" applyBorder="1" applyAlignment="1">
      <alignment horizontal="justify" vertical="center" wrapText="1"/>
    </xf>
    <xf numFmtId="2" fontId="10" fillId="0" borderId="2" xfId="0" applyNumberFormat="1" applyFont="1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right" vertical="center"/>
    </xf>
    <xf numFmtId="2" fontId="9" fillId="0" borderId="19" xfId="0" applyNumberFormat="1" applyFont="1" applyBorder="1" applyAlignment="1">
      <alignment horizontal="right" vertical="top"/>
    </xf>
    <xf numFmtId="0" fontId="15" fillId="0" borderId="4" xfId="2" applyFont="1" applyBorder="1" applyAlignment="1"/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1" fontId="9" fillId="0" borderId="0" xfId="0" applyNumberFormat="1" applyFont="1"/>
    <xf numFmtId="0" fontId="9" fillId="0" borderId="0" xfId="0" applyFont="1" applyAlignment="1">
      <alignment horizontal="left" wrapText="1"/>
    </xf>
    <xf numFmtId="0" fontId="15" fillId="0" borderId="0" xfId="2" applyFont="1" applyAlignment="1">
      <alignment horizontal="left" wrapText="1"/>
    </xf>
    <xf numFmtId="10" fontId="9" fillId="0" borderId="0" xfId="0" applyNumberFormat="1" applyFont="1"/>
    <xf numFmtId="0" fontId="4" fillId="4" borderId="8" xfId="0" applyFont="1" applyFill="1" applyBorder="1" applyAlignment="1">
      <alignment horizontal="center" vertical="center" wrapText="1"/>
    </xf>
    <xf numFmtId="164" fontId="0" fillId="0" borderId="8" xfId="0" applyNumberFormat="1" applyBorder="1" applyAlignment="1">
      <alignment wrapText="1"/>
    </xf>
    <xf numFmtId="10" fontId="0" fillId="0" borderId="8" xfId="0" applyNumberFormat="1" applyBorder="1" applyAlignment="1">
      <alignment wrapText="1"/>
    </xf>
    <xf numFmtId="2" fontId="0" fillId="0" borderId="8" xfId="0" applyNumberFormat="1" applyBorder="1" applyAlignment="1">
      <alignment wrapText="1"/>
    </xf>
    <xf numFmtId="2" fontId="0" fillId="0" borderId="8" xfId="0" applyNumberFormat="1" applyBorder="1"/>
    <xf numFmtId="0" fontId="6" fillId="6" borderId="8" xfId="0" applyFont="1" applyFill="1" applyBorder="1"/>
    <xf numFmtId="164" fontId="6" fillId="6" borderId="8" xfId="0" applyNumberFormat="1" applyFont="1" applyFill="1" applyBorder="1"/>
    <xf numFmtId="10" fontId="6" fillId="6" borderId="8" xfId="0" applyNumberFormat="1" applyFont="1" applyFill="1" applyBorder="1" applyAlignment="1">
      <alignment wrapText="1"/>
    </xf>
    <xf numFmtId="2" fontId="6" fillId="6" borderId="8" xfId="0" applyNumberFormat="1" applyFont="1" applyFill="1" applyBorder="1" applyAlignment="1">
      <alignment wrapText="1"/>
    </xf>
    <xf numFmtId="15" fontId="17" fillId="4" borderId="5" xfId="0" applyNumberFormat="1" applyFont="1" applyFill="1" applyBorder="1"/>
    <xf numFmtId="0" fontId="0" fillId="0" borderId="8" xfId="0" applyBorder="1"/>
    <xf numFmtId="164" fontId="0" fillId="0" borderId="8" xfId="0" applyNumberFormat="1" applyBorder="1"/>
    <xf numFmtId="164" fontId="1" fillId="0" borderId="8" xfId="0" applyNumberFormat="1" applyFont="1" applyBorder="1" applyAlignment="1">
      <alignment wrapText="1"/>
    </xf>
    <xf numFmtId="0" fontId="18" fillId="0" borderId="32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20" fillId="0" borderId="0" xfId="0" applyFont="1" applyAlignment="1">
      <alignment vertical="center" readingOrder="1"/>
    </xf>
    <xf numFmtId="164" fontId="9" fillId="0" borderId="8" xfId="1" applyFont="1" applyBorder="1"/>
    <xf numFmtId="0" fontId="9" fillId="4" borderId="8" xfId="0" applyFont="1" applyFill="1" applyBorder="1"/>
    <xf numFmtId="0" fontId="7" fillId="4" borderId="8" xfId="0" applyFont="1" applyFill="1" applyBorder="1"/>
    <xf numFmtId="0" fontId="4" fillId="4" borderId="8" xfId="0" applyFont="1" applyFill="1" applyBorder="1" applyAlignment="1">
      <alignment vertical="top" wrapText="1"/>
    </xf>
    <xf numFmtId="0" fontId="4" fillId="4" borderId="8" xfId="1" applyNumberFormat="1" applyFont="1" applyFill="1" applyBorder="1" applyAlignment="1">
      <alignment horizontal="center"/>
    </xf>
    <xf numFmtId="0" fontId="10" fillId="7" borderId="8" xfId="0" applyFont="1" applyFill="1" applyBorder="1"/>
    <xf numFmtId="0" fontId="12" fillId="4" borderId="8" xfId="0" applyFont="1" applyFill="1" applyBorder="1"/>
    <xf numFmtId="0" fontId="21" fillId="4" borderId="8" xfId="0" applyFont="1" applyFill="1" applyBorder="1"/>
    <xf numFmtId="10" fontId="10" fillId="7" borderId="8" xfId="3" applyNumberFormat="1" applyFont="1" applyFill="1" applyBorder="1"/>
    <xf numFmtId="164" fontId="4" fillId="4" borderId="8" xfId="1" applyFont="1" applyFill="1" applyBorder="1" applyAlignment="1">
      <alignment horizontal="left"/>
    </xf>
    <xf numFmtId="0" fontId="4" fillId="4" borderId="8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vertical="top" wrapText="1"/>
    </xf>
    <xf numFmtId="0" fontId="13" fillId="0" borderId="8" xfId="0" applyFont="1" applyBorder="1"/>
    <xf numFmtId="2" fontId="9" fillId="0" borderId="8" xfId="1" applyNumberFormat="1" applyFont="1" applyBorder="1"/>
    <xf numFmtId="10" fontId="4" fillId="4" borderId="8" xfId="0" applyNumberFormat="1" applyFont="1" applyFill="1" applyBorder="1"/>
    <xf numFmtId="0" fontId="9" fillId="0" borderId="8" xfId="0" applyFont="1" applyBorder="1" applyAlignment="1">
      <alignment horizontal="center" vertical="center"/>
    </xf>
    <xf numFmtId="9" fontId="9" fillId="0" borderId="8" xfId="1" applyNumberFormat="1" applyFont="1" applyBorder="1"/>
    <xf numFmtId="166" fontId="9" fillId="0" borderId="8" xfId="1" applyNumberFormat="1" applyFont="1" applyBorder="1"/>
    <xf numFmtId="164" fontId="9" fillId="0" borderId="8" xfId="1" applyFont="1" applyFill="1" applyBorder="1"/>
    <xf numFmtId="164" fontId="9" fillId="0" borderId="8" xfId="1" applyFont="1" applyBorder="1" applyAlignment="1"/>
    <xf numFmtId="17" fontId="18" fillId="0" borderId="30" xfId="0" applyNumberFormat="1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/>
    </xf>
    <xf numFmtId="2" fontId="10" fillId="7" borderId="8" xfId="0" applyNumberFormat="1" applyFont="1" applyFill="1" applyBorder="1"/>
    <xf numFmtId="2" fontId="10" fillId="7" borderId="11" xfId="0" applyNumberFormat="1" applyFont="1" applyFill="1" applyBorder="1"/>
    <xf numFmtId="0" fontId="10" fillId="7" borderId="9" xfId="0" applyFont="1" applyFill="1" applyBorder="1"/>
    <xf numFmtId="2" fontId="9" fillId="7" borderId="10" xfId="1" applyNumberFormat="1" applyFont="1" applyFill="1" applyBorder="1"/>
    <xf numFmtId="2" fontId="9" fillId="7" borderId="9" xfId="1" applyNumberFormat="1" applyFont="1" applyFill="1" applyBorder="1"/>
    <xf numFmtId="0" fontId="10" fillId="7" borderId="11" xfId="0" applyFont="1" applyFill="1" applyBorder="1"/>
    <xf numFmtId="164" fontId="10" fillId="7" borderId="8" xfId="1" applyFont="1" applyFill="1" applyBorder="1" applyAlignment="1"/>
    <xf numFmtId="164" fontId="10" fillId="7" borderId="8" xfId="1" applyFont="1" applyFill="1" applyBorder="1"/>
    <xf numFmtId="164" fontId="10" fillId="7" borderId="8" xfId="0" applyNumberFormat="1" applyFont="1" applyFill="1" applyBorder="1" applyAlignment="1">
      <alignment horizontal="right"/>
    </xf>
    <xf numFmtId="2" fontId="10" fillId="7" borderId="8" xfId="1" applyNumberFormat="1" applyFont="1" applyFill="1" applyBorder="1"/>
    <xf numFmtId="0" fontId="21" fillId="4" borderId="4" xfId="0" applyFont="1" applyFill="1" applyBorder="1" applyAlignment="1">
      <alignment horizontal="center" vertical="center" wrapText="1"/>
    </xf>
    <xf numFmtId="2" fontId="4" fillId="4" borderId="7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vertical="center" wrapText="1"/>
    </xf>
    <xf numFmtId="0" fontId="21" fillId="4" borderId="5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10" fillId="7" borderId="7" xfId="0" applyFont="1" applyFill="1" applyBorder="1"/>
    <xf numFmtId="0" fontId="10" fillId="7" borderId="5" xfId="0" applyFont="1" applyFill="1" applyBorder="1"/>
    <xf numFmtId="0" fontId="10" fillId="7" borderId="17" xfId="0" applyFont="1" applyFill="1" applyBorder="1"/>
    <xf numFmtId="164" fontId="10" fillId="7" borderId="17" xfId="0" applyNumberFormat="1" applyFont="1" applyFill="1" applyBorder="1"/>
    <xf numFmtId="2" fontId="10" fillId="7" borderId="5" xfId="0" applyNumberFormat="1" applyFont="1" applyFill="1" applyBorder="1"/>
    <xf numFmtId="0" fontId="10" fillId="7" borderId="8" xfId="0" applyFont="1" applyFill="1" applyBorder="1" applyAlignment="1">
      <alignment vertical="top" wrapText="1"/>
    </xf>
    <xf numFmtId="0" fontId="7" fillId="4" borderId="0" xfId="0" applyFont="1" applyFill="1" applyAlignment="1">
      <alignment horizontal="right"/>
    </xf>
    <xf numFmtId="0" fontId="7" fillId="4" borderId="0" xfId="0" applyFont="1" applyFill="1"/>
    <xf numFmtId="2" fontId="10" fillId="7" borderId="19" xfId="0" applyNumberFormat="1" applyFont="1" applyFill="1" applyBorder="1" applyAlignment="1">
      <alignment horizontal="right" vertical="top" wrapText="1"/>
    </xf>
    <xf numFmtId="0" fontId="10" fillId="7" borderId="8" xfId="0" applyFont="1" applyFill="1" applyBorder="1" applyAlignment="1">
      <alignment horizontal="left" vertical="top" wrapText="1"/>
    </xf>
    <xf numFmtId="2" fontId="10" fillId="7" borderId="19" xfId="0" applyNumberFormat="1" applyFont="1" applyFill="1" applyBorder="1" applyAlignment="1">
      <alignment vertical="top" wrapText="1"/>
    </xf>
    <xf numFmtId="0" fontId="10" fillId="7" borderId="8" xfId="0" applyFont="1" applyFill="1" applyBorder="1" applyAlignment="1">
      <alignment horizontal="justify" vertical="center" wrapText="1"/>
    </xf>
    <xf numFmtId="2" fontId="10" fillId="7" borderId="8" xfId="0" applyNumberFormat="1" applyFont="1" applyFill="1" applyBorder="1" applyAlignment="1">
      <alignment horizontal="right" vertical="center" wrapText="1"/>
    </xf>
    <xf numFmtId="0" fontId="4" fillId="4" borderId="11" xfId="0" applyFont="1" applyFill="1" applyBorder="1"/>
    <xf numFmtId="0" fontId="7" fillId="4" borderId="8" xfId="0" applyFont="1" applyFill="1" applyBorder="1" applyAlignment="1">
      <alignment horizontal="center"/>
    </xf>
    <xf numFmtId="0" fontId="21" fillId="4" borderId="0" xfId="0" applyFont="1" applyFill="1"/>
    <xf numFmtId="0" fontId="7" fillId="4" borderId="6" xfId="0" applyFont="1" applyFill="1" applyBorder="1" applyAlignment="1">
      <alignment horizontal="center"/>
    </xf>
    <xf numFmtId="0" fontId="10" fillId="7" borderId="3" xfId="0" applyFont="1" applyFill="1" applyBorder="1"/>
    <xf numFmtId="2" fontId="9" fillId="0" borderId="8" xfId="0" applyNumberFormat="1" applyFont="1" applyBorder="1" applyAlignment="1">
      <alignment horizontal="right"/>
    </xf>
    <xf numFmtId="0" fontId="9" fillId="0" borderId="1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0" xfId="0" applyFont="1" applyAlignment="1">
      <alignment horizontal="left" wrapText="1"/>
    </xf>
    <xf numFmtId="2" fontId="10" fillId="0" borderId="0" xfId="0" applyNumberFormat="1" applyFont="1" applyAlignment="1">
      <alignment horizontal="right" wrapText="1"/>
    </xf>
    <xf numFmtId="0" fontId="0" fillId="0" borderId="0" xfId="0" applyAlignment="1">
      <alignment wrapText="1"/>
    </xf>
    <xf numFmtId="10" fontId="0" fillId="0" borderId="0" xfId="0" applyNumberFormat="1"/>
    <xf numFmtId="14" fontId="22" fillId="4" borderId="0" xfId="0" applyNumberFormat="1" applyFont="1" applyFill="1"/>
    <xf numFmtId="2" fontId="10" fillId="7" borderId="19" xfId="0" applyNumberFormat="1" applyFont="1" applyFill="1" applyBorder="1" applyAlignment="1">
      <alignment horizontal="right" vertical="top"/>
    </xf>
    <xf numFmtId="0" fontId="22" fillId="4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4" fillId="0" borderId="3" xfId="0" applyFont="1" applyBorder="1"/>
    <xf numFmtId="0" fontId="10" fillId="9" borderId="8" xfId="0" applyFont="1" applyFill="1" applyBorder="1" applyAlignment="1">
      <alignment vertical="top" wrapText="1"/>
    </xf>
    <xf numFmtId="0" fontId="10" fillId="9" borderId="8" xfId="0" applyFont="1" applyFill="1" applyBorder="1" applyAlignment="1">
      <alignment horizontal="center" vertical="top" wrapText="1"/>
    </xf>
    <xf numFmtId="0" fontId="10" fillId="9" borderId="8" xfId="0" applyFont="1" applyFill="1" applyBorder="1" applyAlignment="1">
      <alignment horizontal="right" vertical="top" wrapText="1"/>
    </xf>
    <xf numFmtId="2" fontId="10" fillId="9" borderId="8" xfId="0" applyNumberFormat="1" applyFont="1" applyFill="1" applyBorder="1" applyAlignment="1">
      <alignment horizontal="right" vertical="top" wrapText="1"/>
    </xf>
    <xf numFmtId="8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10" fillId="0" borderId="8" xfId="0" applyFont="1" applyBorder="1" applyAlignment="1">
      <alignment wrapText="1"/>
    </xf>
    <xf numFmtId="0" fontId="18" fillId="0" borderId="30" xfId="0" applyFont="1" applyBorder="1" applyAlignment="1">
      <alignment horizontal="center" vertical="center" wrapText="1"/>
    </xf>
    <xf numFmtId="17" fontId="10" fillId="0" borderId="0" xfId="0" quotePrefix="1" applyNumberFormat="1" applyFont="1" applyAlignment="1">
      <alignment horizontal="center"/>
    </xf>
    <xf numFmtId="2" fontId="9" fillId="0" borderId="8" xfId="1" applyNumberFormat="1" applyFont="1" applyFill="1" applyBorder="1"/>
    <xf numFmtId="0" fontId="24" fillId="0" borderId="0" xfId="0" applyFont="1"/>
    <xf numFmtId="9" fontId="0" fillId="0" borderId="0" xfId="3" applyFont="1"/>
    <xf numFmtId="0" fontId="27" fillId="0" borderId="0" xfId="0" applyFont="1"/>
    <xf numFmtId="0" fontId="27" fillId="0" borderId="1" xfId="0" applyFont="1" applyBorder="1"/>
    <xf numFmtId="164" fontId="27" fillId="0" borderId="0" xfId="1" applyFont="1" applyFill="1" applyBorder="1"/>
    <xf numFmtId="164" fontId="27" fillId="0" borderId="0" xfId="1" applyFont="1" applyFill="1" applyBorder="1" applyAlignment="1">
      <alignment horizontal="center"/>
    </xf>
    <xf numFmtId="0" fontId="27" fillId="0" borderId="8" xfId="0" applyFont="1" applyBorder="1"/>
    <xf numFmtId="0" fontId="26" fillId="0" borderId="8" xfId="0" applyFont="1" applyBorder="1"/>
    <xf numFmtId="164" fontId="27" fillId="0" borderId="8" xfId="1" applyFont="1" applyFill="1" applyBorder="1"/>
    <xf numFmtId="164" fontId="27" fillId="0" borderId="8" xfId="1" applyFont="1" applyFill="1" applyBorder="1" applyAlignment="1">
      <alignment horizontal="center"/>
    </xf>
    <xf numFmtId="164" fontId="26" fillId="0" borderId="8" xfId="1" applyFont="1" applyFill="1" applyBorder="1"/>
    <xf numFmtId="10" fontId="10" fillId="8" borderId="8" xfId="0" applyNumberFormat="1" applyFont="1" applyFill="1" applyBorder="1"/>
    <xf numFmtId="0" fontId="26" fillId="7" borderId="8" xfId="0" applyFont="1" applyFill="1" applyBorder="1"/>
    <xf numFmtId="0" fontId="0" fillId="7" borderId="8" xfId="0" applyFill="1" applyBorder="1"/>
    <xf numFmtId="164" fontId="24" fillId="7" borderId="8" xfId="0" applyNumberFormat="1" applyFont="1" applyFill="1" applyBorder="1"/>
    <xf numFmtId="0" fontId="26" fillId="7" borderId="8" xfId="0" applyFont="1" applyFill="1" applyBorder="1" applyAlignment="1">
      <alignment horizontal="left"/>
    </xf>
    <xf numFmtId="0" fontId="27" fillId="7" borderId="8" xfId="0" applyFont="1" applyFill="1" applyBorder="1"/>
    <xf numFmtId="168" fontId="26" fillId="7" borderId="8" xfId="0" applyNumberFormat="1" applyFont="1" applyFill="1" applyBorder="1" applyAlignment="1">
      <alignment horizontal="right"/>
    </xf>
    <xf numFmtId="0" fontId="26" fillId="7" borderId="11" xfId="0" applyFont="1" applyFill="1" applyBorder="1" applyAlignment="1">
      <alignment horizontal="left"/>
    </xf>
    <xf numFmtId="0" fontId="27" fillId="7" borderId="3" xfId="0" applyFont="1" applyFill="1" applyBorder="1"/>
    <xf numFmtId="0" fontId="26" fillId="7" borderId="3" xfId="0" applyFont="1" applyFill="1" applyBorder="1"/>
    <xf numFmtId="168" fontId="26" fillId="7" borderId="3" xfId="0" applyNumberFormat="1" applyFont="1" applyFill="1" applyBorder="1" applyAlignment="1">
      <alignment horizontal="right"/>
    </xf>
    <xf numFmtId="0" fontId="27" fillId="7" borderId="4" xfId="0" applyFont="1" applyFill="1" applyBorder="1"/>
    <xf numFmtId="0" fontId="26" fillId="7" borderId="4" xfId="0" applyFont="1" applyFill="1" applyBorder="1"/>
    <xf numFmtId="168" fontId="26" fillId="7" borderId="4" xfId="0" applyNumberFormat="1" applyFont="1" applyFill="1" applyBorder="1" applyAlignment="1">
      <alignment horizontal="right"/>
    </xf>
    <xf numFmtId="0" fontId="26" fillId="7" borderId="9" xfId="0" applyFont="1" applyFill="1" applyBorder="1"/>
    <xf numFmtId="0" fontId="0" fillId="7" borderId="9" xfId="0" applyFill="1" applyBorder="1"/>
    <xf numFmtId="0" fontId="22" fillId="4" borderId="8" xfId="0" applyFont="1" applyFill="1" applyBorder="1"/>
    <xf numFmtId="9" fontId="0" fillId="0" borderId="8" xfId="0" applyNumberFormat="1" applyBorder="1"/>
    <xf numFmtId="0" fontId="24" fillId="0" borderId="8" xfId="0" applyFont="1" applyBorder="1"/>
    <xf numFmtId="9" fontId="0" fillId="0" borderId="8" xfId="3" applyFont="1" applyBorder="1"/>
    <xf numFmtId="0" fontId="0" fillId="0" borderId="8" xfId="0" applyBorder="1" applyAlignment="1">
      <alignment horizontal="center"/>
    </xf>
    <xf numFmtId="0" fontId="24" fillId="7" borderId="8" xfId="0" applyFont="1" applyFill="1" applyBorder="1"/>
    <xf numFmtId="0" fontId="1" fillId="0" borderId="8" xfId="0" applyFont="1" applyBorder="1"/>
    <xf numFmtId="0" fontId="9" fillId="0" borderId="19" xfId="0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vertical="top"/>
    </xf>
    <xf numFmtId="0" fontId="9" fillId="0" borderId="9" xfId="0" applyFont="1" applyBorder="1" applyAlignment="1">
      <alignment wrapText="1"/>
    </xf>
    <xf numFmtId="0" fontId="10" fillId="7" borderId="8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3" fontId="10" fillId="0" borderId="8" xfId="0" applyNumberFormat="1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0" fillId="0" borderId="8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166" fontId="9" fillId="0" borderId="5" xfId="1" applyNumberFormat="1" applyFont="1" applyBorder="1"/>
    <xf numFmtId="0" fontId="12" fillId="0" borderId="8" xfId="0" applyFont="1" applyBorder="1"/>
    <xf numFmtId="0" fontId="14" fillId="0" borderId="8" xfId="0" applyFont="1" applyBorder="1"/>
    <xf numFmtId="9" fontId="9" fillId="0" borderId="8" xfId="0" applyNumberFormat="1" applyFont="1" applyBorder="1"/>
    <xf numFmtId="10" fontId="9" fillId="0" borderId="8" xfId="3" applyNumberFormat="1" applyFont="1" applyBorder="1" applyAlignment="1"/>
    <xf numFmtId="2" fontId="9" fillId="2" borderId="8" xfId="1" applyNumberFormat="1" applyFont="1" applyFill="1" applyBorder="1"/>
    <xf numFmtId="0" fontId="9" fillId="0" borderId="8" xfId="0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2" fontId="5" fillId="0" borderId="8" xfId="1" applyNumberFormat="1" applyFont="1" applyBorder="1"/>
    <xf numFmtId="164" fontId="10" fillId="0" borderId="8" xfId="1" applyFont="1" applyBorder="1" applyAlignment="1">
      <alignment horizontal="center" vertical="top" wrapText="1"/>
    </xf>
    <xf numFmtId="0" fontId="9" fillId="0" borderId="8" xfId="1" applyNumberFormat="1" applyFont="1" applyBorder="1"/>
    <xf numFmtId="1" fontId="9" fillId="0" borderId="8" xfId="1" applyNumberFormat="1" applyFont="1" applyBorder="1"/>
    <xf numFmtId="0" fontId="10" fillId="7" borderId="8" xfId="0" applyFont="1" applyFill="1" applyBorder="1" applyAlignment="1">
      <alignment horizontal="right"/>
    </xf>
    <xf numFmtId="164" fontId="10" fillId="0" borderId="8" xfId="1" applyFont="1" applyBorder="1" applyAlignment="1">
      <alignment vertical="top" wrapText="1"/>
    </xf>
    <xf numFmtId="0" fontId="4" fillId="4" borderId="8" xfId="0" applyFont="1" applyFill="1" applyBorder="1"/>
    <xf numFmtId="167" fontId="4" fillId="4" borderId="8" xfId="0" applyNumberFormat="1" applyFont="1" applyFill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10" fillId="5" borderId="8" xfId="0" applyFont="1" applyFill="1" applyBorder="1" applyAlignment="1">
      <alignment vertical="center"/>
    </xf>
    <xf numFmtId="0" fontId="10" fillId="5" borderId="8" xfId="0" applyFont="1" applyFill="1" applyBorder="1"/>
    <xf numFmtId="10" fontId="10" fillId="5" borderId="8" xfId="3" applyNumberFormat="1" applyFont="1" applyFill="1" applyBorder="1" applyAlignment="1">
      <alignment horizontal="center" vertical="center"/>
    </xf>
    <xf numFmtId="10" fontId="10" fillId="5" borderId="8" xfId="3" applyNumberFormat="1" applyFont="1" applyFill="1" applyBorder="1" applyAlignment="1">
      <alignment vertical="center"/>
    </xf>
    <xf numFmtId="169" fontId="9" fillId="0" borderId="8" xfId="0" applyNumberFormat="1" applyFont="1" applyBorder="1"/>
    <xf numFmtId="169" fontId="9" fillId="0" borderId="8" xfId="1" applyNumberFormat="1" applyFont="1" applyBorder="1"/>
    <xf numFmtId="164" fontId="10" fillId="5" borderId="8" xfId="1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2" fontId="10" fillId="5" borderId="8" xfId="0" applyNumberFormat="1" applyFont="1" applyFill="1" applyBorder="1" applyAlignment="1">
      <alignment horizontal="center" vertical="center"/>
    </xf>
    <xf numFmtId="164" fontId="4" fillId="4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4" fontId="22" fillId="4" borderId="8" xfId="0" applyNumberFormat="1" applyFont="1" applyFill="1" applyBorder="1"/>
    <xf numFmtId="0" fontId="22" fillId="4" borderId="8" xfId="0" applyFont="1" applyFill="1" applyBorder="1" applyAlignment="1">
      <alignment horizontal="center" vertical="center"/>
    </xf>
    <xf numFmtId="8" fontId="0" fillId="0" borderId="8" xfId="0" applyNumberFormat="1" applyBorder="1"/>
    <xf numFmtId="164" fontId="0" fillId="0" borderId="0" xfId="0" applyNumberFormat="1"/>
    <xf numFmtId="43" fontId="0" fillId="0" borderId="0" xfId="0" applyNumberFormat="1"/>
    <xf numFmtId="9" fontId="27" fillId="0" borderId="8" xfId="3" applyFont="1" applyFill="1" applyBorder="1"/>
    <xf numFmtId="0" fontId="22" fillId="4" borderId="8" xfId="0" applyFont="1" applyFill="1" applyBorder="1" applyAlignment="1">
      <alignment horizontal="center"/>
    </xf>
    <xf numFmtId="10" fontId="0" fillId="0" borderId="8" xfId="3" applyNumberFormat="1" applyFont="1" applyBorder="1"/>
    <xf numFmtId="0" fontId="18" fillId="0" borderId="30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2" fontId="9" fillId="2" borderId="8" xfId="0" applyNumberFormat="1" applyFont="1" applyFill="1" applyBorder="1" applyAlignment="1">
      <alignment horizontal="right" vertical="top" wrapText="1"/>
    </xf>
    <xf numFmtId="2" fontId="9" fillId="0" borderId="0" xfId="0" applyNumberFormat="1" applyFont="1" applyAlignment="1">
      <alignment horizontal="center" vertical="center"/>
    </xf>
    <xf numFmtId="164" fontId="32" fillId="0" borderId="8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8" borderId="0" xfId="0" applyFont="1" applyFill="1" applyAlignment="1">
      <alignment horizontal="center"/>
    </xf>
    <xf numFmtId="0" fontId="15" fillId="0" borderId="0" xfId="2" applyFont="1" applyAlignment="1">
      <alignment horizontal="right"/>
    </xf>
    <xf numFmtId="0" fontId="10" fillId="0" borderId="0" xfId="0" applyFont="1" applyAlignment="1">
      <alignment horizontal="center"/>
    </xf>
    <xf numFmtId="0" fontId="15" fillId="0" borderId="0" xfId="2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4" fillId="4" borderId="2" xfId="0" applyFont="1" applyFill="1" applyBorder="1" applyAlignment="1">
      <alignment horizontal="left" vertical="top" wrapText="1"/>
    </xf>
    <xf numFmtId="0" fontId="10" fillId="7" borderId="8" xfId="0" applyFont="1" applyFill="1" applyBorder="1" applyAlignment="1">
      <alignment horizontal="justify" vertical="top" wrapText="1"/>
    </xf>
    <xf numFmtId="0" fontId="10" fillId="7" borderId="8" xfId="0" applyFont="1" applyFill="1" applyBorder="1" applyAlignment="1">
      <alignment vertical="top" wrapText="1"/>
    </xf>
    <xf numFmtId="0" fontId="10" fillId="7" borderId="8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0" fillId="7" borderId="11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0" fillId="7" borderId="19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 vertical="top"/>
    </xf>
    <xf numFmtId="0" fontId="10" fillId="7" borderId="3" xfId="0" applyFont="1" applyFill="1" applyBorder="1" applyAlignment="1">
      <alignment horizontal="center" vertical="top"/>
    </xf>
    <xf numFmtId="0" fontId="10" fillId="7" borderId="19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/>
    </xf>
    <xf numFmtId="0" fontId="9" fillId="0" borderId="1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9" fillId="0" borderId="19" xfId="0" applyFont="1" applyBorder="1" applyAlignment="1">
      <alignment horizontal="right" vertical="top" wrapText="1"/>
    </xf>
    <xf numFmtId="0" fontId="4" fillId="4" borderId="0" xfId="0" applyFont="1" applyFill="1" applyAlignment="1">
      <alignment horizontal="left" vertical="center"/>
    </xf>
    <xf numFmtId="0" fontId="9" fillId="0" borderId="0" xfId="0" applyFont="1" applyAlignment="1">
      <alignment horizontal="center" wrapText="1"/>
    </xf>
    <xf numFmtId="2" fontId="9" fillId="0" borderId="11" xfId="0" applyNumberFormat="1" applyFont="1" applyBorder="1" applyAlignment="1">
      <alignment horizontal="left" vertical="top" wrapText="1"/>
    </xf>
    <xf numFmtId="2" fontId="9" fillId="0" borderId="3" xfId="0" applyNumberFormat="1" applyFont="1" applyBorder="1" applyAlignment="1">
      <alignment horizontal="left" vertical="top" wrapText="1"/>
    </xf>
    <xf numFmtId="2" fontId="9" fillId="0" borderId="19" xfId="0" applyNumberFormat="1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164" fontId="9" fillId="0" borderId="0" xfId="1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right"/>
    </xf>
    <xf numFmtId="2" fontId="10" fillId="0" borderId="0" xfId="0" applyNumberFormat="1" applyFont="1" applyAlignment="1">
      <alignment horizontal="left" vertical="top" wrapText="1"/>
    </xf>
    <xf numFmtId="0" fontId="4" fillId="4" borderId="8" xfId="0" applyFont="1" applyFill="1" applyBorder="1" applyAlignment="1">
      <alignment horizontal="center" wrapText="1"/>
    </xf>
    <xf numFmtId="2" fontId="9" fillId="0" borderId="8" xfId="0" applyNumberFormat="1" applyFont="1" applyBorder="1" applyAlignment="1">
      <alignment horizontal="center"/>
    </xf>
    <xf numFmtId="0" fontId="4" fillId="4" borderId="11" xfId="0" applyFont="1" applyFill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2" fontId="9" fillId="0" borderId="11" xfId="0" applyNumberFormat="1" applyFont="1" applyBorder="1" applyAlignment="1">
      <alignment horizontal="right"/>
    </xf>
    <xf numFmtId="2" fontId="9" fillId="0" borderId="19" xfId="0" applyNumberFormat="1" applyFont="1" applyBorder="1" applyAlignment="1">
      <alignment horizontal="right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2" fontId="4" fillId="4" borderId="11" xfId="0" applyNumberFormat="1" applyFont="1" applyFill="1" applyBorder="1" applyAlignment="1">
      <alignment horizontal="center" vertical="center" wrapText="1"/>
    </xf>
    <xf numFmtId="2" fontId="4" fillId="4" borderId="19" xfId="0" applyNumberFormat="1" applyFont="1" applyFill="1" applyBorder="1" applyAlignment="1">
      <alignment horizontal="center" vertical="center" wrapText="1"/>
    </xf>
    <xf numFmtId="8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31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/>
    </xf>
    <xf numFmtId="164" fontId="30" fillId="4" borderId="10" xfId="1" applyFont="1" applyFill="1" applyBorder="1" applyAlignment="1">
      <alignment horizontal="center" vertical="center"/>
    </xf>
    <xf numFmtId="164" fontId="30" fillId="4" borderId="2" xfId="1" applyFont="1" applyFill="1" applyBorder="1" applyAlignment="1">
      <alignment horizontal="center" vertical="center"/>
    </xf>
  </cellXfs>
  <cellStyles count="7">
    <cellStyle name="Comma" xfId="1" builtinId="3"/>
    <cellStyle name="Comma 10" xfId="5" xr:uid="{00000000-0005-0000-0000-000001000000}"/>
    <cellStyle name="Hyperlink" xfId="2" builtinId="8"/>
    <cellStyle name="Migliaia 6" xfId="4" xr:uid="{00000000-0005-0000-0000-000003000000}"/>
    <cellStyle name="Normal" xfId="0" builtinId="0"/>
    <cellStyle name="Normal 2 2" xfId="6" xr:uid="{00000000-0005-0000-0000-000005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838800149981253"/>
          <c:y val="2.6600626666528973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'Ratio Analysis'!$B$8</c:f>
              <c:strCache>
                <c:ptCount val="1"/>
                <c:pt idx="0">
                  <c:v>EBITDA Margin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'Ratio Analysis'!$E$4:$L$4</c:f>
              <c:strCache>
                <c:ptCount val="8"/>
                <c:pt idx="0">
                  <c:v>26-27</c:v>
                </c:pt>
                <c:pt idx="1">
                  <c:v>27-28</c:v>
                </c:pt>
                <c:pt idx="2">
                  <c:v>28-29</c:v>
                </c:pt>
                <c:pt idx="3">
                  <c:v>29-30</c:v>
                </c:pt>
                <c:pt idx="4">
                  <c:v>30-31</c:v>
                </c:pt>
                <c:pt idx="5">
                  <c:v>31-32</c:v>
                </c:pt>
                <c:pt idx="6">
                  <c:v>32-33</c:v>
                </c:pt>
                <c:pt idx="7">
                  <c:v>33-34</c:v>
                </c:pt>
              </c:strCache>
            </c:strRef>
          </c:cat>
          <c:val>
            <c:numRef>
              <c:f>'Ratio Analysis'!$E$8:$L$8</c:f>
              <c:numCache>
                <c:formatCode>0.00%</c:formatCode>
                <c:ptCount val="8"/>
                <c:pt idx="0">
                  <c:v>0.44119579060258729</c:v>
                </c:pt>
                <c:pt idx="1">
                  <c:v>0.4365692579137922</c:v>
                </c:pt>
                <c:pt idx="2">
                  <c:v>0.45929451280794836</c:v>
                </c:pt>
                <c:pt idx="3">
                  <c:v>0.46088724109003198</c:v>
                </c:pt>
                <c:pt idx="4">
                  <c:v>0.46219613556063599</c:v>
                </c:pt>
                <c:pt idx="5">
                  <c:v>0.48937222823893739</c:v>
                </c:pt>
                <c:pt idx="6">
                  <c:v>0.50217041674074003</c:v>
                </c:pt>
                <c:pt idx="7">
                  <c:v>0.50086576283522033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8-41FF-A333-012C637C2B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0591608"/>
        <c:axId val="330689608"/>
      </c:barChart>
      <c:catAx>
        <c:axId val="330591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For</a:t>
                </a:r>
                <a:r>
                  <a:rPr lang="en-IN" b="1" i="1" baseline="0"/>
                  <a:t> the Financial Year</a:t>
                </a:r>
              </a:p>
            </c:rich>
          </c:tx>
          <c:layout>
            <c:manualLayout>
              <c:xMode val="edge"/>
              <c:yMode val="edge"/>
              <c:x val="0.44981566434630449"/>
              <c:y val="0.904061868349407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689608"/>
        <c:crosses val="autoZero"/>
        <c:auto val="1"/>
        <c:lblAlgn val="ctr"/>
        <c:lblOffset val="100"/>
        <c:noMultiLvlLbl val="0"/>
      </c:catAx>
      <c:valAx>
        <c:axId val="33068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Margin</a:t>
                </a:r>
                <a:r>
                  <a:rPr lang="en-IN" b="1" i="1" baseline="0"/>
                  <a:t> %</a:t>
                </a:r>
                <a:endParaRPr lang="en-IN" b="1" i="1"/>
              </a:p>
            </c:rich>
          </c:tx>
          <c:layout>
            <c:manualLayout>
              <c:xMode val="edge"/>
              <c:yMode val="edge"/>
              <c:x val="1.3526570048309179E-2"/>
              <c:y val="0.39225141634598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591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EBIT Margin %</a:t>
            </a: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'Ratio Analysis'!$B$8</c:f>
              <c:strCache>
                <c:ptCount val="1"/>
                <c:pt idx="0">
                  <c:v>EBITDA Margin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'Ratio Analysis'!$E$4:$L$4</c:f>
              <c:strCache>
                <c:ptCount val="8"/>
                <c:pt idx="0">
                  <c:v>26-27</c:v>
                </c:pt>
                <c:pt idx="1">
                  <c:v>27-28</c:v>
                </c:pt>
                <c:pt idx="2">
                  <c:v>28-29</c:v>
                </c:pt>
                <c:pt idx="3">
                  <c:v>29-30</c:v>
                </c:pt>
                <c:pt idx="4">
                  <c:v>30-31</c:v>
                </c:pt>
                <c:pt idx="5">
                  <c:v>31-32</c:v>
                </c:pt>
                <c:pt idx="6">
                  <c:v>32-33</c:v>
                </c:pt>
                <c:pt idx="7">
                  <c:v>33-34</c:v>
                </c:pt>
              </c:strCache>
            </c:strRef>
          </c:cat>
          <c:val>
            <c:numRef>
              <c:f>'Ratio Analysis'!$E$10:$L$10</c:f>
              <c:numCache>
                <c:formatCode>0.00%</c:formatCode>
                <c:ptCount val="8"/>
                <c:pt idx="0">
                  <c:v>0.15867015215497018</c:v>
                </c:pt>
                <c:pt idx="1">
                  <c:v>0.20654026921571503</c:v>
                </c:pt>
                <c:pt idx="2">
                  <c:v>0.29140301160540627</c:v>
                </c:pt>
                <c:pt idx="3">
                  <c:v>0.32417089539649752</c:v>
                </c:pt>
                <c:pt idx="4">
                  <c:v>0.35083913540475942</c:v>
                </c:pt>
                <c:pt idx="5">
                  <c:v>0.39864904549347124</c:v>
                </c:pt>
                <c:pt idx="6">
                  <c:v>0.43526392904587013</c:v>
                </c:pt>
                <c:pt idx="7">
                  <c:v>0.44634569815759423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D8-4451-88CD-D90286A4B0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0689992"/>
        <c:axId val="331092792"/>
      </c:barChart>
      <c:catAx>
        <c:axId val="330689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For the financial year</a:t>
                </a:r>
              </a:p>
            </c:rich>
          </c:tx>
          <c:layout>
            <c:manualLayout>
              <c:xMode val="edge"/>
              <c:yMode val="edge"/>
              <c:x val="0.45592305961754781"/>
              <c:y val="0.901307664074200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092792"/>
        <c:crosses val="autoZero"/>
        <c:auto val="1"/>
        <c:lblAlgn val="ctr"/>
        <c:lblOffset val="100"/>
        <c:noMultiLvlLbl val="0"/>
      </c:catAx>
      <c:valAx>
        <c:axId val="331092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Margin %</a:t>
                </a:r>
              </a:p>
            </c:rich>
          </c:tx>
          <c:layout>
            <c:manualLayout>
              <c:xMode val="edge"/>
              <c:yMode val="edge"/>
              <c:x val="1.5238095238095238E-2"/>
              <c:y val="0.38665973675256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68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Profit Margin %</a:t>
            </a: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'Ratio Analysis'!$E$12:$L$12</c:f>
              <c:strCache>
                <c:ptCount val="8"/>
                <c:pt idx="0">
                  <c:v>-3.54%</c:v>
                </c:pt>
                <c:pt idx="1">
                  <c:v>3.64%</c:v>
                </c:pt>
                <c:pt idx="2">
                  <c:v>12.15%</c:v>
                </c:pt>
                <c:pt idx="3">
                  <c:v>16.45%</c:v>
                </c:pt>
                <c:pt idx="4">
                  <c:v>20.16%</c:v>
                </c:pt>
                <c:pt idx="5">
                  <c:v>25.24%</c:v>
                </c:pt>
                <c:pt idx="6">
                  <c:v>29.55%</c:v>
                </c:pt>
                <c:pt idx="7">
                  <c:v>31.60%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'Ratio Analysis'!$E$4:$L$4</c:f>
              <c:strCache>
                <c:ptCount val="8"/>
                <c:pt idx="0">
                  <c:v>26-27</c:v>
                </c:pt>
                <c:pt idx="1">
                  <c:v>27-28</c:v>
                </c:pt>
                <c:pt idx="2">
                  <c:v>28-29</c:v>
                </c:pt>
                <c:pt idx="3">
                  <c:v>29-30</c:v>
                </c:pt>
                <c:pt idx="4">
                  <c:v>30-31</c:v>
                </c:pt>
                <c:pt idx="5">
                  <c:v>31-32</c:v>
                </c:pt>
                <c:pt idx="6">
                  <c:v>32-33</c:v>
                </c:pt>
                <c:pt idx="7">
                  <c:v>33-34</c:v>
                </c:pt>
              </c:strCache>
            </c:strRef>
          </c:cat>
          <c:val>
            <c:numRef>
              <c:f>'Ratio Analysis'!$E$12:$L$12</c:f>
              <c:numCache>
                <c:formatCode>0.00%</c:formatCode>
                <c:ptCount val="8"/>
                <c:pt idx="0">
                  <c:v>-3.5377706280581789E-2</c:v>
                </c:pt>
                <c:pt idx="1">
                  <c:v>3.6388740887518922E-2</c:v>
                </c:pt>
                <c:pt idx="2">
                  <c:v>0.12147958278539754</c:v>
                </c:pt>
                <c:pt idx="3">
                  <c:v>0.16451799592400593</c:v>
                </c:pt>
                <c:pt idx="4">
                  <c:v>0.20162695043125844</c:v>
                </c:pt>
                <c:pt idx="5">
                  <c:v>0.25244374208998654</c:v>
                </c:pt>
                <c:pt idx="6">
                  <c:v>0.29553132828006567</c:v>
                </c:pt>
                <c:pt idx="7">
                  <c:v>0.3159978263655705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F-41E6-88B8-CFB3BC8E2C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1225416"/>
        <c:axId val="331196920"/>
      </c:barChart>
      <c:catAx>
        <c:axId val="331225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For the 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196920"/>
        <c:crosses val="autoZero"/>
        <c:auto val="1"/>
        <c:lblAlgn val="ctr"/>
        <c:lblOffset val="100"/>
        <c:noMultiLvlLbl val="0"/>
      </c:catAx>
      <c:valAx>
        <c:axId val="33119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Margin%</a:t>
                </a:r>
              </a:p>
            </c:rich>
          </c:tx>
          <c:layout>
            <c:manualLayout>
              <c:xMode val="edge"/>
              <c:yMode val="edge"/>
              <c:x val="1.532567049808429E-2"/>
              <c:y val="0.379344196558763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225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179343794364301"/>
          <c:y val="4.1025633662986082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'Ratio Analysis'!$B$14</c:f>
              <c:strCache>
                <c:ptCount val="1"/>
                <c:pt idx="0">
                  <c:v>Revenue Growth Rate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'Ratio Analysis'!$F$4:$L$4</c:f>
              <c:strCache>
                <c:ptCount val="7"/>
                <c:pt idx="0">
                  <c:v>27-28</c:v>
                </c:pt>
                <c:pt idx="1">
                  <c:v>28-29</c:v>
                </c:pt>
                <c:pt idx="2">
                  <c:v>29-30</c:v>
                </c:pt>
                <c:pt idx="3">
                  <c:v>30-31</c:v>
                </c:pt>
                <c:pt idx="4">
                  <c:v>31-32</c:v>
                </c:pt>
                <c:pt idx="5">
                  <c:v>32-33</c:v>
                </c:pt>
                <c:pt idx="6">
                  <c:v>33-34</c:v>
                </c:pt>
              </c:strCache>
            </c:strRef>
          </c:cat>
          <c:val>
            <c:numRef>
              <c:f>'Ratio Analysis'!$F$14:$L$14</c:f>
              <c:numCache>
                <c:formatCode>0.00%</c:formatCode>
                <c:ptCount val="7"/>
                <c:pt idx="0">
                  <c:v>9.5998391313090625E-2</c:v>
                </c:pt>
                <c:pt idx="1">
                  <c:v>0.22310900728998506</c:v>
                </c:pt>
                <c:pt idx="2">
                  <c:v>9.6703384618461508E-2</c:v>
                </c:pt>
                <c:pt idx="3">
                  <c:v>9.6848171501780378E-2</c:v>
                </c:pt>
                <c:pt idx="4">
                  <c:v>9.698015171983787E-2</c:v>
                </c:pt>
                <c:pt idx="5">
                  <c:v>0.21226876236235626</c:v>
                </c:pt>
                <c:pt idx="6">
                  <c:v>9.7497851058842011E-2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4-44F4-980E-5726556E4E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1197312"/>
        <c:axId val="331197704"/>
      </c:barChart>
      <c:catAx>
        <c:axId val="331197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For the 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197704"/>
        <c:crosses val="autoZero"/>
        <c:auto val="1"/>
        <c:lblAlgn val="ctr"/>
        <c:lblOffset val="100"/>
        <c:noMultiLvlLbl val="0"/>
      </c:catAx>
      <c:valAx>
        <c:axId val="331197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Growth Rate % Y-o-Y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19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179343794364301"/>
          <c:y val="4.1025633662986082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'Ratio Analysis'!$B$99</c:f>
              <c:strCache>
                <c:ptCount val="1"/>
                <c:pt idx="0">
                  <c:v>D.S.C.R.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'Ratio Analysis'!$E$90:$L$90</c:f>
              <c:strCache>
                <c:ptCount val="8"/>
                <c:pt idx="0">
                  <c:v>26-27</c:v>
                </c:pt>
                <c:pt idx="1">
                  <c:v>27-28</c:v>
                </c:pt>
                <c:pt idx="2">
                  <c:v>28-29</c:v>
                </c:pt>
                <c:pt idx="3">
                  <c:v>29-30</c:v>
                </c:pt>
                <c:pt idx="4">
                  <c:v>30-31</c:v>
                </c:pt>
                <c:pt idx="5">
                  <c:v>31-32</c:v>
                </c:pt>
                <c:pt idx="6">
                  <c:v>32-33</c:v>
                </c:pt>
                <c:pt idx="7">
                  <c:v>33-34</c:v>
                </c:pt>
              </c:strCache>
            </c:strRef>
          </c:cat>
          <c:val>
            <c:numRef>
              <c:f>'Ratio Analysis'!$E$99:$L$99</c:f>
              <c:numCache>
                <c:formatCode>_(* #,##0.00_);_(* \(#,##0.00\);_(* "-"??_);_(@_)</c:formatCode>
                <c:ptCount val="8"/>
                <c:pt idx="0">
                  <c:v>1.8668035943517329</c:v>
                </c:pt>
                <c:pt idx="1">
                  <c:v>1.3553074443678372</c:v>
                </c:pt>
                <c:pt idx="2">
                  <c:v>1.4744704516796867</c:v>
                </c:pt>
                <c:pt idx="3">
                  <c:v>1.5393711169521858</c:v>
                </c:pt>
                <c:pt idx="4">
                  <c:v>1.6239446401107822</c:v>
                </c:pt>
                <c:pt idx="5">
                  <c:v>1.698834252547434</c:v>
                </c:pt>
                <c:pt idx="6">
                  <c:v>2.1319899511507665</c:v>
                </c:pt>
                <c:pt idx="7">
                  <c:v>2.9575145934150009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25-47F2-8420-D504359D66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1198096"/>
        <c:axId val="331193000"/>
      </c:barChart>
      <c:catAx>
        <c:axId val="331198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For the 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193000"/>
        <c:crosses val="autoZero"/>
        <c:auto val="1"/>
        <c:lblAlgn val="ctr"/>
        <c:lblOffset val="100"/>
        <c:noMultiLvlLbl val="0"/>
      </c:catAx>
      <c:valAx>
        <c:axId val="33119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Value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198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20</xdr:row>
      <xdr:rowOff>52386</xdr:rowOff>
    </xdr:from>
    <xdr:to>
      <xdr:col>8</xdr:col>
      <xdr:colOff>123825</xdr:colOff>
      <xdr:row>37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A48EA4-BF04-45CB-BDAD-094068097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38</xdr:row>
      <xdr:rowOff>14287</xdr:rowOff>
    </xdr:from>
    <xdr:to>
      <xdr:col>8</xdr:col>
      <xdr:colOff>142875</xdr:colOff>
      <xdr:row>53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7CA939D-4C9B-47EC-B049-99883C73C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55</xdr:row>
      <xdr:rowOff>14287</xdr:rowOff>
    </xdr:from>
    <xdr:to>
      <xdr:col>8</xdr:col>
      <xdr:colOff>95250</xdr:colOff>
      <xdr:row>69</xdr:row>
      <xdr:rowOff>90487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441EA41-122F-41ED-A7B2-6A892B00D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47624</xdr:colOff>
      <xdr:row>70</xdr:row>
      <xdr:rowOff>157161</xdr:rowOff>
    </xdr:from>
    <xdr:to>
      <xdr:col>8</xdr:col>
      <xdr:colOff>123824</xdr:colOff>
      <xdr:row>85</xdr:row>
      <xdr:rowOff>85724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D308C75-D91B-4E38-BF52-1BD5EB93F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104</xdr:row>
      <xdr:rowOff>0</xdr:rowOff>
    </xdr:from>
    <xdr:to>
      <xdr:col>8</xdr:col>
      <xdr:colOff>76200</xdr:colOff>
      <xdr:row>118</xdr:row>
      <xdr:rowOff>119063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FC0E316-B8B3-4114-8A2D-5A5BC7AF6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elcome\Desktop\Chhavi%20desktop\TEV\Aramco%20Papers%20Pvt%20Ltd\RK%20working\Final%20report\R%20K%20%20MODEL%20ARAMCO%20PAPER%20%2005-12-2022-.xlsx" TargetMode="External"/><Relationship Id="rId1" Type="http://schemas.openxmlformats.org/officeDocument/2006/relationships/externalLinkPath" Target="/Users/welcome/Desktop/Chhavi%20desktop/TEV/Aramco%20Papers%20Pvt%20Ltd/RK%20working/Final%20report/R%20K%20%20MODEL%20ARAMCO%20PAPER%20%2005-12-2022-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elcome\Desktop\Mahecha%20Boutique%20Hotel%20Private%20Limited\RK%20Working\RK%20Financial%20Model%20V3.xlsx" TargetMode="External"/><Relationship Id="rId1" Type="http://schemas.openxmlformats.org/officeDocument/2006/relationships/externalLinkPath" Target="RK%20Financial%20Model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S"/>
      <sheetName val="PROJECT RK"/>
      <sheetName val="Building"/>
      <sheetName val="Sheet3"/>
      <sheetName val="CMA"/>
      <sheetName val="Ratio Analysis"/>
      <sheetName val="NPV&amp;IRR"/>
      <sheetName val="SISTER-CONCERNS"/>
    </sheetNames>
    <sheetDataSet>
      <sheetData sheetId="0"/>
      <sheetData sheetId="1">
        <row r="700">
          <cell r="B700" t="str">
            <v>Total "A"</v>
          </cell>
        </row>
        <row r="706">
          <cell r="B706" t="str">
            <v>Total "B"</v>
          </cell>
        </row>
        <row r="708">
          <cell r="B708" t="str">
            <v xml:space="preserve">D.S.C.R. </v>
          </cell>
        </row>
        <row r="710">
          <cell r="B710" t="str">
            <v>Average D.S.C.R.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st"/>
      <sheetName val="Cost Break Up"/>
      <sheetName val="Estimation"/>
      <sheetName val="Profitability"/>
      <sheetName val="Balance Sheet"/>
      <sheetName val="Cash Flow"/>
      <sheetName val="Intt &amp; Depreciation"/>
      <sheetName val="Debt Schedule-1"/>
      <sheetName val="Debt Schedule"/>
      <sheetName val="Ratio Analysis"/>
      <sheetName val="BEP, Sensitivity "/>
      <sheetName val="IRR"/>
      <sheetName val="Sheet2"/>
    </sheetNames>
    <sheetDataSet>
      <sheetData sheetId="0"/>
      <sheetData sheetId="1"/>
      <sheetData sheetId="2"/>
      <sheetData sheetId="3">
        <row r="34">
          <cell r="H34">
            <v>172.01124999999999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view="pageBreakPreview" zoomScale="60" zoomScaleNormal="100" workbookViewId="0">
      <selection activeCell="B19" sqref="B19"/>
    </sheetView>
  </sheetViews>
  <sheetFormatPr defaultColWidth="9.109375" defaultRowHeight="14.4" x14ac:dyDescent="0.3"/>
  <cols>
    <col min="1" max="1" width="5" style="10" customWidth="1"/>
    <col min="2" max="2" width="55.5546875" style="10" bestFit="1" customWidth="1"/>
    <col min="3" max="3" width="15.88671875" style="10" customWidth="1"/>
    <col min="4" max="4" width="7.109375" style="10" customWidth="1"/>
    <col min="5" max="5" width="14" style="10" customWidth="1"/>
    <col min="6" max="16384" width="9.109375" style="10"/>
  </cols>
  <sheetData>
    <row r="1" spans="1:13" x14ac:dyDescent="0.3">
      <c r="A1" s="358" t="s">
        <v>212</v>
      </c>
      <c r="B1" s="358"/>
      <c r="C1" s="358"/>
      <c r="D1" s="358"/>
      <c r="E1" s="13" t="s">
        <v>272</v>
      </c>
    </row>
    <row r="2" spans="1:13" ht="29.25" customHeight="1" x14ac:dyDescent="0.3">
      <c r="A2" s="362" t="s">
        <v>261</v>
      </c>
      <c r="B2" s="362"/>
      <c r="C2" s="362"/>
      <c r="D2" s="362"/>
      <c r="E2" s="362"/>
    </row>
    <row r="3" spans="1:13" ht="15" customHeight="1" x14ac:dyDescent="0.3">
      <c r="A3" s="362" t="s">
        <v>213</v>
      </c>
      <c r="B3" s="362"/>
      <c r="C3" s="362"/>
      <c r="D3" s="362"/>
      <c r="E3" s="362"/>
    </row>
    <row r="4" spans="1:13" x14ac:dyDescent="0.3">
      <c r="A4" s="166"/>
      <c r="B4" s="166"/>
      <c r="C4" s="166"/>
      <c r="F4" s="167"/>
    </row>
    <row r="5" spans="1:13" x14ac:dyDescent="0.3">
      <c r="A5" s="360" t="s">
        <v>260</v>
      </c>
      <c r="B5" s="360"/>
      <c r="C5" s="360"/>
      <c r="D5" s="13"/>
      <c r="E5" s="13"/>
    </row>
    <row r="6" spans="1:13" x14ac:dyDescent="0.3">
      <c r="A6" s="34"/>
      <c r="B6" s="34"/>
      <c r="C6" s="34"/>
      <c r="D6" s="13"/>
      <c r="E6" s="13"/>
    </row>
    <row r="7" spans="1:13" x14ac:dyDescent="0.3">
      <c r="A7" s="13" t="s">
        <v>64</v>
      </c>
      <c r="B7" s="13"/>
      <c r="C7" s="13" t="s">
        <v>69</v>
      </c>
    </row>
    <row r="8" spans="1:13" x14ac:dyDescent="0.3">
      <c r="A8" s="13"/>
      <c r="B8" s="13"/>
      <c r="C8" s="90"/>
    </row>
    <row r="9" spans="1:13" x14ac:dyDescent="0.3">
      <c r="A9" s="168"/>
      <c r="B9" s="243" t="s">
        <v>42</v>
      </c>
      <c r="C9" s="244" t="s">
        <v>71</v>
      </c>
      <c r="F9" s="10" t="s">
        <v>347</v>
      </c>
      <c r="G9" s="10" t="s">
        <v>348</v>
      </c>
      <c r="H9" s="10" t="s">
        <v>349</v>
      </c>
    </row>
    <row r="10" spans="1:13" x14ac:dyDescent="0.3">
      <c r="A10" s="128"/>
      <c r="B10" s="47"/>
      <c r="C10" s="60"/>
    </row>
    <row r="11" spans="1:13" x14ac:dyDescent="0.3">
      <c r="A11" s="152">
        <v>1</v>
      </c>
      <c r="B11" s="40" t="s">
        <v>215</v>
      </c>
      <c r="C11" s="248">
        <f>'Cost Break Up'!E7</f>
        <v>44.63</v>
      </c>
      <c r="F11" s="10">
        <v>44.63</v>
      </c>
      <c r="G11" s="10">
        <v>0</v>
      </c>
    </row>
    <row r="12" spans="1:13" x14ac:dyDescent="0.3">
      <c r="A12" s="152"/>
      <c r="B12" s="40"/>
      <c r="C12" s="40"/>
    </row>
    <row r="13" spans="1:13" x14ac:dyDescent="0.3">
      <c r="A13" s="152">
        <v>2</v>
      </c>
      <c r="B13" s="40" t="s">
        <v>72</v>
      </c>
      <c r="C13" s="43">
        <f>'Cost Break Up'!E21</f>
        <v>3220</v>
      </c>
      <c r="F13" s="10">
        <f>+C13*0.25</f>
        <v>805</v>
      </c>
      <c r="G13" s="33">
        <f>+C13-F13</f>
        <v>2415</v>
      </c>
      <c r="H13" s="33">
        <f>+G13/F13</f>
        <v>3</v>
      </c>
      <c r="M13" s="10">
        <v>156</v>
      </c>
    </row>
    <row r="14" spans="1:13" x14ac:dyDescent="0.3">
      <c r="A14" s="152"/>
      <c r="B14" s="40" t="s">
        <v>0</v>
      </c>
      <c r="C14" s="43" t="s">
        <v>0</v>
      </c>
      <c r="H14" s="33"/>
      <c r="M14" s="10">
        <v>110</v>
      </c>
    </row>
    <row r="15" spans="1:13" x14ac:dyDescent="0.3">
      <c r="A15" s="152">
        <v>3</v>
      </c>
      <c r="B15" s="40" t="s">
        <v>116</v>
      </c>
      <c r="C15" s="43">
        <f>'Cost Break Up'!E50</f>
        <v>430</v>
      </c>
      <c r="F15" s="10">
        <f>+C15*0.25</f>
        <v>107.5</v>
      </c>
      <c r="G15" s="33">
        <f>+C15-F15</f>
        <v>322.5</v>
      </c>
      <c r="H15" s="33">
        <f>+G15/F15</f>
        <v>3</v>
      </c>
      <c r="K15" s="33">
        <f>+C15+C17</f>
        <v>780</v>
      </c>
      <c r="M15" s="10">
        <f>SUM(M13:M14)</f>
        <v>266</v>
      </c>
    </row>
    <row r="16" spans="1:13" x14ac:dyDescent="0.3">
      <c r="A16" s="152"/>
      <c r="B16" s="40"/>
      <c r="C16" s="40"/>
      <c r="H16" s="33"/>
      <c r="K16" s="10">
        <f>+K15*0.5</f>
        <v>390</v>
      </c>
      <c r="M16" s="10">
        <v>124</v>
      </c>
    </row>
    <row r="17" spans="1:15" x14ac:dyDescent="0.3">
      <c r="A17" s="152">
        <v>4</v>
      </c>
      <c r="B17" s="40" t="s">
        <v>63</v>
      </c>
      <c r="C17" s="43">
        <f>'Cost Break Up'!E69</f>
        <v>350</v>
      </c>
      <c r="F17" s="10">
        <f>+C17*0.25</f>
        <v>87.5</v>
      </c>
      <c r="G17" s="33">
        <f>+C17-F17</f>
        <v>262.5</v>
      </c>
      <c r="H17" s="33">
        <f>+G17/F17</f>
        <v>3</v>
      </c>
      <c r="M17" s="10">
        <f>+M15+M16</f>
        <v>390</v>
      </c>
      <c r="O17" s="10">
        <f>3000*0.15</f>
        <v>450</v>
      </c>
    </row>
    <row r="18" spans="1:15" x14ac:dyDescent="0.3">
      <c r="A18" s="152"/>
      <c r="B18" s="40"/>
      <c r="C18" s="43"/>
    </row>
    <row r="19" spans="1:15" x14ac:dyDescent="0.3">
      <c r="A19" s="152">
        <v>5</v>
      </c>
      <c r="B19" s="40" t="s">
        <v>469</v>
      </c>
      <c r="C19" s="43">
        <f>'Cost Break Up'!E77</f>
        <v>344.5</v>
      </c>
      <c r="F19" s="33">
        <f>+C19</f>
        <v>344.5</v>
      </c>
      <c r="G19" s="33">
        <f>+C19-F19</f>
        <v>0</v>
      </c>
    </row>
    <row r="20" spans="1:15" x14ac:dyDescent="0.3">
      <c r="A20" s="128"/>
      <c r="B20" s="47"/>
      <c r="C20" s="55" t="s">
        <v>0</v>
      </c>
    </row>
    <row r="21" spans="1:15" x14ac:dyDescent="0.3">
      <c r="A21" s="79"/>
      <c r="B21" s="217" t="s">
        <v>40</v>
      </c>
      <c r="C21" s="212">
        <f>SUM(C11:C20)</f>
        <v>4389.13</v>
      </c>
      <c r="D21" s="33"/>
      <c r="E21" s="33"/>
      <c r="F21" s="10">
        <f>SUM(F11:F19)</f>
        <v>1389.13</v>
      </c>
      <c r="G21" s="10">
        <f>SUM(G11:G19)</f>
        <v>3000</v>
      </c>
    </row>
    <row r="22" spans="1:15" x14ac:dyDescent="0.3">
      <c r="A22" s="60"/>
      <c r="B22" s="27"/>
      <c r="C22" s="60"/>
      <c r="E22" s="33"/>
    </row>
    <row r="23" spans="1:15" x14ac:dyDescent="0.3">
      <c r="A23" s="60"/>
      <c r="B23" s="245" t="s">
        <v>65</v>
      </c>
      <c r="C23" s="246"/>
    </row>
    <row r="24" spans="1:15" x14ac:dyDescent="0.3">
      <c r="A24" s="60"/>
      <c r="C24" s="60"/>
    </row>
    <row r="25" spans="1:15" x14ac:dyDescent="0.3">
      <c r="A25" s="152">
        <v>1</v>
      </c>
      <c r="B25" s="40" t="s">
        <v>54</v>
      </c>
      <c r="C25" s="43">
        <v>3000</v>
      </c>
      <c r="D25" s="169"/>
    </row>
    <row r="26" spans="1:15" x14ac:dyDescent="0.3">
      <c r="A26" s="152"/>
      <c r="B26" s="40"/>
      <c r="C26" s="40"/>
      <c r="D26" s="169"/>
    </row>
    <row r="27" spans="1:15" x14ac:dyDescent="0.3">
      <c r="A27" s="152">
        <v>2</v>
      </c>
      <c r="B27" s="40" t="s">
        <v>214</v>
      </c>
      <c r="C27" s="43">
        <f>500+189.13</f>
        <v>689.13</v>
      </c>
      <c r="D27" s="169"/>
    </row>
    <row r="28" spans="1:15" x14ac:dyDescent="0.3">
      <c r="A28" s="152"/>
      <c r="B28" s="40"/>
      <c r="C28" s="40"/>
      <c r="D28" s="169"/>
    </row>
    <row r="29" spans="1:15" x14ac:dyDescent="0.3">
      <c r="A29" s="152">
        <v>3</v>
      </c>
      <c r="B29" s="40" t="s">
        <v>467</v>
      </c>
      <c r="C29" s="43">
        <f>500+200</f>
        <v>700</v>
      </c>
      <c r="D29" s="169"/>
    </row>
    <row r="30" spans="1:15" x14ac:dyDescent="0.3">
      <c r="A30" s="57"/>
      <c r="B30" s="247" t="s">
        <v>40</v>
      </c>
      <c r="C30" s="212">
        <f>SUM(C22:C29)</f>
        <v>4389.13</v>
      </c>
      <c r="D30" s="169"/>
    </row>
    <row r="31" spans="1:15" x14ac:dyDescent="0.3">
      <c r="A31" s="13"/>
      <c r="B31" s="13"/>
      <c r="C31" s="62">
        <f>C21-C30</f>
        <v>0</v>
      </c>
    </row>
    <row r="32" spans="1:15" x14ac:dyDescent="0.3">
      <c r="A32" s="359"/>
      <c r="B32" s="359"/>
      <c r="C32" s="359"/>
      <c r="D32" s="359"/>
    </row>
    <row r="33" spans="2:4" x14ac:dyDescent="0.3">
      <c r="B33" s="251" t="s">
        <v>350</v>
      </c>
      <c r="C33" s="252">
        <f>SUM(C25/(C27+C29))</f>
        <v>2.1596250890845345</v>
      </c>
    </row>
    <row r="34" spans="2:4" x14ac:dyDescent="0.3">
      <c r="B34" s="171"/>
      <c r="C34" s="170"/>
    </row>
    <row r="35" spans="2:4" x14ac:dyDescent="0.3">
      <c r="C35" s="361"/>
      <c r="D35" s="361"/>
    </row>
    <row r="36" spans="2:4" x14ac:dyDescent="0.3">
      <c r="B36" s="359"/>
      <c r="C36" s="359"/>
      <c r="D36" s="359"/>
    </row>
  </sheetData>
  <mergeCells count="7">
    <mergeCell ref="A1:D1"/>
    <mergeCell ref="B36:D36"/>
    <mergeCell ref="A5:C5"/>
    <mergeCell ref="C35:D35"/>
    <mergeCell ref="A2:E2"/>
    <mergeCell ref="A32:D32"/>
    <mergeCell ref="A3:E3"/>
  </mergeCells>
  <phoneticPr fontId="0" type="noConversion"/>
  <pageMargins left="0.7" right="0.7" top="0.75" bottom="0.75" header="0.3" footer="0.3"/>
  <pageSetup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N102"/>
  <sheetViews>
    <sheetView view="pageBreakPreview" topLeftCell="A89" zoomScaleNormal="100" zoomScaleSheetLayoutView="100" workbookViewId="0">
      <selection activeCell="G87" sqref="G87"/>
    </sheetView>
  </sheetViews>
  <sheetFormatPr defaultColWidth="9" defaultRowHeight="14.4" x14ac:dyDescent="0.3"/>
  <cols>
    <col min="1" max="1" width="4.88671875" style="10" customWidth="1"/>
    <col min="2" max="2" width="19.6640625" style="10" bestFit="1" customWidth="1"/>
    <col min="3" max="3" width="3.33203125" style="10" customWidth="1"/>
    <col min="4" max="12" width="12.6640625" style="11" customWidth="1"/>
    <col min="13" max="13" width="9.5546875" style="10" bestFit="1" customWidth="1"/>
    <col min="14" max="16384" width="9" style="10"/>
  </cols>
  <sheetData>
    <row r="1" spans="2:14" x14ac:dyDescent="0.3">
      <c r="B1" s="358" t="s">
        <v>212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2:14" ht="18" customHeight="1" x14ac:dyDescent="0.3">
      <c r="B2" s="7" t="s">
        <v>281</v>
      </c>
      <c r="C2" s="8"/>
      <c r="D2" s="9"/>
      <c r="E2" s="9"/>
      <c r="F2" s="9"/>
      <c r="G2" s="9"/>
      <c r="H2" s="9"/>
      <c r="I2" s="9"/>
      <c r="J2" s="9"/>
      <c r="K2" s="9"/>
      <c r="L2" s="9"/>
    </row>
    <row r="3" spans="2:14" ht="11.25" customHeight="1" x14ac:dyDescent="0.3"/>
    <row r="4" spans="2:14" x14ac:dyDescent="0.3">
      <c r="B4" s="330" t="s">
        <v>3</v>
      </c>
      <c r="C4" s="330"/>
      <c r="D4" s="331"/>
      <c r="E4" s="331" t="str">
        <f>Profitability!D3</f>
        <v>26-27</v>
      </c>
      <c r="F4" s="331" t="str">
        <f>Profitability!E3</f>
        <v>27-28</v>
      </c>
      <c r="G4" s="331" t="str">
        <f>Profitability!F3</f>
        <v>28-29</v>
      </c>
      <c r="H4" s="331" t="str">
        <f>Profitability!G3</f>
        <v>29-30</v>
      </c>
      <c r="I4" s="331" t="str">
        <f>Profitability!H3</f>
        <v>30-31</v>
      </c>
      <c r="J4" s="331" t="str">
        <f>Profitability!I3</f>
        <v>31-32</v>
      </c>
      <c r="K4" s="331" t="str">
        <f>Profitability!J3</f>
        <v>32-33</v>
      </c>
      <c r="L4" s="331" t="str">
        <f>Profitability!K3</f>
        <v>33-34</v>
      </c>
      <c r="M4" s="12"/>
    </row>
    <row r="5" spans="2:14" ht="9.75" customHeight="1" x14ac:dyDescent="0.3">
      <c r="B5" s="40"/>
      <c r="C5" s="40"/>
      <c r="D5" s="204"/>
      <c r="E5" s="204"/>
      <c r="F5" s="204"/>
      <c r="G5" s="204"/>
      <c r="H5" s="204"/>
      <c r="I5" s="204"/>
      <c r="J5" s="204"/>
      <c r="K5" s="204"/>
      <c r="L5" s="204"/>
    </row>
    <row r="6" spans="2:14" x14ac:dyDescent="0.3">
      <c r="B6" s="40" t="s">
        <v>282</v>
      </c>
      <c r="C6" s="40"/>
      <c r="D6" s="204"/>
      <c r="E6" s="204">
        <f>Profitability!D20</f>
        <v>1491.9</v>
      </c>
      <c r="F6" s="204">
        <f>Profitability!E20</f>
        <v>1635.12</v>
      </c>
      <c r="G6" s="204">
        <f>Profitability!F20</f>
        <v>1999.93</v>
      </c>
      <c r="H6" s="204">
        <f>Profitability!G20</f>
        <v>2193.33</v>
      </c>
      <c r="I6" s="204">
        <f>Profitability!H20</f>
        <v>2405.75</v>
      </c>
      <c r="J6" s="204">
        <f>Profitability!I20</f>
        <v>2639.06</v>
      </c>
      <c r="K6" s="204">
        <f>Profitability!J20</f>
        <v>3199.25</v>
      </c>
      <c r="L6" s="204">
        <f>Profitability!K20</f>
        <v>3511.17</v>
      </c>
    </row>
    <row r="7" spans="2:14" x14ac:dyDescent="0.3">
      <c r="B7" s="40" t="s">
        <v>283</v>
      </c>
      <c r="C7" s="40"/>
      <c r="D7" s="332"/>
      <c r="E7" s="332">
        <f>Profitability!D36+Profitability!D34+Profitability!D32</f>
        <v>658.22</v>
      </c>
      <c r="F7" s="332">
        <f>Profitability!E36+Profitability!E34+Profitability!E32</f>
        <v>713.84312499999987</v>
      </c>
      <c r="G7" s="332">
        <f>Profitability!F36+Profitability!F34+Profitability!F32</f>
        <v>918.55687500000022</v>
      </c>
      <c r="H7" s="332">
        <f>Profitability!G36+Profitability!G34+Profitability!G32</f>
        <v>1010.8778124999998</v>
      </c>
      <c r="I7" s="332">
        <f>Profitability!H36+Profitability!H34+Profitability!H32</f>
        <v>1111.9283531250001</v>
      </c>
      <c r="J7" s="332">
        <f>Profitability!I36+Profitability!I34+Profitability!I32</f>
        <v>1291.4826726562501</v>
      </c>
      <c r="K7" s="332">
        <f>Profitability!J36+Profitability!J34+Profitability!J32</f>
        <v>1606.5687057578125</v>
      </c>
      <c r="L7" s="332">
        <f>Profitability!K36+Profitability!K34+Profitability!K32</f>
        <v>1758.6248404941407</v>
      </c>
    </row>
    <row r="8" spans="2:14" ht="20.25" customHeight="1" x14ac:dyDescent="0.3">
      <c r="B8" s="333" t="s">
        <v>284</v>
      </c>
      <c r="C8" s="334"/>
      <c r="D8" s="335"/>
      <c r="E8" s="335">
        <f t="shared" ref="E8:L8" si="0">E7/E6</f>
        <v>0.44119579060258729</v>
      </c>
      <c r="F8" s="335">
        <f t="shared" si="0"/>
        <v>0.4365692579137922</v>
      </c>
      <c r="G8" s="335">
        <f t="shared" si="0"/>
        <v>0.45929451280794836</v>
      </c>
      <c r="H8" s="335">
        <f t="shared" si="0"/>
        <v>0.46088724109003198</v>
      </c>
      <c r="I8" s="335">
        <f t="shared" si="0"/>
        <v>0.46219613556063599</v>
      </c>
      <c r="J8" s="335">
        <f t="shared" si="0"/>
        <v>0.48937222823893739</v>
      </c>
      <c r="K8" s="335">
        <f t="shared" si="0"/>
        <v>0.50217041674074003</v>
      </c>
      <c r="L8" s="335">
        <f t="shared" si="0"/>
        <v>0.50086576283522033</v>
      </c>
    </row>
    <row r="9" spans="2:14" x14ac:dyDescent="0.3">
      <c r="B9" s="57" t="s">
        <v>285</v>
      </c>
      <c r="C9" s="40"/>
      <c r="D9" s="332"/>
      <c r="E9" s="332">
        <f>Profitability!D36+Profitability!D34</f>
        <v>236.72000000000003</v>
      </c>
      <c r="F9" s="332">
        <f>Profitability!E36+Profitability!E34</f>
        <v>337.71812499999993</v>
      </c>
      <c r="G9" s="332">
        <f>Profitability!F36+Profitability!F34</f>
        <v>582.78562500000021</v>
      </c>
      <c r="H9" s="332">
        <f>Profitability!G36+Profitability!G34</f>
        <v>711.01374999999985</v>
      </c>
      <c r="I9" s="332">
        <f>Profitability!H36+Profitability!H34</f>
        <v>844.03125</v>
      </c>
      <c r="J9" s="332">
        <f>Profitability!I36+Profitability!I34</f>
        <v>1052.0587500000001</v>
      </c>
      <c r="K9" s="332">
        <f>Profitability!J36+Profitability!J34</f>
        <v>1392.5181250000001</v>
      </c>
      <c r="L9" s="332">
        <f>Profitability!K36+Profitability!K34</f>
        <v>1567.1956250000001</v>
      </c>
    </row>
    <row r="10" spans="2:14" ht="18" customHeight="1" x14ac:dyDescent="0.3">
      <c r="B10" s="336" t="s">
        <v>286</v>
      </c>
      <c r="C10" s="335"/>
      <c r="D10" s="335"/>
      <c r="E10" s="335">
        <f t="shared" ref="E10:L10" si="1">E9/E6</f>
        <v>0.15867015215497018</v>
      </c>
      <c r="F10" s="335">
        <f t="shared" si="1"/>
        <v>0.20654026921571503</v>
      </c>
      <c r="G10" s="335">
        <f t="shared" si="1"/>
        <v>0.29140301160540627</v>
      </c>
      <c r="H10" s="335">
        <f t="shared" si="1"/>
        <v>0.32417089539649752</v>
      </c>
      <c r="I10" s="335">
        <f t="shared" si="1"/>
        <v>0.35083913540475942</v>
      </c>
      <c r="J10" s="335">
        <f t="shared" si="1"/>
        <v>0.39864904549347124</v>
      </c>
      <c r="K10" s="335">
        <f t="shared" si="1"/>
        <v>0.43526392904587013</v>
      </c>
      <c r="L10" s="335">
        <f t="shared" si="1"/>
        <v>0.44634569815759423</v>
      </c>
    </row>
    <row r="11" spans="2:14" ht="18" customHeight="1" x14ac:dyDescent="0.3">
      <c r="B11" s="322" t="s">
        <v>287</v>
      </c>
      <c r="C11" s="40"/>
      <c r="D11" s="332"/>
      <c r="E11" s="332">
        <f>Profitability!D38</f>
        <v>-52.779999999999973</v>
      </c>
      <c r="F11" s="332">
        <f>Profitability!E38</f>
        <v>59.499957999999936</v>
      </c>
      <c r="G11" s="332">
        <f>Profitability!F38</f>
        <v>242.95066200000011</v>
      </c>
      <c r="H11" s="332">
        <f>Profitability!G38</f>
        <v>360.84225599999991</v>
      </c>
      <c r="I11" s="332">
        <f>Profitability!H38</f>
        <v>485.06403599999999</v>
      </c>
      <c r="J11" s="332">
        <f>Profitability!I38</f>
        <v>666.21418199999994</v>
      </c>
      <c r="K11" s="332">
        <f>Profitability!J38</f>
        <v>945.47860200000014</v>
      </c>
      <c r="L11" s="332">
        <f>Profitability!K38</f>
        <v>1109.5220880000002</v>
      </c>
    </row>
    <row r="12" spans="2:14" ht="18" customHeight="1" x14ac:dyDescent="0.3">
      <c r="B12" s="336" t="s">
        <v>288</v>
      </c>
      <c r="C12" s="335"/>
      <c r="D12" s="335"/>
      <c r="E12" s="335">
        <f t="shared" ref="E12:L12" si="2">E11/E6</f>
        <v>-3.5377706280581789E-2</v>
      </c>
      <c r="F12" s="335">
        <f t="shared" si="2"/>
        <v>3.6388740887518922E-2</v>
      </c>
      <c r="G12" s="335">
        <f t="shared" si="2"/>
        <v>0.12147958278539754</v>
      </c>
      <c r="H12" s="335">
        <f t="shared" si="2"/>
        <v>0.16451799592400593</v>
      </c>
      <c r="I12" s="335">
        <f t="shared" si="2"/>
        <v>0.20162695043125844</v>
      </c>
      <c r="J12" s="335">
        <f t="shared" si="2"/>
        <v>0.25244374208998654</v>
      </c>
      <c r="K12" s="335">
        <f t="shared" si="2"/>
        <v>0.29553132828006567</v>
      </c>
      <c r="L12" s="335">
        <f t="shared" si="2"/>
        <v>0.3159978263655705</v>
      </c>
    </row>
    <row r="13" spans="2:14" x14ac:dyDescent="0.3">
      <c r="B13" s="40" t="str">
        <f>B6</f>
        <v xml:space="preserve">Revenue </v>
      </c>
      <c r="C13" s="40"/>
      <c r="D13" s="204"/>
      <c r="E13" s="204">
        <f t="shared" ref="E13:L13" si="3">E6</f>
        <v>1491.9</v>
      </c>
      <c r="F13" s="204">
        <f t="shared" si="3"/>
        <v>1635.12</v>
      </c>
      <c r="G13" s="204">
        <f t="shared" si="3"/>
        <v>1999.93</v>
      </c>
      <c r="H13" s="204">
        <f t="shared" si="3"/>
        <v>2193.33</v>
      </c>
      <c r="I13" s="204">
        <f t="shared" si="3"/>
        <v>2405.75</v>
      </c>
      <c r="J13" s="204">
        <f t="shared" si="3"/>
        <v>2639.06</v>
      </c>
      <c r="K13" s="204">
        <f t="shared" si="3"/>
        <v>3199.25</v>
      </c>
      <c r="L13" s="204">
        <f t="shared" si="3"/>
        <v>3511.17</v>
      </c>
    </row>
    <row r="14" spans="2:14" ht="18" customHeight="1" x14ac:dyDescent="0.3">
      <c r="B14" s="336" t="s">
        <v>289</v>
      </c>
      <c r="C14" s="335"/>
      <c r="D14" s="335"/>
      <c r="E14" s="335" t="e">
        <f>E13/D13-1</f>
        <v>#DIV/0!</v>
      </c>
      <c r="F14" s="335">
        <f t="shared" ref="F14:L14" si="4">F13/E13-1</f>
        <v>9.5998391313090625E-2</v>
      </c>
      <c r="G14" s="335">
        <f t="shared" si="4"/>
        <v>0.22310900728998506</v>
      </c>
      <c r="H14" s="335">
        <f t="shared" si="4"/>
        <v>9.6703384618461508E-2</v>
      </c>
      <c r="I14" s="335">
        <f t="shared" si="4"/>
        <v>9.6848171501780378E-2</v>
      </c>
      <c r="J14" s="335">
        <f t="shared" si="4"/>
        <v>9.698015171983787E-2</v>
      </c>
      <c r="K14" s="335">
        <f t="shared" si="4"/>
        <v>0.21226876236235626</v>
      </c>
      <c r="L14" s="335">
        <f t="shared" si="4"/>
        <v>9.7497851058842011E-2</v>
      </c>
    </row>
    <row r="15" spans="2:14" ht="15" thickBot="1" x14ac:dyDescent="0.35"/>
    <row r="16" spans="2:14" x14ac:dyDescent="0.3">
      <c r="B16" s="14" t="s">
        <v>290</v>
      </c>
      <c r="C16" s="15"/>
      <c r="D16" s="16"/>
      <c r="E16" s="17">
        <f>AVERAGE(E8:L8)</f>
        <v>0.46906891822373675</v>
      </c>
      <c r="N16" s="188" t="s">
        <v>338</v>
      </c>
    </row>
    <row r="17" spans="2:14" x14ac:dyDescent="0.3">
      <c r="B17" s="18" t="s">
        <v>291</v>
      </c>
      <c r="E17" s="19">
        <f>AVERAGE(E10:L10)</f>
        <v>0.32648526705928554</v>
      </c>
      <c r="N17"/>
    </row>
    <row r="18" spans="2:14" x14ac:dyDescent="0.3">
      <c r="B18" s="18" t="s">
        <v>292</v>
      </c>
      <c r="E18" s="19">
        <f>AVERAGE(E12:L12)</f>
        <v>0.16907605756040273</v>
      </c>
      <c r="N18" s="188" t="s">
        <v>339</v>
      </c>
    </row>
    <row r="19" spans="2:14" ht="15" thickBot="1" x14ac:dyDescent="0.35">
      <c r="B19" s="20" t="s">
        <v>293</v>
      </c>
      <c r="C19" s="21"/>
      <c r="D19" s="22"/>
      <c r="E19" s="23">
        <f>AVERAGE(F14:L14)</f>
        <v>0.13134367426633625</v>
      </c>
    </row>
    <row r="89" spans="2:13" x14ac:dyDescent="0.3">
      <c r="B89" s="13" t="s">
        <v>294</v>
      </c>
    </row>
    <row r="90" spans="2:13" x14ac:dyDescent="0.3">
      <c r="B90" s="330" t="s">
        <v>3</v>
      </c>
      <c r="C90" s="330"/>
      <c r="D90" s="331"/>
      <c r="E90" s="331" t="str">
        <f t="shared" ref="E90:L90" si="5">E4</f>
        <v>26-27</v>
      </c>
      <c r="F90" s="331" t="str">
        <f t="shared" si="5"/>
        <v>27-28</v>
      </c>
      <c r="G90" s="331" t="str">
        <f t="shared" si="5"/>
        <v>28-29</v>
      </c>
      <c r="H90" s="331" t="str">
        <f t="shared" si="5"/>
        <v>29-30</v>
      </c>
      <c r="I90" s="331" t="str">
        <f t="shared" si="5"/>
        <v>30-31</v>
      </c>
      <c r="J90" s="331" t="str">
        <f t="shared" si="5"/>
        <v>31-32</v>
      </c>
      <c r="K90" s="331" t="str">
        <f t="shared" si="5"/>
        <v>32-33</v>
      </c>
      <c r="L90" s="331" t="str">
        <f t="shared" si="5"/>
        <v>33-34</v>
      </c>
    </row>
    <row r="91" spans="2:13" x14ac:dyDescent="0.3">
      <c r="B91" s="40" t="s">
        <v>43</v>
      </c>
      <c r="C91" s="40"/>
      <c r="D91" s="332"/>
      <c r="E91" s="332">
        <f>'Cash Flow'!D25</f>
        <v>-52.779999999999973</v>
      </c>
      <c r="F91" s="332">
        <f>'Cash Flow'!E25</f>
        <v>59.499957999999936</v>
      </c>
      <c r="G91" s="332">
        <f>'Cash Flow'!F25</f>
        <v>242.95066200000011</v>
      </c>
      <c r="H91" s="332">
        <f>'Cash Flow'!G25</f>
        <v>360.84225599999991</v>
      </c>
      <c r="I91" s="332">
        <f>'Cash Flow'!H25</f>
        <v>485.06403599999999</v>
      </c>
      <c r="J91" s="332">
        <f>'Cash Flow'!I25</f>
        <v>666.21418199999994</v>
      </c>
      <c r="K91" s="332">
        <f>'Cash Flow'!J25</f>
        <v>945.47860200000014</v>
      </c>
      <c r="L91" s="332">
        <f>'Cash Flow'!K25</f>
        <v>1109.5220880000002</v>
      </c>
    </row>
    <row r="92" spans="2:13" x14ac:dyDescent="0.3">
      <c r="B92" s="40" t="s">
        <v>44</v>
      </c>
      <c r="C92" s="40"/>
      <c r="D92" s="332"/>
      <c r="E92" s="332">
        <f>'Cash Flow'!D26</f>
        <v>421.5</v>
      </c>
      <c r="F92" s="332">
        <f>'Cash Flow'!E26</f>
        <v>376.125</v>
      </c>
      <c r="G92" s="332">
        <f>'Cash Flow'!F26</f>
        <v>335.77125000000001</v>
      </c>
      <c r="H92" s="332">
        <f>'Cash Flow'!G26</f>
        <v>299.86406249999993</v>
      </c>
      <c r="I92" s="332">
        <f>'Cash Flow'!H26</f>
        <v>267.897103125</v>
      </c>
      <c r="J92" s="332">
        <f>'Cash Flow'!I26</f>
        <v>239.42392265625</v>
      </c>
      <c r="K92" s="332">
        <f>'Cash Flow'!J26</f>
        <v>214.0505807578125</v>
      </c>
      <c r="L92" s="332">
        <f>'Cash Flow'!K26</f>
        <v>191.42921549414061</v>
      </c>
    </row>
    <row r="93" spans="2:13" x14ac:dyDescent="0.3">
      <c r="B93" s="40" t="s">
        <v>45</v>
      </c>
      <c r="C93" s="40"/>
      <c r="D93" s="332"/>
      <c r="E93" s="332">
        <f>'Cash Flow'!D28</f>
        <v>289.5</v>
      </c>
      <c r="F93" s="332">
        <f>'Cash Flow'!E28</f>
        <v>275.62812500000001</v>
      </c>
      <c r="G93" s="332">
        <f>'Cash Flow'!F28</f>
        <v>246.19562500000001</v>
      </c>
      <c r="H93" s="332">
        <f>'Cash Flow'!G28</f>
        <v>211.09375</v>
      </c>
      <c r="I93" s="332">
        <f>'Cash Flow'!H28</f>
        <v>172.01124999999999</v>
      </c>
      <c r="J93" s="332">
        <f>'Cash Flow'!I28</f>
        <v>129.06875000000002</v>
      </c>
      <c r="K93" s="332">
        <f>'Cash Flow'!J28</f>
        <v>82.628124999999983</v>
      </c>
      <c r="L93" s="332">
        <f>'Cash Flow'!K28</f>
        <v>30.035625</v>
      </c>
    </row>
    <row r="94" spans="2:13" ht="57.6" x14ac:dyDescent="0.3">
      <c r="B94" s="353" t="s">
        <v>470</v>
      </c>
      <c r="C94" s="40"/>
      <c r="D94" s="332"/>
      <c r="E94" s="332">
        <f>+Profitability!D33</f>
        <v>68.900000000000006</v>
      </c>
      <c r="F94" s="332">
        <f>+Profitability!E33</f>
        <v>68.900000000000006</v>
      </c>
      <c r="G94" s="332">
        <f>+Profitability!F33</f>
        <v>68.900000000000006</v>
      </c>
      <c r="H94" s="332">
        <f>+Profitability!G33</f>
        <v>68.900000000000006</v>
      </c>
      <c r="I94" s="332">
        <f>+Profitability!H33</f>
        <v>68.900000000000006</v>
      </c>
      <c r="J94" s="332">
        <f>+Profitability!I33</f>
        <v>0</v>
      </c>
      <c r="K94" s="332">
        <f>+Profitability!J33</f>
        <v>0</v>
      </c>
      <c r="L94" s="332">
        <f>+Profitability!K33</f>
        <v>0</v>
      </c>
    </row>
    <row r="95" spans="2:13" x14ac:dyDescent="0.3">
      <c r="B95" s="334" t="str">
        <f>'[1]PROJECT RK'!B700</f>
        <v>Total "A"</v>
      </c>
      <c r="C95" s="334"/>
      <c r="D95" s="339"/>
      <c r="E95" s="339">
        <f>SUM(E91:E94)</f>
        <v>727.12</v>
      </c>
      <c r="F95" s="339">
        <f t="shared" ref="F95:L95" si="6">SUM(F91:F94)</f>
        <v>780.15308299999992</v>
      </c>
      <c r="G95" s="339">
        <f t="shared" si="6"/>
        <v>893.81753700000002</v>
      </c>
      <c r="H95" s="339">
        <f t="shared" si="6"/>
        <v>940.70006849999982</v>
      </c>
      <c r="I95" s="339">
        <f t="shared" si="6"/>
        <v>993.87238912500004</v>
      </c>
      <c r="J95" s="339">
        <f t="shared" si="6"/>
        <v>1034.70685465625</v>
      </c>
      <c r="K95" s="339">
        <f t="shared" si="6"/>
        <v>1242.1573077578125</v>
      </c>
      <c r="L95" s="339">
        <f t="shared" si="6"/>
        <v>1330.9869284941408</v>
      </c>
      <c r="M95" s="104">
        <f>SUM(E95:L95)</f>
        <v>7943.5141685332028</v>
      </c>
    </row>
    <row r="96" spans="2:13" x14ac:dyDescent="0.3">
      <c r="B96" s="40" t="s">
        <v>47</v>
      </c>
      <c r="C96" s="40"/>
      <c r="D96" s="332"/>
      <c r="E96" s="332">
        <f>'Cash Flow'!D30</f>
        <v>100</v>
      </c>
      <c r="F96" s="332">
        <f>'Cash Flow'!E30</f>
        <v>300</v>
      </c>
      <c r="G96" s="332">
        <f>'Cash Flow'!F30</f>
        <v>360</v>
      </c>
      <c r="H96" s="332">
        <f>'Cash Flow'!G30</f>
        <v>400</v>
      </c>
      <c r="I96" s="332">
        <f>'Cash Flow'!H30</f>
        <v>440</v>
      </c>
      <c r="J96" s="332">
        <f>'Cash Flow'!I30</f>
        <v>480</v>
      </c>
      <c r="K96" s="332">
        <f>'Cash Flow'!J30</f>
        <v>500</v>
      </c>
      <c r="L96" s="332">
        <f>'Cash Flow'!K30</f>
        <v>420</v>
      </c>
    </row>
    <row r="97" spans="2:13" x14ac:dyDescent="0.3">
      <c r="B97" s="40" t="s">
        <v>35</v>
      </c>
      <c r="C97" s="40"/>
      <c r="D97" s="332"/>
      <c r="E97" s="332">
        <f>'Cash Flow'!D31</f>
        <v>289.5</v>
      </c>
      <c r="F97" s="332">
        <f>'Cash Flow'!E31</f>
        <v>275.62812500000001</v>
      </c>
      <c r="G97" s="332">
        <f>'Cash Flow'!F31</f>
        <v>246.19562500000001</v>
      </c>
      <c r="H97" s="332">
        <f>'Cash Flow'!G31</f>
        <v>211.09375</v>
      </c>
      <c r="I97" s="332">
        <f>'Cash Flow'!H31</f>
        <v>172.01124999999999</v>
      </c>
      <c r="J97" s="332">
        <f>'Cash Flow'!I31</f>
        <v>129.06875000000002</v>
      </c>
      <c r="K97" s="332">
        <f>'Cash Flow'!J31</f>
        <v>82.628124999999983</v>
      </c>
      <c r="L97" s="332">
        <f>'Cash Flow'!K31</f>
        <v>30.035625</v>
      </c>
    </row>
    <row r="98" spans="2:13" x14ac:dyDescent="0.3">
      <c r="B98" s="334" t="str">
        <f>'[1]PROJECT RK'!B706</f>
        <v>Total "B"</v>
      </c>
      <c r="C98" s="334"/>
      <c r="D98" s="340"/>
      <c r="E98" s="340">
        <f t="shared" ref="E98:L98" si="7">SUM(E96:E97)</f>
        <v>389.5</v>
      </c>
      <c r="F98" s="341">
        <f t="shared" si="7"/>
        <v>575.62812499999995</v>
      </c>
      <c r="G98" s="341">
        <f t="shared" si="7"/>
        <v>606.19562500000006</v>
      </c>
      <c r="H98" s="341">
        <f t="shared" si="7"/>
        <v>611.09375</v>
      </c>
      <c r="I98" s="341">
        <f t="shared" si="7"/>
        <v>612.01125000000002</v>
      </c>
      <c r="J98" s="341">
        <f t="shared" si="7"/>
        <v>609.06875000000002</v>
      </c>
      <c r="K98" s="341">
        <f t="shared" si="7"/>
        <v>582.62812499999995</v>
      </c>
      <c r="L98" s="341">
        <f t="shared" si="7"/>
        <v>450.03562499999998</v>
      </c>
      <c r="M98" s="10">
        <f>SUM(E98:L98)</f>
        <v>4436.1612499999992</v>
      </c>
    </row>
    <row r="99" spans="2:13" x14ac:dyDescent="0.3">
      <c r="B99" s="330" t="str">
        <f>'[1]PROJECT RK'!B708</f>
        <v xml:space="preserve">D.S.C.R. </v>
      </c>
      <c r="C99" s="330"/>
      <c r="D99" s="342"/>
      <c r="E99" s="342">
        <f t="shared" ref="E99:L99" si="8">E95/E98</f>
        <v>1.8668035943517329</v>
      </c>
      <c r="F99" s="342">
        <f t="shared" si="8"/>
        <v>1.3553074443678372</v>
      </c>
      <c r="G99" s="342">
        <f t="shared" si="8"/>
        <v>1.4744704516796867</v>
      </c>
      <c r="H99" s="342">
        <f t="shared" si="8"/>
        <v>1.5393711169521858</v>
      </c>
      <c r="I99" s="342">
        <f t="shared" si="8"/>
        <v>1.6239446401107822</v>
      </c>
      <c r="J99" s="342">
        <f t="shared" si="8"/>
        <v>1.698834252547434</v>
      </c>
      <c r="K99" s="342">
        <f t="shared" si="8"/>
        <v>2.1319899511507665</v>
      </c>
      <c r="L99" s="342">
        <f t="shared" si="8"/>
        <v>2.9575145934150009</v>
      </c>
    </row>
    <row r="100" spans="2:13" x14ac:dyDescent="0.3">
      <c r="B100" s="57" t="str">
        <f>'[1]PROJECT RK'!B710</f>
        <v>Average D.S.C.R.</v>
      </c>
      <c r="C100" s="57"/>
      <c r="D100" s="356">
        <f>+M95/M98</f>
        <v>1.7906279147389432</v>
      </c>
      <c r="E100" s="343"/>
      <c r="F100" s="343"/>
      <c r="G100" s="343"/>
      <c r="H100" s="343"/>
      <c r="I100" s="343"/>
      <c r="J100" s="343"/>
      <c r="K100" s="343"/>
      <c r="L100" s="343"/>
    </row>
    <row r="101" spans="2:13" x14ac:dyDescent="0.3">
      <c r="B101" s="13"/>
      <c r="C101" s="13"/>
      <c r="D101" s="24">
        <f>SUM(E95:L95)/SUM(E98:L98)</f>
        <v>1.7906279147389432</v>
      </c>
      <c r="E101" s="357" t="s">
        <v>471</v>
      </c>
    </row>
    <row r="102" spans="2:13" x14ac:dyDescent="0.3">
      <c r="E102" s="355"/>
      <c r="F102" s="355"/>
      <c r="G102" s="355"/>
      <c r="H102" s="355"/>
      <c r="I102" s="355"/>
      <c r="J102" s="355"/>
      <c r="K102" s="355"/>
      <c r="L102" s="355"/>
    </row>
  </sheetData>
  <mergeCells count="1">
    <mergeCell ref="B1:L1"/>
  </mergeCells>
  <pageMargins left="0.7" right="0.7" top="0.75" bottom="0.75" header="0.3" footer="0.3"/>
  <pageSetup scale="48" orientation="portrait" horizontalDpi="4294967294" verticalDpi="4294967294" r:id="rId1"/>
  <rowBreaks count="1" manualBreakCount="1">
    <brk id="100" max="11" man="1"/>
  </rowBreaks>
  <colBreaks count="1" manualBreakCount="1">
    <brk id="12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21"/>
  <sheetViews>
    <sheetView tabSelected="1" view="pageBreakPreview" topLeftCell="D1" zoomScale="102" zoomScaleNormal="100" zoomScaleSheetLayoutView="102" workbookViewId="0">
      <selection activeCell="E4" sqref="E4"/>
    </sheetView>
  </sheetViews>
  <sheetFormatPr defaultRowHeight="13.2" x14ac:dyDescent="0.25"/>
  <cols>
    <col min="3" max="3" width="10.6640625" customWidth="1"/>
    <col min="4" max="5" width="13.44140625" bestFit="1" customWidth="1"/>
    <col min="6" max="6" width="12.33203125" bestFit="1" customWidth="1"/>
    <col min="7" max="7" width="10.33203125" customWidth="1"/>
    <col min="8" max="8" width="9.88671875" customWidth="1"/>
    <col min="9" max="9" width="10.21875" customWidth="1"/>
    <col min="10" max="10" width="11" customWidth="1"/>
    <col min="11" max="11" width="13.44140625" bestFit="1" customWidth="1"/>
    <col min="12" max="12" width="9.44140625" bestFit="1" customWidth="1"/>
  </cols>
  <sheetData>
    <row r="1" spans="1:14" ht="14.4" x14ac:dyDescent="0.3">
      <c r="A1" s="358" t="s">
        <v>212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4" x14ac:dyDescent="0.25">
      <c r="A2" s="297" t="s">
        <v>424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</row>
    <row r="3" spans="1:14" x14ac:dyDescent="0.25">
      <c r="A3" s="297" t="s">
        <v>42</v>
      </c>
      <c r="B3" s="297"/>
      <c r="C3" s="297"/>
      <c r="D3" s="350" t="s">
        <v>436</v>
      </c>
      <c r="E3" s="350" t="s">
        <v>437</v>
      </c>
      <c r="F3" s="350" t="s">
        <v>438</v>
      </c>
      <c r="G3" s="350" t="s">
        <v>439</v>
      </c>
      <c r="H3" s="350" t="s">
        <v>440</v>
      </c>
      <c r="I3" s="350" t="s">
        <v>441</v>
      </c>
      <c r="J3" s="350" t="s">
        <v>442</v>
      </c>
      <c r="K3" s="350" t="s">
        <v>443</v>
      </c>
    </row>
    <row r="4" spans="1:14" x14ac:dyDescent="0.25">
      <c r="A4" s="302" t="s">
        <v>425</v>
      </c>
      <c r="B4" s="302"/>
      <c r="C4" s="183"/>
      <c r="D4" s="183">
        <f>Profitability!D20</f>
        <v>1491.9</v>
      </c>
      <c r="E4" s="183">
        <f>Profitability!E20</f>
        <v>1635.12</v>
      </c>
      <c r="F4" s="183">
        <f>Profitability!F20</f>
        <v>1999.93</v>
      </c>
      <c r="G4" s="183">
        <f>Profitability!G20</f>
        <v>2193.33</v>
      </c>
      <c r="H4" s="183">
        <f>Profitability!H20</f>
        <v>2405.75</v>
      </c>
      <c r="I4" s="183">
        <f>Profitability!I20</f>
        <v>2639.06</v>
      </c>
      <c r="J4" s="183">
        <f>Profitability!J20</f>
        <v>3199.25</v>
      </c>
      <c r="K4" s="183">
        <f>Profitability!K20</f>
        <v>3511.17</v>
      </c>
    </row>
    <row r="5" spans="1:14" x14ac:dyDescent="0.25">
      <c r="A5" s="302" t="s">
        <v>426</v>
      </c>
      <c r="B5" s="302"/>
      <c r="C5" s="183"/>
      <c r="D5" s="298">
        <f>Profitability!D8</f>
        <v>0.4</v>
      </c>
      <c r="E5" s="298">
        <f>Profitability!E8</f>
        <v>0.4</v>
      </c>
      <c r="F5" s="298">
        <f>Profitability!F8</f>
        <v>0.45</v>
      </c>
      <c r="G5" s="298">
        <f>Profitability!G8</f>
        <v>0.45</v>
      </c>
      <c r="H5" s="298">
        <f>Profitability!H8</f>
        <v>0.45</v>
      </c>
      <c r="I5" s="298">
        <f>Profitability!I8</f>
        <v>0.45</v>
      </c>
      <c r="J5" s="298">
        <f>Profitability!J8</f>
        <v>0.5</v>
      </c>
      <c r="K5" s="298">
        <f>Profitability!K8</f>
        <v>0.5</v>
      </c>
    </row>
    <row r="6" spans="1:14" x14ac:dyDescent="0.25">
      <c r="A6" s="299" t="s">
        <v>427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</row>
    <row r="7" spans="1:14" x14ac:dyDescent="0.25">
      <c r="A7" s="283" t="s">
        <v>428</v>
      </c>
      <c r="B7" s="283"/>
      <c r="C7" s="183"/>
      <c r="D7" s="183">
        <f>(SUM(Profitability!D22:D26))+0.4*(Profitability!D27+Profitability!D28+Profitability!D29+Profitability!D31)</f>
        <v>591.72</v>
      </c>
      <c r="E7" s="183">
        <f>(SUM(Profitability!E22:E26))+0.4*(Profitability!E27+Profitability!E28+Profitability!E29+Profitability!E31)</f>
        <v>654.56799999999998</v>
      </c>
      <c r="F7" s="183">
        <f>(SUM(Profitability!F22:F26))+0.4*(Profitability!F27+Profitability!F28+Profitability!F29+Profitability!F31)</f>
        <v>790.08199999999999</v>
      </c>
      <c r="G7" s="183">
        <f>(SUM(Profitability!G22:G26))+0.4*(Profitability!G27+Profitability!G28+Profitability!G29+Profitability!G31)</f>
        <v>868.17399999999998</v>
      </c>
      <c r="H7" s="183">
        <f>(SUM(Profitability!H22:H26))+0.4*(Profitability!H27+Profitability!H28+Profitability!H29+Profitability!H31)</f>
        <v>954.11400000000015</v>
      </c>
      <c r="I7" s="183">
        <f>(SUM(Profitability!I22:I26))+0.4*(Profitability!I27+Profitability!I28+Profitability!I29+Profitability!I31)</f>
        <v>1048.6559999999999</v>
      </c>
      <c r="J7" s="183">
        <f>(SUM(Profitability!J22:J26))+0.4*(Profitability!J27+Profitability!J28+Profitability!J29+Profitability!J31)</f>
        <v>1256.5879999999997</v>
      </c>
      <c r="K7" s="183">
        <f>(SUM(Profitability!K22:K26))+0.4*(Profitability!K27+Profitability!K28+Profitability!K29+Profitability!K31)</f>
        <v>1381.4440000000002</v>
      </c>
    </row>
    <row r="8" spans="1:14" x14ac:dyDescent="0.25">
      <c r="A8" s="283" t="s">
        <v>429</v>
      </c>
      <c r="B8" s="283"/>
      <c r="C8" s="183"/>
      <c r="D8" s="183">
        <f>D4-D7</f>
        <v>900.18000000000006</v>
      </c>
      <c r="E8" s="183">
        <f t="shared" ref="E8:K8" si="0">E4-E7</f>
        <v>980.55199999999991</v>
      </c>
      <c r="F8" s="183">
        <f t="shared" si="0"/>
        <v>1209.848</v>
      </c>
      <c r="G8" s="183">
        <f t="shared" si="0"/>
        <v>1325.1559999999999</v>
      </c>
      <c r="H8" s="183">
        <f t="shared" si="0"/>
        <v>1451.636</v>
      </c>
      <c r="I8" s="183">
        <f t="shared" si="0"/>
        <v>1590.404</v>
      </c>
      <c r="J8" s="183">
        <f t="shared" si="0"/>
        <v>1942.6620000000003</v>
      </c>
      <c r="K8" s="183">
        <f t="shared" si="0"/>
        <v>2129.7259999999997</v>
      </c>
    </row>
    <row r="9" spans="1:14" x14ac:dyDescent="0.25">
      <c r="A9" s="283" t="s">
        <v>430</v>
      </c>
      <c r="B9" s="283"/>
      <c r="C9" s="183"/>
      <c r="D9" s="300">
        <f>D8/D4</f>
        <v>0.60337824250955163</v>
      </c>
      <c r="E9" s="300">
        <f t="shared" ref="E9:K9" si="1">E8/E4</f>
        <v>0.59968198052742305</v>
      </c>
      <c r="F9" s="300">
        <f t="shared" si="1"/>
        <v>0.60494517308105777</v>
      </c>
      <c r="G9" s="300">
        <f t="shared" si="1"/>
        <v>0.60417538628478162</v>
      </c>
      <c r="H9" s="300">
        <f t="shared" si="1"/>
        <v>0.60340268107658734</v>
      </c>
      <c r="I9" s="300">
        <f t="shared" si="1"/>
        <v>0.60264033405833894</v>
      </c>
      <c r="J9" s="300">
        <f t="shared" si="1"/>
        <v>0.60722419317027432</v>
      </c>
      <c r="K9" s="300">
        <f t="shared" si="1"/>
        <v>0.60655735837341962</v>
      </c>
    </row>
    <row r="10" spans="1:14" x14ac:dyDescent="0.25">
      <c r="A10" s="299" t="s">
        <v>431</v>
      </c>
      <c r="B10" s="299"/>
      <c r="C10" s="299"/>
      <c r="D10" s="299"/>
      <c r="E10" s="299"/>
      <c r="F10" s="299"/>
      <c r="G10" s="299"/>
      <c r="H10" s="299"/>
      <c r="I10" s="299"/>
      <c r="J10" s="299"/>
      <c r="K10" s="299"/>
    </row>
    <row r="11" spans="1:14" x14ac:dyDescent="0.25">
      <c r="A11" s="283" t="s">
        <v>432</v>
      </c>
      <c r="B11" s="283"/>
      <c r="C11" s="183"/>
      <c r="D11" s="183">
        <f>0.6*(Profitability!D27+Profitability!D28+Profitability!D29+Profitability!D31)+Profitability!D32+Profitability!D34+Profitability!D30+Profitability!D33</f>
        <v>952.95799999999997</v>
      </c>
      <c r="E11" s="183">
        <f>0.6*(Profitability!E27+Profitability!E28+Profitability!E29+Profitability!E31)+Profitability!E32+Profitability!E34+Profitability!E30+Profitability!E33</f>
        <v>918.45752500000003</v>
      </c>
      <c r="F11" s="183">
        <f>0.6*(Profitability!F27+Profitability!F28+Profitability!F29+Profitability!F31)+Profitability!F32+Profitability!F34+Profitability!F30+Profitability!F33</f>
        <v>873.25347499999998</v>
      </c>
      <c r="G11" s="183">
        <f>0.6*(Profitability!G27+Profitability!G28+Profitability!G29+Profitability!G31)+Profitability!G32+Profitability!G34+Profitability!G30+Profitability!G33</f>
        <v>825.24041249999982</v>
      </c>
      <c r="H11" s="183">
        <f>0.6*(Profitability!H27+Profitability!H28+Profitability!H29+Profitability!H31)+Profitability!H32+Profitability!H34+Profitability!H30+Profitability!H33</f>
        <v>779.61935312499998</v>
      </c>
      <c r="I11" s="183">
        <f>0.6*(Profitability!I27+Profitability!I28+Profitability!I29+Profitability!I31)+Profitability!I32+Profitability!I34+Profitability!I30+Profitability!I33</f>
        <v>667.4178726562501</v>
      </c>
      <c r="J11" s="183">
        <f>0.6*(Profitability!J27+Profitability!J28+Profitability!J29+Profitability!J31)+Profitability!J32+Profitability!J34+Profitability!J30+Profitability!J33</f>
        <v>632.77570575781249</v>
      </c>
      <c r="K11" s="183">
        <f>0.6*(Profitability!K27+Profitability!K28+Profitability!K29+Profitability!K31)+Profitability!K32+Profitability!K34+Profitability!K30+Profitability!K33</f>
        <v>592.56424049414056</v>
      </c>
    </row>
    <row r="12" spans="1:14" x14ac:dyDescent="0.25">
      <c r="A12" s="283" t="s">
        <v>433</v>
      </c>
      <c r="B12" s="283"/>
      <c r="C12" s="303" t="s">
        <v>459</v>
      </c>
      <c r="D12" s="351">
        <f>D8/D4</f>
        <v>0.60337824250955163</v>
      </c>
      <c r="E12" s="351">
        <f t="shared" ref="E12:K12" si="2">E8/E4</f>
        <v>0.59968198052742305</v>
      </c>
      <c r="F12" s="351">
        <f t="shared" si="2"/>
        <v>0.60494517308105777</v>
      </c>
      <c r="G12" s="351">
        <f t="shared" si="2"/>
        <v>0.60417538628478162</v>
      </c>
      <c r="H12" s="351">
        <f t="shared" si="2"/>
        <v>0.60340268107658734</v>
      </c>
      <c r="I12" s="351">
        <f t="shared" si="2"/>
        <v>0.60264033405833894</v>
      </c>
      <c r="J12" s="351">
        <f t="shared" si="2"/>
        <v>0.60722419317027432</v>
      </c>
      <c r="K12" s="351">
        <f t="shared" si="2"/>
        <v>0.60655735837341962</v>
      </c>
    </row>
    <row r="13" spans="1:14" x14ac:dyDescent="0.25">
      <c r="A13" s="299" t="s">
        <v>434</v>
      </c>
      <c r="B13" s="299"/>
      <c r="C13" s="299"/>
      <c r="D13" s="183">
        <f>D11/D12</f>
        <v>1579.3708371659</v>
      </c>
      <c r="E13" s="183">
        <f t="shared" ref="E13:K13" si="3">E11/E12</f>
        <v>1531.5743257654872</v>
      </c>
      <c r="F13" s="183">
        <f t="shared" si="3"/>
        <v>1443.5249901283055</v>
      </c>
      <c r="G13" s="183">
        <f t="shared" si="3"/>
        <v>1365.8954522702418</v>
      </c>
      <c r="H13" s="183">
        <f t="shared" si="3"/>
        <v>1292.0382649510404</v>
      </c>
      <c r="I13" s="183">
        <f t="shared" si="3"/>
        <v>1107.4895504615201</v>
      </c>
      <c r="J13" s="183">
        <f>J11/J12</f>
        <v>1042.0792071115209</v>
      </c>
      <c r="K13" s="183">
        <f t="shared" si="3"/>
        <v>976.93026440763356</v>
      </c>
    </row>
    <row r="14" spans="1:14" x14ac:dyDescent="0.25">
      <c r="A14" s="183" t="s">
        <v>435</v>
      </c>
      <c r="B14" s="183"/>
      <c r="C14" s="183"/>
      <c r="D14" s="300">
        <f>D13/D4</f>
        <v>1.0586304961229975</v>
      </c>
      <c r="E14" s="300">
        <f t="shared" ref="E14:K14" si="4">E13/E4</f>
        <v>0.93667396017753268</v>
      </c>
      <c r="F14" s="300">
        <f t="shared" si="4"/>
        <v>0.72178775763566994</v>
      </c>
      <c r="G14" s="300">
        <f t="shared" si="4"/>
        <v>0.62274963287341245</v>
      </c>
      <c r="H14" s="300">
        <f t="shared" si="4"/>
        <v>0.5370625646684154</v>
      </c>
      <c r="I14" s="300">
        <f t="shared" si="4"/>
        <v>0.41965303951464544</v>
      </c>
      <c r="J14" s="300">
        <f t="shared" si="4"/>
        <v>0.32572609427569615</v>
      </c>
      <c r="K14" s="300">
        <f t="shared" si="4"/>
        <v>0.27823496566888917</v>
      </c>
    </row>
    <row r="15" spans="1:14" x14ac:dyDescent="0.25">
      <c r="G15" s="271"/>
      <c r="H15" s="271"/>
      <c r="I15" s="271"/>
      <c r="J15" s="271"/>
      <c r="K15" s="271"/>
      <c r="L15" s="271"/>
      <c r="M15" s="271"/>
      <c r="N15" s="271"/>
    </row>
    <row r="18" spans="1:12" x14ac:dyDescent="0.25">
      <c r="A18" s="270"/>
    </row>
    <row r="21" spans="1:12" ht="15.6" x14ac:dyDescent="0.25">
      <c r="A21" s="420" t="s">
        <v>460</v>
      </c>
      <c r="B21" s="421"/>
      <c r="C21" s="421"/>
      <c r="D21" s="421"/>
      <c r="E21" s="421"/>
      <c r="F21" s="421"/>
      <c r="G21" s="421"/>
      <c r="H21" s="421"/>
      <c r="I21" s="421"/>
      <c r="J21" s="421"/>
      <c r="K21" s="421"/>
      <c r="L21" s="272"/>
    </row>
    <row r="22" spans="1:12" x14ac:dyDescent="0.25">
      <c r="A22" s="285" t="s">
        <v>445</v>
      </c>
      <c r="B22" s="286"/>
      <c r="C22" s="282"/>
      <c r="D22" s="287">
        <v>2026</v>
      </c>
      <c r="E22" s="287">
        <v>2027</v>
      </c>
      <c r="F22" s="287">
        <v>2028</v>
      </c>
      <c r="G22" s="287">
        <v>2029</v>
      </c>
      <c r="H22" s="287">
        <v>2030</v>
      </c>
      <c r="I22" s="287">
        <v>2031</v>
      </c>
      <c r="J22" s="287">
        <v>2032</v>
      </c>
      <c r="K22" s="287">
        <v>2033</v>
      </c>
    </row>
    <row r="23" spans="1:12" x14ac:dyDescent="0.25">
      <c r="A23" s="276"/>
      <c r="B23" s="276"/>
      <c r="C23" s="276"/>
      <c r="D23" s="278"/>
      <c r="E23" s="279"/>
      <c r="F23" s="278"/>
      <c r="G23" s="278"/>
      <c r="H23" s="278"/>
      <c r="I23" s="278"/>
      <c r="J23" s="276"/>
      <c r="K23" s="183"/>
    </row>
    <row r="24" spans="1:12" x14ac:dyDescent="0.25">
      <c r="A24" s="277" t="s">
        <v>446</v>
      </c>
      <c r="B24" s="276"/>
      <c r="C24" s="276"/>
      <c r="D24" s="278"/>
      <c r="E24" s="279"/>
      <c r="F24" s="278"/>
      <c r="G24" s="278"/>
      <c r="H24" s="278"/>
      <c r="I24" s="278"/>
      <c r="J24" s="276"/>
      <c r="K24" s="183"/>
    </row>
    <row r="25" spans="1:12" x14ac:dyDescent="0.25">
      <c r="A25" s="276" t="s">
        <v>456</v>
      </c>
      <c r="B25" s="276"/>
      <c r="C25" s="276"/>
      <c r="D25" s="280">
        <f>Profitability!D14*0.95+Profitability!D15+Profitability!D16+Profitability!D17+Profitability!D18+Profitability!D19</f>
        <v>1451.75</v>
      </c>
      <c r="E25" s="280">
        <f>Profitability!E14*0.95+Profitability!E15+Profitability!E16+Profitability!E17+Profitability!E18+Profitability!E19</f>
        <v>1590.9499999999998</v>
      </c>
      <c r="F25" s="280">
        <f>Profitability!F14*0.95+Profitability!F15+Profitability!F16+Profitability!F17+Profitability!F18+Profitability!F19</f>
        <v>1945.2729999999999</v>
      </c>
      <c r="G25" s="280">
        <f>Profitability!G14*0.95+Profitability!G15+Profitability!G16+Profitability!G17+Profitability!G18+Profitability!G19</f>
        <v>2133.2117625000005</v>
      </c>
      <c r="H25" s="280">
        <f>Profitability!H14*0.95+Profitability!H15+Profitability!H16+Profitability!H17+Profitability!H18+Profitability!H19</f>
        <v>2339.6220793750003</v>
      </c>
      <c r="I25" s="280">
        <f>Profitability!I14*0.95+Profitability!I15+Profitability!I16+Profitability!I17+Profitability!I18+Profitability!I19</f>
        <v>2566.3147874687502</v>
      </c>
      <c r="J25" s="280">
        <f>Profitability!J14*0.95+Profitability!J15+Profitability!J16+Profitability!J17+Profitability!J18+Profitability!J19</f>
        <v>3110.3403233046879</v>
      </c>
      <c r="K25" s="280">
        <f>Profitability!K14*0.95+Profitability!K15+Profitability!K16+Profitability!K17+Profitability!K18+Profitability!K19</f>
        <v>3413.3642841824221</v>
      </c>
    </row>
    <row r="26" spans="1:12" x14ac:dyDescent="0.25">
      <c r="A26" s="276"/>
      <c r="B26" s="276"/>
      <c r="C26" s="276"/>
      <c r="D26" s="278"/>
      <c r="E26" s="279"/>
      <c r="F26" s="278"/>
      <c r="G26" s="278"/>
      <c r="H26" s="278"/>
      <c r="I26" s="278"/>
      <c r="J26" s="276"/>
      <c r="K26" s="278"/>
    </row>
    <row r="27" spans="1:12" x14ac:dyDescent="0.25">
      <c r="A27" s="277" t="s">
        <v>447</v>
      </c>
      <c r="B27" s="276"/>
      <c r="C27" s="276"/>
      <c r="D27" s="278"/>
      <c r="E27" s="279"/>
      <c r="F27" s="278"/>
      <c r="G27" s="278"/>
      <c r="H27" s="278"/>
      <c r="I27" s="278"/>
      <c r="J27" s="276"/>
      <c r="K27" s="278"/>
    </row>
    <row r="28" spans="1:12" x14ac:dyDescent="0.25">
      <c r="A28" s="276" t="s">
        <v>462</v>
      </c>
      <c r="B28" s="276"/>
      <c r="C28" s="276"/>
      <c r="D28" s="278">
        <f>(SUM(Profitability!D22:D26))+0.4*(Profitability!D27+Profitability!D28+Profitability!D29+Profitability!D31)</f>
        <v>591.72</v>
      </c>
      <c r="E28" s="278">
        <f>(SUM(Profitability!E22:E26))+0.4*(Profitability!E27+Profitability!E28+Profitability!E29+Profitability!E31)</f>
        <v>654.56799999999998</v>
      </c>
      <c r="F28" s="278">
        <f>(SUM(Profitability!F22:F26))+0.4*(Profitability!F27+Profitability!F28+Profitability!F29+Profitability!F31)</f>
        <v>790.08199999999999</v>
      </c>
      <c r="G28" s="278">
        <f>(SUM(Profitability!G22:G26))+0.4*(Profitability!G27+Profitability!G28+Profitability!G29+Profitability!G31)</f>
        <v>868.17399999999998</v>
      </c>
      <c r="H28" s="278">
        <f>(SUM(Profitability!H22:H26))+0.4*(Profitability!H27+Profitability!H28+Profitability!H29+Profitability!H31)</f>
        <v>954.11400000000015</v>
      </c>
      <c r="I28" s="278">
        <f>(SUM(Profitability!I22:I26))+0.4*(Profitability!I27+Profitability!I28+Profitability!I29+Profitability!I31)</f>
        <v>1048.6559999999999</v>
      </c>
      <c r="J28" s="278">
        <f>(SUM(Profitability!J22:J26))+0.4*(Profitability!J27+Profitability!J28+Profitability!J29+Profitability!J31)</f>
        <v>1256.5879999999997</v>
      </c>
      <c r="K28" s="278">
        <f>(SUM(Profitability!K22:K26))+0.4*(Profitability!K27+Profitability!K28+Profitability!K29+Profitability!K31)</f>
        <v>1381.4440000000002</v>
      </c>
    </row>
    <row r="29" spans="1:12" x14ac:dyDescent="0.25">
      <c r="A29" s="276" t="s">
        <v>463</v>
      </c>
      <c r="B29" s="276"/>
      <c r="C29" s="276"/>
      <c r="D29" s="278">
        <f>0.6*(Profitability!D27+Profitability!D28+Profitability!D29+Profitability!D31)+Profitability!D30</f>
        <v>173.05799999999999</v>
      </c>
      <c r="E29" s="278">
        <f>0.6*(Profitability!E27+Profitability!E28+Profitability!E29+Profitability!E31)+Profitability!E30</f>
        <v>197.80439999999999</v>
      </c>
      <c r="F29" s="278">
        <f>0.6*(Profitability!F27+Profitability!F28+Profitability!F29+Profitability!F31)+Profitability!F30</f>
        <v>222.38659999999999</v>
      </c>
      <c r="G29" s="278">
        <f>0.6*(Profitability!G27+Profitability!G28+Profitability!G29+Profitability!G31)+Profitability!G30</f>
        <v>245.38259999999997</v>
      </c>
      <c r="H29" s="278">
        <f>0.6*(Profitability!H27+Profitability!H28+Profitability!H29+Profitability!H31)+Profitability!H30</f>
        <v>270.81099999999998</v>
      </c>
      <c r="I29" s="278">
        <f>0.6*(Profitability!I27+Profitability!I28+Profitability!I29+Profitability!I31)+Profitability!I30</f>
        <v>298.92520000000002</v>
      </c>
      <c r="J29" s="278">
        <f>0.6*(Profitability!J27+Profitability!J28+Profitability!J29+Profitability!J31)+Profitability!J30</f>
        <v>336.09699999999998</v>
      </c>
      <c r="K29" s="278">
        <f>0.6*(Profitability!K27+Profitability!K28+Profitability!K29+Profitability!K31)+Profitability!K30</f>
        <v>371.09939999999995</v>
      </c>
    </row>
    <row r="30" spans="1:12" x14ac:dyDescent="0.25">
      <c r="A30" s="276" t="s">
        <v>448</v>
      </c>
      <c r="B30" s="276"/>
      <c r="C30" s="276"/>
      <c r="D30" s="278">
        <f>Profitability!D34</f>
        <v>289.5</v>
      </c>
      <c r="E30" s="278">
        <f>Profitability!E34</f>
        <v>275.62812500000001</v>
      </c>
      <c r="F30" s="278">
        <f>Profitability!F34</f>
        <v>246.19562500000001</v>
      </c>
      <c r="G30" s="278">
        <f>Profitability!G34</f>
        <v>211.09375</v>
      </c>
      <c r="H30" s="278">
        <f>[2]Profitability!H34</f>
        <v>172.01124999999999</v>
      </c>
      <c r="I30" s="278">
        <f>Profitability!I34</f>
        <v>129.06875000000002</v>
      </c>
      <c r="J30" s="278">
        <f>Profitability!J34</f>
        <v>82.628124999999983</v>
      </c>
      <c r="K30" s="278">
        <f>Profitability!K34</f>
        <v>30.035625</v>
      </c>
    </row>
    <row r="31" spans="1:12" x14ac:dyDescent="0.25">
      <c r="A31" s="276" t="s">
        <v>19</v>
      </c>
      <c r="B31" s="276"/>
      <c r="C31" s="276"/>
      <c r="D31" s="278">
        <f>Profitability!D32</f>
        <v>421.5</v>
      </c>
      <c r="E31" s="278">
        <f>Profitability!E32</f>
        <v>376.125</v>
      </c>
      <c r="F31" s="278">
        <f>Profitability!F32</f>
        <v>335.77125000000001</v>
      </c>
      <c r="G31" s="278">
        <f>Profitability!G32</f>
        <v>299.86406249999993</v>
      </c>
      <c r="H31" s="278">
        <f>Profitability!H32</f>
        <v>267.897103125</v>
      </c>
      <c r="I31" s="278">
        <f>Profitability!I32</f>
        <v>239.42392265625</v>
      </c>
      <c r="J31" s="278">
        <f>Profitability!J32</f>
        <v>214.0505807578125</v>
      </c>
      <c r="K31" s="278">
        <f>Profitability!K32</f>
        <v>191.42921549414061</v>
      </c>
    </row>
    <row r="32" spans="1:12" x14ac:dyDescent="0.25">
      <c r="A32" s="276" t="s">
        <v>449</v>
      </c>
      <c r="B32" s="276"/>
      <c r="C32" s="276"/>
      <c r="D32" s="278">
        <f>Profitability!D33</f>
        <v>68.900000000000006</v>
      </c>
      <c r="E32" s="278">
        <f>Profitability!E33</f>
        <v>68.900000000000006</v>
      </c>
      <c r="F32" s="278">
        <f>Profitability!F33</f>
        <v>68.900000000000006</v>
      </c>
      <c r="G32" s="278">
        <f>Profitability!G33</f>
        <v>68.900000000000006</v>
      </c>
      <c r="H32" s="278">
        <f>Profitability!H33</f>
        <v>68.900000000000006</v>
      </c>
      <c r="I32" s="278">
        <f>Profitability!I33</f>
        <v>0</v>
      </c>
      <c r="J32" s="278">
        <f>Profitability!J33</f>
        <v>0</v>
      </c>
      <c r="K32" s="278">
        <f>Profitability!K33</f>
        <v>0</v>
      </c>
    </row>
    <row r="33" spans="1:20" x14ac:dyDescent="0.25">
      <c r="A33" s="277" t="s">
        <v>450</v>
      </c>
      <c r="B33" s="276"/>
      <c r="C33" s="276"/>
      <c r="D33" s="280">
        <f>SUM(D28:D32)</f>
        <v>1544.6780000000001</v>
      </c>
      <c r="E33" s="280">
        <f t="shared" ref="E33:K33" si="5">SUM(E28:E32)</f>
        <v>1573.025525</v>
      </c>
      <c r="F33" s="280">
        <f t="shared" si="5"/>
        <v>1663.3354750000001</v>
      </c>
      <c r="G33" s="280">
        <f t="shared" si="5"/>
        <v>1693.4144124999998</v>
      </c>
      <c r="H33" s="280">
        <f t="shared" si="5"/>
        <v>1733.7333531250003</v>
      </c>
      <c r="I33" s="280">
        <f t="shared" si="5"/>
        <v>1716.0738726562499</v>
      </c>
      <c r="J33" s="280">
        <f t="shared" si="5"/>
        <v>1889.3637057578121</v>
      </c>
      <c r="K33" s="280">
        <f t="shared" si="5"/>
        <v>1974.0082404941406</v>
      </c>
    </row>
    <row r="34" spans="1:20" x14ac:dyDescent="0.25">
      <c r="A34" s="276"/>
      <c r="B34" s="276"/>
      <c r="C34" s="276"/>
      <c r="D34" s="276"/>
      <c r="E34" s="278"/>
      <c r="F34" s="278"/>
      <c r="G34" s="278"/>
      <c r="H34" s="278"/>
      <c r="I34" s="278"/>
      <c r="J34" s="278"/>
      <c r="K34" s="276"/>
      <c r="L34" s="272"/>
    </row>
    <row r="35" spans="1:20" x14ac:dyDescent="0.25">
      <c r="A35" s="276"/>
      <c r="B35" s="276"/>
      <c r="C35" s="276"/>
      <c r="D35" s="276"/>
      <c r="E35" s="278"/>
      <c r="F35" s="278"/>
      <c r="G35" s="278"/>
      <c r="H35" s="278"/>
      <c r="I35" s="278"/>
      <c r="J35" s="278"/>
      <c r="K35" s="276"/>
      <c r="L35" s="272"/>
    </row>
    <row r="36" spans="1:20" x14ac:dyDescent="0.25">
      <c r="A36" s="276"/>
      <c r="B36" s="276"/>
      <c r="C36" s="276"/>
      <c r="D36" s="276"/>
      <c r="E36" s="278"/>
      <c r="F36" s="278"/>
      <c r="G36" s="278"/>
      <c r="H36" s="279"/>
      <c r="I36" s="278"/>
      <c r="J36" s="278"/>
      <c r="K36" s="276"/>
    </row>
    <row r="37" spans="1:20" x14ac:dyDescent="0.25">
      <c r="A37" s="276" t="s">
        <v>451</v>
      </c>
      <c r="B37" s="276"/>
      <c r="C37" s="276"/>
      <c r="D37" s="278">
        <f>D25-D33</f>
        <v>-92.928000000000111</v>
      </c>
      <c r="E37" s="278">
        <f t="shared" ref="E37:K37" si="6">E25-E33</f>
        <v>17.924474999999802</v>
      </c>
      <c r="F37" s="278">
        <f t="shared" si="6"/>
        <v>281.93752499999982</v>
      </c>
      <c r="G37" s="278">
        <f t="shared" si="6"/>
        <v>439.79735000000073</v>
      </c>
      <c r="H37" s="278">
        <f>H25-H33</f>
        <v>605.88872624999999</v>
      </c>
      <c r="I37" s="278">
        <f t="shared" si="6"/>
        <v>850.24091481250025</v>
      </c>
      <c r="J37" s="278">
        <f t="shared" si="6"/>
        <v>1220.9766175468758</v>
      </c>
      <c r="K37" s="278">
        <f t="shared" si="6"/>
        <v>1439.3560436882815</v>
      </c>
    </row>
    <row r="38" spans="1:20" ht="14.4" x14ac:dyDescent="0.3">
      <c r="A38" s="276" t="s">
        <v>27</v>
      </c>
      <c r="B38" s="276"/>
      <c r="C38" s="281">
        <f>(25%+(25%*7%))+(25%+(25%*7%))*4%</f>
        <v>0.2782</v>
      </c>
      <c r="D38" s="278">
        <f>IF(D37&gt;0,D37*$E$933,0)</f>
        <v>0</v>
      </c>
      <c r="E38" s="278">
        <f t="shared" ref="E38" si="7">IF(E37&gt;0,E37*$E$933,0)</f>
        <v>0</v>
      </c>
      <c r="F38" s="278">
        <f>(F37+D39+E39)*$C$38</f>
        <v>57.569038799999866</v>
      </c>
      <c r="G38" s="278">
        <f t="shared" ref="G38:K38" si="8">G37*$C$38</f>
        <v>122.3516227700002</v>
      </c>
      <c r="H38" s="278">
        <f t="shared" si="8"/>
        <v>168.55824364275</v>
      </c>
      <c r="I38" s="278">
        <f t="shared" si="8"/>
        <v>236.53702250083757</v>
      </c>
      <c r="J38" s="278">
        <f t="shared" si="8"/>
        <v>339.67569500154087</v>
      </c>
      <c r="K38" s="278">
        <f t="shared" si="8"/>
        <v>400.42885135407994</v>
      </c>
    </row>
    <row r="39" spans="1:20" x14ac:dyDescent="0.25">
      <c r="A39" s="276" t="s">
        <v>452</v>
      </c>
      <c r="B39" s="276"/>
      <c r="C39" s="276"/>
      <c r="D39" s="278">
        <f>D37-D38</f>
        <v>-92.928000000000111</v>
      </c>
      <c r="E39" s="278">
        <f t="shared" ref="E39:K39" si="9">E37-E38</f>
        <v>17.924474999999802</v>
      </c>
      <c r="F39" s="278">
        <f t="shared" si="9"/>
        <v>224.36848619999995</v>
      </c>
      <c r="G39" s="278">
        <f t="shared" si="9"/>
        <v>317.44572723000056</v>
      </c>
      <c r="H39" s="278">
        <f t="shared" si="9"/>
        <v>437.33048260725002</v>
      </c>
      <c r="I39" s="278">
        <f t="shared" si="9"/>
        <v>613.70389231166268</v>
      </c>
      <c r="J39" s="278">
        <f t="shared" si="9"/>
        <v>881.30092254533497</v>
      </c>
      <c r="K39" s="278">
        <f t="shared" si="9"/>
        <v>1038.9271923342017</v>
      </c>
    </row>
    <row r="40" spans="1:20" x14ac:dyDescent="0.25">
      <c r="A40" s="276" t="s">
        <v>453</v>
      </c>
      <c r="B40" s="276"/>
      <c r="C40" s="276"/>
      <c r="D40" s="278">
        <f>D39+D31+D32</f>
        <v>397.47199999999987</v>
      </c>
      <c r="E40" s="278">
        <f t="shared" ref="E40:K40" si="10">E39+E31+E32</f>
        <v>462.94947499999978</v>
      </c>
      <c r="F40" s="278">
        <f t="shared" si="10"/>
        <v>629.03973619999999</v>
      </c>
      <c r="G40" s="278">
        <f t="shared" si="10"/>
        <v>686.20978973000047</v>
      </c>
      <c r="H40" s="278">
        <f>H39+H31+H32</f>
        <v>774.12758573224994</v>
      </c>
      <c r="I40" s="278">
        <f t="shared" si="10"/>
        <v>853.12781496791263</v>
      </c>
      <c r="J40" s="278">
        <f t="shared" si="10"/>
        <v>1095.3515033031474</v>
      </c>
      <c r="K40" s="278">
        <f t="shared" si="10"/>
        <v>1230.3564078283423</v>
      </c>
      <c r="L40" s="347">
        <f>SUM(D40:K40)</f>
        <v>6128.6343127616519</v>
      </c>
    </row>
    <row r="41" spans="1:20" x14ac:dyDescent="0.25">
      <c r="A41" s="276" t="s">
        <v>454</v>
      </c>
      <c r="B41" s="276"/>
      <c r="C41" s="276"/>
      <c r="D41" s="278">
        <f>Profitability!D34</f>
        <v>289.5</v>
      </c>
      <c r="E41" s="278">
        <f>Profitability!E34</f>
        <v>275.62812500000001</v>
      </c>
      <c r="F41" s="278">
        <f>Profitability!F34</f>
        <v>246.19562500000001</v>
      </c>
      <c r="G41" s="278">
        <f>Profitability!G34</f>
        <v>211.09375</v>
      </c>
      <c r="H41" s="278">
        <f>Profitability!H34</f>
        <v>172.01124999999999</v>
      </c>
      <c r="I41" s="278">
        <f>Profitability!I34</f>
        <v>129.06875000000002</v>
      </c>
      <c r="J41" s="278">
        <f>Profitability!J34</f>
        <v>82.628124999999983</v>
      </c>
      <c r="K41" s="278">
        <f>Profitability!K34</f>
        <v>30.035625</v>
      </c>
      <c r="L41" s="347">
        <f>SUM(D41:K41)</f>
        <v>1436.1612499999999</v>
      </c>
    </row>
    <row r="42" spans="1:20" x14ac:dyDescent="0.25">
      <c r="A42" s="276" t="s">
        <v>455</v>
      </c>
      <c r="B42" s="276"/>
      <c r="C42" s="276"/>
      <c r="D42" s="278">
        <f>'Intt &amp; Depreciation'!E8</f>
        <v>100</v>
      </c>
      <c r="E42" s="278">
        <f>'Intt &amp; Depreciation'!E9</f>
        <v>300</v>
      </c>
      <c r="F42" s="278">
        <f>'Intt &amp; Depreciation'!E10</f>
        <v>360</v>
      </c>
      <c r="G42" s="278">
        <f>'Intt &amp; Depreciation'!E11</f>
        <v>400</v>
      </c>
      <c r="H42" s="278">
        <f>'Intt &amp; Depreciation'!E12</f>
        <v>440</v>
      </c>
      <c r="I42" s="278">
        <f>'Intt &amp; Depreciation'!E13</f>
        <v>480</v>
      </c>
      <c r="J42" s="278">
        <f>'Intt &amp; Depreciation'!E14</f>
        <v>500</v>
      </c>
      <c r="K42" s="278">
        <f>'Intt &amp; Depreciation'!E15</f>
        <v>420</v>
      </c>
      <c r="L42" s="347">
        <f>SUM(D42:K42)</f>
        <v>3000</v>
      </c>
    </row>
    <row r="43" spans="1:20" x14ac:dyDescent="0.25">
      <c r="A43" s="277" t="s">
        <v>294</v>
      </c>
      <c r="B43" s="277"/>
      <c r="C43" s="277"/>
      <c r="D43" s="280">
        <f>(D40+D41)/(D41+D42)</f>
        <v>1.7637278562259304</v>
      </c>
      <c r="E43" s="280">
        <f t="shared" ref="E43:K43" si="11">(E40+E41)/(E41+E42)</f>
        <v>1.2830811559112056</v>
      </c>
      <c r="F43" s="280">
        <f t="shared" si="11"/>
        <v>1.4438166906928764</v>
      </c>
      <c r="G43" s="280">
        <f t="shared" si="11"/>
        <v>1.4683565978706221</v>
      </c>
      <c r="H43" s="280">
        <f t="shared" si="11"/>
        <v>1.5459500715587335</v>
      </c>
      <c r="I43" s="280">
        <f t="shared" si="11"/>
        <v>1.6126201926595523</v>
      </c>
      <c r="J43" s="280">
        <f t="shared" si="11"/>
        <v>2.0218379061312008</v>
      </c>
      <c r="K43" s="280">
        <f t="shared" si="11"/>
        <v>2.8006494659802597</v>
      </c>
    </row>
    <row r="44" spans="1:20" x14ac:dyDescent="0.25">
      <c r="A44" s="282" t="s">
        <v>458</v>
      </c>
      <c r="B44" s="283"/>
      <c r="C44" s="283"/>
      <c r="D44" s="284">
        <f>+(L40+L41)/(L41+L42)</f>
        <v>1.7052571212918943</v>
      </c>
      <c r="E44" s="278"/>
      <c r="F44" s="278"/>
      <c r="G44" s="279"/>
      <c r="H44" s="278"/>
      <c r="I44" s="278"/>
      <c r="J44" s="278"/>
      <c r="K44" s="278"/>
    </row>
    <row r="45" spans="1:20" x14ac:dyDescent="0.25">
      <c r="A45" s="273"/>
      <c r="B45" s="272"/>
      <c r="C45" s="272"/>
      <c r="D45" s="272"/>
      <c r="E45" s="274"/>
      <c r="F45" s="274"/>
      <c r="G45" s="274"/>
      <c r="H45" s="275"/>
      <c r="I45" s="274"/>
      <c r="J45" s="274"/>
      <c r="K45" s="272"/>
      <c r="M45" s="347"/>
      <c r="N45" s="347"/>
      <c r="O45" s="347"/>
      <c r="P45" s="347"/>
      <c r="Q45" s="347"/>
      <c r="R45" s="347"/>
      <c r="S45" s="347"/>
      <c r="T45" s="347"/>
    </row>
    <row r="46" spans="1:20" x14ac:dyDescent="0.25">
      <c r="D46" s="347"/>
      <c r="E46" s="347"/>
      <c r="F46" s="347"/>
      <c r="G46" s="347"/>
      <c r="H46" s="347"/>
      <c r="I46" s="347"/>
      <c r="J46" s="347"/>
      <c r="K46" s="347"/>
    </row>
    <row r="47" spans="1:20" ht="15.6" x14ac:dyDescent="0.25">
      <c r="A47" s="420" t="s">
        <v>461</v>
      </c>
      <c r="B47" s="421"/>
      <c r="C47" s="421"/>
      <c r="D47" s="421"/>
      <c r="E47" s="421"/>
      <c r="F47" s="421"/>
      <c r="G47" s="421"/>
      <c r="H47" s="421"/>
      <c r="I47" s="421"/>
      <c r="J47" s="421"/>
      <c r="K47" s="421"/>
    </row>
    <row r="48" spans="1:20" x14ac:dyDescent="0.25">
      <c r="A48" s="288" t="s">
        <v>445</v>
      </c>
      <c r="B48" s="292"/>
      <c r="C48" s="293"/>
      <c r="D48" s="294">
        <v>2026</v>
      </c>
      <c r="E48" s="294">
        <v>2027</v>
      </c>
      <c r="F48" s="294">
        <v>2028</v>
      </c>
      <c r="G48" s="294">
        <v>2029</v>
      </c>
      <c r="H48" s="294">
        <v>2030</v>
      </c>
      <c r="I48" s="294">
        <v>2031</v>
      </c>
      <c r="J48" s="294">
        <v>2032</v>
      </c>
      <c r="K48" s="294">
        <v>2033</v>
      </c>
    </row>
    <row r="49" spans="1:11" x14ac:dyDescent="0.25">
      <c r="A49" s="273"/>
      <c r="B49" s="272"/>
      <c r="C49" s="272"/>
      <c r="D49" s="274"/>
      <c r="E49" s="275"/>
      <c r="F49" s="274"/>
      <c r="G49" s="274"/>
      <c r="H49" s="274"/>
      <c r="I49" s="274"/>
      <c r="J49" s="272"/>
    </row>
    <row r="50" spans="1:11" x14ac:dyDescent="0.25">
      <c r="A50" s="277" t="s">
        <v>446</v>
      </c>
      <c r="B50" s="272"/>
      <c r="C50" s="272"/>
      <c r="D50" s="274"/>
      <c r="E50" s="275"/>
      <c r="F50" s="274"/>
      <c r="G50" s="274"/>
      <c r="H50" s="274"/>
      <c r="I50" s="274"/>
      <c r="J50" s="272"/>
    </row>
    <row r="51" spans="1:11" x14ac:dyDescent="0.25">
      <c r="A51" s="276" t="s">
        <v>456</v>
      </c>
      <c r="B51" s="276"/>
      <c r="C51" s="276"/>
      <c r="D51" s="280">
        <f>Profitability!D20</f>
        <v>1491.9</v>
      </c>
      <c r="E51" s="280">
        <f>Profitability!E20</f>
        <v>1635.12</v>
      </c>
      <c r="F51" s="280">
        <f>Profitability!F20</f>
        <v>1999.93</v>
      </c>
      <c r="G51" s="280">
        <f>Profitability!G20</f>
        <v>2193.33</v>
      </c>
      <c r="H51" s="280">
        <f>Profitability!H20</f>
        <v>2405.75</v>
      </c>
      <c r="I51" s="280">
        <f>Profitability!I20</f>
        <v>2639.06</v>
      </c>
      <c r="J51" s="280">
        <f>Profitability!J20</f>
        <v>3199.25</v>
      </c>
      <c r="K51" s="280">
        <f>Profitability!K20</f>
        <v>3511.17</v>
      </c>
    </row>
    <row r="52" spans="1:11" x14ac:dyDescent="0.25">
      <c r="A52" s="272"/>
      <c r="B52" s="272"/>
      <c r="C52" s="272"/>
      <c r="D52" s="274"/>
      <c r="E52" s="275"/>
      <c r="F52" s="274"/>
      <c r="G52" s="274"/>
      <c r="H52" s="274"/>
      <c r="I52" s="274"/>
      <c r="J52" s="272"/>
      <c r="K52" s="274"/>
    </row>
    <row r="53" spans="1:11" x14ac:dyDescent="0.25">
      <c r="A53" s="277" t="s">
        <v>447</v>
      </c>
      <c r="B53" s="276"/>
      <c r="C53" s="272"/>
      <c r="D53" s="274"/>
      <c r="E53" s="275"/>
      <c r="F53" s="274"/>
      <c r="G53" s="274"/>
      <c r="H53" s="274"/>
      <c r="I53" s="274"/>
      <c r="J53" s="272"/>
      <c r="K53" s="274"/>
    </row>
    <row r="54" spans="1:11" x14ac:dyDescent="0.25">
      <c r="A54" s="276" t="s">
        <v>462</v>
      </c>
      <c r="B54" s="276"/>
      <c r="C54" s="276"/>
      <c r="D54" s="278">
        <f>((SUM(Profitability!D22:D26))+0.4*(Profitability!D27+Profitability!D28+Profitability!D29+Profitability!D31))*1.05</f>
        <v>621.30600000000004</v>
      </c>
      <c r="E54" s="278">
        <f>((SUM(Profitability!E22:E26))+0.4*(Profitability!E27+Profitability!E28+Profitability!E29+Profitability!E31))*1.05</f>
        <v>687.29640000000006</v>
      </c>
      <c r="F54" s="278">
        <f>((SUM(Profitability!F22:F26))+0.4*(Profitability!F27+Profitability!F28+Profitability!F29+Profitability!F31))*1.05</f>
        <v>829.58609999999999</v>
      </c>
      <c r="G54" s="278">
        <f>((SUM(Profitability!G22:G26))+0.4*(Profitability!G27+Profitability!G28+Profitability!G29+Profitability!G31))*1.05</f>
        <v>911.58270000000005</v>
      </c>
      <c r="H54" s="278">
        <f>((SUM(Profitability!H22:H26))+0.4*(Profitability!H27+Profitability!H28+Profitability!H29+Profitability!H31))*1.05</f>
        <v>1001.8197000000002</v>
      </c>
      <c r="I54" s="278">
        <f>((SUM(Profitability!I22:I26))+0.4*(Profitability!I27+Profitability!I28+Profitability!I29+Profitability!I31))*1.05</f>
        <v>1101.0888</v>
      </c>
      <c r="J54" s="278">
        <f>((SUM(Profitability!J22:J26))+0.4*(Profitability!J27+Profitability!J28+Profitability!J29+Profitability!J31))*1.05</f>
        <v>1319.4173999999998</v>
      </c>
      <c r="K54" s="278">
        <f>((SUM(Profitability!K22:K26))+0.4*(Profitability!K27+Profitability!K28+Profitability!K29+Profitability!K31))*1.05</f>
        <v>1450.5162000000003</v>
      </c>
    </row>
    <row r="55" spans="1:11" x14ac:dyDescent="0.25">
      <c r="A55" s="276" t="s">
        <v>463</v>
      </c>
      <c r="B55" s="276"/>
      <c r="C55" s="276"/>
      <c r="D55" s="278">
        <f>0.6*(Profitability!D27+Profitability!D28+Profitability!D29+Profitability!D31)+Profitability!D30</f>
        <v>173.05799999999999</v>
      </c>
      <c r="E55" s="278">
        <f>0.6*(Profitability!E27+Profitability!E28+Profitability!E29+Profitability!E31)+Profitability!E30</f>
        <v>197.80439999999999</v>
      </c>
      <c r="F55" s="278">
        <f>0.6*(Profitability!F27+Profitability!F28+Profitability!F29+Profitability!F31)+Profitability!F30</f>
        <v>222.38659999999999</v>
      </c>
      <c r="G55" s="278">
        <f>0.6*(Profitability!G27+Profitability!G28+Profitability!G29+Profitability!G31)+Profitability!G30</f>
        <v>245.38259999999997</v>
      </c>
      <c r="H55" s="278">
        <f>0.6*(Profitability!H27+Profitability!H28+Profitability!H29+Profitability!H31)+Profitability!H30</f>
        <v>270.81099999999998</v>
      </c>
      <c r="I55" s="278">
        <f>0.6*(Profitability!I27+Profitability!I28+Profitability!I29+Profitability!I31)+Profitability!I30</f>
        <v>298.92520000000002</v>
      </c>
      <c r="J55" s="278">
        <f>0.6*(Profitability!J27+Profitability!J28+Profitability!J29+Profitability!J31)+Profitability!J30</f>
        <v>336.09699999999998</v>
      </c>
      <c r="K55" s="278">
        <f>0.6*(Profitability!K27+Profitability!K28+Profitability!K29+Profitability!K31)+Profitability!K30</f>
        <v>371.09939999999995</v>
      </c>
    </row>
    <row r="56" spans="1:11" x14ac:dyDescent="0.25">
      <c r="A56" s="276" t="s">
        <v>448</v>
      </c>
      <c r="B56" s="276"/>
      <c r="C56" s="276"/>
      <c r="D56" s="278">
        <f>D30</f>
        <v>289.5</v>
      </c>
      <c r="E56" s="278">
        <f t="shared" ref="E56:K56" si="12">E30</f>
        <v>275.62812500000001</v>
      </c>
      <c r="F56" s="278">
        <f t="shared" si="12"/>
        <v>246.19562500000001</v>
      </c>
      <c r="G56" s="278">
        <f t="shared" si="12"/>
        <v>211.09375</v>
      </c>
      <c r="H56" s="278">
        <f t="shared" si="12"/>
        <v>172.01124999999999</v>
      </c>
      <c r="I56" s="278">
        <f t="shared" si="12"/>
        <v>129.06875000000002</v>
      </c>
      <c r="J56" s="278">
        <f t="shared" si="12"/>
        <v>82.628124999999983</v>
      </c>
      <c r="K56" s="278">
        <f t="shared" si="12"/>
        <v>30.035625</v>
      </c>
    </row>
    <row r="57" spans="1:11" x14ac:dyDescent="0.25">
      <c r="A57" s="276" t="s">
        <v>19</v>
      </c>
      <c r="B57" s="276"/>
      <c r="C57" s="276"/>
      <c r="D57" s="278">
        <f>D31</f>
        <v>421.5</v>
      </c>
      <c r="E57" s="278">
        <f t="shared" ref="E57:K57" si="13">E31</f>
        <v>376.125</v>
      </c>
      <c r="F57" s="278">
        <f t="shared" si="13"/>
        <v>335.77125000000001</v>
      </c>
      <c r="G57" s="278">
        <f t="shared" si="13"/>
        <v>299.86406249999993</v>
      </c>
      <c r="H57" s="278">
        <f t="shared" si="13"/>
        <v>267.897103125</v>
      </c>
      <c r="I57" s="278">
        <f t="shared" si="13"/>
        <v>239.42392265625</v>
      </c>
      <c r="J57" s="278">
        <f t="shared" si="13"/>
        <v>214.0505807578125</v>
      </c>
      <c r="K57" s="278">
        <f t="shared" si="13"/>
        <v>191.42921549414061</v>
      </c>
    </row>
    <row r="58" spans="1:11" x14ac:dyDescent="0.25">
      <c r="A58" s="276" t="s">
        <v>449</v>
      </c>
      <c r="B58" s="276"/>
      <c r="C58" s="276"/>
      <c r="D58" s="278">
        <f>D32</f>
        <v>68.900000000000006</v>
      </c>
      <c r="E58" s="278">
        <f t="shared" ref="E58:K58" si="14">E32</f>
        <v>68.900000000000006</v>
      </c>
      <c r="F58" s="278">
        <f t="shared" si="14"/>
        <v>68.900000000000006</v>
      </c>
      <c r="G58" s="278">
        <f t="shared" si="14"/>
        <v>68.900000000000006</v>
      </c>
      <c r="H58" s="278">
        <f t="shared" si="14"/>
        <v>68.900000000000006</v>
      </c>
      <c r="I58" s="278">
        <f t="shared" si="14"/>
        <v>0</v>
      </c>
      <c r="J58" s="278">
        <f t="shared" si="14"/>
        <v>0</v>
      </c>
      <c r="K58" s="278">
        <f t="shared" si="14"/>
        <v>0</v>
      </c>
    </row>
    <row r="59" spans="1:11" x14ac:dyDescent="0.25">
      <c r="A59" s="277" t="s">
        <v>450</v>
      </c>
      <c r="B59" s="276"/>
      <c r="C59" s="276"/>
      <c r="D59" s="280">
        <f>SUM(D54:D58)</f>
        <v>1574.2640000000001</v>
      </c>
      <c r="E59" s="280">
        <f t="shared" ref="E59:K59" si="15">SUM(E54:E58)</f>
        <v>1605.7539250000002</v>
      </c>
      <c r="F59" s="280">
        <f t="shared" si="15"/>
        <v>1702.8395750000002</v>
      </c>
      <c r="G59" s="280">
        <f t="shared" si="15"/>
        <v>1736.8231125000002</v>
      </c>
      <c r="H59" s="280">
        <f t="shared" si="15"/>
        <v>1781.4390531250003</v>
      </c>
      <c r="I59" s="280">
        <f t="shared" si="15"/>
        <v>1768.50667265625</v>
      </c>
      <c r="J59" s="280">
        <f t="shared" si="15"/>
        <v>1952.1931057578122</v>
      </c>
      <c r="K59" s="280">
        <f t="shared" si="15"/>
        <v>2043.0804404941407</v>
      </c>
    </row>
    <row r="60" spans="1:11" x14ac:dyDescent="0.25">
      <c r="A60" s="273"/>
      <c r="B60" s="272"/>
      <c r="C60" s="272"/>
      <c r="D60" s="272"/>
      <c r="E60" s="274"/>
      <c r="F60" s="274"/>
      <c r="G60" s="274"/>
      <c r="H60" s="274"/>
      <c r="I60" s="274"/>
      <c r="J60" s="274"/>
      <c r="K60" s="272"/>
    </row>
    <row r="61" spans="1:11" x14ac:dyDescent="0.25">
      <c r="A61" s="273"/>
      <c r="B61" s="272"/>
      <c r="C61" s="272"/>
      <c r="D61" s="272"/>
      <c r="E61" s="274"/>
      <c r="F61" s="274"/>
      <c r="G61" s="274"/>
      <c r="H61" s="274"/>
      <c r="I61" s="274"/>
      <c r="J61" s="274"/>
      <c r="K61" s="274"/>
    </row>
    <row r="62" spans="1:11" x14ac:dyDescent="0.25">
      <c r="A62" s="273"/>
      <c r="B62" s="272"/>
      <c r="C62" s="272"/>
      <c r="D62" s="272"/>
      <c r="E62" s="274"/>
      <c r="F62" s="274"/>
      <c r="G62" s="274"/>
      <c r="H62" s="275"/>
      <c r="I62" s="274"/>
      <c r="J62" s="274"/>
      <c r="K62" s="272"/>
    </row>
    <row r="63" spans="1:11" x14ac:dyDescent="0.25">
      <c r="A63" s="276" t="s">
        <v>451</v>
      </c>
      <c r="B63" s="276"/>
      <c r="C63" s="276"/>
      <c r="D63" s="278">
        <f>D51-D59</f>
        <v>-82.364000000000033</v>
      </c>
      <c r="E63" s="278">
        <f t="shared" ref="E63:K63" si="16">E51-E59</f>
        <v>29.366074999999682</v>
      </c>
      <c r="F63" s="278">
        <f t="shared" si="16"/>
        <v>297.09042499999987</v>
      </c>
      <c r="G63" s="278">
        <f t="shared" si="16"/>
        <v>456.50688749999972</v>
      </c>
      <c r="H63" s="278">
        <f t="shared" si="16"/>
        <v>624.31094687499967</v>
      </c>
      <c r="I63" s="278">
        <f t="shared" si="16"/>
        <v>870.55332734374997</v>
      </c>
      <c r="J63" s="278">
        <f t="shared" si="16"/>
        <v>1247.0568942421878</v>
      </c>
      <c r="K63" s="278">
        <f t="shared" si="16"/>
        <v>1468.0895595058594</v>
      </c>
    </row>
    <row r="64" spans="1:11" ht="14.4" x14ac:dyDescent="0.3">
      <c r="A64" s="276" t="s">
        <v>27</v>
      </c>
      <c r="B64" s="276"/>
      <c r="C64" s="281">
        <f>(25%+(25%*7%))+(25%+(25%*7%))*4%</f>
        <v>0.2782</v>
      </c>
      <c r="D64" s="278">
        <v>0</v>
      </c>
      <c r="E64" s="278">
        <v>0</v>
      </c>
      <c r="F64" s="278">
        <f>(F63+D65+E65)*$C$64</f>
        <v>67.906533499999867</v>
      </c>
      <c r="G64" s="278">
        <f>G63*$C$64</f>
        <v>127.00021610249992</v>
      </c>
      <c r="H64" s="278">
        <f>H63*$C$64</f>
        <v>173.68330542062492</v>
      </c>
      <c r="I64" s="278">
        <f>I63*$C$64</f>
        <v>242.18793566703124</v>
      </c>
      <c r="J64" s="278">
        <f>J63*$C$64</f>
        <v>346.93122797817665</v>
      </c>
      <c r="K64" s="278">
        <f>K63*$C$64</f>
        <v>408.42251545453007</v>
      </c>
    </row>
    <row r="65" spans="1:20" x14ac:dyDescent="0.25">
      <c r="A65" s="276" t="s">
        <v>452</v>
      </c>
      <c r="B65" s="276"/>
      <c r="C65" s="276"/>
      <c r="D65" s="278">
        <f>D63-D64</f>
        <v>-82.364000000000033</v>
      </c>
      <c r="E65" s="278">
        <f t="shared" ref="E65:K65" si="17">E63-E64</f>
        <v>29.366074999999682</v>
      </c>
      <c r="F65" s="278">
        <f t="shared" si="17"/>
        <v>229.18389150000002</v>
      </c>
      <c r="G65" s="278">
        <f t="shared" si="17"/>
        <v>329.50667139749982</v>
      </c>
      <c r="H65" s="278">
        <f t="shared" si="17"/>
        <v>450.62764145437473</v>
      </c>
      <c r="I65" s="278">
        <f t="shared" si="17"/>
        <v>628.36539167671867</v>
      </c>
      <c r="J65" s="278">
        <f t="shared" si="17"/>
        <v>900.12566626401122</v>
      </c>
      <c r="K65" s="278">
        <f t="shared" si="17"/>
        <v>1059.6670440513294</v>
      </c>
    </row>
    <row r="66" spans="1:20" x14ac:dyDescent="0.25">
      <c r="A66" s="276" t="s">
        <v>453</v>
      </c>
      <c r="B66" s="276"/>
      <c r="C66" s="276"/>
      <c r="D66" s="278">
        <f>D65+D57+D58</f>
        <v>408.03599999999994</v>
      </c>
      <c r="E66" s="278">
        <f t="shared" ref="E66:K66" si="18">E65+E57+E58</f>
        <v>474.39107499999966</v>
      </c>
      <c r="F66" s="278">
        <f t="shared" si="18"/>
        <v>633.85514150000006</v>
      </c>
      <c r="G66" s="278">
        <f t="shared" si="18"/>
        <v>698.27073389749978</v>
      </c>
      <c r="H66" s="278">
        <f t="shared" si="18"/>
        <v>787.42474457937476</v>
      </c>
      <c r="I66" s="278">
        <f t="shared" si="18"/>
        <v>867.78931433296862</v>
      </c>
      <c r="J66" s="278">
        <f t="shared" si="18"/>
        <v>1114.1762470218237</v>
      </c>
      <c r="K66" s="278">
        <f t="shared" si="18"/>
        <v>1251.09625954547</v>
      </c>
      <c r="L66" s="347">
        <f>SUM(D66:K66)</f>
        <v>6235.0395158771371</v>
      </c>
    </row>
    <row r="67" spans="1:20" x14ac:dyDescent="0.25">
      <c r="A67" s="276" t="s">
        <v>454</v>
      </c>
      <c r="B67" s="276"/>
      <c r="C67" s="276"/>
      <c r="D67" s="278">
        <f>D41</f>
        <v>289.5</v>
      </c>
      <c r="E67" s="278">
        <f t="shared" ref="E67:K67" si="19">E41</f>
        <v>275.62812500000001</v>
      </c>
      <c r="F67" s="278">
        <f t="shared" si="19"/>
        <v>246.19562500000001</v>
      </c>
      <c r="G67" s="278">
        <f t="shared" si="19"/>
        <v>211.09375</v>
      </c>
      <c r="H67" s="278">
        <f t="shared" si="19"/>
        <v>172.01124999999999</v>
      </c>
      <c r="I67" s="278">
        <f t="shared" si="19"/>
        <v>129.06875000000002</v>
      </c>
      <c r="J67" s="278">
        <f t="shared" si="19"/>
        <v>82.628124999999983</v>
      </c>
      <c r="K67" s="278">
        <f t="shared" si="19"/>
        <v>30.035625</v>
      </c>
      <c r="L67" s="347">
        <f>SUM(D67:K67)</f>
        <v>1436.1612499999999</v>
      </c>
    </row>
    <row r="68" spans="1:20" x14ac:dyDescent="0.25">
      <c r="A68" s="276" t="s">
        <v>455</v>
      </c>
      <c r="B68" s="276"/>
      <c r="C68" s="276"/>
      <c r="D68" s="278">
        <f>D42</f>
        <v>100</v>
      </c>
      <c r="E68" s="278">
        <f t="shared" ref="E68:K68" si="20">E42</f>
        <v>300</v>
      </c>
      <c r="F68" s="278">
        <f t="shared" si="20"/>
        <v>360</v>
      </c>
      <c r="G68" s="278">
        <f t="shared" si="20"/>
        <v>400</v>
      </c>
      <c r="H68" s="278">
        <f t="shared" si="20"/>
        <v>440</v>
      </c>
      <c r="I68" s="278">
        <f t="shared" si="20"/>
        <v>480</v>
      </c>
      <c r="J68" s="278">
        <f t="shared" si="20"/>
        <v>500</v>
      </c>
      <c r="K68" s="278">
        <f t="shared" si="20"/>
        <v>420</v>
      </c>
      <c r="L68" s="347">
        <f>SUM(D68:K68)</f>
        <v>3000</v>
      </c>
    </row>
    <row r="69" spans="1:20" x14ac:dyDescent="0.25">
      <c r="A69" s="277" t="s">
        <v>294</v>
      </c>
      <c r="B69" s="277"/>
      <c r="C69" s="277"/>
      <c r="D69" s="280">
        <f>(D66+D67)/(D67+D68)</f>
        <v>1.7908498074454426</v>
      </c>
      <c r="E69" s="280">
        <f t="shared" ref="E69:K69" si="21">(E66+E67)/(E67+E68)</f>
        <v>1.3029578775359523</v>
      </c>
      <c r="F69" s="280">
        <f t="shared" si="21"/>
        <v>1.4517603397418117</v>
      </c>
      <c r="G69" s="280">
        <f t="shared" si="21"/>
        <v>1.488093249026847</v>
      </c>
      <c r="H69" s="280">
        <f t="shared" si="21"/>
        <v>1.5676770559027711</v>
      </c>
      <c r="I69" s="280">
        <f t="shared" si="21"/>
        <v>1.6366921867736091</v>
      </c>
      <c r="J69" s="280">
        <f t="shared" si="21"/>
        <v>2.0541479559055338</v>
      </c>
      <c r="K69" s="280">
        <f t="shared" si="21"/>
        <v>2.8467343769628686</v>
      </c>
    </row>
    <row r="70" spans="1:20" x14ac:dyDescent="0.25">
      <c r="A70" s="282" t="s">
        <v>458</v>
      </c>
      <c r="B70" s="283"/>
      <c r="C70" s="283"/>
      <c r="D70" s="284">
        <f>+(L66+L67)/(L67+L68)</f>
        <v>1.7292429949152857</v>
      </c>
      <c r="E70" s="274"/>
      <c r="F70" s="274"/>
      <c r="G70" s="275"/>
      <c r="H70" s="274"/>
      <c r="I70" s="274"/>
      <c r="J70" s="274"/>
      <c r="K70" s="274"/>
    </row>
    <row r="71" spans="1:20" x14ac:dyDescent="0.25">
      <c r="M71" s="347"/>
      <c r="N71" s="347"/>
      <c r="O71" s="347"/>
      <c r="P71" s="347"/>
      <c r="Q71" s="347"/>
      <c r="R71" s="347"/>
      <c r="S71" s="347"/>
      <c r="T71" s="347"/>
    </row>
    <row r="72" spans="1:20" ht="15.6" x14ac:dyDescent="0.25">
      <c r="A72" s="420" t="s">
        <v>464</v>
      </c>
      <c r="B72" s="421"/>
      <c r="C72" s="421"/>
      <c r="D72" s="421"/>
      <c r="E72" s="421"/>
      <c r="F72" s="421"/>
      <c r="G72" s="421"/>
      <c r="H72" s="421"/>
      <c r="I72" s="421"/>
      <c r="J72" s="421"/>
      <c r="K72" s="421"/>
    </row>
    <row r="73" spans="1:20" x14ac:dyDescent="0.25">
      <c r="A73" s="288" t="s">
        <v>445</v>
      </c>
      <c r="B73" s="289"/>
      <c r="C73" s="290"/>
      <c r="D73" s="291">
        <v>2026</v>
      </c>
      <c r="E73" s="291">
        <v>2027</v>
      </c>
      <c r="F73" s="291">
        <v>2028</v>
      </c>
      <c r="G73" s="291">
        <v>2029</v>
      </c>
      <c r="H73" s="291">
        <v>2030</v>
      </c>
      <c r="I73" s="291">
        <v>2031</v>
      </c>
      <c r="J73" s="291">
        <v>2032</v>
      </c>
      <c r="K73" s="291">
        <v>2033</v>
      </c>
    </row>
    <row r="74" spans="1:20" x14ac:dyDescent="0.25">
      <c r="A74" s="273"/>
      <c r="B74" s="272"/>
      <c r="C74" s="272"/>
      <c r="D74" s="274"/>
      <c r="E74" s="275"/>
      <c r="F74" s="274"/>
      <c r="G74" s="274"/>
      <c r="H74" s="274"/>
      <c r="I74" s="274"/>
      <c r="J74" s="272"/>
    </row>
    <row r="75" spans="1:20" x14ac:dyDescent="0.25">
      <c r="A75" s="277" t="s">
        <v>446</v>
      </c>
      <c r="B75" s="272"/>
      <c r="C75" s="272"/>
      <c r="D75" s="274"/>
      <c r="E75" s="275"/>
      <c r="F75" s="274"/>
      <c r="G75" s="274"/>
      <c r="H75" s="274"/>
      <c r="I75" s="274"/>
      <c r="J75" s="272"/>
    </row>
    <row r="76" spans="1:20" x14ac:dyDescent="0.25">
      <c r="A76" s="276" t="s">
        <v>456</v>
      </c>
      <c r="B76" s="276"/>
      <c r="C76" s="276"/>
      <c r="D76" s="280">
        <f>D51</f>
        <v>1491.9</v>
      </c>
      <c r="E76" s="280">
        <f t="shared" ref="E76:K76" si="22">E51</f>
        <v>1635.12</v>
      </c>
      <c r="F76" s="280">
        <f t="shared" si="22"/>
        <v>1999.93</v>
      </c>
      <c r="G76" s="280">
        <f t="shared" si="22"/>
        <v>2193.33</v>
      </c>
      <c r="H76" s="280">
        <f t="shared" si="22"/>
        <v>2405.75</v>
      </c>
      <c r="I76" s="280">
        <f t="shared" si="22"/>
        <v>2639.06</v>
      </c>
      <c r="J76" s="280">
        <f t="shared" si="22"/>
        <v>3199.25</v>
      </c>
      <c r="K76" s="280">
        <f t="shared" si="22"/>
        <v>3511.17</v>
      </c>
    </row>
    <row r="77" spans="1:20" x14ac:dyDescent="0.25">
      <c r="A77" s="272"/>
      <c r="B77" s="272"/>
      <c r="C77" s="272"/>
      <c r="D77" s="274"/>
      <c r="E77" s="274"/>
      <c r="F77" s="274"/>
      <c r="G77" s="274"/>
      <c r="H77" s="274"/>
      <c r="I77" s="274"/>
      <c r="J77" s="274"/>
      <c r="K77" s="274"/>
    </row>
    <row r="78" spans="1:20" x14ac:dyDescent="0.25">
      <c r="A78" s="277" t="s">
        <v>447</v>
      </c>
      <c r="B78" s="276"/>
      <c r="C78" s="272"/>
      <c r="D78" s="274"/>
      <c r="E78" s="274"/>
      <c r="F78" s="274"/>
      <c r="G78" s="274"/>
      <c r="H78" s="274"/>
      <c r="I78" s="274"/>
      <c r="J78" s="274"/>
      <c r="K78" s="274"/>
    </row>
    <row r="79" spans="1:20" x14ac:dyDescent="0.25">
      <c r="A79" s="276" t="s">
        <v>462</v>
      </c>
      <c r="B79" s="276"/>
      <c r="C79" s="276"/>
      <c r="D79" s="278">
        <f>(SUM(Profitability!D22:D26))+0.4*(Profitability!D27+Profitability!D28+Profitability!D29+Profitability!D31)</f>
        <v>591.72</v>
      </c>
      <c r="E79" s="278">
        <f>(SUM(Profitability!E22:E26))+0.4*(Profitability!E27+Profitability!E28+Profitability!E29+Profitability!E31)</f>
        <v>654.56799999999998</v>
      </c>
      <c r="F79" s="278">
        <f>(SUM(Profitability!F22:F26))+0.4*(Profitability!F27+Profitability!F28+Profitability!F29+Profitability!F31)</f>
        <v>790.08199999999999</v>
      </c>
      <c r="G79" s="278">
        <f>(SUM(Profitability!G22:G26))+0.4*(Profitability!G27+Profitability!G28+Profitability!G29+Profitability!G31)</f>
        <v>868.17399999999998</v>
      </c>
      <c r="H79" s="278">
        <f>(SUM(Profitability!H22:H26))+0.4*(Profitability!H27+Profitability!H28+Profitability!H29+Profitability!H31)</f>
        <v>954.11400000000015</v>
      </c>
      <c r="I79" s="278">
        <f>(SUM(Profitability!I22:I26))+0.4*(Profitability!I27+Profitability!I28+Profitability!I29+Profitability!I31)</f>
        <v>1048.6559999999999</v>
      </c>
      <c r="J79" s="278">
        <f>(SUM(Profitability!J22:J26))+0.4*(Profitability!J27+Profitability!J28+Profitability!J29+Profitability!J31)</f>
        <v>1256.5879999999997</v>
      </c>
      <c r="K79" s="278">
        <f>(SUM(Profitability!K22:K26))+0.4*(Profitability!K27+Profitability!K28+Profitability!K29+Profitability!K31)</f>
        <v>1381.4440000000002</v>
      </c>
    </row>
    <row r="80" spans="1:20" x14ac:dyDescent="0.25">
      <c r="A80" s="276" t="s">
        <v>463</v>
      </c>
      <c r="B80" s="276"/>
      <c r="C80" s="276"/>
      <c r="D80" s="278">
        <f>0.6*(Profitability!D27+Profitability!D28+Profitability!D29+Profitability!D31)+Profitability!D30</f>
        <v>173.05799999999999</v>
      </c>
      <c r="E80" s="278">
        <f>0.6*(Profitability!E27+Profitability!E28+Profitability!E29+Profitability!E31)+Profitability!E30</f>
        <v>197.80439999999999</v>
      </c>
      <c r="F80" s="278">
        <f>0.6*(Profitability!F27+Profitability!F28+Profitability!F29+Profitability!F31)+Profitability!F30</f>
        <v>222.38659999999999</v>
      </c>
      <c r="G80" s="278">
        <f>0.6*(Profitability!G27+Profitability!G28+Profitability!G29+Profitability!G31)+Profitability!G30</f>
        <v>245.38259999999997</v>
      </c>
      <c r="H80" s="278">
        <f>0.6*(Profitability!H27+Profitability!H28+Profitability!H29+Profitability!H31)+Profitability!H30</f>
        <v>270.81099999999998</v>
      </c>
      <c r="I80" s="278">
        <f>0.6*(Profitability!I27+Profitability!I28+Profitability!I29+Profitability!I31)+Profitability!I30</f>
        <v>298.92520000000002</v>
      </c>
      <c r="J80" s="278">
        <f>0.6*(Profitability!J27+Profitability!J28+Profitability!J29+Profitability!J31)+Profitability!J30</f>
        <v>336.09699999999998</v>
      </c>
      <c r="K80" s="278">
        <f>0.6*(Profitability!K27+Profitability!K28+Profitability!K29+Profitability!K31)+Profitability!K30</f>
        <v>371.09939999999995</v>
      </c>
    </row>
    <row r="81" spans="1:20" x14ac:dyDescent="0.25">
      <c r="A81" s="276" t="s">
        <v>448</v>
      </c>
      <c r="B81" s="276"/>
      <c r="C81" s="276"/>
      <c r="D81" s="278">
        <f>D56*10.65/9.65</f>
        <v>319.5</v>
      </c>
      <c r="E81" s="278">
        <f t="shared" ref="E81:K81" si="23">E56*10.65/9.65</f>
        <v>304.19062500000001</v>
      </c>
      <c r="F81" s="278">
        <f t="shared" si="23"/>
        <v>271.70812500000005</v>
      </c>
      <c r="G81" s="278">
        <f t="shared" si="23"/>
        <v>232.96875</v>
      </c>
      <c r="H81" s="278">
        <f t="shared" si="23"/>
        <v>189.83625000000001</v>
      </c>
      <c r="I81" s="278">
        <f t="shared" si="23"/>
        <v>142.44375000000002</v>
      </c>
      <c r="J81" s="278">
        <f t="shared" si="23"/>
        <v>91.190624999999983</v>
      </c>
      <c r="K81" s="278">
        <f t="shared" si="23"/>
        <v>33.148125</v>
      </c>
    </row>
    <row r="82" spans="1:20" x14ac:dyDescent="0.25">
      <c r="A82" s="276" t="s">
        <v>19</v>
      </c>
      <c r="B82" s="276"/>
      <c r="C82" s="276"/>
      <c r="D82" s="278">
        <f>D57</f>
        <v>421.5</v>
      </c>
      <c r="E82" s="278">
        <f t="shared" ref="E82:K82" si="24">E57</f>
        <v>376.125</v>
      </c>
      <c r="F82" s="278">
        <f t="shared" si="24"/>
        <v>335.77125000000001</v>
      </c>
      <c r="G82" s="278">
        <f t="shared" si="24"/>
        <v>299.86406249999993</v>
      </c>
      <c r="H82" s="278">
        <f t="shared" si="24"/>
        <v>267.897103125</v>
      </c>
      <c r="I82" s="278">
        <f t="shared" si="24"/>
        <v>239.42392265625</v>
      </c>
      <c r="J82" s="278">
        <f t="shared" si="24"/>
        <v>214.0505807578125</v>
      </c>
      <c r="K82" s="278">
        <f t="shared" si="24"/>
        <v>191.42921549414061</v>
      </c>
    </row>
    <row r="83" spans="1:20" x14ac:dyDescent="0.25">
      <c r="A83" s="276" t="s">
        <v>449</v>
      </c>
      <c r="B83" s="276"/>
      <c r="C83" s="276"/>
      <c r="D83" s="278">
        <f>D58</f>
        <v>68.900000000000006</v>
      </c>
      <c r="E83" s="278">
        <f t="shared" ref="E83:K83" si="25">E58</f>
        <v>68.900000000000006</v>
      </c>
      <c r="F83" s="278">
        <f t="shared" si="25"/>
        <v>68.900000000000006</v>
      </c>
      <c r="G83" s="278">
        <f t="shared" si="25"/>
        <v>68.900000000000006</v>
      </c>
      <c r="H83" s="278">
        <f t="shared" si="25"/>
        <v>68.900000000000006</v>
      </c>
      <c r="I83" s="278">
        <f t="shared" si="25"/>
        <v>0</v>
      </c>
      <c r="J83" s="278">
        <f t="shared" si="25"/>
        <v>0</v>
      </c>
      <c r="K83" s="278">
        <f t="shared" si="25"/>
        <v>0</v>
      </c>
    </row>
    <row r="84" spans="1:20" x14ac:dyDescent="0.25">
      <c r="A84" s="277" t="s">
        <v>450</v>
      </c>
      <c r="B84" s="276"/>
      <c r="C84" s="276"/>
      <c r="D84" s="280">
        <f>SUM(D79:D83)</f>
        <v>1574.6780000000001</v>
      </c>
      <c r="E84" s="280">
        <f t="shared" ref="E84" si="26">SUM(E79:E83)</f>
        <v>1601.588025</v>
      </c>
      <c r="F84" s="280">
        <f t="shared" ref="F84" si="27">SUM(F79:F83)</f>
        <v>1688.8479750000001</v>
      </c>
      <c r="G84" s="280">
        <f t="shared" ref="G84" si="28">SUM(G79:G83)</f>
        <v>1715.2894124999998</v>
      </c>
      <c r="H84" s="280">
        <f t="shared" ref="H84" si="29">SUM(H79:H83)</f>
        <v>1751.5583531250004</v>
      </c>
      <c r="I84" s="280">
        <f t="shared" ref="I84" si="30">SUM(I79:I83)</f>
        <v>1729.4488726562499</v>
      </c>
      <c r="J84" s="280">
        <f t="shared" ref="J84" si="31">SUM(J79:J83)</f>
        <v>1897.9262057578121</v>
      </c>
      <c r="K84" s="280">
        <f t="shared" ref="K84" si="32">SUM(K79:K83)</f>
        <v>1977.1207404941406</v>
      </c>
    </row>
    <row r="85" spans="1:20" x14ac:dyDescent="0.25">
      <c r="A85" s="273"/>
      <c r="B85" s="272"/>
      <c r="C85" s="272"/>
      <c r="D85" s="272"/>
      <c r="E85" s="274"/>
      <c r="F85" s="274"/>
      <c r="G85" s="274"/>
      <c r="H85" s="274"/>
      <c r="I85" s="274"/>
      <c r="J85" s="274"/>
      <c r="K85" s="272"/>
    </row>
    <row r="86" spans="1:20" x14ac:dyDescent="0.25">
      <c r="A86" s="273"/>
      <c r="B86" s="272"/>
      <c r="C86" s="272"/>
      <c r="D86" s="272"/>
      <c r="E86" s="274"/>
      <c r="F86" s="274"/>
      <c r="G86" s="274"/>
      <c r="H86" s="274"/>
      <c r="I86" s="274"/>
      <c r="J86" s="274"/>
      <c r="K86" s="272"/>
    </row>
    <row r="87" spans="1:20" x14ac:dyDescent="0.25">
      <c r="A87" s="273"/>
      <c r="B87" s="272"/>
      <c r="C87" s="272"/>
      <c r="D87" s="272"/>
      <c r="E87" s="274"/>
      <c r="F87" s="274"/>
      <c r="G87" s="274"/>
      <c r="H87" s="275"/>
      <c r="I87" s="274"/>
      <c r="J87" s="274"/>
      <c r="K87" s="272"/>
    </row>
    <row r="88" spans="1:20" x14ac:dyDescent="0.25">
      <c r="A88" s="276" t="s">
        <v>451</v>
      </c>
      <c r="B88" s="276"/>
      <c r="C88" s="276"/>
      <c r="D88" s="278">
        <f>D76-D84</f>
        <v>-82.77800000000002</v>
      </c>
      <c r="E88" s="278">
        <f t="shared" ref="E88:K88" si="33">E76-E84</f>
        <v>33.531974999999875</v>
      </c>
      <c r="F88" s="278">
        <f t="shared" si="33"/>
        <v>311.08202499999993</v>
      </c>
      <c r="G88" s="278">
        <f t="shared" si="33"/>
        <v>478.04058750000013</v>
      </c>
      <c r="H88" s="278">
        <f t="shared" si="33"/>
        <v>654.19164687499961</v>
      </c>
      <c r="I88" s="278">
        <f t="shared" si="33"/>
        <v>909.61112734375001</v>
      </c>
      <c r="J88" s="278">
        <f t="shared" si="33"/>
        <v>1301.3237942421879</v>
      </c>
      <c r="K88" s="278">
        <f t="shared" si="33"/>
        <v>1534.0492595058595</v>
      </c>
    </row>
    <row r="89" spans="1:20" ht="14.4" x14ac:dyDescent="0.3">
      <c r="A89" s="276" t="s">
        <v>27</v>
      </c>
      <c r="B89" s="276"/>
      <c r="C89" s="281">
        <f>(25%+(25%*7%))+(25%+(25%*7%))*4%</f>
        <v>0.2782</v>
      </c>
      <c r="D89" s="278">
        <f>IF(D88&gt;0,D88*$E$933,0)</f>
        <v>0</v>
      </c>
      <c r="E89" s="278">
        <v>0</v>
      </c>
      <c r="F89" s="278">
        <f>(F88+D90+E90)*$C$89</f>
        <v>72.842775199999934</v>
      </c>
      <c r="G89" s="278">
        <f t="shared" ref="G89:K89" si="34">G88*$C$89</f>
        <v>132.99089144250004</v>
      </c>
      <c r="H89" s="278">
        <f t="shared" si="34"/>
        <v>181.99611616062489</v>
      </c>
      <c r="I89" s="278">
        <f t="shared" si="34"/>
        <v>253.05381562703127</v>
      </c>
      <c r="J89" s="278">
        <f t="shared" si="34"/>
        <v>362.02827955817668</v>
      </c>
      <c r="K89" s="278">
        <f t="shared" si="34"/>
        <v>426.7725039945301</v>
      </c>
    </row>
    <row r="90" spans="1:20" x14ac:dyDescent="0.25">
      <c r="A90" s="276" t="s">
        <v>452</v>
      </c>
      <c r="B90" s="276"/>
      <c r="C90" s="276"/>
      <c r="D90" s="278">
        <f>D88-D89</f>
        <v>-82.77800000000002</v>
      </c>
      <c r="E90" s="278">
        <f t="shared" ref="E90:K90" si="35">E88-E89</f>
        <v>33.531974999999875</v>
      </c>
      <c r="F90" s="278">
        <f t="shared" si="35"/>
        <v>238.23924979999998</v>
      </c>
      <c r="G90" s="278">
        <f t="shared" si="35"/>
        <v>345.04969605750011</v>
      </c>
      <c r="H90" s="278">
        <f t="shared" si="35"/>
        <v>472.19553071437474</v>
      </c>
      <c r="I90" s="278">
        <f t="shared" si="35"/>
        <v>656.55731171671869</v>
      </c>
      <c r="J90" s="278">
        <f t="shared" si="35"/>
        <v>939.29551468401121</v>
      </c>
      <c r="K90" s="278">
        <f t="shared" si="35"/>
        <v>1107.2767555113294</v>
      </c>
    </row>
    <row r="91" spans="1:20" x14ac:dyDescent="0.25">
      <c r="A91" s="276" t="s">
        <v>453</v>
      </c>
      <c r="B91" s="276"/>
      <c r="C91" s="276"/>
      <c r="D91" s="278">
        <f>D90+D82+D83</f>
        <v>407.62199999999996</v>
      </c>
      <c r="E91" s="278">
        <f t="shared" ref="E91:K91" si="36">E90+E82+E83</f>
        <v>478.55697499999985</v>
      </c>
      <c r="F91" s="278">
        <f t="shared" si="36"/>
        <v>642.91049979999991</v>
      </c>
      <c r="G91" s="278">
        <f t="shared" si="36"/>
        <v>713.81375855750002</v>
      </c>
      <c r="H91" s="278">
        <f t="shared" si="36"/>
        <v>808.99263383937466</v>
      </c>
      <c r="I91" s="278">
        <f t="shared" si="36"/>
        <v>895.98123437296863</v>
      </c>
      <c r="J91" s="278">
        <f t="shared" si="36"/>
        <v>1153.3460954418238</v>
      </c>
      <c r="K91" s="278">
        <f t="shared" si="36"/>
        <v>1298.70597100547</v>
      </c>
      <c r="L91" s="347">
        <f>SUM(D91:K91)</f>
        <v>6399.9291680171364</v>
      </c>
    </row>
    <row r="92" spans="1:20" x14ac:dyDescent="0.25">
      <c r="A92" s="276" t="s">
        <v>454</v>
      </c>
      <c r="B92" s="276"/>
      <c r="C92" s="276"/>
      <c r="D92" s="278">
        <f>+D81</f>
        <v>319.5</v>
      </c>
      <c r="E92" s="278">
        <f t="shared" ref="E92:K92" si="37">+E81</f>
        <v>304.19062500000001</v>
      </c>
      <c r="F92" s="278">
        <f t="shared" si="37"/>
        <v>271.70812500000005</v>
      </c>
      <c r="G92" s="278">
        <f t="shared" si="37"/>
        <v>232.96875</v>
      </c>
      <c r="H92" s="278">
        <f t="shared" si="37"/>
        <v>189.83625000000001</v>
      </c>
      <c r="I92" s="278">
        <f t="shared" si="37"/>
        <v>142.44375000000002</v>
      </c>
      <c r="J92" s="278">
        <f t="shared" si="37"/>
        <v>91.190624999999983</v>
      </c>
      <c r="K92" s="278">
        <f t="shared" si="37"/>
        <v>33.148125</v>
      </c>
      <c r="L92" s="347">
        <f>SUM(D92:K92)</f>
        <v>1584.9862499999999</v>
      </c>
    </row>
    <row r="93" spans="1:20" x14ac:dyDescent="0.25">
      <c r="A93" s="276" t="s">
        <v>455</v>
      </c>
      <c r="B93" s="276"/>
      <c r="C93" s="276"/>
      <c r="D93" s="278">
        <f>D68</f>
        <v>100</v>
      </c>
      <c r="E93" s="278">
        <f t="shared" ref="E93:K93" si="38">E68</f>
        <v>300</v>
      </c>
      <c r="F93" s="278">
        <f t="shared" si="38"/>
        <v>360</v>
      </c>
      <c r="G93" s="278">
        <f t="shared" si="38"/>
        <v>400</v>
      </c>
      <c r="H93" s="278">
        <f t="shared" si="38"/>
        <v>440</v>
      </c>
      <c r="I93" s="278">
        <f t="shared" si="38"/>
        <v>480</v>
      </c>
      <c r="J93" s="278">
        <f t="shared" si="38"/>
        <v>500</v>
      </c>
      <c r="K93" s="278">
        <f t="shared" si="38"/>
        <v>420</v>
      </c>
      <c r="L93" s="347">
        <f>SUM(D93:K93)</f>
        <v>3000</v>
      </c>
    </row>
    <row r="94" spans="1:20" x14ac:dyDescent="0.25">
      <c r="A94" s="277" t="s">
        <v>294</v>
      </c>
      <c r="B94" s="277"/>
      <c r="C94" s="277"/>
      <c r="D94" s="280">
        <f>(D91+D92)/(D92+D93)</f>
        <v>1.7333063170441001</v>
      </c>
      <c r="E94" s="280">
        <f t="shared" ref="E94:K94" si="39">(E91+E92)/(E92+E93)</f>
        <v>1.2955308599831385</v>
      </c>
      <c r="F94" s="280">
        <f t="shared" si="39"/>
        <v>1.4478500253578339</v>
      </c>
      <c r="G94" s="280">
        <f t="shared" si="39"/>
        <v>1.4957808083850901</v>
      </c>
      <c r="H94" s="280">
        <f t="shared" si="39"/>
        <v>1.5858548691653973</v>
      </c>
      <c r="I94" s="280">
        <f t="shared" si="39"/>
        <v>1.6683033356395152</v>
      </c>
      <c r="J94" s="280">
        <f t="shared" si="39"/>
        <v>2.1051360894666145</v>
      </c>
      <c r="K94" s="280">
        <f t="shared" si="39"/>
        <v>2.939114215700374</v>
      </c>
    </row>
    <row r="95" spans="1:20" x14ac:dyDescent="0.25">
      <c r="A95" s="282" t="s">
        <v>458</v>
      </c>
      <c r="B95" s="283"/>
      <c r="C95" s="283"/>
      <c r="D95" s="284">
        <f>+(L91+L92)/(L92+L93)</f>
        <v>1.7415353029722034</v>
      </c>
    </row>
    <row r="96" spans="1:20" x14ac:dyDescent="0.25">
      <c r="D96" s="348"/>
      <c r="E96" s="348"/>
      <c r="F96" s="348"/>
      <c r="G96" s="348"/>
      <c r="H96" s="348"/>
      <c r="I96" s="348"/>
      <c r="J96" s="348"/>
      <c r="K96" s="348"/>
      <c r="M96" s="347"/>
      <c r="N96" s="347"/>
      <c r="O96" s="347"/>
      <c r="P96" s="347"/>
      <c r="Q96" s="347"/>
      <c r="R96" s="347"/>
      <c r="S96" s="347"/>
      <c r="T96" s="347"/>
    </row>
    <row r="97" spans="1:11" ht="15.6" x14ac:dyDescent="0.25">
      <c r="A97" s="420" t="s">
        <v>465</v>
      </c>
      <c r="B97" s="421"/>
      <c r="C97" s="421"/>
      <c r="D97" s="421"/>
      <c r="E97" s="421"/>
      <c r="F97" s="421"/>
      <c r="G97" s="421"/>
      <c r="H97" s="421"/>
      <c r="I97" s="421"/>
      <c r="J97" s="421"/>
      <c r="K97" s="421"/>
    </row>
    <row r="98" spans="1:11" x14ac:dyDescent="0.25">
      <c r="A98" s="288" t="s">
        <v>445</v>
      </c>
      <c r="B98" s="292"/>
      <c r="C98" s="293"/>
      <c r="D98" s="294">
        <v>2026</v>
      </c>
      <c r="E98" s="294">
        <v>2027</v>
      </c>
      <c r="F98" s="294">
        <v>2028</v>
      </c>
      <c r="G98" s="294">
        <v>2029</v>
      </c>
      <c r="H98" s="294">
        <v>2030</v>
      </c>
      <c r="I98" s="294">
        <v>2031</v>
      </c>
      <c r="J98" s="294">
        <v>2032</v>
      </c>
      <c r="K98" s="294">
        <v>2033</v>
      </c>
    </row>
    <row r="99" spans="1:11" x14ac:dyDescent="0.25">
      <c r="A99" s="277" t="s">
        <v>446</v>
      </c>
      <c r="B99" s="272"/>
      <c r="C99" s="272"/>
      <c r="D99" s="274"/>
      <c r="E99" s="275"/>
      <c r="F99" s="274"/>
      <c r="G99" s="274"/>
      <c r="H99" s="274"/>
      <c r="I99" s="274"/>
      <c r="J99" s="272"/>
    </row>
    <row r="100" spans="1:11" x14ac:dyDescent="0.25">
      <c r="A100" s="183" t="s">
        <v>457</v>
      </c>
      <c r="B100" s="276"/>
      <c r="C100" s="276"/>
      <c r="D100" s="349">
        <f>Profitability!D8-5%</f>
        <v>0.35000000000000003</v>
      </c>
      <c r="E100" s="349">
        <f>Profitability!E8-5%</f>
        <v>0.35000000000000003</v>
      </c>
      <c r="F100" s="349">
        <f>Profitability!F8-5%</f>
        <v>0.4</v>
      </c>
      <c r="G100" s="349">
        <f>Profitability!G8-5%</f>
        <v>0.4</v>
      </c>
      <c r="H100" s="349">
        <f>Profitability!H8-5%</f>
        <v>0.4</v>
      </c>
      <c r="I100" s="349">
        <f>Profitability!I8-5%</f>
        <v>0.4</v>
      </c>
      <c r="J100" s="349">
        <f>Profitability!J8-5%</f>
        <v>0.45</v>
      </c>
      <c r="K100" s="349">
        <f>Profitability!K8-5%</f>
        <v>0.45</v>
      </c>
    </row>
    <row r="101" spans="1:11" x14ac:dyDescent="0.25">
      <c r="A101" s="276" t="s">
        <v>456</v>
      </c>
      <c r="B101" s="276"/>
      <c r="C101" s="276"/>
      <c r="D101" s="280">
        <v>1320.36</v>
      </c>
      <c r="E101" s="280">
        <v>1446.42</v>
      </c>
      <c r="F101" s="280">
        <v>1792.35</v>
      </c>
      <c r="G101" s="280">
        <v>1965</v>
      </c>
      <c r="H101" s="280">
        <v>2154.59</v>
      </c>
      <c r="I101" s="280">
        <v>2362.7800000000002</v>
      </c>
      <c r="J101" s="280">
        <v>2895.34</v>
      </c>
      <c r="K101" s="280">
        <v>3176.87</v>
      </c>
    </row>
    <row r="102" spans="1:11" x14ac:dyDescent="0.25">
      <c r="A102" s="272"/>
      <c r="B102" s="272"/>
      <c r="C102" s="272"/>
      <c r="D102" s="274"/>
      <c r="E102" s="275"/>
      <c r="F102" s="274"/>
      <c r="G102" s="274"/>
      <c r="H102" s="274"/>
      <c r="I102" s="274"/>
      <c r="J102" s="272"/>
      <c r="K102" s="274"/>
    </row>
    <row r="103" spans="1:11" x14ac:dyDescent="0.25">
      <c r="A103" s="277" t="s">
        <v>447</v>
      </c>
      <c r="B103" s="276"/>
      <c r="C103" s="272"/>
      <c r="D103" s="274"/>
      <c r="E103" s="275"/>
      <c r="F103" s="274"/>
      <c r="G103" s="274"/>
      <c r="H103" s="274"/>
      <c r="I103" s="274"/>
      <c r="J103" s="272"/>
      <c r="K103" s="274"/>
    </row>
    <row r="104" spans="1:11" x14ac:dyDescent="0.25">
      <c r="A104" s="276" t="s">
        <v>462</v>
      </c>
      <c r="B104" s="276"/>
      <c r="C104" s="276"/>
      <c r="D104" s="278">
        <v>533.07999999999993</v>
      </c>
      <c r="E104" s="278">
        <v>590.07799999999997</v>
      </c>
      <c r="F104" s="278">
        <v>719.13200000000006</v>
      </c>
      <c r="G104" s="278">
        <v>790.12400000000002</v>
      </c>
      <c r="H104" s="278">
        <v>868.24400000000003</v>
      </c>
      <c r="I104" s="278">
        <v>954.22600000000011</v>
      </c>
      <c r="J104" s="278">
        <v>1152.6979999999999</v>
      </c>
      <c r="K104" s="278">
        <v>1267.174</v>
      </c>
    </row>
    <row r="105" spans="1:11" x14ac:dyDescent="0.25">
      <c r="A105" s="276" t="s">
        <v>463</v>
      </c>
      <c r="B105" s="276"/>
      <c r="C105" s="276"/>
      <c r="D105" s="278">
        <v>169.62719999999999</v>
      </c>
      <c r="E105" s="278">
        <v>194.03040000000001</v>
      </c>
      <c r="F105" s="278">
        <v>218.23499999999999</v>
      </c>
      <c r="G105" s="278">
        <v>240.81599999999997</v>
      </c>
      <c r="H105" s="278">
        <v>265.7878</v>
      </c>
      <c r="I105" s="278">
        <v>293.39960000000002</v>
      </c>
      <c r="J105" s="278">
        <v>330.01879999999994</v>
      </c>
      <c r="K105" s="278">
        <v>364.41339999999997</v>
      </c>
    </row>
    <row r="106" spans="1:11" x14ac:dyDescent="0.25">
      <c r="A106" s="276" t="s">
        <v>448</v>
      </c>
      <c r="B106" s="276"/>
      <c r="C106" s="276"/>
      <c r="D106" s="278">
        <f>Profitability!D34</f>
        <v>289.5</v>
      </c>
      <c r="E106" s="278">
        <f>Profitability!E34</f>
        <v>275.62812500000001</v>
      </c>
      <c r="F106" s="278">
        <f>Profitability!F34</f>
        <v>246.19562500000001</v>
      </c>
      <c r="G106" s="278">
        <f>Profitability!G34</f>
        <v>211.09375</v>
      </c>
      <c r="H106" s="278">
        <f>Profitability!H34</f>
        <v>172.01124999999999</v>
      </c>
      <c r="I106" s="278">
        <f>Profitability!I34</f>
        <v>129.06875000000002</v>
      </c>
      <c r="J106" s="278">
        <f>Profitability!J34</f>
        <v>82.628124999999983</v>
      </c>
      <c r="K106" s="278">
        <f>Profitability!K34</f>
        <v>30.035625</v>
      </c>
    </row>
    <row r="107" spans="1:11" x14ac:dyDescent="0.25">
      <c r="A107" s="276" t="s">
        <v>19</v>
      </c>
      <c r="B107" s="276"/>
      <c r="C107" s="276"/>
      <c r="D107" s="278">
        <f>Profitability!D32</f>
        <v>421.5</v>
      </c>
      <c r="E107" s="278">
        <f>Profitability!E32</f>
        <v>376.125</v>
      </c>
      <c r="F107" s="278">
        <f>Profitability!F32</f>
        <v>335.77125000000001</v>
      </c>
      <c r="G107" s="278">
        <f>Profitability!G32</f>
        <v>299.86406249999993</v>
      </c>
      <c r="H107" s="278">
        <f>Profitability!H32</f>
        <v>267.897103125</v>
      </c>
      <c r="I107" s="278">
        <f>Profitability!I32</f>
        <v>239.42392265625</v>
      </c>
      <c r="J107" s="278">
        <f>Profitability!J32</f>
        <v>214.0505807578125</v>
      </c>
      <c r="K107" s="278">
        <f>Profitability!K32</f>
        <v>191.42921549414061</v>
      </c>
    </row>
    <row r="108" spans="1:11" x14ac:dyDescent="0.25">
      <c r="A108" s="276" t="s">
        <v>449</v>
      </c>
      <c r="B108" s="276"/>
      <c r="C108" s="276"/>
      <c r="D108" s="278">
        <f>Profitability!D33</f>
        <v>68.900000000000006</v>
      </c>
      <c r="E108" s="278">
        <f>Profitability!E33</f>
        <v>68.900000000000006</v>
      </c>
      <c r="F108" s="278">
        <f>Profitability!F33</f>
        <v>68.900000000000006</v>
      </c>
      <c r="G108" s="278">
        <f>Profitability!G33</f>
        <v>68.900000000000006</v>
      </c>
      <c r="H108" s="278">
        <f>Profitability!H33</f>
        <v>68.900000000000006</v>
      </c>
      <c r="I108" s="278">
        <f>Profitability!I33</f>
        <v>0</v>
      </c>
      <c r="J108" s="278">
        <f>Profitability!J33</f>
        <v>0</v>
      </c>
      <c r="K108" s="278">
        <f>Profitability!K33</f>
        <v>0</v>
      </c>
    </row>
    <row r="109" spans="1:11" x14ac:dyDescent="0.25">
      <c r="A109" s="277" t="s">
        <v>450</v>
      </c>
      <c r="B109" s="276"/>
      <c r="C109" s="276"/>
      <c r="D109" s="280">
        <f>SUM(D104:D108)</f>
        <v>1482.6071999999999</v>
      </c>
      <c r="E109" s="280">
        <f t="shared" ref="E109:K109" si="40">SUM(E104:E108)</f>
        <v>1504.7615250000001</v>
      </c>
      <c r="F109" s="280">
        <f t="shared" si="40"/>
        <v>1588.2338750000001</v>
      </c>
      <c r="G109" s="280">
        <f t="shared" si="40"/>
        <v>1610.7978125</v>
      </c>
      <c r="H109" s="280">
        <f t="shared" si="40"/>
        <v>1642.8401531250001</v>
      </c>
      <c r="I109" s="280">
        <f t="shared" si="40"/>
        <v>1616.1182726562502</v>
      </c>
      <c r="J109" s="280">
        <f t="shared" si="40"/>
        <v>1779.3955057578121</v>
      </c>
      <c r="K109" s="280">
        <f t="shared" si="40"/>
        <v>1853.0522404941405</v>
      </c>
    </row>
    <row r="110" spans="1:11" x14ac:dyDescent="0.25">
      <c r="A110" s="273"/>
      <c r="B110" s="272"/>
      <c r="C110" s="272"/>
      <c r="D110" s="272"/>
      <c r="E110" s="274"/>
      <c r="F110" s="274"/>
      <c r="G110" s="274"/>
      <c r="H110" s="274"/>
      <c r="I110" s="274"/>
      <c r="J110" s="274"/>
      <c r="K110" s="272"/>
    </row>
    <row r="111" spans="1:11" x14ac:dyDescent="0.25">
      <c r="A111" s="273"/>
      <c r="B111" s="272"/>
      <c r="C111" s="272"/>
      <c r="D111" s="272"/>
      <c r="E111" s="274"/>
      <c r="F111" s="274"/>
      <c r="G111" s="274"/>
      <c r="H111" s="274"/>
      <c r="I111" s="274"/>
      <c r="J111" s="274"/>
      <c r="K111" s="272"/>
    </row>
    <row r="112" spans="1:11" x14ac:dyDescent="0.25">
      <c r="A112" s="273"/>
      <c r="B112" s="272"/>
      <c r="C112" s="272"/>
      <c r="D112" s="272"/>
      <c r="E112" s="274"/>
      <c r="F112" s="274"/>
      <c r="G112" s="274"/>
      <c r="H112" s="275"/>
      <c r="I112" s="274"/>
      <c r="J112" s="274"/>
      <c r="K112" s="272"/>
    </row>
    <row r="113" spans="1:20" x14ac:dyDescent="0.25">
      <c r="A113" s="276" t="s">
        <v>451</v>
      </c>
      <c r="B113" s="276"/>
      <c r="C113" s="276"/>
      <c r="D113" s="278">
        <f>D101-D109</f>
        <v>-162.24720000000002</v>
      </c>
      <c r="E113" s="278">
        <f t="shared" ref="E113:K113" si="41">E101-E109</f>
        <v>-58.341525000000047</v>
      </c>
      <c r="F113" s="278">
        <f t="shared" si="41"/>
        <v>204.11612499999978</v>
      </c>
      <c r="G113" s="278">
        <f t="shared" si="41"/>
        <v>354.20218750000004</v>
      </c>
      <c r="H113" s="278">
        <f t="shared" si="41"/>
        <v>511.749846875</v>
      </c>
      <c r="I113" s="278">
        <f t="shared" si="41"/>
        <v>746.66172734375004</v>
      </c>
      <c r="J113" s="278">
        <f t="shared" si="41"/>
        <v>1115.9444942421881</v>
      </c>
      <c r="K113" s="278">
        <f t="shared" si="41"/>
        <v>1323.8177595058594</v>
      </c>
    </row>
    <row r="114" spans="1:20" ht="14.4" x14ac:dyDescent="0.3">
      <c r="A114" s="276" t="s">
        <v>27</v>
      </c>
      <c r="B114" s="276"/>
      <c r="C114" s="281">
        <f>(25%+(25%*7%))+(25%+(25%*7%))*4%</f>
        <v>0.2782</v>
      </c>
      <c r="D114" s="278">
        <f>IF(D113&gt;0,D113*$E$933,0)</f>
        <v>0</v>
      </c>
      <c r="E114" s="278">
        <f t="shared" ref="E114" si="42">IF(E113&gt;0,E113*$E$933,0)</f>
        <v>0</v>
      </c>
      <c r="F114" s="278">
        <v>0</v>
      </c>
      <c r="G114" s="278">
        <f>(G113+D115+E115+F115)*$C$114</f>
        <v>93.956371242499927</v>
      </c>
      <c r="H114" s="278">
        <f t="shared" ref="H114:K114" si="43">H113*$C$114</f>
        <v>142.368807400625</v>
      </c>
      <c r="I114" s="278">
        <f t="shared" si="43"/>
        <v>207.72129254703125</v>
      </c>
      <c r="J114" s="278">
        <f t="shared" si="43"/>
        <v>310.4557582981767</v>
      </c>
      <c r="K114" s="278">
        <f t="shared" si="43"/>
        <v>368.28610069453009</v>
      </c>
    </row>
    <row r="115" spans="1:20" x14ac:dyDescent="0.25">
      <c r="A115" s="276" t="s">
        <v>452</v>
      </c>
      <c r="B115" s="276"/>
      <c r="C115" s="276"/>
      <c r="D115" s="278">
        <f>D113-D114</f>
        <v>-162.24720000000002</v>
      </c>
      <c r="E115" s="278">
        <f t="shared" ref="E115:K115" si="44">E113-E114</f>
        <v>-58.341525000000047</v>
      </c>
      <c r="F115" s="278">
        <f t="shared" si="44"/>
        <v>204.11612499999978</v>
      </c>
      <c r="G115" s="278">
        <f t="shared" si="44"/>
        <v>260.24581625750011</v>
      </c>
      <c r="H115" s="278">
        <f t="shared" si="44"/>
        <v>369.38103947437503</v>
      </c>
      <c r="I115" s="278">
        <f t="shared" si="44"/>
        <v>538.94043479671882</v>
      </c>
      <c r="J115" s="278">
        <f t="shared" si="44"/>
        <v>805.4887359440113</v>
      </c>
      <c r="K115" s="278">
        <f t="shared" si="44"/>
        <v>955.53165881132929</v>
      </c>
    </row>
    <row r="116" spans="1:20" x14ac:dyDescent="0.25">
      <c r="A116" s="276" t="s">
        <v>453</v>
      </c>
      <c r="B116" s="276"/>
      <c r="C116" s="276"/>
      <c r="D116" s="278">
        <f>D115+D107+D108</f>
        <v>328.15279999999996</v>
      </c>
      <c r="E116" s="278">
        <f t="shared" ref="E116:K116" si="45">E115+E107+E108</f>
        <v>386.68347499999993</v>
      </c>
      <c r="F116" s="278">
        <f t="shared" si="45"/>
        <v>608.78737499999977</v>
      </c>
      <c r="G116" s="278">
        <f t="shared" si="45"/>
        <v>629.00987875750002</v>
      </c>
      <c r="H116" s="278">
        <f t="shared" si="45"/>
        <v>706.17814259937506</v>
      </c>
      <c r="I116" s="278">
        <f t="shared" si="45"/>
        <v>778.36435745296876</v>
      </c>
      <c r="J116" s="278">
        <f t="shared" si="45"/>
        <v>1019.5393167018237</v>
      </c>
      <c r="K116" s="278">
        <f t="shared" si="45"/>
        <v>1146.9608743054698</v>
      </c>
      <c r="L116" s="347">
        <f>SUM(D116:K116)</f>
        <v>5603.6762198171373</v>
      </c>
    </row>
    <row r="117" spans="1:20" x14ac:dyDescent="0.25">
      <c r="A117" s="276" t="s">
        <v>454</v>
      </c>
      <c r="B117" s="276"/>
      <c r="C117" s="276"/>
      <c r="D117" s="278">
        <f>+D106</f>
        <v>289.5</v>
      </c>
      <c r="E117" s="278">
        <f t="shared" ref="E117:K117" si="46">+E106</f>
        <v>275.62812500000001</v>
      </c>
      <c r="F117" s="278">
        <f t="shared" si="46"/>
        <v>246.19562500000001</v>
      </c>
      <c r="G117" s="278">
        <f t="shared" si="46"/>
        <v>211.09375</v>
      </c>
      <c r="H117" s="278">
        <f t="shared" si="46"/>
        <v>172.01124999999999</v>
      </c>
      <c r="I117" s="278">
        <f t="shared" si="46"/>
        <v>129.06875000000002</v>
      </c>
      <c r="J117" s="278">
        <f t="shared" si="46"/>
        <v>82.628124999999983</v>
      </c>
      <c r="K117" s="278">
        <f t="shared" si="46"/>
        <v>30.035625</v>
      </c>
      <c r="L117" s="347">
        <f>SUM(D117:K117)</f>
        <v>1436.1612499999999</v>
      </c>
    </row>
    <row r="118" spans="1:20" x14ac:dyDescent="0.25">
      <c r="A118" s="276" t="s">
        <v>455</v>
      </c>
      <c r="B118" s="276"/>
      <c r="C118" s="276"/>
      <c r="D118" s="278">
        <f>D93</f>
        <v>100</v>
      </c>
      <c r="E118" s="278">
        <f t="shared" ref="E118:K118" si="47">E93</f>
        <v>300</v>
      </c>
      <c r="F118" s="278">
        <f t="shared" si="47"/>
        <v>360</v>
      </c>
      <c r="G118" s="278">
        <f t="shared" si="47"/>
        <v>400</v>
      </c>
      <c r="H118" s="278">
        <f t="shared" si="47"/>
        <v>440</v>
      </c>
      <c r="I118" s="278">
        <f t="shared" si="47"/>
        <v>480</v>
      </c>
      <c r="J118" s="278">
        <f t="shared" si="47"/>
        <v>500</v>
      </c>
      <c r="K118" s="278">
        <f t="shared" si="47"/>
        <v>420</v>
      </c>
      <c r="L118" s="347">
        <f>SUM(D118:K118)</f>
        <v>3000</v>
      </c>
    </row>
    <row r="119" spans="1:20" x14ac:dyDescent="0.25">
      <c r="A119" s="277" t="s">
        <v>294</v>
      </c>
      <c r="B119" s="277"/>
      <c r="C119" s="277"/>
      <c r="D119" s="280">
        <f>(D116+D117)/(D117+D118)</f>
        <v>1.5857581514762515</v>
      </c>
      <c r="E119" s="280">
        <f t="shared" ref="E119:K119" si="48">(E116+E117)/(E117+E118)</f>
        <v>1.1505893670501246</v>
      </c>
      <c r="F119" s="280">
        <f t="shared" si="48"/>
        <v>1.410407737601207</v>
      </c>
      <c r="G119" s="280">
        <f t="shared" si="48"/>
        <v>1.3747540843896702</v>
      </c>
      <c r="H119" s="280">
        <f t="shared" si="48"/>
        <v>1.4349236106352212</v>
      </c>
      <c r="I119" s="280">
        <f t="shared" si="48"/>
        <v>1.4898697519006987</v>
      </c>
      <c r="J119" s="280">
        <f t="shared" si="48"/>
        <v>1.8917168506100246</v>
      </c>
      <c r="K119" s="280">
        <f t="shared" si="48"/>
        <v>2.6153407284267103</v>
      </c>
    </row>
    <row r="120" spans="1:20" x14ac:dyDescent="0.25">
      <c r="A120" s="295" t="s">
        <v>458</v>
      </c>
      <c r="B120" s="296"/>
      <c r="C120" s="296"/>
      <c r="D120" s="284">
        <f>+(L116+L117)/(L117+L118)</f>
        <v>1.5869210051409057</v>
      </c>
    </row>
    <row r="121" spans="1:20" x14ac:dyDescent="0.25">
      <c r="M121" s="347"/>
      <c r="N121" s="347"/>
      <c r="O121" s="347"/>
      <c r="P121" s="347"/>
      <c r="Q121" s="347"/>
      <c r="R121" s="347"/>
      <c r="S121" s="347"/>
      <c r="T121" s="347"/>
    </row>
  </sheetData>
  <mergeCells count="5">
    <mergeCell ref="A1:K1"/>
    <mergeCell ref="A21:K21"/>
    <mergeCell ref="A47:K47"/>
    <mergeCell ref="A72:K72"/>
    <mergeCell ref="A97:K97"/>
  </mergeCells>
  <phoneticPr fontId="25" type="noConversion"/>
  <pageMargins left="0.7" right="0.7" top="0.75" bottom="0.75" header="0.3" footer="0.3"/>
  <pageSetup scale="68"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5"/>
  <sheetViews>
    <sheetView view="pageBreakPreview" zoomScaleNormal="100" zoomScaleSheetLayoutView="100" workbookViewId="0">
      <selection activeCell="F44" sqref="F44"/>
    </sheetView>
  </sheetViews>
  <sheetFormatPr defaultColWidth="9.109375" defaultRowHeight="14.4" x14ac:dyDescent="0.3"/>
  <cols>
    <col min="1" max="1" width="21.109375" style="10" bestFit="1" customWidth="1"/>
    <col min="2" max="2" width="24.5546875" style="10" customWidth="1"/>
    <col min="3" max="3" width="11.33203125" style="10" customWidth="1"/>
    <col min="4" max="4" width="13.5546875" style="10" bestFit="1" customWidth="1"/>
    <col min="5" max="11" width="11.44140625" style="10" bestFit="1" customWidth="1"/>
    <col min="12" max="12" width="13.6640625" style="10" bestFit="1" customWidth="1"/>
    <col min="13" max="16384" width="9.109375" style="10"/>
  </cols>
  <sheetData>
    <row r="1" spans="1:12" x14ac:dyDescent="0.3">
      <c r="A1" s="358" t="s">
        <v>212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5" spans="1:12" x14ac:dyDescent="0.3">
      <c r="A5" s="196" t="s">
        <v>227</v>
      </c>
      <c r="B5" s="195"/>
      <c r="C5" s="190"/>
      <c r="D5" s="190"/>
    </row>
    <row r="6" spans="1:12" x14ac:dyDescent="0.3">
      <c r="A6" s="194" t="s">
        <v>229</v>
      </c>
      <c r="B6" s="40"/>
      <c r="C6" s="40"/>
      <c r="D6" s="189">
        <f>SUM(Profitability!C36:K36)</f>
        <v>5287.88</v>
      </c>
    </row>
    <row r="7" spans="1:12" x14ac:dyDescent="0.3">
      <c r="A7" s="194" t="s">
        <v>228</v>
      </c>
      <c r="B7" s="40"/>
      <c r="C7" s="40"/>
      <c r="D7" s="189">
        <v>8</v>
      </c>
    </row>
    <row r="8" spans="1:12" x14ac:dyDescent="0.3">
      <c r="A8" s="194" t="s">
        <v>230</v>
      </c>
      <c r="B8" s="40"/>
      <c r="C8" s="40"/>
      <c r="D8" s="189">
        <f>D6/D7</f>
        <v>660.98500000000001</v>
      </c>
    </row>
    <row r="9" spans="1:12" x14ac:dyDescent="0.3">
      <c r="A9" s="194"/>
      <c r="B9" s="40"/>
      <c r="C9" s="40"/>
      <c r="D9" s="189"/>
    </row>
    <row r="10" spans="1:12" x14ac:dyDescent="0.3">
      <c r="A10" s="194" t="s">
        <v>231</v>
      </c>
      <c r="B10" s="40"/>
      <c r="C10" s="40"/>
      <c r="D10" s="189">
        <f>Cost!C21</f>
        <v>4389.13</v>
      </c>
    </row>
    <row r="11" spans="1:12" x14ac:dyDescent="0.3">
      <c r="A11" s="194"/>
      <c r="B11" s="40"/>
      <c r="C11" s="40"/>
      <c r="D11" s="40"/>
    </row>
    <row r="12" spans="1:12" x14ac:dyDescent="0.3">
      <c r="A12" s="194" t="s">
        <v>232</v>
      </c>
      <c r="B12" s="40"/>
      <c r="C12" s="40"/>
      <c r="D12" s="197">
        <f>D8/D10</f>
        <v>0.15059590397185774</v>
      </c>
    </row>
    <row r="17" spans="1:12" x14ac:dyDescent="0.3">
      <c r="A17" s="191" t="s">
        <v>3</v>
      </c>
      <c r="B17" s="191"/>
      <c r="C17" s="192"/>
      <c r="D17" s="193" t="s">
        <v>246</v>
      </c>
      <c r="E17" s="193" t="s">
        <v>247</v>
      </c>
      <c r="F17" s="193" t="s">
        <v>248</v>
      </c>
      <c r="G17" s="193" t="s">
        <v>249</v>
      </c>
      <c r="H17" s="193" t="s">
        <v>250</v>
      </c>
      <c r="I17" s="193" t="s">
        <v>251</v>
      </c>
      <c r="J17" s="193" t="s">
        <v>252</v>
      </c>
      <c r="K17" s="193" t="s">
        <v>253</v>
      </c>
      <c r="L17" s="193" t="s">
        <v>307</v>
      </c>
    </row>
    <row r="18" spans="1:12" x14ac:dyDescent="0.3">
      <c r="A18" s="194" t="s">
        <v>285</v>
      </c>
      <c r="B18" s="40"/>
      <c r="C18" s="337"/>
      <c r="D18" s="337">
        <f>'Ratio Analysis'!E9</f>
        <v>236.72000000000003</v>
      </c>
      <c r="E18" s="337">
        <f>'Ratio Analysis'!F9</f>
        <v>337.71812499999993</v>
      </c>
      <c r="F18" s="337">
        <f>'Ratio Analysis'!G9</f>
        <v>582.78562500000021</v>
      </c>
      <c r="G18" s="337">
        <f>'Ratio Analysis'!H9</f>
        <v>711.01374999999985</v>
      </c>
      <c r="H18" s="337">
        <f>'Ratio Analysis'!I9</f>
        <v>844.03125</v>
      </c>
      <c r="I18" s="337">
        <f>'Ratio Analysis'!J9</f>
        <v>1052.0587500000001</v>
      </c>
      <c r="J18" s="337">
        <f>'Ratio Analysis'!K9</f>
        <v>1392.5181250000001</v>
      </c>
      <c r="K18" s="337">
        <f>'Ratio Analysis'!L9</f>
        <v>1567.1956250000001</v>
      </c>
      <c r="L18" s="337"/>
    </row>
    <row r="19" spans="1:12" x14ac:dyDescent="0.3">
      <c r="A19" s="194" t="s">
        <v>296</v>
      </c>
      <c r="B19" s="40"/>
      <c r="C19" s="337"/>
      <c r="D19" s="337">
        <f>Profitability!D38</f>
        <v>-52.779999999999973</v>
      </c>
      <c r="E19" s="337">
        <f>Profitability!E38</f>
        <v>59.499957999999936</v>
      </c>
      <c r="F19" s="337">
        <f>Profitability!F38</f>
        <v>242.95066200000011</v>
      </c>
      <c r="G19" s="337">
        <f>Profitability!G38</f>
        <v>360.84225599999991</v>
      </c>
      <c r="H19" s="337">
        <f>Profitability!H38</f>
        <v>485.06403599999999</v>
      </c>
      <c r="I19" s="337">
        <f>Profitability!I38</f>
        <v>666.21418199999994</v>
      </c>
      <c r="J19" s="337">
        <f>Profitability!J38</f>
        <v>945.47860200000014</v>
      </c>
      <c r="K19" s="337">
        <f>Profitability!K38</f>
        <v>1109.5220880000002</v>
      </c>
      <c r="L19" s="337"/>
    </row>
    <row r="20" spans="1:12" x14ac:dyDescent="0.3">
      <c r="A20" s="194" t="s">
        <v>423</v>
      </c>
      <c r="B20" s="40"/>
      <c r="C20" s="338"/>
      <c r="D20" s="338">
        <f>Profitability!D32+Profitability!D33</f>
        <v>490.4</v>
      </c>
      <c r="E20" s="338">
        <f>Profitability!E32+Profitability!E33</f>
        <v>445.02499999999998</v>
      </c>
      <c r="F20" s="338">
        <f>Profitability!F32+Profitability!F33</f>
        <v>404.67124999999999</v>
      </c>
      <c r="G20" s="338">
        <f>Profitability!G32+Profitability!G33</f>
        <v>368.76406249999991</v>
      </c>
      <c r="H20" s="338">
        <f>Profitability!H32+Profitability!H33</f>
        <v>336.79710312500004</v>
      </c>
      <c r="I20" s="338">
        <f>Profitability!I32+Profitability!I33</f>
        <v>239.42392265625</v>
      </c>
      <c r="J20" s="338">
        <f>Profitability!J32+Profitability!J33</f>
        <v>214.0505807578125</v>
      </c>
      <c r="K20" s="338">
        <f>Profitability!K32+Profitability!K33</f>
        <v>191.42921549414061</v>
      </c>
      <c r="L20" s="337"/>
    </row>
    <row r="21" spans="1:12" x14ac:dyDescent="0.3">
      <c r="A21" s="194" t="s">
        <v>297</v>
      </c>
      <c r="B21" s="40"/>
      <c r="C21" s="337">
        <f>+Cost!C21</f>
        <v>4389.13</v>
      </c>
      <c r="D21" s="337">
        <f>'Intt &amp; Depreciation'!G24</f>
        <v>0</v>
      </c>
      <c r="E21" s="337">
        <f>'Intt &amp; Depreciation'!G29</f>
        <v>0</v>
      </c>
      <c r="F21" s="337">
        <f>'Intt &amp; Depreciation'!G33</f>
        <v>0</v>
      </c>
      <c r="G21" s="337">
        <f>'Intt &amp; Depreciation'!G37</f>
        <v>0</v>
      </c>
      <c r="H21" s="337">
        <f>'Intt &amp; Depreciation'!G41</f>
        <v>0</v>
      </c>
      <c r="I21" s="337">
        <f>'Intt &amp; Depreciation'!G45</f>
        <v>0</v>
      </c>
      <c r="J21" s="337">
        <f>'Intt &amp; Depreciation'!G49</f>
        <v>0</v>
      </c>
      <c r="K21" s="337">
        <f>'Intt &amp; Depreciation'!G53</f>
        <v>0</v>
      </c>
      <c r="L21" s="337"/>
    </row>
    <row r="22" spans="1:12" x14ac:dyDescent="0.3">
      <c r="A22" s="194" t="s">
        <v>298</v>
      </c>
      <c r="B22" s="40"/>
      <c r="C22" s="337"/>
      <c r="D22" s="337">
        <f>'Balance Sheet'!D42</f>
        <v>77.321666666666673</v>
      </c>
      <c r="E22" s="337">
        <f>'Balance Sheet'!E42</f>
        <v>120.79401041666667</v>
      </c>
      <c r="F22" s="337">
        <f>'Balance Sheet'!F42</f>
        <v>50.585416666666646</v>
      </c>
      <c r="G22" s="337">
        <f>'Balance Sheet'!G42</f>
        <v>25.084062500000016</v>
      </c>
      <c r="H22" s="337">
        <f>'Balance Sheet'!H42</f>
        <v>27.552978645833321</v>
      </c>
      <c r="I22" s="337">
        <f>'Balance Sheet'!I42</f>
        <v>36.019856901041692</v>
      </c>
      <c r="J22" s="337">
        <f>'Balance Sheet'!J42</f>
        <v>77.979224545572833</v>
      </c>
      <c r="K22" s="337">
        <f>'Balance Sheet'!K42</f>
        <v>41.021169104492287</v>
      </c>
      <c r="L22" s="337"/>
    </row>
    <row r="23" spans="1:12" x14ac:dyDescent="0.3">
      <c r="A23" s="194" t="s">
        <v>299</v>
      </c>
      <c r="B23" s="40"/>
      <c r="C23" s="337">
        <f>B19+B20-C21-C22</f>
        <v>-4389.13</v>
      </c>
      <c r="D23" s="337">
        <f t="shared" ref="D23:K23" si="0">D19+D20-D21-D22</f>
        <v>360.29833333333335</v>
      </c>
      <c r="E23" s="337">
        <f t="shared" si="0"/>
        <v>383.73094758333326</v>
      </c>
      <c r="F23" s="337">
        <f t="shared" si="0"/>
        <v>597.03649533333339</v>
      </c>
      <c r="G23" s="337">
        <f t="shared" si="0"/>
        <v>704.52225599999974</v>
      </c>
      <c r="H23" s="337">
        <f t="shared" si="0"/>
        <v>794.30816047916665</v>
      </c>
      <c r="I23" s="337">
        <f t="shared" si="0"/>
        <v>869.61824775520813</v>
      </c>
      <c r="J23" s="337">
        <f t="shared" si="0"/>
        <v>1081.5499582122397</v>
      </c>
      <c r="K23" s="337">
        <f t="shared" si="0"/>
        <v>1259.9301343896486</v>
      </c>
      <c r="L23" s="337">
        <f>+'Balance Sheet'!K18</f>
        <v>1698.5688654667977</v>
      </c>
    </row>
    <row r="24" spans="1:12" x14ac:dyDescent="0.3">
      <c r="A24" s="194" t="s">
        <v>300</v>
      </c>
      <c r="B24" s="203">
        <f>IRR(C23:L23)</f>
        <v>0.10145481082438379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</row>
    <row r="25" spans="1:12" x14ac:dyDescent="0.3">
      <c r="B25" s="172"/>
    </row>
    <row r="26" spans="1:12" hidden="1" x14ac:dyDescent="0.3">
      <c r="A26" s="10" t="s">
        <v>301</v>
      </c>
      <c r="C26" s="31">
        <v>0.12</v>
      </c>
      <c r="D26" s="10" t="s">
        <v>302</v>
      </c>
    </row>
    <row r="27" spans="1:12" hidden="1" x14ac:dyDescent="0.3">
      <c r="A27" s="10" t="s">
        <v>303</v>
      </c>
      <c r="C27" s="31">
        <v>0.01</v>
      </c>
    </row>
    <row r="28" spans="1:12" hidden="1" x14ac:dyDescent="0.3">
      <c r="A28" s="10" t="s">
        <v>304</v>
      </c>
      <c r="B28" s="33">
        <v>0</v>
      </c>
      <c r="C28" s="33">
        <v>1</v>
      </c>
      <c r="D28" s="33">
        <v>2</v>
      </c>
      <c r="E28" s="33">
        <v>3</v>
      </c>
      <c r="F28" s="33">
        <v>4</v>
      </c>
      <c r="G28" s="33">
        <v>5</v>
      </c>
      <c r="H28" s="33">
        <v>6</v>
      </c>
      <c r="I28" s="33">
        <v>7</v>
      </c>
      <c r="J28" s="33">
        <v>8</v>
      </c>
      <c r="K28" s="33">
        <v>9</v>
      </c>
    </row>
    <row r="29" spans="1:12" hidden="1" x14ac:dyDescent="0.3">
      <c r="A29" s="10" t="s">
        <v>305</v>
      </c>
      <c r="B29" s="82">
        <f>1/(1+$C$26)^B28</f>
        <v>1</v>
      </c>
      <c r="C29" s="82">
        <f>1/(1+$C$26)^C28</f>
        <v>0.89285714285714279</v>
      </c>
      <c r="D29" s="82">
        <f t="shared" ref="D29:K29" si="1">1/(1+$C$26)^D28</f>
        <v>0.79719387755102034</v>
      </c>
      <c r="E29" s="82">
        <f t="shared" si="1"/>
        <v>0.71178024781341087</v>
      </c>
      <c r="F29" s="82">
        <f t="shared" si="1"/>
        <v>0.63551807840483121</v>
      </c>
      <c r="G29" s="82">
        <f t="shared" si="1"/>
        <v>0.56742685571859919</v>
      </c>
      <c r="H29" s="82">
        <f t="shared" si="1"/>
        <v>0.50663112117732068</v>
      </c>
      <c r="I29" s="82">
        <f t="shared" si="1"/>
        <v>0.45234921533689343</v>
      </c>
      <c r="J29" s="82">
        <f t="shared" si="1"/>
        <v>0.4038832279793691</v>
      </c>
      <c r="K29" s="82">
        <f t="shared" si="1"/>
        <v>0.36061002498157957</v>
      </c>
    </row>
    <row r="30" spans="1:12" hidden="1" x14ac:dyDescent="0.3">
      <c r="A30" s="10" t="s">
        <v>306</v>
      </c>
      <c r="B30" s="10">
        <f>C23*B29</f>
        <v>-4389.13</v>
      </c>
      <c r="C30" s="33" t="e">
        <f>#REF!*C29</f>
        <v>#REF!</v>
      </c>
      <c r="D30" s="33">
        <f t="shared" ref="D30:K30" si="2">D23*D29</f>
        <v>287.22762542517006</v>
      </c>
      <c r="E30" s="33">
        <f t="shared" si="2"/>
        <v>273.13210896453995</v>
      </c>
      <c r="F30" s="33">
        <f t="shared" si="2"/>
        <v>379.42748625179502</v>
      </c>
      <c r="G30" s="33">
        <f t="shared" si="2"/>
        <v>399.76484850585388</v>
      </c>
      <c r="H30" s="33">
        <f t="shared" si="2"/>
        <v>402.42123390385535</v>
      </c>
      <c r="I30" s="33">
        <f t="shared" si="2"/>
        <v>393.3711320147126</v>
      </c>
      <c r="J30" s="33">
        <f t="shared" si="2"/>
        <v>436.81988834371117</v>
      </c>
      <c r="K30" s="33">
        <f t="shared" si="2"/>
        <v>454.34343723729609</v>
      </c>
    </row>
    <row r="31" spans="1:12" hidden="1" x14ac:dyDescent="0.3">
      <c r="A31" s="10" t="s">
        <v>307</v>
      </c>
      <c r="K31" s="82">
        <f>K23*(1+C27)/(C26-C27)</f>
        <v>11568.449415759502</v>
      </c>
    </row>
    <row r="32" spans="1:12" hidden="1" x14ac:dyDescent="0.3">
      <c r="A32" s="10" t="s">
        <v>308</v>
      </c>
      <c r="K32" s="33">
        <f>K31*K29</f>
        <v>4171.6988328151738</v>
      </c>
    </row>
    <row r="33" spans="1:11" hidden="1" x14ac:dyDescent="0.3">
      <c r="A33" s="10" t="s">
        <v>309</v>
      </c>
      <c r="B33" s="33">
        <f>B30+B32</f>
        <v>-4389.13</v>
      </c>
      <c r="C33" s="33" t="e">
        <f t="shared" ref="C33:K33" si="3">C30+C32</f>
        <v>#REF!</v>
      </c>
      <c r="D33" s="33">
        <f t="shared" si="3"/>
        <v>287.22762542517006</v>
      </c>
      <c r="E33" s="33">
        <f t="shared" si="3"/>
        <v>273.13210896453995</v>
      </c>
      <c r="F33" s="33">
        <f t="shared" si="3"/>
        <v>379.42748625179502</v>
      </c>
      <c r="G33" s="33">
        <f t="shared" si="3"/>
        <v>399.76484850585388</v>
      </c>
      <c r="H33" s="33">
        <f t="shared" si="3"/>
        <v>402.42123390385535</v>
      </c>
      <c r="I33" s="33">
        <f t="shared" si="3"/>
        <v>393.3711320147126</v>
      </c>
      <c r="J33" s="33">
        <f t="shared" si="3"/>
        <v>436.81988834371117</v>
      </c>
      <c r="K33" s="33">
        <f t="shared" si="3"/>
        <v>4626.0422700524696</v>
      </c>
    </row>
    <row r="34" spans="1:11" hidden="1" x14ac:dyDescent="0.3">
      <c r="A34" s="10" t="s">
        <v>310</v>
      </c>
      <c r="B34" s="33" t="e">
        <f>SUM(B33:K33)</f>
        <v>#REF!</v>
      </c>
      <c r="C34" s="10" t="s">
        <v>314</v>
      </c>
    </row>
    <row r="35" spans="1:11" hidden="1" x14ac:dyDescent="0.3">
      <c r="A35" s="10" t="s">
        <v>310</v>
      </c>
      <c r="B35" s="33" t="e">
        <f>B34/100</f>
        <v>#REF!</v>
      </c>
      <c r="C35" s="10" t="s">
        <v>315</v>
      </c>
    </row>
  </sheetData>
  <mergeCells count="1">
    <mergeCell ref="A1:L1"/>
  </mergeCells>
  <pageMargins left="0.7" right="0.7" top="0.75" bottom="0.75" header="0.3" footer="0.3"/>
  <pageSetup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F108"/>
  <sheetViews>
    <sheetView workbookViewId="0"/>
  </sheetViews>
  <sheetFormatPr defaultRowHeight="13.2" x14ac:dyDescent="0.25"/>
  <cols>
    <col min="3" max="3" width="15.109375" customWidth="1"/>
    <col min="4" max="4" width="16.6640625" customWidth="1"/>
    <col min="5" max="5" width="14" bestFit="1" customWidth="1"/>
  </cols>
  <sheetData>
    <row r="3" spans="1:6" x14ac:dyDescent="0.25">
      <c r="C3" s="1" t="s">
        <v>273</v>
      </c>
      <c r="E3" s="2">
        <v>0.09</v>
      </c>
    </row>
    <row r="4" spans="1:6" x14ac:dyDescent="0.25">
      <c r="C4" s="1" t="s">
        <v>274</v>
      </c>
      <c r="E4">
        <v>8</v>
      </c>
    </row>
    <row r="5" spans="1:6" x14ac:dyDescent="0.25">
      <c r="C5" s="1" t="s">
        <v>275</v>
      </c>
      <c r="E5">
        <v>12</v>
      </c>
    </row>
    <row r="6" spans="1:6" x14ac:dyDescent="0.25">
      <c r="C6" s="1" t="s">
        <v>276</v>
      </c>
      <c r="E6" s="3">
        <v>300000000</v>
      </c>
    </row>
    <row r="9" spans="1:6" ht="28.95" customHeight="1" x14ac:dyDescent="0.25">
      <c r="C9" s="5" t="s">
        <v>278</v>
      </c>
      <c r="D9" s="5" t="s">
        <v>279</v>
      </c>
      <c r="E9" s="5" t="s">
        <v>277</v>
      </c>
      <c r="F9" s="5" t="s">
        <v>280</v>
      </c>
    </row>
    <row r="10" spans="1:6" x14ac:dyDescent="0.25">
      <c r="A10">
        <v>1</v>
      </c>
      <c r="B10" s="4">
        <v>46023</v>
      </c>
      <c r="C10" s="6">
        <f>PMT($E$3/$E$5,$E$4*$E$5,$E$6)</f>
        <v>-4395060.9821078908</v>
      </c>
      <c r="D10" s="6">
        <f>IPMT($E$3/$E$5,A10,$E$4*$E$5,$E$6)</f>
        <v>-2250000.0000000005</v>
      </c>
      <c r="E10" s="6">
        <f>PPMT($E$3/$E$5,A10,$E$4*$E$5,$E$6)</f>
        <v>-2145060.9821078903</v>
      </c>
    </row>
    <row r="11" spans="1:6" x14ac:dyDescent="0.25">
      <c r="A11">
        <v>2</v>
      </c>
      <c r="B11" s="4">
        <v>46054</v>
      </c>
      <c r="C11" s="6">
        <f t="shared" ref="C11:C74" si="0">PMT($E$3/$E$5,$E$4*$E$5,$E$6)</f>
        <v>-4395060.9821078908</v>
      </c>
      <c r="D11" s="6">
        <f t="shared" ref="D11:D74" si="1">IPMT($E$3/$E$5,A11,$E$4*$E$5,$E$6)</f>
        <v>-2233912.042634191</v>
      </c>
      <c r="E11" s="6">
        <f t="shared" ref="E11:E74" si="2">PPMT($E$3/$E$5,A11,$E$4*$E$5,$E$6)</f>
        <v>-2161148.9394736998</v>
      </c>
    </row>
    <row r="12" spans="1:6" x14ac:dyDescent="0.25">
      <c r="A12">
        <v>3</v>
      </c>
      <c r="B12" s="4">
        <v>46082</v>
      </c>
      <c r="C12" s="6">
        <f t="shared" si="0"/>
        <v>-4395060.9821078908</v>
      </c>
      <c r="D12" s="6">
        <f t="shared" si="1"/>
        <v>-2217703.4255881384</v>
      </c>
      <c r="E12" s="6">
        <f t="shared" si="2"/>
        <v>-2177357.5565197524</v>
      </c>
    </row>
    <row r="13" spans="1:6" x14ac:dyDescent="0.25">
      <c r="A13">
        <v>4</v>
      </c>
      <c r="B13" s="4">
        <v>46113</v>
      </c>
      <c r="C13" s="6">
        <f t="shared" si="0"/>
        <v>-4395060.9821078908</v>
      </c>
      <c r="D13" s="6">
        <f t="shared" si="1"/>
        <v>-2201373.24391424</v>
      </c>
      <c r="E13" s="6">
        <f t="shared" si="2"/>
        <v>-2193687.7381936503</v>
      </c>
    </row>
    <row r="14" spans="1:6" x14ac:dyDescent="0.25">
      <c r="A14">
        <v>5</v>
      </c>
      <c r="B14" s="4">
        <v>46143</v>
      </c>
      <c r="C14" s="6">
        <f t="shared" si="0"/>
        <v>-4395060.9821078908</v>
      </c>
      <c r="D14" s="6">
        <f t="shared" si="1"/>
        <v>-2184920.5858777873</v>
      </c>
      <c r="E14" s="6">
        <f t="shared" si="2"/>
        <v>-2210140.396230103</v>
      </c>
    </row>
    <row r="15" spans="1:6" x14ac:dyDescent="0.25">
      <c r="A15">
        <v>6</v>
      </c>
      <c r="B15" s="4">
        <v>46174</v>
      </c>
      <c r="C15" s="6">
        <f t="shared" si="0"/>
        <v>-4395060.9821078908</v>
      </c>
      <c r="D15" s="6">
        <f t="shared" si="1"/>
        <v>-2168344.532906062</v>
      </c>
      <c r="E15" s="6">
        <f t="shared" si="2"/>
        <v>-2226716.4492018288</v>
      </c>
    </row>
    <row r="16" spans="1:6" x14ac:dyDescent="0.25">
      <c r="A16">
        <v>7</v>
      </c>
      <c r="B16" s="4">
        <v>46204</v>
      </c>
      <c r="C16" s="6">
        <f t="shared" si="0"/>
        <v>-4395060.9821078908</v>
      </c>
      <c r="D16" s="6">
        <f t="shared" si="1"/>
        <v>-2151644.1595370485</v>
      </c>
      <c r="E16" s="6">
        <f t="shared" si="2"/>
        <v>-2243416.8225708418</v>
      </c>
    </row>
    <row r="17" spans="1:5" x14ac:dyDescent="0.25">
      <c r="A17">
        <v>8</v>
      </c>
      <c r="B17" s="4">
        <v>46235</v>
      </c>
      <c r="C17" s="6">
        <f t="shared" si="0"/>
        <v>-4395060.9821078908</v>
      </c>
      <c r="D17" s="6">
        <f t="shared" si="1"/>
        <v>-2134818.533367767</v>
      </c>
      <c r="E17" s="6">
        <f t="shared" si="2"/>
        <v>-2260242.4487401233</v>
      </c>
    </row>
    <row r="18" spans="1:5" x14ac:dyDescent="0.25">
      <c r="A18">
        <v>9</v>
      </c>
      <c r="B18" s="4">
        <v>46266</v>
      </c>
      <c r="C18" s="6">
        <f t="shared" si="0"/>
        <v>-4395060.9821078908</v>
      </c>
      <c r="D18" s="6">
        <f t="shared" si="1"/>
        <v>-2117866.7150022159</v>
      </c>
      <c r="E18" s="6">
        <f t="shared" si="2"/>
        <v>-2277194.2671056744</v>
      </c>
    </row>
    <row r="19" spans="1:5" x14ac:dyDescent="0.25">
      <c r="A19">
        <v>10</v>
      </c>
      <c r="B19" s="4">
        <v>46296</v>
      </c>
      <c r="C19" s="6">
        <f t="shared" si="0"/>
        <v>-4395060.9821078908</v>
      </c>
      <c r="D19" s="6">
        <f t="shared" si="1"/>
        <v>-2100787.7579989233</v>
      </c>
      <c r="E19" s="6">
        <f t="shared" si="2"/>
        <v>-2294273.224108967</v>
      </c>
    </row>
    <row r="20" spans="1:5" x14ac:dyDescent="0.25">
      <c r="A20">
        <v>11</v>
      </c>
      <c r="B20" s="4">
        <v>46327</v>
      </c>
      <c r="C20" s="6">
        <f t="shared" si="0"/>
        <v>-4395060.9821078908</v>
      </c>
      <c r="D20" s="6">
        <f t="shared" si="1"/>
        <v>-2083580.7088181057</v>
      </c>
      <c r="E20" s="6">
        <f t="shared" si="2"/>
        <v>-2311480.2732897843</v>
      </c>
    </row>
    <row r="21" spans="1:5" x14ac:dyDescent="0.25">
      <c r="A21">
        <v>12</v>
      </c>
      <c r="B21" s="4">
        <v>46357</v>
      </c>
      <c r="C21" s="6">
        <f t="shared" si="0"/>
        <v>-4395060.9821078908</v>
      </c>
      <c r="D21" s="6">
        <f t="shared" si="1"/>
        <v>-2066244.6067684328</v>
      </c>
      <c r="E21" s="6">
        <f t="shared" si="2"/>
        <v>-2328816.3753394578</v>
      </c>
    </row>
    <row r="22" spans="1:5" x14ac:dyDescent="0.25">
      <c r="A22">
        <v>13</v>
      </c>
      <c r="B22" s="4">
        <v>46388</v>
      </c>
      <c r="C22" s="6">
        <f t="shared" si="0"/>
        <v>-4395060.9821078908</v>
      </c>
      <c r="D22" s="6">
        <f t="shared" si="1"/>
        <v>-2048778.483953387</v>
      </c>
      <c r="E22" s="6">
        <f t="shared" si="2"/>
        <v>-2346282.4981545033</v>
      </c>
    </row>
    <row r="23" spans="1:5" x14ac:dyDescent="0.25">
      <c r="A23">
        <v>14</v>
      </c>
      <c r="B23" s="4">
        <v>46419</v>
      </c>
      <c r="C23" s="6">
        <f t="shared" si="0"/>
        <v>-4395060.9821078908</v>
      </c>
      <c r="D23" s="6">
        <f t="shared" si="1"/>
        <v>-2031181.365217228</v>
      </c>
      <c r="E23" s="6">
        <f t="shared" si="2"/>
        <v>-2363879.6168906623</v>
      </c>
    </row>
    <row r="24" spans="1:5" x14ac:dyDescent="0.25">
      <c r="A24">
        <v>15</v>
      </c>
      <c r="B24" s="4">
        <v>46447</v>
      </c>
      <c r="C24" s="6">
        <f t="shared" si="0"/>
        <v>-4395060.9821078908</v>
      </c>
      <c r="D24" s="6">
        <f t="shared" si="1"/>
        <v>-2013452.268090548</v>
      </c>
      <c r="E24" s="6">
        <f t="shared" si="2"/>
        <v>-2381608.7140173423</v>
      </c>
    </row>
    <row r="25" spans="1:5" x14ac:dyDescent="0.25">
      <c r="A25">
        <v>16</v>
      </c>
      <c r="B25" s="4">
        <v>46478</v>
      </c>
      <c r="C25" s="6">
        <f t="shared" si="0"/>
        <v>-4395060.9821078908</v>
      </c>
      <c r="D25" s="6">
        <f t="shared" si="1"/>
        <v>-1995590.2027354178</v>
      </c>
      <c r="E25" s="6">
        <f t="shared" si="2"/>
        <v>-2399470.7793724723</v>
      </c>
    </row>
    <row r="26" spans="1:5" x14ac:dyDescent="0.25">
      <c r="A26">
        <v>17</v>
      </c>
      <c r="B26" s="4">
        <v>46508</v>
      </c>
      <c r="C26" s="6">
        <f t="shared" si="0"/>
        <v>-4395060.9821078908</v>
      </c>
      <c r="D26" s="6">
        <f t="shared" si="1"/>
        <v>-1977594.171890124</v>
      </c>
      <c r="E26" s="6">
        <f t="shared" si="2"/>
        <v>-2417466.8102177661</v>
      </c>
    </row>
    <row r="27" spans="1:5" x14ac:dyDescent="0.25">
      <c r="A27">
        <v>18</v>
      </c>
      <c r="B27" s="4">
        <v>46539</v>
      </c>
      <c r="C27" s="6">
        <f t="shared" si="0"/>
        <v>-4395060.9821078908</v>
      </c>
      <c r="D27" s="6">
        <f t="shared" si="1"/>
        <v>-1959463.1708134911</v>
      </c>
      <c r="E27" s="6">
        <f t="shared" si="2"/>
        <v>-2435597.8112943992</v>
      </c>
    </row>
    <row r="28" spans="1:5" x14ac:dyDescent="0.25">
      <c r="A28">
        <v>19</v>
      </c>
      <c r="B28" s="4">
        <v>46569</v>
      </c>
      <c r="C28" s="6">
        <f t="shared" si="0"/>
        <v>-4395060.9821078908</v>
      </c>
      <c r="D28" s="6">
        <f t="shared" si="1"/>
        <v>-1941196.1872287833</v>
      </c>
      <c r="E28" s="6">
        <f t="shared" si="2"/>
        <v>-2453864.7948791077</v>
      </c>
    </row>
    <row r="29" spans="1:5" x14ac:dyDescent="0.25">
      <c r="A29">
        <v>20</v>
      </c>
      <c r="B29" s="4">
        <v>46600</v>
      </c>
      <c r="C29" s="6">
        <f t="shared" si="0"/>
        <v>-4395060.9821078908</v>
      </c>
      <c r="D29" s="6">
        <f t="shared" si="1"/>
        <v>-1922792.20126719</v>
      </c>
      <c r="E29" s="6">
        <f t="shared" si="2"/>
        <v>-2472268.7808407005</v>
      </c>
    </row>
    <row r="30" spans="1:5" x14ac:dyDescent="0.25">
      <c r="A30">
        <v>21</v>
      </c>
      <c r="B30" s="4">
        <v>46631</v>
      </c>
      <c r="C30" s="6">
        <f t="shared" si="0"/>
        <v>-4395060.9821078908</v>
      </c>
      <c r="D30" s="6">
        <f t="shared" si="1"/>
        <v>-1904250.1854108844</v>
      </c>
      <c r="E30" s="6">
        <f t="shared" si="2"/>
        <v>-2490810.7966970056</v>
      </c>
    </row>
    <row r="31" spans="1:5" x14ac:dyDescent="0.25">
      <c r="A31">
        <v>22</v>
      </c>
      <c r="B31" s="4">
        <v>46661</v>
      </c>
      <c r="C31" s="6">
        <f t="shared" si="0"/>
        <v>-4395060.9821078908</v>
      </c>
      <c r="D31" s="6">
        <f t="shared" si="1"/>
        <v>-1885569.1044356569</v>
      </c>
      <c r="E31" s="6">
        <f t="shared" si="2"/>
        <v>-2509491.8776722336</v>
      </c>
    </row>
    <row r="32" spans="1:5" x14ac:dyDescent="0.25">
      <c r="A32">
        <v>23</v>
      </c>
      <c r="B32" s="4">
        <v>46692</v>
      </c>
      <c r="C32" s="6">
        <f t="shared" si="0"/>
        <v>-4395060.9821078908</v>
      </c>
      <c r="D32" s="6">
        <f t="shared" si="1"/>
        <v>-1866747.9153531152</v>
      </c>
      <c r="E32" s="6">
        <f t="shared" si="2"/>
        <v>-2528313.0667547751</v>
      </c>
    </row>
    <row r="33" spans="1:5" x14ac:dyDescent="0.25">
      <c r="A33">
        <v>24</v>
      </c>
      <c r="B33" s="4">
        <v>46722</v>
      </c>
      <c r="C33" s="6">
        <f t="shared" si="0"/>
        <v>-4395060.9821078908</v>
      </c>
      <c r="D33" s="6">
        <f t="shared" si="1"/>
        <v>-1847785.5673524544</v>
      </c>
      <c r="E33" s="6">
        <f t="shared" si="2"/>
        <v>-2547275.4147554357</v>
      </c>
    </row>
    <row r="34" spans="1:5" x14ac:dyDescent="0.25">
      <c r="A34">
        <v>25</v>
      </c>
      <c r="B34" s="4">
        <v>46753</v>
      </c>
      <c r="C34" s="6">
        <f t="shared" si="0"/>
        <v>-4395060.9821078908</v>
      </c>
      <c r="D34" s="6">
        <f t="shared" si="1"/>
        <v>-1828681.0017417886</v>
      </c>
      <c r="E34" s="6">
        <f t="shared" si="2"/>
        <v>-2566379.980366102</v>
      </c>
    </row>
    <row r="35" spans="1:5" x14ac:dyDescent="0.25">
      <c r="A35">
        <v>26</v>
      </c>
      <c r="B35" s="4">
        <v>46784</v>
      </c>
      <c r="C35" s="6">
        <f t="shared" si="0"/>
        <v>-4395060.9821078908</v>
      </c>
      <c r="D35" s="6">
        <f t="shared" si="1"/>
        <v>-1809433.1518890429</v>
      </c>
      <c r="E35" s="6">
        <f t="shared" si="2"/>
        <v>-2585627.8302188478</v>
      </c>
    </row>
    <row r="36" spans="1:5" x14ac:dyDescent="0.25">
      <c r="A36">
        <v>27</v>
      </c>
      <c r="B36" s="4">
        <v>46813</v>
      </c>
      <c r="C36" s="6">
        <f t="shared" si="0"/>
        <v>-4395060.9821078908</v>
      </c>
      <c r="D36" s="6">
        <f t="shared" si="1"/>
        <v>-1790040.9431624019</v>
      </c>
      <c r="E36" s="6">
        <f t="shared" si="2"/>
        <v>-2605020.0389454886</v>
      </c>
    </row>
    <row r="37" spans="1:5" x14ac:dyDescent="0.25">
      <c r="A37">
        <v>28</v>
      </c>
      <c r="B37" s="4">
        <v>46844</v>
      </c>
      <c r="C37" s="6">
        <f t="shared" si="0"/>
        <v>-4395060.9821078908</v>
      </c>
      <c r="D37" s="6">
        <f t="shared" si="1"/>
        <v>-1770503.2928703104</v>
      </c>
      <c r="E37" s="6">
        <f t="shared" si="2"/>
        <v>-2624557.6892375802</v>
      </c>
    </row>
    <row r="38" spans="1:5" x14ac:dyDescent="0.25">
      <c r="A38">
        <v>29</v>
      </c>
      <c r="B38" s="4">
        <v>46874</v>
      </c>
      <c r="C38" s="6">
        <f t="shared" si="0"/>
        <v>-4395060.9821078908</v>
      </c>
      <c r="D38" s="6">
        <f t="shared" si="1"/>
        <v>-1750819.1102010286</v>
      </c>
      <c r="E38" s="6">
        <f t="shared" si="2"/>
        <v>-2644241.8719068621</v>
      </c>
    </row>
    <row r="39" spans="1:5" x14ac:dyDescent="0.25">
      <c r="A39">
        <v>30</v>
      </c>
      <c r="B39" s="4">
        <v>46905</v>
      </c>
      <c r="C39" s="6">
        <f t="shared" si="0"/>
        <v>-4395060.9821078908</v>
      </c>
      <c r="D39" s="6">
        <f t="shared" si="1"/>
        <v>-1730987.296161727</v>
      </c>
      <c r="E39" s="6">
        <f t="shared" si="2"/>
        <v>-2664073.6859461633</v>
      </c>
    </row>
    <row r="40" spans="1:5" x14ac:dyDescent="0.25">
      <c r="A40">
        <v>31</v>
      </c>
      <c r="B40" s="4">
        <v>46935</v>
      </c>
      <c r="C40" s="6">
        <f t="shared" si="0"/>
        <v>-4395060.9821078908</v>
      </c>
      <c r="D40" s="6">
        <f t="shared" si="1"/>
        <v>-1711006.7435171308</v>
      </c>
      <c r="E40" s="6">
        <f t="shared" si="2"/>
        <v>-2684054.2385907592</v>
      </c>
    </row>
    <row r="41" spans="1:5" x14ac:dyDescent="0.25">
      <c r="A41">
        <v>32</v>
      </c>
      <c r="B41" s="4">
        <v>46966</v>
      </c>
      <c r="C41" s="6">
        <f t="shared" si="0"/>
        <v>-4395060.9821078908</v>
      </c>
      <c r="D41" s="6">
        <f t="shared" si="1"/>
        <v>-1690876.3367277</v>
      </c>
      <c r="E41" s="6">
        <f t="shared" si="2"/>
        <v>-2704184.6453801901</v>
      </c>
    </row>
    <row r="42" spans="1:5" x14ac:dyDescent="0.25">
      <c r="A42">
        <v>33</v>
      </c>
      <c r="B42" s="4">
        <v>46997</v>
      </c>
      <c r="C42" s="6">
        <f t="shared" si="0"/>
        <v>-4395060.9821078908</v>
      </c>
      <c r="D42" s="6">
        <f t="shared" si="1"/>
        <v>-1670594.9518873489</v>
      </c>
      <c r="E42" s="6">
        <f t="shared" si="2"/>
        <v>-2724466.0302205416</v>
      </c>
    </row>
    <row r="43" spans="1:5" x14ac:dyDescent="0.25">
      <c r="A43">
        <v>34</v>
      </c>
      <c r="B43" s="4">
        <v>47027</v>
      </c>
      <c r="C43" s="6">
        <f t="shared" si="0"/>
        <v>-4395060.9821078908</v>
      </c>
      <c r="D43" s="6">
        <f t="shared" si="1"/>
        <v>-1650161.4566606947</v>
      </c>
      <c r="E43" s="6">
        <f t="shared" si="2"/>
        <v>-2744899.5254471954</v>
      </c>
    </row>
    <row r="44" spans="1:5" x14ac:dyDescent="0.25">
      <c r="A44">
        <v>35</v>
      </c>
      <c r="B44" s="4">
        <v>47058</v>
      </c>
      <c r="C44" s="6">
        <f t="shared" si="0"/>
        <v>-4395060.9821078908</v>
      </c>
      <c r="D44" s="6">
        <f t="shared" si="1"/>
        <v>-1629574.7102198408</v>
      </c>
      <c r="E44" s="6">
        <f t="shared" si="2"/>
        <v>-2765486.2718880498</v>
      </c>
    </row>
    <row r="45" spans="1:5" x14ac:dyDescent="0.25">
      <c r="A45">
        <v>36</v>
      </c>
      <c r="B45" s="4">
        <v>47088</v>
      </c>
      <c r="C45" s="6">
        <f t="shared" si="0"/>
        <v>-4395060.9821078908</v>
      </c>
      <c r="D45" s="6">
        <f t="shared" si="1"/>
        <v>-1608833.5631806804</v>
      </c>
      <c r="E45" s="6">
        <f t="shared" si="2"/>
        <v>-2786227.4189272099</v>
      </c>
    </row>
    <row r="46" spans="1:5" x14ac:dyDescent="0.25">
      <c r="A46">
        <v>37</v>
      </c>
      <c r="B46" s="4">
        <v>47119</v>
      </c>
      <c r="C46" s="6">
        <f t="shared" si="0"/>
        <v>-4395060.9821078908</v>
      </c>
      <c r="D46" s="6">
        <f t="shared" si="1"/>
        <v>-1587936.8575387262</v>
      </c>
      <c r="E46" s="6">
        <f t="shared" si="2"/>
        <v>-2807124.1245691641</v>
      </c>
    </row>
    <row r="47" spans="1:5" x14ac:dyDescent="0.25">
      <c r="A47">
        <v>38</v>
      </c>
      <c r="B47" s="4">
        <v>47150</v>
      </c>
      <c r="C47" s="6">
        <f t="shared" si="0"/>
        <v>-4395060.9821078908</v>
      </c>
      <c r="D47" s="6">
        <f t="shared" si="1"/>
        <v>-1566883.4266044574</v>
      </c>
      <c r="E47" s="6">
        <f t="shared" si="2"/>
        <v>-2828177.5555034326</v>
      </c>
    </row>
    <row r="48" spans="1:5" x14ac:dyDescent="0.25">
      <c r="A48">
        <v>39</v>
      </c>
      <c r="B48" s="4">
        <v>47178</v>
      </c>
      <c r="C48" s="6">
        <f t="shared" si="0"/>
        <v>-4395060.9821078908</v>
      </c>
      <c r="D48" s="6">
        <f t="shared" si="1"/>
        <v>-1545672.0949381816</v>
      </c>
      <c r="E48" s="6">
        <f t="shared" si="2"/>
        <v>-2849388.8871697085</v>
      </c>
    </row>
    <row r="49" spans="1:5" x14ac:dyDescent="0.25">
      <c r="A49">
        <v>40</v>
      </c>
      <c r="B49" s="4">
        <v>47209</v>
      </c>
      <c r="C49" s="6">
        <f t="shared" si="0"/>
        <v>-4395060.9821078908</v>
      </c>
      <c r="D49" s="6">
        <f t="shared" si="1"/>
        <v>-1524301.6782844088</v>
      </c>
      <c r="E49" s="6">
        <f t="shared" si="2"/>
        <v>-2870759.3038234813</v>
      </c>
    </row>
    <row r="50" spans="1:5" x14ac:dyDescent="0.25">
      <c r="A50">
        <v>41</v>
      </c>
      <c r="B50" s="4">
        <v>47239</v>
      </c>
      <c r="C50" s="6">
        <f t="shared" si="0"/>
        <v>-4395060.9821078908</v>
      </c>
      <c r="D50" s="6">
        <f t="shared" si="1"/>
        <v>-1502770.9835057328</v>
      </c>
      <c r="E50" s="6">
        <f t="shared" si="2"/>
        <v>-2892289.9986021575</v>
      </c>
    </row>
    <row r="51" spans="1:5" x14ac:dyDescent="0.25">
      <c r="A51">
        <v>42</v>
      </c>
      <c r="B51" s="4">
        <v>47270</v>
      </c>
      <c r="C51" s="6">
        <f t="shared" si="0"/>
        <v>-4395060.9821078908</v>
      </c>
      <c r="D51" s="6">
        <f t="shared" si="1"/>
        <v>-1481078.8085162169</v>
      </c>
      <c r="E51" s="6">
        <f t="shared" si="2"/>
        <v>-2913982.1735916738</v>
      </c>
    </row>
    <row r="52" spans="1:5" x14ac:dyDescent="0.25">
      <c r="A52">
        <v>43</v>
      </c>
      <c r="B52" s="4">
        <v>47300</v>
      </c>
      <c r="C52" s="6">
        <f t="shared" si="0"/>
        <v>-4395060.9821078908</v>
      </c>
      <c r="D52" s="6">
        <f t="shared" si="1"/>
        <v>-1459223.942214279</v>
      </c>
      <c r="E52" s="6">
        <f t="shared" si="2"/>
        <v>-2935837.0398936113</v>
      </c>
    </row>
    <row r="53" spans="1:5" x14ac:dyDescent="0.25">
      <c r="A53">
        <v>44</v>
      </c>
      <c r="B53" s="4">
        <v>47331</v>
      </c>
      <c r="C53" s="6">
        <f t="shared" si="0"/>
        <v>-4395060.9821078908</v>
      </c>
      <c r="D53" s="6">
        <f t="shared" si="1"/>
        <v>-1437205.1644150771</v>
      </c>
      <c r="E53" s="6">
        <f t="shared" si="2"/>
        <v>-2957855.8176928135</v>
      </c>
    </row>
    <row r="54" spans="1:5" x14ac:dyDescent="0.25">
      <c r="A54">
        <v>45</v>
      </c>
      <c r="B54" s="4">
        <v>47362</v>
      </c>
      <c r="C54" s="6">
        <f t="shared" si="0"/>
        <v>-4395060.9821078908</v>
      </c>
      <c r="D54" s="6">
        <f t="shared" si="1"/>
        <v>-1415021.2457823809</v>
      </c>
      <c r="E54" s="6">
        <f t="shared" si="2"/>
        <v>-2980039.7363255094</v>
      </c>
    </row>
    <row r="55" spans="1:5" x14ac:dyDescent="0.25">
      <c r="A55">
        <v>46</v>
      </c>
      <c r="B55" s="4">
        <v>47392</v>
      </c>
      <c r="C55" s="6">
        <f t="shared" si="0"/>
        <v>-4395060.9821078908</v>
      </c>
      <c r="D55" s="6">
        <f t="shared" si="1"/>
        <v>-1392670.9477599396</v>
      </c>
      <c r="E55" s="6">
        <f t="shared" si="2"/>
        <v>-3002390.0343479505</v>
      </c>
    </row>
    <row r="56" spans="1:5" x14ac:dyDescent="0.25">
      <c r="A56">
        <v>47</v>
      </c>
      <c r="B56" s="4">
        <v>47423</v>
      </c>
      <c r="C56" s="6">
        <f t="shared" si="0"/>
        <v>-4395060.9821078908</v>
      </c>
      <c r="D56" s="6">
        <f t="shared" si="1"/>
        <v>-1370153.0225023299</v>
      </c>
      <c r="E56" s="6">
        <f t="shared" si="2"/>
        <v>-3024907.9596055606</v>
      </c>
    </row>
    <row r="57" spans="1:5" x14ac:dyDescent="0.25">
      <c r="A57">
        <v>48</v>
      </c>
      <c r="B57" s="4">
        <v>47453</v>
      </c>
      <c r="C57" s="6">
        <f t="shared" si="0"/>
        <v>-4395060.9821078908</v>
      </c>
      <c r="D57" s="6">
        <f t="shared" si="1"/>
        <v>-1347466.2128052884</v>
      </c>
      <c r="E57" s="6">
        <f t="shared" si="2"/>
        <v>-3047594.7693026019</v>
      </c>
    </row>
    <row r="58" spans="1:5" x14ac:dyDescent="0.25">
      <c r="A58">
        <v>49</v>
      </c>
      <c r="B58" s="4">
        <v>47484</v>
      </c>
      <c r="C58" s="6">
        <f t="shared" si="0"/>
        <v>-4395060.9821078908</v>
      </c>
      <c r="D58" s="6">
        <f t="shared" si="1"/>
        <v>-1324609.2520355184</v>
      </c>
      <c r="E58" s="6">
        <f t="shared" si="2"/>
        <v>-3070451.7300723717</v>
      </c>
    </row>
    <row r="59" spans="1:5" x14ac:dyDescent="0.25">
      <c r="A59">
        <v>50</v>
      </c>
      <c r="B59" s="4">
        <v>47515</v>
      </c>
      <c r="C59" s="6">
        <f t="shared" si="0"/>
        <v>-4395060.9821078908</v>
      </c>
      <c r="D59" s="6">
        <f t="shared" si="1"/>
        <v>-1301580.8640599761</v>
      </c>
      <c r="E59" s="6">
        <f t="shared" si="2"/>
        <v>-3093480.1180479145</v>
      </c>
    </row>
    <row r="60" spans="1:5" x14ac:dyDescent="0.25">
      <c r="A60">
        <v>51</v>
      </c>
      <c r="B60" s="4">
        <v>47543</v>
      </c>
      <c r="C60" s="6">
        <f t="shared" si="0"/>
        <v>-4395060.9821078908</v>
      </c>
      <c r="D60" s="6">
        <f t="shared" si="1"/>
        <v>-1278379.7631746165</v>
      </c>
      <c r="E60" s="6">
        <f t="shared" si="2"/>
        <v>-3116681.2189332736</v>
      </c>
    </row>
    <row r="61" spans="1:5" x14ac:dyDescent="0.25">
      <c r="A61">
        <v>52</v>
      </c>
      <c r="B61" s="4">
        <v>47574</v>
      </c>
      <c r="C61" s="6">
        <f t="shared" si="0"/>
        <v>-4395060.9821078908</v>
      </c>
      <c r="D61" s="6">
        <f t="shared" si="1"/>
        <v>-1255004.6540326171</v>
      </c>
      <c r="E61" s="6">
        <f t="shared" si="2"/>
        <v>-3140056.3280752734</v>
      </c>
    </row>
    <row r="62" spans="1:5" x14ac:dyDescent="0.25">
      <c r="A62">
        <v>53</v>
      </c>
      <c r="B62" s="4">
        <v>47604</v>
      </c>
      <c r="C62" s="6">
        <f t="shared" si="0"/>
        <v>-4395060.9821078908</v>
      </c>
      <c r="D62" s="6">
        <f t="shared" si="1"/>
        <v>-1231454.2315720522</v>
      </c>
      <c r="E62" s="6">
        <f t="shared" si="2"/>
        <v>-3163606.7505358378</v>
      </c>
    </row>
    <row r="63" spans="1:5" x14ac:dyDescent="0.25">
      <c r="A63">
        <v>54</v>
      </c>
      <c r="B63" s="4">
        <v>47635</v>
      </c>
      <c r="C63" s="6">
        <f t="shared" si="0"/>
        <v>-4395060.9821078908</v>
      </c>
      <c r="D63" s="6">
        <f t="shared" si="1"/>
        <v>-1207727.1809430337</v>
      </c>
      <c r="E63" s="6">
        <f t="shared" si="2"/>
        <v>-3187333.8011648566</v>
      </c>
    </row>
    <row r="64" spans="1:5" x14ac:dyDescent="0.25">
      <c r="A64">
        <v>55</v>
      </c>
      <c r="B64" s="4">
        <v>47665</v>
      </c>
      <c r="C64" s="6">
        <f t="shared" si="0"/>
        <v>-4395060.9821078908</v>
      </c>
      <c r="D64" s="6">
        <f t="shared" si="1"/>
        <v>-1183822.177434297</v>
      </c>
      <c r="E64" s="6">
        <f t="shared" si="2"/>
        <v>-3211238.804673593</v>
      </c>
    </row>
    <row r="65" spans="1:5" x14ac:dyDescent="0.25">
      <c r="A65">
        <v>56</v>
      </c>
      <c r="B65" s="4">
        <v>47696</v>
      </c>
      <c r="C65" s="6">
        <f t="shared" si="0"/>
        <v>-4395060.9821078908</v>
      </c>
      <c r="D65" s="6">
        <f t="shared" si="1"/>
        <v>-1159737.8863992454</v>
      </c>
      <c r="E65" s="6">
        <f t="shared" si="2"/>
        <v>-3235323.0957086449</v>
      </c>
    </row>
    <row r="66" spans="1:5" x14ac:dyDescent="0.25">
      <c r="A66">
        <v>57</v>
      </c>
      <c r="B66" s="4">
        <v>47727</v>
      </c>
      <c r="C66" s="6">
        <f t="shared" si="0"/>
        <v>-4395060.9821078908</v>
      </c>
      <c r="D66" s="6">
        <f t="shared" si="1"/>
        <v>-1135472.9631814302</v>
      </c>
      <c r="E66" s="6">
        <f t="shared" si="2"/>
        <v>-3259588.0189264594</v>
      </c>
    </row>
    <row r="67" spans="1:5" x14ac:dyDescent="0.25">
      <c r="A67">
        <v>58</v>
      </c>
      <c r="B67" s="4">
        <v>47757</v>
      </c>
      <c r="C67" s="6">
        <f t="shared" si="0"/>
        <v>-4395060.9821078908</v>
      </c>
      <c r="D67" s="6">
        <f t="shared" si="1"/>
        <v>-1111026.0530394821</v>
      </c>
      <c r="E67" s="6">
        <f t="shared" si="2"/>
        <v>-3284034.9290684084</v>
      </c>
    </row>
    <row r="68" spans="1:5" x14ac:dyDescent="0.25">
      <c r="A68">
        <v>59</v>
      </c>
      <c r="B68" s="4">
        <v>47788</v>
      </c>
      <c r="C68" s="6">
        <f t="shared" si="0"/>
        <v>-4395060.9821078908</v>
      </c>
      <c r="D68" s="6">
        <f t="shared" si="1"/>
        <v>-1086395.791071469</v>
      </c>
      <c r="E68" s="6">
        <f t="shared" si="2"/>
        <v>-3308665.1910364218</v>
      </c>
    </row>
    <row r="69" spans="1:5" x14ac:dyDescent="0.25">
      <c r="A69">
        <v>60</v>
      </c>
      <c r="B69" s="4">
        <v>47818</v>
      </c>
      <c r="C69" s="6">
        <f t="shared" si="0"/>
        <v>-4395060.9821078908</v>
      </c>
      <c r="D69" s="6">
        <f t="shared" si="1"/>
        <v>-1061580.8021386957</v>
      </c>
      <c r="E69" s="6">
        <f t="shared" si="2"/>
        <v>-3333480.1799691948</v>
      </c>
    </row>
    <row r="70" spans="1:5" x14ac:dyDescent="0.25">
      <c r="A70">
        <v>61</v>
      </c>
      <c r="B70" s="4">
        <v>47849</v>
      </c>
      <c r="C70" s="6">
        <f t="shared" si="0"/>
        <v>-4395060.9821078908</v>
      </c>
      <c r="D70" s="6">
        <f t="shared" si="1"/>
        <v>-1036579.7007889268</v>
      </c>
      <c r="E70" s="6">
        <f t="shared" si="2"/>
        <v>-3358481.2813189635</v>
      </c>
    </row>
    <row r="71" spans="1:5" x14ac:dyDescent="0.25">
      <c r="A71">
        <v>62</v>
      </c>
      <c r="B71" s="4">
        <v>47880</v>
      </c>
      <c r="C71" s="6">
        <f t="shared" si="0"/>
        <v>-4395060.9821078908</v>
      </c>
      <c r="D71" s="6">
        <f t="shared" si="1"/>
        <v>-1011391.0911790346</v>
      </c>
      <c r="E71" s="6">
        <f t="shared" si="2"/>
        <v>-3383669.8909288556</v>
      </c>
    </row>
    <row r="72" spans="1:5" x14ac:dyDescent="0.25">
      <c r="A72">
        <v>63</v>
      </c>
      <c r="B72" s="4">
        <v>47908</v>
      </c>
      <c r="C72" s="6">
        <f t="shared" si="0"/>
        <v>-4395060.9821078908</v>
      </c>
      <c r="D72" s="6">
        <f t="shared" si="1"/>
        <v>-986013.566997068</v>
      </c>
      <c r="E72" s="6">
        <f t="shared" si="2"/>
        <v>-3409047.4151108223</v>
      </c>
    </row>
    <row r="73" spans="1:5" x14ac:dyDescent="0.25">
      <c r="A73">
        <v>64</v>
      </c>
      <c r="B73" s="4">
        <v>47939</v>
      </c>
      <c r="C73" s="6">
        <f t="shared" si="0"/>
        <v>-4395060.9821078908</v>
      </c>
      <c r="D73" s="6">
        <f t="shared" si="1"/>
        <v>-960445.71138373693</v>
      </c>
      <c r="E73" s="6">
        <f t="shared" si="2"/>
        <v>-3434615.2707241536</v>
      </c>
    </row>
    <row r="74" spans="1:5" x14ac:dyDescent="0.25">
      <c r="A74">
        <v>65</v>
      </c>
      <c r="B74" s="4">
        <v>47969</v>
      </c>
      <c r="C74" s="6">
        <f t="shared" si="0"/>
        <v>-4395060.9821078908</v>
      </c>
      <c r="D74" s="6">
        <f t="shared" si="1"/>
        <v>-934686.09685330582</v>
      </c>
      <c r="E74" s="6">
        <f t="shared" si="2"/>
        <v>-3460374.8852545843</v>
      </c>
    </row>
    <row r="75" spans="1:5" x14ac:dyDescent="0.25">
      <c r="A75">
        <v>66</v>
      </c>
      <c r="B75" s="4">
        <v>48000</v>
      </c>
      <c r="C75" s="6">
        <f t="shared" ref="C75:C108" si="3">PMT($E$3/$E$5,$E$4*$E$5,$E$6)</f>
        <v>-4395060.9821078908</v>
      </c>
      <c r="D75" s="6">
        <f t="shared" ref="D75:D108" si="4">IPMT($E$3/$E$5,A75,$E$4*$E$5,$E$6)</f>
        <v>-908733.28521389642</v>
      </c>
      <c r="E75" s="6">
        <f t="shared" ref="E75:E108" si="5">PPMT($E$3/$E$5,A75,$E$4*$E$5,$E$6)</f>
        <v>-3486327.6968939942</v>
      </c>
    </row>
    <row r="76" spans="1:5" x14ac:dyDescent="0.25">
      <c r="A76">
        <v>67</v>
      </c>
      <c r="B76" s="4">
        <v>48030</v>
      </c>
      <c r="C76" s="6">
        <f t="shared" si="3"/>
        <v>-4395060.9821078908</v>
      </c>
      <c r="D76" s="6">
        <f t="shared" si="4"/>
        <v>-882585.82748719153</v>
      </c>
      <c r="E76" s="6">
        <f t="shared" si="5"/>
        <v>-3512475.1546206991</v>
      </c>
    </row>
    <row r="77" spans="1:5" x14ac:dyDescent="0.25">
      <c r="A77">
        <v>68</v>
      </c>
      <c r="B77" s="4">
        <v>48061</v>
      </c>
      <c r="C77" s="6">
        <f t="shared" si="3"/>
        <v>-4395060.9821078908</v>
      </c>
      <c r="D77" s="6">
        <f t="shared" si="4"/>
        <v>-856242.26382753614</v>
      </c>
      <c r="E77" s="6">
        <f t="shared" si="5"/>
        <v>-3538818.7182803545</v>
      </c>
    </row>
    <row r="78" spans="1:5" x14ac:dyDescent="0.25">
      <c r="A78">
        <v>69</v>
      </c>
      <c r="B78" s="4">
        <v>48092</v>
      </c>
      <c r="C78" s="6">
        <f t="shared" si="3"/>
        <v>-4395060.9821078908</v>
      </c>
      <c r="D78" s="6">
        <f t="shared" si="4"/>
        <v>-829701.12344043364</v>
      </c>
      <c r="E78" s="6">
        <f t="shared" si="5"/>
        <v>-3565359.858667457</v>
      </c>
    </row>
    <row r="79" spans="1:5" x14ac:dyDescent="0.25">
      <c r="A79">
        <v>70</v>
      </c>
      <c r="B79" s="4">
        <v>48122</v>
      </c>
      <c r="C79" s="6">
        <f t="shared" si="3"/>
        <v>-4395060.9821078908</v>
      </c>
      <c r="D79" s="6">
        <f t="shared" si="4"/>
        <v>-802960.92450042756</v>
      </c>
      <c r="E79" s="6">
        <f t="shared" si="5"/>
        <v>-3592100.0576074631</v>
      </c>
    </row>
    <row r="80" spans="1:5" x14ac:dyDescent="0.25">
      <c r="A80">
        <v>71</v>
      </c>
      <c r="B80" s="4">
        <v>48153</v>
      </c>
      <c r="C80" s="6">
        <f t="shared" si="3"/>
        <v>-4395060.9821078908</v>
      </c>
      <c r="D80" s="6">
        <f t="shared" si="4"/>
        <v>-776020.17406837165</v>
      </c>
      <c r="E80" s="6">
        <f t="shared" si="5"/>
        <v>-3619040.808039519</v>
      </c>
    </row>
    <row r="81" spans="1:5" x14ac:dyDescent="0.25">
      <c r="A81">
        <v>72</v>
      </c>
      <c r="B81" s="4">
        <v>48183</v>
      </c>
      <c r="C81" s="6">
        <f t="shared" si="3"/>
        <v>-4395060.9821078908</v>
      </c>
      <c r="D81" s="6">
        <f t="shared" si="4"/>
        <v>-748877.36800807517</v>
      </c>
      <c r="E81" s="6">
        <f t="shared" si="5"/>
        <v>-3646183.614099815</v>
      </c>
    </row>
    <row r="82" spans="1:5" x14ac:dyDescent="0.25">
      <c r="A82">
        <v>73</v>
      </c>
      <c r="B82" s="4">
        <v>48214</v>
      </c>
      <c r="C82" s="6">
        <f t="shared" si="3"/>
        <v>-4395060.9821078908</v>
      </c>
      <c r="D82" s="6">
        <f t="shared" si="4"/>
        <v>-721530.99090232665</v>
      </c>
      <c r="E82" s="6">
        <f t="shared" si="5"/>
        <v>-3673529.9912055638</v>
      </c>
    </row>
    <row r="83" spans="1:5" x14ac:dyDescent="0.25">
      <c r="A83">
        <v>74</v>
      </c>
      <c r="B83" s="4">
        <v>48245</v>
      </c>
      <c r="C83" s="6">
        <f t="shared" si="3"/>
        <v>-4395060.9821078908</v>
      </c>
      <c r="D83" s="6">
        <f t="shared" si="4"/>
        <v>-693979.51596828492</v>
      </c>
      <c r="E83" s="6">
        <f t="shared" si="5"/>
        <v>-3701081.4661396053</v>
      </c>
    </row>
    <row r="84" spans="1:5" x14ac:dyDescent="0.25">
      <c r="A84">
        <v>75</v>
      </c>
      <c r="B84" s="4">
        <v>48274</v>
      </c>
      <c r="C84" s="6">
        <f t="shared" si="3"/>
        <v>-4395060.9821078908</v>
      </c>
      <c r="D84" s="6">
        <f t="shared" si="4"/>
        <v>-666221.40497223777</v>
      </c>
      <c r="E84" s="6">
        <f t="shared" si="5"/>
        <v>-3728839.5771356523</v>
      </c>
    </row>
    <row r="85" spans="1:5" x14ac:dyDescent="0.25">
      <c r="A85">
        <v>76</v>
      </c>
      <c r="B85" s="4">
        <v>48305</v>
      </c>
      <c r="C85" s="6">
        <f t="shared" si="3"/>
        <v>-4395060.9821078908</v>
      </c>
      <c r="D85" s="6">
        <f t="shared" si="4"/>
        <v>-638255.10814372043</v>
      </c>
      <c r="E85" s="6">
        <f t="shared" si="5"/>
        <v>-3756805.87396417</v>
      </c>
    </row>
    <row r="86" spans="1:5" x14ac:dyDescent="0.25">
      <c r="A86">
        <v>77</v>
      </c>
      <c r="B86" s="4">
        <v>48335</v>
      </c>
      <c r="C86" s="6">
        <f t="shared" si="3"/>
        <v>-4395060.9821078908</v>
      </c>
      <c r="D86" s="6">
        <f t="shared" si="4"/>
        <v>-610079.06408898905</v>
      </c>
      <c r="E86" s="6">
        <f t="shared" si="5"/>
        <v>-3784981.9180189013</v>
      </c>
    </row>
    <row r="87" spans="1:5" x14ac:dyDescent="0.25">
      <c r="A87">
        <v>78</v>
      </c>
      <c r="B87" s="4">
        <v>48366</v>
      </c>
      <c r="C87" s="6">
        <f t="shared" si="3"/>
        <v>-4395060.9821078908</v>
      </c>
      <c r="D87" s="6">
        <f t="shared" si="4"/>
        <v>-581691.69970384741</v>
      </c>
      <c r="E87" s="6">
        <f t="shared" si="5"/>
        <v>-3813369.2824040432</v>
      </c>
    </row>
    <row r="88" spans="1:5" x14ac:dyDescent="0.25">
      <c r="A88">
        <v>79</v>
      </c>
      <c r="B88" s="4">
        <v>48396</v>
      </c>
      <c r="C88" s="6">
        <f t="shared" si="3"/>
        <v>-4395060.9821078908</v>
      </c>
      <c r="D88" s="6">
        <f t="shared" si="4"/>
        <v>-553091.430085817</v>
      </c>
      <c r="E88" s="6">
        <f t="shared" si="5"/>
        <v>-3841969.5520220734</v>
      </c>
    </row>
    <row r="89" spans="1:5" x14ac:dyDescent="0.25">
      <c r="A89">
        <v>80</v>
      </c>
      <c r="B89" s="4">
        <v>48427</v>
      </c>
      <c r="C89" s="6">
        <f t="shared" si="3"/>
        <v>-4395060.9821078908</v>
      </c>
      <c r="D89" s="6">
        <f t="shared" si="4"/>
        <v>-524276.65844565153</v>
      </c>
      <c r="E89" s="6">
        <f t="shared" si="5"/>
        <v>-3870784.3236622387</v>
      </c>
    </row>
    <row r="90" spans="1:5" x14ac:dyDescent="0.25">
      <c r="A90">
        <v>81</v>
      </c>
      <c r="B90" s="4">
        <v>48458</v>
      </c>
      <c r="C90" s="6">
        <f t="shared" si="3"/>
        <v>-4395060.9821078908</v>
      </c>
      <c r="D90" s="6">
        <f t="shared" si="4"/>
        <v>-495245.77601818473</v>
      </c>
      <c r="E90" s="6">
        <f t="shared" si="5"/>
        <v>-3899815.2060897057</v>
      </c>
    </row>
    <row r="91" spans="1:5" x14ac:dyDescent="0.25">
      <c r="A91">
        <v>82</v>
      </c>
      <c r="B91" s="4">
        <v>48488</v>
      </c>
      <c r="C91" s="6">
        <f t="shared" si="3"/>
        <v>-4395060.9821078908</v>
      </c>
      <c r="D91" s="6">
        <f t="shared" si="4"/>
        <v>-465997.16197251203</v>
      </c>
      <c r="E91" s="6">
        <f t="shared" si="5"/>
        <v>-3929063.8201353787</v>
      </c>
    </row>
    <row r="92" spans="1:5" x14ac:dyDescent="0.25">
      <c r="A92">
        <v>83</v>
      </c>
      <c r="B92" s="4">
        <v>48519</v>
      </c>
      <c r="C92" s="6">
        <f t="shared" si="3"/>
        <v>-4395060.9821078908</v>
      </c>
      <c r="D92" s="6">
        <f t="shared" si="4"/>
        <v>-436529.18332149665</v>
      </c>
      <c r="E92" s="6">
        <f t="shared" si="5"/>
        <v>-3958531.7987863938</v>
      </c>
    </row>
    <row r="93" spans="1:5" x14ac:dyDescent="0.25">
      <c r="A93">
        <v>84</v>
      </c>
      <c r="B93" s="4">
        <v>48549</v>
      </c>
      <c r="C93" s="6">
        <f t="shared" si="3"/>
        <v>-4395060.9821078908</v>
      </c>
      <c r="D93" s="6">
        <f t="shared" si="4"/>
        <v>-406840.19483059878</v>
      </c>
      <c r="E93" s="6">
        <f t="shared" si="5"/>
        <v>-3988220.7872772915</v>
      </c>
    </row>
    <row r="94" spans="1:5" x14ac:dyDescent="0.25">
      <c r="A94">
        <v>85</v>
      </c>
      <c r="B94" s="4">
        <v>48580</v>
      </c>
      <c r="C94" s="6">
        <f t="shared" si="3"/>
        <v>-4395060.9821078908</v>
      </c>
      <c r="D94" s="6">
        <f t="shared" si="4"/>
        <v>-376928.53892601898</v>
      </c>
      <c r="E94" s="6">
        <f t="shared" si="5"/>
        <v>-4018132.4431818714</v>
      </c>
    </row>
    <row r="95" spans="1:5" x14ac:dyDescent="0.25">
      <c r="A95">
        <v>86</v>
      </c>
      <c r="B95" s="4">
        <v>48611</v>
      </c>
      <c r="C95" s="6">
        <f t="shared" si="3"/>
        <v>-4395060.9821078908</v>
      </c>
      <c r="D95" s="6">
        <f t="shared" si="4"/>
        <v>-346792.54560215498</v>
      </c>
      <c r="E95" s="6">
        <f t="shared" si="5"/>
        <v>-4048268.4365057354</v>
      </c>
    </row>
    <row r="96" spans="1:5" x14ac:dyDescent="0.25">
      <c r="A96">
        <v>87</v>
      </c>
      <c r="B96" s="4">
        <v>48639</v>
      </c>
      <c r="C96" s="6">
        <f t="shared" si="3"/>
        <v>-4395060.9821078908</v>
      </c>
      <c r="D96" s="6">
        <f t="shared" si="4"/>
        <v>-316430.53232836188</v>
      </c>
      <c r="E96" s="6">
        <f t="shared" si="5"/>
        <v>-4078630.4497795287</v>
      </c>
    </row>
    <row r="97" spans="1:5" x14ac:dyDescent="0.25">
      <c r="A97">
        <v>88</v>
      </c>
      <c r="B97" s="4">
        <v>48670</v>
      </c>
      <c r="C97" s="6">
        <f t="shared" si="3"/>
        <v>-4395060.9821078908</v>
      </c>
      <c r="D97" s="6">
        <f t="shared" si="4"/>
        <v>-285840.80395501544</v>
      </c>
      <c r="E97" s="6">
        <f t="shared" si="5"/>
        <v>-4109220.178152875</v>
      </c>
    </row>
    <row r="98" spans="1:5" x14ac:dyDescent="0.25">
      <c r="A98">
        <v>89</v>
      </c>
      <c r="B98" s="4">
        <v>48700</v>
      </c>
      <c r="C98" s="6">
        <f t="shared" si="3"/>
        <v>-4395060.9821078908</v>
      </c>
      <c r="D98" s="6">
        <f t="shared" si="4"/>
        <v>-255021.65261886889</v>
      </c>
      <c r="E98" s="6">
        <f t="shared" si="5"/>
        <v>-4140039.3294890211</v>
      </c>
    </row>
    <row r="99" spans="1:5" x14ac:dyDescent="0.25">
      <c r="A99">
        <v>90</v>
      </c>
      <c r="B99" s="4">
        <v>48731</v>
      </c>
      <c r="C99" s="6">
        <f t="shared" si="3"/>
        <v>-4395060.9821078908</v>
      </c>
      <c r="D99" s="6">
        <f t="shared" si="4"/>
        <v>-223971.35764770125</v>
      </c>
      <c r="E99" s="6">
        <f t="shared" si="5"/>
        <v>-4171089.6244601887</v>
      </c>
    </row>
    <row r="100" spans="1:5" x14ac:dyDescent="0.25">
      <c r="A100">
        <v>91</v>
      </c>
      <c r="B100" s="4">
        <v>48761</v>
      </c>
      <c r="C100" s="6">
        <f t="shared" si="3"/>
        <v>-4395060.9821078908</v>
      </c>
      <c r="D100" s="6">
        <f t="shared" si="4"/>
        <v>-192688.18546424984</v>
      </c>
      <c r="E100" s="6">
        <f t="shared" si="5"/>
        <v>-4202372.7966436399</v>
      </c>
    </row>
    <row r="101" spans="1:5" x14ac:dyDescent="0.25">
      <c r="A101">
        <v>92</v>
      </c>
      <c r="B101" s="4">
        <v>48792</v>
      </c>
      <c r="C101" s="6">
        <f t="shared" si="3"/>
        <v>-4395060.9821078908</v>
      </c>
      <c r="D101" s="6">
        <f t="shared" si="4"/>
        <v>-161170.38948942252</v>
      </c>
      <c r="E101" s="6">
        <f t="shared" si="5"/>
        <v>-4233890.5926184682</v>
      </c>
    </row>
    <row r="102" spans="1:5" x14ac:dyDescent="0.25">
      <c r="A102">
        <v>93</v>
      </c>
      <c r="B102" s="4">
        <v>48823</v>
      </c>
      <c r="C102" s="6">
        <f t="shared" si="3"/>
        <v>-4395060.9821078908</v>
      </c>
      <c r="D102" s="6">
        <f t="shared" si="4"/>
        <v>-129416.21004478401</v>
      </c>
      <c r="E102" s="6">
        <f t="shared" si="5"/>
        <v>-4265644.7720631063</v>
      </c>
    </row>
    <row r="103" spans="1:5" x14ac:dyDescent="0.25">
      <c r="A103">
        <v>94</v>
      </c>
      <c r="B103" s="4">
        <v>48853</v>
      </c>
      <c r="C103" s="6">
        <f t="shared" si="3"/>
        <v>-4395060.9821078908</v>
      </c>
      <c r="D103" s="6">
        <f t="shared" si="4"/>
        <v>-97423.874254310707</v>
      </c>
      <c r="E103" s="6">
        <f t="shared" si="5"/>
        <v>-4297637.1078535793</v>
      </c>
    </row>
    <row r="104" spans="1:5" x14ac:dyDescent="0.25">
      <c r="A104">
        <v>95</v>
      </c>
      <c r="B104" s="4">
        <v>48884</v>
      </c>
      <c r="C104" s="6">
        <f t="shared" si="3"/>
        <v>-4395060.9821078908</v>
      </c>
      <c r="D104" s="6">
        <f t="shared" si="4"/>
        <v>-65191.595945408866</v>
      </c>
      <c r="E104" s="6">
        <f t="shared" si="5"/>
        <v>-4329869.3861624822</v>
      </c>
    </row>
    <row r="105" spans="1:5" x14ac:dyDescent="0.25">
      <c r="A105">
        <v>96</v>
      </c>
      <c r="B105" s="4">
        <v>48914</v>
      </c>
      <c r="C105" s="6">
        <f t="shared" si="3"/>
        <v>-4395060.9821078908</v>
      </c>
      <c r="D105" s="6">
        <f t="shared" si="4"/>
        <v>-32717.575549190256</v>
      </c>
      <c r="E105" s="6">
        <f t="shared" si="5"/>
        <v>-4362343.4065587008</v>
      </c>
    </row>
    <row r="106" spans="1:5" x14ac:dyDescent="0.25">
      <c r="A106">
        <v>97</v>
      </c>
      <c r="B106" s="4">
        <v>48945</v>
      </c>
      <c r="C106" s="6">
        <f t="shared" si="3"/>
        <v>-4395060.9821078908</v>
      </c>
      <c r="D106" s="6" t="e">
        <f t="shared" si="4"/>
        <v>#NUM!</v>
      </c>
      <c r="E106" s="6" t="e">
        <f t="shared" si="5"/>
        <v>#NUM!</v>
      </c>
    </row>
    <row r="107" spans="1:5" x14ac:dyDescent="0.25">
      <c r="A107">
        <v>98</v>
      </c>
      <c r="B107" s="4">
        <v>48976</v>
      </c>
      <c r="C107" s="6">
        <f t="shared" si="3"/>
        <v>-4395060.9821078908</v>
      </c>
      <c r="D107" s="6" t="e">
        <f t="shared" si="4"/>
        <v>#NUM!</v>
      </c>
      <c r="E107" s="6" t="e">
        <f t="shared" si="5"/>
        <v>#NUM!</v>
      </c>
    </row>
    <row r="108" spans="1:5" x14ac:dyDescent="0.25">
      <c r="A108">
        <v>99</v>
      </c>
      <c r="B108" s="4">
        <v>49004</v>
      </c>
      <c r="C108" s="6">
        <f t="shared" si="3"/>
        <v>-4395060.9821078908</v>
      </c>
      <c r="D108" s="6" t="e">
        <f t="shared" si="4"/>
        <v>#NUM!</v>
      </c>
      <c r="E108" s="6" t="e">
        <f t="shared" si="5"/>
        <v>#NUM!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8"/>
  <sheetViews>
    <sheetView view="pageBreakPreview" topLeftCell="A52" zoomScale="60" zoomScaleNormal="100" workbookViewId="0">
      <selection activeCell="B75" sqref="B75:D75"/>
    </sheetView>
  </sheetViews>
  <sheetFormatPr defaultColWidth="9.109375" defaultRowHeight="14.4" x14ac:dyDescent="0.3"/>
  <cols>
    <col min="1" max="1" width="6.6640625" style="10" customWidth="1"/>
    <col min="2" max="2" width="31.109375" style="10" customWidth="1"/>
    <col min="3" max="3" width="12" style="10" customWidth="1"/>
    <col min="4" max="4" width="16.5546875" style="10" customWidth="1"/>
    <col min="5" max="5" width="16.6640625" style="10" customWidth="1"/>
    <col min="6" max="6" width="9.109375" style="10" customWidth="1"/>
    <col min="7" max="7" width="8.5546875" style="10" customWidth="1"/>
    <col min="8" max="8" width="9.109375" style="10" customWidth="1"/>
    <col min="9" max="16384" width="9.109375" style="10"/>
  </cols>
  <sheetData>
    <row r="1" spans="1:8" x14ac:dyDescent="0.3">
      <c r="A1" s="358" t="str">
        <f>Cost!A1</f>
        <v>Mahecha Boutique Hotels Private Limited</v>
      </c>
      <c r="B1" s="358"/>
      <c r="C1" s="358"/>
      <c r="D1" s="358"/>
      <c r="E1" s="358"/>
    </row>
    <row r="2" spans="1:8" ht="31.5" customHeight="1" x14ac:dyDescent="0.3">
      <c r="A2" s="388" t="str">
        <f>Cost!A2</f>
        <v>Khasra No. 795/10 &amp; others, Village: Sinya, Gram Panchyat: Kariya, Tehsil: Kumbhalgarh, Dist.: Rajsamand</v>
      </c>
      <c r="B2" s="388"/>
      <c r="C2" s="388"/>
      <c r="D2" s="388"/>
      <c r="E2" s="388"/>
    </row>
    <row r="3" spans="1:8" x14ac:dyDescent="0.3">
      <c r="A3" s="387" t="s">
        <v>0</v>
      </c>
      <c r="B3" s="387"/>
      <c r="C3" s="387"/>
      <c r="D3" s="236"/>
      <c r="E3" s="237"/>
    </row>
    <row r="4" spans="1:8" ht="48" customHeight="1" x14ac:dyDescent="0.3">
      <c r="A4" s="139">
        <v>1</v>
      </c>
      <c r="B4" s="314" t="s">
        <v>119</v>
      </c>
      <c r="C4" s="383" t="s">
        <v>257</v>
      </c>
      <c r="D4" s="383"/>
      <c r="E4" s="383"/>
    </row>
    <row r="5" spans="1:8" ht="30.75" customHeight="1" x14ac:dyDescent="0.3">
      <c r="A5" s="250">
        <v>2</v>
      </c>
      <c r="B5" s="315" t="s">
        <v>217</v>
      </c>
      <c r="C5" s="389" t="s">
        <v>258</v>
      </c>
      <c r="D5" s="390"/>
      <c r="E5" s="391"/>
      <c r="G5" s="33"/>
      <c r="H5" s="33"/>
    </row>
    <row r="6" spans="1:8" ht="15.75" customHeight="1" x14ac:dyDescent="0.3">
      <c r="A6" s="139">
        <v>3</v>
      </c>
      <c r="B6" s="314" t="s">
        <v>172</v>
      </c>
      <c r="C6" s="384" t="s">
        <v>146</v>
      </c>
      <c r="D6" s="385"/>
      <c r="E6" s="386"/>
    </row>
    <row r="7" spans="1:8" ht="30.75" customHeight="1" x14ac:dyDescent="0.3">
      <c r="A7" s="139">
        <v>4</v>
      </c>
      <c r="B7" s="314" t="s">
        <v>221</v>
      </c>
      <c r="C7" s="381" t="s">
        <v>262</v>
      </c>
      <c r="D7" s="382"/>
      <c r="E7" s="137">
        <v>44.63</v>
      </c>
    </row>
    <row r="8" spans="1:8" ht="15" customHeight="1" x14ac:dyDescent="0.3">
      <c r="B8" s="13"/>
      <c r="C8" s="138"/>
      <c r="D8" s="138"/>
      <c r="E8" s="138"/>
    </row>
    <row r="9" spans="1:8" ht="15" customHeight="1" x14ac:dyDescent="0.3">
      <c r="A9" s="363" t="s">
        <v>120</v>
      </c>
      <c r="B9" s="363"/>
      <c r="C9" s="363"/>
      <c r="D9" s="237"/>
      <c r="E9" s="237"/>
    </row>
    <row r="10" spans="1:8" ht="15" customHeight="1" x14ac:dyDescent="0.3">
      <c r="A10" s="235" t="s">
        <v>100</v>
      </c>
      <c r="B10" s="235" t="s">
        <v>101</v>
      </c>
      <c r="C10" s="307" t="s">
        <v>162</v>
      </c>
      <c r="D10" s="307" t="s">
        <v>163</v>
      </c>
      <c r="E10" s="307" t="s">
        <v>152</v>
      </c>
    </row>
    <row r="11" spans="1:8" ht="57.6" x14ac:dyDescent="0.3">
      <c r="A11" s="139">
        <v>1</v>
      </c>
      <c r="B11" s="308" t="s">
        <v>311</v>
      </c>
      <c r="C11" s="309">
        <v>165718</v>
      </c>
      <c r="D11" s="140" t="s">
        <v>225</v>
      </c>
      <c r="E11" s="141">
        <v>2744.68</v>
      </c>
    </row>
    <row r="12" spans="1:8" ht="28.8" x14ac:dyDescent="0.3">
      <c r="A12" s="249">
        <v>2</v>
      </c>
      <c r="B12" s="136" t="s">
        <v>226</v>
      </c>
      <c r="C12" s="136"/>
      <c r="D12" s="142" t="s">
        <v>220</v>
      </c>
      <c r="E12" s="354">
        <v>90</v>
      </c>
    </row>
    <row r="13" spans="1:8" x14ac:dyDescent="0.3">
      <c r="A13" s="139">
        <v>3</v>
      </c>
      <c r="B13" s="310" t="s">
        <v>216</v>
      </c>
      <c r="C13" s="136"/>
      <c r="D13" s="143" t="s">
        <v>220</v>
      </c>
      <c r="E13" s="354">
        <v>40</v>
      </c>
    </row>
    <row r="14" spans="1:8" ht="15.75" customHeight="1" x14ac:dyDescent="0.3">
      <c r="A14" s="249">
        <v>4</v>
      </c>
      <c r="B14" s="311" t="s">
        <v>129</v>
      </c>
      <c r="C14" s="312"/>
      <c r="D14" s="144" t="s">
        <v>158</v>
      </c>
      <c r="E14" s="354">
        <v>80</v>
      </c>
    </row>
    <row r="15" spans="1:8" x14ac:dyDescent="0.3">
      <c r="A15" s="139">
        <v>5</v>
      </c>
      <c r="B15" s="313" t="s">
        <v>130</v>
      </c>
      <c r="C15" s="312"/>
      <c r="D15" s="145" t="s">
        <v>158</v>
      </c>
      <c r="E15" s="354">
        <v>29.21</v>
      </c>
      <c r="F15" s="10">
        <v>24.24</v>
      </c>
    </row>
    <row r="16" spans="1:8" x14ac:dyDescent="0.3">
      <c r="A16" s="249">
        <v>6</v>
      </c>
      <c r="B16" s="113" t="s">
        <v>121</v>
      </c>
      <c r="C16" s="40"/>
      <c r="D16" s="145" t="s">
        <v>158</v>
      </c>
      <c r="E16" s="354">
        <v>16.11</v>
      </c>
    </row>
    <row r="17" spans="1:7" x14ac:dyDescent="0.3">
      <c r="A17" s="249"/>
      <c r="B17" s="371" t="s">
        <v>256</v>
      </c>
      <c r="C17" s="372"/>
      <c r="D17" s="373"/>
      <c r="E17" s="238">
        <f>SUM(E11:E16)</f>
        <v>3000</v>
      </c>
      <c r="G17" s="33"/>
    </row>
    <row r="18" spans="1:7" x14ac:dyDescent="0.3">
      <c r="A18" s="249">
        <v>7</v>
      </c>
      <c r="B18" s="113" t="s">
        <v>263</v>
      </c>
      <c r="C18" s="113"/>
      <c r="D18" s="113"/>
      <c r="E18" s="141">
        <v>20</v>
      </c>
    </row>
    <row r="19" spans="1:7" x14ac:dyDescent="0.3">
      <c r="A19" s="249">
        <v>8</v>
      </c>
      <c r="B19" s="113" t="s">
        <v>154</v>
      </c>
      <c r="C19" s="113"/>
      <c r="D19" s="113"/>
      <c r="E19" s="141">
        <v>25</v>
      </c>
    </row>
    <row r="20" spans="1:7" x14ac:dyDescent="0.3">
      <c r="A20" s="249">
        <v>9</v>
      </c>
      <c r="B20" s="113" t="s">
        <v>468</v>
      </c>
      <c r="C20" s="113"/>
      <c r="D20" s="113"/>
      <c r="E20" s="141">
        <v>175</v>
      </c>
    </row>
    <row r="21" spans="1:7" x14ac:dyDescent="0.3">
      <c r="A21" s="136"/>
      <c r="B21" s="239" t="s">
        <v>103</v>
      </c>
      <c r="C21" s="235"/>
      <c r="D21" s="235"/>
      <c r="E21" s="240">
        <f>SUM(E17:E20)</f>
        <v>3220</v>
      </c>
      <c r="G21" s="33"/>
    </row>
    <row r="22" spans="1:7" x14ac:dyDescent="0.3">
      <c r="A22" s="123"/>
      <c r="B22" s="146"/>
      <c r="C22" s="147"/>
      <c r="D22" s="147"/>
      <c r="E22" s="148"/>
    </row>
    <row r="23" spans="1:7" x14ac:dyDescent="0.3">
      <c r="A23" s="367" t="s">
        <v>218</v>
      </c>
      <c r="B23" s="367"/>
      <c r="C23" s="367"/>
      <c r="D23" s="237"/>
      <c r="E23" s="237"/>
    </row>
    <row r="24" spans="1:7" x14ac:dyDescent="0.3">
      <c r="A24" s="364" t="s">
        <v>102</v>
      </c>
      <c r="B24" s="365" t="s">
        <v>42</v>
      </c>
      <c r="C24" s="366" t="s">
        <v>147</v>
      </c>
      <c r="D24" s="366" t="s">
        <v>148</v>
      </c>
      <c r="E24" s="366" t="s">
        <v>153</v>
      </c>
    </row>
    <row r="25" spans="1:7" ht="5.25" customHeight="1" x14ac:dyDescent="0.3">
      <c r="A25" s="364"/>
      <c r="B25" s="365"/>
      <c r="C25" s="366"/>
      <c r="D25" s="366"/>
      <c r="E25" s="366"/>
    </row>
    <row r="26" spans="1:7" ht="15" hidden="1" customHeight="1" x14ac:dyDescent="0.3">
      <c r="A26" s="364"/>
      <c r="B26" s="365"/>
      <c r="C26" s="235"/>
      <c r="D26" s="366"/>
      <c r="E26" s="366"/>
    </row>
    <row r="27" spans="1:7" ht="28.8" x14ac:dyDescent="0.3">
      <c r="A27" s="139">
        <v>1</v>
      </c>
      <c r="B27" s="136" t="s">
        <v>222</v>
      </c>
      <c r="C27" s="304">
        <v>115</v>
      </c>
      <c r="D27" s="139">
        <v>55000</v>
      </c>
      <c r="E27" s="305">
        <f>D27*C27/100000</f>
        <v>63.25</v>
      </c>
      <c r="F27" s="10">
        <v>63.25</v>
      </c>
    </row>
    <row r="28" spans="1:7" x14ac:dyDescent="0.3">
      <c r="A28" s="139">
        <v>2</v>
      </c>
      <c r="B28" s="306" t="s">
        <v>149</v>
      </c>
      <c r="C28" s="150">
        <v>350</v>
      </c>
      <c r="D28" s="139">
        <v>3000</v>
      </c>
      <c r="E28" s="43">
        <f>D28*C28/100000</f>
        <v>10.5</v>
      </c>
    </row>
    <row r="29" spans="1:7" x14ac:dyDescent="0.3">
      <c r="A29" s="139">
        <v>3</v>
      </c>
      <c r="B29" s="151" t="s">
        <v>133</v>
      </c>
      <c r="C29" s="150">
        <v>100</v>
      </c>
      <c r="D29" s="139">
        <v>12000</v>
      </c>
      <c r="E29" s="43">
        <f>D29*C29/100000</f>
        <v>12</v>
      </c>
    </row>
    <row r="30" spans="1:7" x14ac:dyDescent="0.3">
      <c r="A30" s="139">
        <v>4</v>
      </c>
      <c r="B30" s="151" t="s">
        <v>173</v>
      </c>
      <c r="C30" s="150">
        <v>110</v>
      </c>
      <c r="D30" s="139">
        <v>50000</v>
      </c>
      <c r="E30" s="43">
        <f>D30*C30/100000</f>
        <v>55</v>
      </c>
    </row>
    <row r="31" spans="1:7" x14ac:dyDescent="0.3">
      <c r="A31" s="139">
        <v>5</v>
      </c>
      <c r="B31" s="151" t="s">
        <v>174</v>
      </c>
      <c r="C31" s="150">
        <v>100</v>
      </c>
      <c r="D31" s="139">
        <v>11000</v>
      </c>
      <c r="E31" s="43">
        <f>C31*D31/100000</f>
        <v>11</v>
      </c>
    </row>
    <row r="32" spans="1:7" x14ac:dyDescent="0.3">
      <c r="A32" s="139">
        <v>6</v>
      </c>
      <c r="B32" s="151" t="s">
        <v>175</v>
      </c>
      <c r="C32" s="150">
        <v>100</v>
      </c>
      <c r="D32" s="139">
        <v>12000</v>
      </c>
      <c r="E32" s="43">
        <f>C32*D32/100000</f>
        <v>12</v>
      </c>
    </row>
    <row r="33" spans="1:6" x14ac:dyDescent="0.3">
      <c r="A33" s="139">
        <v>7</v>
      </c>
      <c r="B33" s="151" t="s">
        <v>176</v>
      </c>
      <c r="C33" s="150">
        <v>100</v>
      </c>
      <c r="D33" s="139">
        <v>2000</v>
      </c>
      <c r="E33" s="43">
        <f>C33*D33/100000</f>
        <v>2</v>
      </c>
    </row>
    <row r="34" spans="1:6" x14ac:dyDescent="0.3">
      <c r="A34" s="139">
        <v>8</v>
      </c>
      <c r="B34" s="151" t="s">
        <v>177</v>
      </c>
      <c r="C34" s="150">
        <v>100</v>
      </c>
      <c r="D34" s="139">
        <v>1500</v>
      </c>
      <c r="E34" s="43">
        <f>C34*D34/100000</f>
        <v>1.5</v>
      </c>
    </row>
    <row r="35" spans="1:6" x14ac:dyDescent="0.3">
      <c r="A35" s="142">
        <v>9</v>
      </c>
      <c r="B35" s="40" t="s">
        <v>178</v>
      </c>
      <c r="C35" s="152"/>
      <c r="D35" s="152" t="s">
        <v>150</v>
      </c>
      <c r="E35" s="43">
        <v>15</v>
      </c>
    </row>
    <row r="36" spans="1:6" x14ac:dyDescent="0.3">
      <c r="A36" s="139">
        <v>10</v>
      </c>
      <c r="B36" s="151" t="s">
        <v>131</v>
      </c>
      <c r="C36" s="150"/>
      <c r="D36" s="150" t="s">
        <v>150</v>
      </c>
      <c r="E36" s="43">
        <v>20</v>
      </c>
    </row>
    <row r="37" spans="1:6" ht="15" customHeight="1" x14ac:dyDescent="0.3">
      <c r="A37" s="139">
        <v>11</v>
      </c>
      <c r="B37" s="136" t="s">
        <v>138</v>
      </c>
      <c r="C37" s="150"/>
      <c r="D37" s="150" t="s">
        <v>150</v>
      </c>
      <c r="E37" s="305">
        <v>15</v>
      </c>
      <c r="F37" s="10">
        <f>7.94+6.52</f>
        <v>14.46</v>
      </c>
    </row>
    <row r="38" spans="1:6" x14ac:dyDescent="0.3">
      <c r="A38" s="139">
        <v>12</v>
      </c>
      <c r="B38" s="151" t="s">
        <v>137</v>
      </c>
      <c r="C38" s="150"/>
      <c r="D38" s="150" t="s">
        <v>150</v>
      </c>
      <c r="E38" s="43">
        <v>25</v>
      </c>
      <c r="F38" s="10">
        <v>25.1</v>
      </c>
    </row>
    <row r="39" spans="1:6" x14ac:dyDescent="0.3">
      <c r="A39" s="139">
        <v>13</v>
      </c>
      <c r="B39" s="40" t="s">
        <v>180</v>
      </c>
      <c r="C39" s="40"/>
      <c r="D39" s="150" t="s">
        <v>150</v>
      </c>
      <c r="E39" s="43">
        <v>5</v>
      </c>
    </row>
    <row r="40" spans="1:6" ht="16.5" customHeight="1" x14ac:dyDescent="0.3">
      <c r="A40" s="139">
        <v>14</v>
      </c>
      <c r="B40" s="40" t="s">
        <v>181</v>
      </c>
      <c r="C40" s="40"/>
      <c r="D40" s="150" t="s">
        <v>150</v>
      </c>
      <c r="E40" s="43">
        <v>8</v>
      </c>
    </row>
    <row r="41" spans="1:6" ht="15" customHeight="1" x14ac:dyDescent="0.3">
      <c r="A41" s="139">
        <v>15</v>
      </c>
      <c r="B41" s="151" t="s">
        <v>159</v>
      </c>
      <c r="C41" s="150"/>
      <c r="D41" s="150" t="s">
        <v>150</v>
      </c>
      <c r="E41" s="43">
        <v>10</v>
      </c>
    </row>
    <row r="42" spans="1:6" x14ac:dyDescent="0.3">
      <c r="A42" s="139">
        <v>16</v>
      </c>
      <c r="B42" s="151" t="s">
        <v>179</v>
      </c>
      <c r="C42" s="150"/>
      <c r="D42" s="150" t="s">
        <v>150</v>
      </c>
      <c r="E42" s="43">
        <v>10</v>
      </c>
      <c r="F42" s="10">
        <v>9.9700000000000006</v>
      </c>
    </row>
    <row r="43" spans="1:6" ht="28.8" x14ac:dyDescent="0.3">
      <c r="A43" s="139">
        <v>17</v>
      </c>
      <c r="B43" s="151" t="s">
        <v>136</v>
      </c>
      <c r="C43" s="150"/>
      <c r="D43" s="150" t="s">
        <v>150</v>
      </c>
      <c r="E43" s="305">
        <v>35</v>
      </c>
    </row>
    <row r="44" spans="1:6" x14ac:dyDescent="0.3">
      <c r="A44" s="139">
        <v>18</v>
      </c>
      <c r="B44" s="151" t="s">
        <v>223</v>
      </c>
      <c r="C44" s="150">
        <v>2</v>
      </c>
      <c r="D44" s="150" t="s">
        <v>150</v>
      </c>
      <c r="E44" s="43">
        <v>25</v>
      </c>
    </row>
    <row r="45" spans="1:6" ht="28.8" x14ac:dyDescent="0.3">
      <c r="A45" s="139">
        <v>19</v>
      </c>
      <c r="B45" s="151" t="s">
        <v>132</v>
      </c>
      <c r="C45" s="150"/>
      <c r="D45" s="150" t="s">
        <v>150</v>
      </c>
      <c r="E45" s="43">
        <v>15</v>
      </c>
    </row>
    <row r="46" spans="1:6" x14ac:dyDescent="0.3">
      <c r="A46" s="139">
        <v>20</v>
      </c>
      <c r="B46" s="151" t="s">
        <v>182</v>
      </c>
      <c r="C46" s="150"/>
      <c r="D46" s="150" t="s">
        <v>150</v>
      </c>
      <c r="E46" s="43">
        <v>25</v>
      </c>
    </row>
    <row r="47" spans="1:6" ht="28.8" x14ac:dyDescent="0.3">
      <c r="A47" s="139">
        <v>21</v>
      </c>
      <c r="B47" s="151" t="s">
        <v>140</v>
      </c>
      <c r="C47" s="150"/>
      <c r="D47" s="150" t="s">
        <v>150</v>
      </c>
      <c r="E47" s="43">
        <v>20</v>
      </c>
    </row>
    <row r="48" spans="1:6" x14ac:dyDescent="0.3">
      <c r="A48" s="139">
        <v>22</v>
      </c>
      <c r="B48" s="151" t="s">
        <v>233</v>
      </c>
      <c r="C48" s="150">
        <v>2</v>
      </c>
      <c r="D48" s="150" t="s">
        <v>225</v>
      </c>
      <c r="E48" s="43">
        <v>18</v>
      </c>
    </row>
    <row r="49" spans="1:7" x14ac:dyDescent="0.3">
      <c r="A49" s="139">
        <v>23</v>
      </c>
      <c r="B49" s="151" t="s">
        <v>164</v>
      </c>
      <c r="C49" s="150"/>
      <c r="D49" s="150" t="s">
        <v>150</v>
      </c>
      <c r="E49" s="43">
        <v>16.75</v>
      </c>
    </row>
    <row r="50" spans="1:7" x14ac:dyDescent="0.3">
      <c r="A50" s="40"/>
      <c r="B50" s="260" t="s">
        <v>103</v>
      </c>
      <c r="C50" s="261"/>
      <c r="D50" s="262"/>
      <c r="E50" s="263">
        <f>SUM(E27:E49)</f>
        <v>430</v>
      </c>
      <c r="F50" s="10">
        <f>SUM(F25:F49)</f>
        <v>112.78</v>
      </c>
      <c r="G50" s="10">
        <f>+F50/E50</f>
        <v>0.26227906976744186</v>
      </c>
    </row>
    <row r="51" spans="1:7" x14ac:dyDescent="0.3">
      <c r="A51" s="110"/>
      <c r="B51" s="153"/>
      <c r="C51" s="105"/>
      <c r="D51" s="154"/>
      <c r="E51" s="155"/>
    </row>
    <row r="52" spans="1:7" x14ac:dyDescent="0.3">
      <c r="A52" s="377" t="s">
        <v>219</v>
      </c>
      <c r="B52" s="377"/>
      <c r="C52" s="377"/>
      <c r="D52" s="377"/>
      <c r="E52" s="377"/>
    </row>
    <row r="53" spans="1:7" x14ac:dyDescent="0.3">
      <c r="A53" s="136" t="s">
        <v>122</v>
      </c>
      <c r="B53" s="149" t="s">
        <v>104</v>
      </c>
      <c r="C53" s="149" t="s">
        <v>151</v>
      </c>
      <c r="D53" s="139" t="s">
        <v>148</v>
      </c>
      <c r="E53" s="139" t="s">
        <v>152</v>
      </c>
    </row>
    <row r="54" spans="1:7" ht="15" customHeight="1" x14ac:dyDescent="0.3">
      <c r="A54" s="152">
        <v>1</v>
      </c>
      <c r="B54" s="151" t="s">
        <v>224</v>
      </c>
      <c r="C54" s="150">
        <v>100</v>
      </c>
      <c r="D54" s="142">
        <v>2.25</v>
      </c>
      <c r="E54" s="43">
        <f>C54*D54</f>
        <v>225</v>
      </c>
    </row>
    <row r="55" spans="1:7" x14ac:dyDescent="0.3">
      <c r="A55" s="152">
        <v>2</v>
      </c>
      <c r="B55" s="151" t="s">
        <v>183</v>
      </c>
      <c r="C55" s="150">
        <v>1</v>
      </c>
      <c r="D55" s="46" t="s">
        <v>150</v>
      </c>
      <c r="E55" s="43">
        <v>30</v>
      </c>
    </row>
    <row r="56" spans="1:7" x14ac:dyDescent="0.3">
      <c r="A56" s="152">
        <v>3</v>
      </c>
      <c r="B56" s="151" t="s">
        <v>185</v>
      </c>
      <c r="C56" s="150">
        <v>1</v>
      </c>
      <c r="D56" s="46" t="s">
        <v>150</v>
      </c>
      <c r="E56" s="43">
        <v>20</v>
      </c>
    </row>
    <row r="57" spans="1:7" x14ac:dyDescent="0.3">
      <c r="A57" s="152">
        <v>4</v>
      </c>
      <c r="B57" s="151" t="s">
        <v>186</v>
      </c>
      <c r="C57" s="150">
        <v>1</v>
      </c>
      <c r="D57" s="46" t="s">
        <v>150</v>
      </c>
      <c r="E57" s="43">
        <v>15</v>
      </c>
    </row>
    <row r="58" spans="1:7" x14ac:dyDescent="0.3">
      <c r="A58" s="152">
        <v>8</v>
      </c>
      <c r="B58" s="149" t="s">
        <v>187</v>
      </c>
      <c r="C58" s="156">
        <v>1</v>
      </c>
      <c r="D58" s="46" t="s">
        <v>150</v>
      </c>
      <c r="E58" s="43">
        <v>5</v>
      </c>
    </row>
    <row r="59" spans="1:7" x14ac:dyDescent="0.3">
      <c r="A59" s="152">
        <v>9</v>
      </c>
      <c r="B59" s="149" t="s">
        <v>188</v>
      </c>
      <c r="C59" s="156">
        <v>1</v>
      </c>
      <c r="D59" s="46" t="s">
        <v>150</v>
      </c>
      <c r="E59" s="43">
        <v>15</v>
      </c>
    </row>
    <row r="60" spans="1:7" x14ac:dyDescent="0.3">
      <c r="A60" s="152">
        <v>10</v>
      </c>
      <c r="B60" s="149" t="s">
        <v>189</v>
      </c>
      <c r="C60" s="156">
        <v>1</v>
      </c>
      <c r="D60" s="46" t="s">
        <v>150</v>
      </c>
      <c r="E60" s="43">
        <v>3</v>
      </c>
    </row>
    <row r="61" spans="1:7" x14ac:dyDescent="0.3">
      <c r="A61" s="152">
        <v>11</v>
      </c>
      <c r="B61" s="149" t="s">
        <v>190</v>
      </c>
      <c r="C61" s="156">
        <v>1</v>
      </c>
      <c r="D61" s="46" t="s">
        <v>150</v>
      </c>
      <c r="E61" s="43">
        <v>4</v>
      </c>
    </row>
    <row r="62" spans="1:7" x14ac:dyDescent="0.3">
      <c r="A62" s="152">
        <v>12</v>
      </c>
      <c r="B62" s="149" t="s">
        <v>191</v>
      </c>
      <c r="C62" s="156">
        <v>1</v>
      </c>
      <c r="D62" s="46" t="s">
        <v>150</v>
      </c>
      <c r="E62" s="43">
        <v>3</v>
      </c>
    </row>
    <row r="63" spans="1:7" x14ac:dyDescent="0.3">
      <c r="A63" s="152">
        <v>13</v>
      </c>
      <c r="B63" s="149" t="s">
        <v>192</v>
      </c>
      <c r="C63" s="156">
        <v>1</v>
      </c>
      <c r="D63" s="46" t="s">
        <v>150</v>
      </c>
      <c r="E63" s="43">
        <v>2.5</v>
      </c>
    </row>
    <row r="64" spans="1:7" x14ac:dyDescent="0.3">
      <c r="A64" s="152">
        <v>14</v>
      </c>
      <c r="B64" s="149" t="s">
        <v>193</v>
      </c>
      <c r="C64" s="156">
        <v>1</v>
      </c>
      <c r="D64" s="46" t="s">
        <v>150</v>
      </c>
      <c r="E64" s="43">
        <v>3</v>
      </c>
    </row>
    <row r="65" spans="1:6" x14ac:dyDescent="0.3">
      <c r="A65" s="152">
        <v>15</v>
      </c>
      <c r="B65" s="149" t="s">
        <v>194</v>
      </c>
      <c r="C65" s="156">
        <v>1</v>
      </c>
      <c r="D65" s="46" t="s">
        <v>150</v>
      </c>
      <c r="E65" s="43">
        <v>3</v>
      </c>
    </row>
    <row r="66" spans="1:6" x14ac:dyDescent="0.3">
      <c r="A66" s="152">
        <v>16</v>
      </c>
      <c r="B66" s="151" t="s">
        <v>134</v>
      </c>
      <c r="C66" s="150">
        <v>1</v>
      </c>
      <c r="D66" s="46" t="s">
        <v>150</v>
      </c>
      <c r="E66" s="43">
        <v>4</v>
      </c>
    </row>
    <row r="67" spans="1:6" x14ac:dyDescent="0.3">
      <c r="A67" s="152">
        <v>17</v>
      </c>
      <c r="B67" s="151" t="s">
        <v>135</v>
      </c>
      <c r="C67" s="150">
        <v>1</v>
      </c>
      <c r="D67" s="46" t="s">
        <v>150</v>
      </c>
      <c r="E67" s="43">
        <v>5</v>
      </c>
    </row>
    <row r="68" spans="1:6" x14ac:dyDescent="0.3">
      <c r="A68" s="152">
        <v>18</v>
      </c>
      <c r="B68" s="157" t="s">
        <v>160</v>
      </c>
      <c r="C68" s="158"/>
      <c r="D68" s="38" t="s">
        <v>150</v>
      </c>
      <c r="E68" s="43">
        <v>12</v>
      </c>
    </row>
    <row r="69" spans="1:6" x14ac:dyDescent="0.3">
      <c r="A69" s="40"/>
      <c r="B69" s="241" t="s">
        <v>12</v>
      </c>
      <c r="C69" s="241"/>
      <c r="D69" s="241"/>
      <c r="E69" s="242">
        <f>ROUND(SUM(E54:E68),0)</f>
        <v>350</v>
      </c>
      <c r="F69" s="10">
        <v>354.69</v>
      </c>
    </row>
    <row r="70" spans="1:6" x14ac:dyDescent="0.3">
      <c r="A70" s="159"/>
      <c r="B70" s="160"/>
      <c r="C70" s="160"/>
      <c r="D70" s="160"/>
      <c r="E70" s="161"/>
    </row>
    <row r="71" spans="1:6" x14ac:dyDescent="0.3">
      <c r="A71" s="367" t="s">
        <v>255</v>
      </c>
      <c r="B71" s="367"/>
      <c r="C71" s="367"/>
      <c r="D71" s="367"/>
      <c r="E71" s="367"/>
    </row>
    <row r="72" spans="1:6" ht="21.75" customHeight="1" x14ac:dyDescent="0.3">
      <c r="A72" s="46" t="s">
        <v>122</v>
      </c>
      <c r="B72" s="378" t="s">
        <v>42</v>
      </c>
      <c r="C72" s="379"/>
      <c r="D72" s="380"/>
      <c r="E72" s="162" t="s">
        <v>1</v>
      </c>
    </row>
    <row r="73" spans="1:6" ht="15.75" customHeight="1" x14ac:dyDescent="0.3">
      <c r="A73" s="204">
        <v>1</v>
      </c>
      <c r="B73" s="368" t="s">
        <v>235</v>
      </c>
      <c r="C73" s="369"/>
      <c r="D73" s="370"/>
      <c r="E73" s="163">
        <v>20</v>
      </c>
    </row>
    <row r="74" spans="1:6" ht="15.75" customHeight="1" x14ac:dyDescent="0.3">
      <c r="A74" s="204">
        <v>2</v>
      </c>
      <c r="B74" s="368" t="s">
        <v>236</v>
      </c>
      <c r="C74" s="369"/>
      <c r="D74" s="370"/>
      <c r="E74" s="163">
        <v>20</v>
      </c>
    </row>
    <row r="75" spans="1:6" ht="32.25" customHeight="1" x14ac:dyDescent="0.3">
      <c r="A75" s="204">
        <v>3</v>
      </c>
      <c r="B75" s="368" t="s">
        <v>466</v>
      </c>
      <c r="C75" s="369"/>
      <c r="D75" s="370"/>
      <c r="E75" s="163">
        <f>1500*0.0965*2</f>
        <v>289.5</v>
      </c>
    </row>
    <row r="76" spans="1:6" ht="15.75" customHeight="1" x14ac:dyDescent="0.3">
      <c r="A76" s="142">
        <v>4</v>
      </c>
      <c r="B76" s="368" t="s">
        <v>264</v>
      </c>
      <c r="C76" s="369"/>
      <c r="D76" s="370"/>
      <c r="E76" s="164">
        <v>15</v>
      </c>
    </row>
    <row r="77" spans="1:6" x14ac:dyDescent="0.3">
      <c r="A77" s="111"/>
      <c r="B77" s="374" t="s">
        <v>71</v>
      </c>
      <c r="C77" s="375"/>
      <c r="D77" s="376"/>
      <c r="E77" s="256">
        <f>SUM(E73:E76)</f>
        <v>344.5</v>
      </c>
    </row>
    <row r="78" spans="1:6" x14ac:dyDescent="0.3">
      <c r="B78" s="165"/>
      <c r="C78" s="165"/>
      <c r="D78" s="165"/>
      <c r="E78" s="37"/>
      <c r="F78" s="37"/>
    </row>
  </sheetData>
  <mergeCells count="23">
    <mergeCell ref="C7:D7"/>
    <mergeCell ref="A1:E1"/>
    <mergeCell ref="C4:E4"/>
    <mergeCell ref="C6:E6"/>
    <mergeCell ref="A3:C3"/>
    <mergeCell ref="A2:E2"/>
    <mergeCell ref="C5:E5"/>
    <mergeCell ref="B73:D73"/>
    <mergeCell ref="B74:D74"/>
    <mergeCell ref="B75:D75"/>
    <mergeCell ref="B17:D17"/>
    <mergeCell ref="B77:D77"/>
    <mergeCell ref="B76:D76"/>
    <mergeCell ref="A52:E52"/>
    <mergeCell ref="A71:E71"/>
    <mergeCell ref="B72:D72"/>
    <mergeCell ref="E24:E26"/>
    <mergeCell ref="A9:C9"/>
    <mergeCell ref="A24:A26"/>
    <mergeCell ref="B24:B26"/>
    <mergeCell ref="D24:D26"/>
    <mergeCell ref="C24:C25"/>
    <mergeCell ref="A23:C23"/>
  </mergeCells>
  <pageMargins left="0.27559055118110237" right="0" top="0.51181102362204722" bottom="0" header="0.31496062992125984" footer="0.23622047244094491"/>
  <pageSetup paperSize="9" scale="93" fitToWidth="2" fitToHeight="2" orientation="portrait" r:id="rId1"/>
  <rowBreaks count="1" manualBreakCount="1">
    <brk id="5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7"/>
  <sheetViews>
    <sheetView view="pageBreakPreview" topLeftCell="A30" zoomScale="60" zoomScaleNormal="100" workbookViewId="0">
      <selection activeCell="G21" sqref="G21"/>
    </sheetView>
  </sheetViews>
  <sheetFormatPr defaultColWidth="9.109375" defaultRowHeight="14.4" x14ac:dyDescent="0.3"/>
  <cols>
    <col min="1" max="1" width="48.88671875" style="10" customWidth="1"/>
    <col min="2" max="2" width="16.6640625" style="10" customWidth="1"/>
    <col min="3" max="3" width="25.88671875" style="10" customWidth="1"/>
    <col min="4" max="4" width="18.33203125" style="10" customWidth="1"/>
    <col min="5" max="5" width="10.109375" style="10" hidden="1" customWidth="1"/>
    <col min="6" max="6" width="14.6640625" style="10" hidden="1" customWidth="1"/>
    <col min="7" max="7" width="11.88671875" style="10" customWidth="1"/>
    <col min="8" max="8" width="13.88671875" style="10" customWidth="1"/>
    <col min="9" max="16384" width="9.109375" style="10"/>
  </cols>
  <sheetData>
    <row r="1" spans="1:7" x14ac:dyDescent="0.3">
      <c r="A1" s="358" t="str">
        <f>'Cost Break Up'!A1:D1</f>
        <v>Mahecha Boutique Hotels Private Limited</v>
      </c>
      <c r="B1" s="358"/>
      <c r="C1" s="358"/>
      <c r="D1" s="358"/>
      <c r="E1" s="358"/>
      <c r="F1" s="358"/>
      <c r="G1" s="358"/>
    </row>
    <row r="2" spans="1:7" x14ac:dyDescent="0.3">
      <c r="A2" s="360" t="str">
        <f>Cost!A2</f>
        <v>Khasra No. 795/10 &amp; others, Village: Sinya, Gram Panchyat: Kariya, Tehsil: Kumbhalgarh, Dist.: Rajsamand</v>
      </c>
      <c r="B2" s="360"/>
      <c r="C2" s="360"/>
      <c r="D2" s="360"/>
      <c r="E2" s="360"/>
      <c r="F2" s="360"/>
      <c r="G2" s="360"/>
    </row>
    <row r="3" spans="1:7" x14ac:dyDescent="0.3">
      <c r="A3" s="360" t="s">
        <v>245</v>
      </c>
      <c r="B3" s="360"/>
      <c r="C3" s="360"/>
      <c r="D3" s="360"/>
      <c r="E3" s="360"/>
      <c r="F3" s="360"/>
      <c r="G3" s="360"/>
    </row>
    <row r="4" spans="1:7" x14ac:dyDescent="0.3">
      <c r="A4" s="57" t="s">
        <v>156</v>
      </c>
      <c r="B4" s="40">
        <v>100</v>
      </c>
      <c r="C4" s="40"/>
      <c r="D4" s="40"/>
      <c r="E4" s="189"/>
      <c r="F4" s="40"/>
      <c r="G4" s="40"/>
    </row>
    <row r="5" spans="1:7" x14ac:dyDescent="0.3">
      <c r="A5" s="57" t="s">
        <v>105</v>
      </c>
      <c r="B5" s="40">
        <v>365</v>
      </c>
      <c r="C5" s="40"/>
      <c r="D5" s="40"/>
      <c r="E5" s="40"/>
      <c r="F5" s="40"/>
      <c r="G5" s="40"/>
    </row>
    <row r="6" spans="1:7" s="13" customFormat="1" ht="16.5" customHeight="1" x14ac:dyDescent="0.3">
      <c r="A6" s="392" t="s">
        <v>3</v>
      </c>
      <c r="B6" s="392"/>
      <c r="C6" s="392"/>
      <c r="D6" s="392"/>
      <c r="E6" s="325" t="s">
        <v>2</v>
      </c>
      <c r="F6" s="57"/>
      <c r="G6" s="106" t="s">
        <v>1</v>
      </c>
    </row>
    <row r="7" spans="1:7" x14ac:dyDescent="0.3">
      <c r="A7" s="57" t="s">
        <v>4</v>
      </c>
      <c r="B7" s="40"/>
      <c r="C7" s="40"/>
      <c r="D7" s="40"/>
      <c r="E7" s="189"/>
      <c r="F7" s="40"/>
      <c r="G7" s="40"/>
    </row>
    <row r="8" spans="1:7" x14ac:dyDescent="0.3">
      <c r="A8" s="40" t="s">
        <v>107</v>
      </c>
      <c r="B8" s="40"/>
      <c r="C8" s="40"/>
      <c r="D8" s="319">
        <v>0.4</v>
      </c>
      <c r="E8" s="189"/>
      <c r="F8" s="40"/>
      <c r="G8" s="40"/>
    </row>
    <row r="9" spans="1:7" x14ac:dyDescent="0.3">
      <c r="A9" s="57" t="s">
        <v>106</v>
      </c>
      <c r="B9" s="40"/>
      <c r="C9" s="40"/>
      <c r="D9" s="205"/>
      <c r="E9" s="189"/>
      <c r="F9" s="40"/>
      <c r="G9" s="40"/>
    </row>
    <row r="10" spans="1:7" x14ac:dyDescent="0.3">
      <c r="A10" s="40" t="s">
        <v>197</v>
      </c>
      <c r="B10" s="40"/>
      <c r="C10" s="40"/>
      <c r="D10" s="189">
        <v>5500</v>
      </c>
      <c r="E10" s="189"/>
      <c r="F10" s="40"/>
      <c r="G10" s="40"/>
    </row>
    <row r="11" spans="1:7" x14ac:dyDescent="0.3">
      <c r="A11" s="40" t="s">
        <v>118</v>
      </c>
      <c r="B11" s="40"/>
      <c r="C11" s="40"/>
      <c r="D11" s="326">
        <f>B4*B5</f>
        <v>36500</v>
      </c>
      <c r="E11" s="189"/>
      <c r="F11" s="40"/>
      <c r="G11" s="40"/>
    </row>
    <row r="12" spans="1:7" x14ac:dyDescent="0.3">
      <c r="A12" s="40" t="s">
        <v>341</v>
      </c>
      <c r="B12" s="40"/>
      <c r="C12" s="40"/>
      <c r="D12" s="327">
        <f>D11*2</f>
        <v>73000</v>
      </c>
      <c r="E12" s="189"/>
      <c r="F12" s="40"/>
      <c r="G12" s="40"/>
    </row>
    <row r="13" spans="1:7" x14ac:dyDescent="0.3">
      <c r="A13" s="40" t="s">
        <v>70</v>
      </c>
      <c r="B13" s="40"/>
      <c r="C13" s="40"/>
      <c r="D13" s="189">
        <v>1500</v>
      </c>
      <c r="E13" s="189"/>
      <c r="F13" s="40"/>
      <c r="G13" s="40"/>
    </row>
    <row r="14" spans="1:7" x14ac:dyDescent="0.3">
      <c r="A14" s="40" t="s">
        <v>166</v>
      </c>
      <c r="B14" s="40"/>
      <c r="C14" s="40"/>
      <c r="D14" s="189">
        <v>450</v>
      </c>
      <c r="E14" s="189"/>
      <c r="F14" s="40"/>
      <c r="G14" s="43"/>
    </row>
    <row r="15" spans="1:7" x14ac:dyDescent="0.3">
      <c r="A15" s="317" t="s">
        <v>15</v>
      </c>
      <c r="B15" s="317"/>
      <c r="C15" s="40"/>
      <c r="D15" s="189"/>
      <c r="E15" s="40"/>
      <c r="F15" s="40"/>
      <c r="G15" s="40"/>
    </row>
    <row r="16" spans="1:7" x14ac:dyDescent="0.3">
      <c r="A16" s="40" t="s">
        <v>67</v>
      </c>
      <c r="B16" s="40"/>
      <c r="C16" s="40"/>
      <c r="D16" s="189">
        <f>ROUND((B4*D10*B5*D8)/100000,2)</f>
        <v>803</v>
      </c>
      <c r="E16" s="189"/>
      <c r="F16" s="40"/>
      <c r="G16" s="40"/>
    </row>
    <row r="17" spans="1:8" x14ac:dyDescent="0.3">
      <c r="A17" s="40" t="s">
        <v>5</v>
      </c>
      <c r="B17" s="40"/>
      <c r="C17" s="40"/>
      <c r="D17" s="189">
        <f>ROUND((D12*D13)*D8/100000,2)</f>
        <v>438</v>
      </c>
      <c r="E17" s="189">
        <f>ROUND(75*365*2*500*35%/100000,2)</f>
        <v>95.81</v>
      </c>
      <c r="F17" s="40"/>
      <c r="G17" s="43"/>
    </row>
    <row r="18" spans="1:8" x14ac:dyDescent="0.3">
      <c r="A18" s="40" t="s">
        <v>165</v>
      </c>
      <c r="B18" s="40"/>
      <c r="C18" s="40"/>
      <c r="D18" s="189">
        <f>ROUND((D14*D12)*D8/100000,2)</f>
        <v>131.4</v>
      </c>
      <c r="E18" s="189"/>
      <c r="F18" s="40"/>
      <c r="G18" s="43"/>
    </row>
    <row r="19" spans="1:8" x14ac:dyDescent="0.3">
      <c r="A19" s="40" t="s">
        <v>344</v>
      </c>
      <c r="B19" s="40"/>
      <c r="C19" s="40" t="s">
        <v>343</v>
      </c>
      <c r="D19" s="189">
        <f>10*750*1100/100000</f>
        <v>82.5</v>
      </c>
      <c r="E19" s="189"/>
      <c r="F19" s="40"/>
      <c r="G19" s="43"/>
    </row>
    <row r="20" spans="1:8" x14ac:dyDescent="0.3">
      <c r="A20" s="40" t="s">
        <v>399</v>
      </c>
      <c r="B20" s="40"/>
      <c r="C20" s="40"/>
      <c r="D20" s="189">
        <v>30</v>
      </c>
      <c r="E20" s="189"/>
      <c r="F20" s="40"/>
      <c r="G20" s="43"/>
    </row>
    <row r="21" spans="1:8" x14ac:dyDescent="0.3">
      <c r="A21" s="40" t="s">
        <v>49</v>
      </c>
      <c r="B21" s="328" t="s">
        <v>103</v>
      </c>
      <c r="C21" s="40" t="s">
        <v>351</v>
      </c>
      <c r="D21" s="219">
        <v>7</v>
      </c>
      <c r="E21" s="329">
        <f>ROUND(SUM(E14:E17),2)</f>
        <v>95.81</v>
      </c>
      <c r="F21" s="57"/>
      <c r="G21" s="212">
        <f>SUM(D16:D21)</f>
        <v>1491.9</v>
      </c>
    </row>
    <row r="22" spans="1:8" x14ac:dyDescent="0.3">
      <c r="A22" s="109" t="s">
        <v>6</v>
      </c>
      <c r="B22" s="110"/>
      <c r="C22" s="110"/>
      <c r="D22" s="111"/>
      <c r="E22" s="112"/>
      <c r="F22" s="113"/>
      <c r="G22" s="40"/>
    </row>
    <row r="23" spans="1:8" ht="17.25" customHeight="1" thickBot="1" x14ac:dyDescent="0.35">
      <c r="A23" s="114" t="s">
        <v>42</v>
      </c>
      <c r="B23" s="115" t="s">
        <v>0</v>
      </c>
      <c r="C23" s="116" t="s">
        <v>0</v>
      </c>
      <c r="D23" s="117"/>
      <c r="E23" s="117" t="s">
        <v>11</v>
      </c>
      <c r="F23" s="47"/>
      <c r="G23" s="118"/>
    </row>
    <row r="24" spans="1:8" ht="15" thickTop="1" x14ac:dyDescent="0.3">
      <c r="A24" s="103" t="s">
        <v>108</v>
      </c>
      <c r="B24" s="119">
        <v>0.08</v>
      </c>
      <c r="C24" s="120"/>
      <c r="D24" s="121"/>
      <c r="E24" s="121" t="e">
        <f>ROUND(#REF!*15%,2)</f>
        <v>#REF!</v>
      </c>
      <c r="F24" s="47"/>
      <c r="G24" s="55">
        <f>D16*B24</f>
        <v>64.239999999999995</v>
      </c>
    </row>
    <row r="25" spans="1:8" ht="33" customHeight="1" x14ac:dyDescent="0.3">
      <c r="A25" s="122" t="s">
        <v>184</v>
      </c>
      <c r="B25" s="119">
        <v>0.55000000000000004</v>
      </c>
      <c r="C25" s="120"/>
      <c r="D25" s="121"/>
      <c r="E25" s="108">
        <f>ROUND(E17*40%,2)</f>
        <v>38.32</v>
      </c>
      <c r="F25" s="47"/>
      <c r="G25" s="55">
        <f>(D17+D18)*B25</f>
        <v>313.17</v>
      </c>
    </row>
    <row r="26" spans="1:8" ht="17.25" customHeight="1" x14ac:dyDescent="0.3">
      <c r="A26" s="47" t="s">
        <v>198</v>
      </c>
      <c r="B26" s="119">
        <v>0.3</v>
      </c>
      <c r="C26" s="120"/>
      <c r="D26" s="121"/>
      <c r="E26" s="108"/>
      <c r="F26" s="47"/>
      <c r="G26" s="55">
        <f>D19*0.3</f>
        <v>24.75</v>
      </c>
    </row>
    <row r="27" spans="1:8" ht="18" customHeight="1" x14ac:dyDescent="0.3">
      <c r="A27" s="47" t="s">
        <v>109</v>
      </c>
      <c r="B27" s="119">
        <v>0.02</v>
      </c>
      <c r="C27" s="120"/>
      <c r="D27" s="121"/>
      <c r="E27" s="108">
        <f>2%*E21</f>
        <v>1.9162000000000001</v>
      </c>
      <c r="F27" s="47"/>
      <c r="G27" s="55">
        <f>G21*B27</f>
        <v>29.838000000000001</v>
      </c>
    </row>
    <row r="28" spans="1:8" ht="18" customHeight="1" x14ac:dyDescent="0.3">
      <c r="A28" s="47" t="s">
        <v>79</v>
      </c>
      <c r="B28" s="123"/>
      <c r="C28" s="120"/>
      <c r="D28" s="121"/>
      <c r="E28" s="108"/>
      <c r="F28" s="47"/>
      <c r="G28" s="47"/>
      <c r="H28" s="47"/>
    </row>
    <row r="29" spans="1:8" ht="15" thickBot="1" x14ac:dyDescent="0.35">
      <c r="A29" s="124" t="s">
        <v>7</v>
      </c>
      <c r="B29" s="124" t="s">
        <v>8</v>
      </c>
      <c r="C29" s="125" t="s">
        <v>80</v>
      </c>
      <c r="D29" s="126" t="s">
        <v>88</v>
      </c>
      <c r="E29" s="127"/>
      <c r="F29" s="69"/>
      <c r="G29" s="60"/>
    </row>
    <row r="30" spans="1:8" ht="19.5" customHeight="1" thickTop="1" x14ac:dyDescent="0.3">
      <c r="A30" s="47" t="s">
        <v>201</v>
      </c>
      <c r="B30" s="128">
        <v>1</v>
      </c>
      <c r="C30" s="75">
        <v>75000</v>
      </c>
      <c r="D30" s="75">
        <f>B30*C30</f>
        <v>75000</v>
      </c>
      <c r="E30" s="108"/>
      <c r="F30" s="47"/>
      <c r="G30" s="60"/>
    </row>
    <row r="31" spans="1:8" ht="20.25" customHeight="1" x14ac:dyDescent="0.3">
      <c r="A31" s="47" t="s">
        <v>211</v>
      </c>
      <c r="B31" s="128">
        <v>1</v>
      </c>
      <c r="C31" s="75">
        <v>35000</v>
      </c>
      <c r="D31" s="75">
        <f t="shared" ref="D31:D49" si="0">B31*C31</f>
        <v>35000</v>
      </c>
      <c r="E31" s="108"/>
      <c r="F31" s="47"/>
      <c r="G31" s="60"/>
    </row>
    <row r="32" spans="1:8" x14ac:dyDescent="0.3">
      <c r="A32" s="47" t="s">
        <v>94</v>
      </c>
      <c r="B32" s="128">
        <v>1</v>
      </c>
      <c r="C32" s="75">
        <v>35000</v>
      </c>
      <c r="D32" s="75">
        <f t="shared" si="0"/>
        <v>35000</v>
      </c>
      <c r="E32" s="108"/>
      <c r="F32" s="47"/>
      <c r="G32" s="60"/>
    </row>
    <row r="33" spans="1:7" x14ac:dyDescent="0.3">
      <c r="A33" s="47" t="s">
        <v>170</v>
      </c>
      <c r="B33" s="128">
        <v>2</v>
      </c>
      <c r="C33" s="75">
        <v>20000</v>
      </c>
      <c r="D33" s="75">
        <f t="shared" si="0"/>
        <v>40000</v>
      </c>
      <c r="E33" s="108"/>
      <c r="F33" s="47"/>
      <c r="G33" s="60"/>
    </row>
    <row r="34" spans="1:7" x14ac:dyDescent="0.3">
      <c r="A34" s="47" t="s">
        <v>73</v>
      </c>
      <c r="B34" s="128">
        <v>5</v>
      </c>
      <c r="C34" s="75">
        <v>12000</v>
      </c>
      <c r="D34" s="75">
        <f t="shared" si="0"/>
        <v>60000</v>
      </c>
      <c r="E34" s="108"/>
      <c r="F34" s="47"/>
      <c r="G34" s="60"/>
    </row>
    <row r="35" spans="1:7" x14ac:dyDescent="0.3">
      <c r="A35" s="47" t="s">
        <v>98</v>
      </c>
      <c r="B35" s="128">
        <v>3</v>
      </c>
      <c r="C35" s="75">
        <v>12000</v>
      </c>
      <c r="D35" s="75">
        <f t="shared" si="0"/>
        <v>36000</v>
      </c>
      <c r="E35" s="108"/>
      <c r="F35" s="47"/>
      <c r="G35" s="60"/>
    </row>
    <row r="36" spans="1:7" x14ac:dyDescent="0.3">
      <c r="A36" s="47" t="s">
        <v>161</v>
      </c>
      <c r="B36" s="128">
        <v>3</v>
      </c>
      <c r="C36" s="75">
        <v>10000</v>
      </c>
      <c r="D36" s="75">
        <f t="shared" si="0"/>
        <v>30000</v>
      </c>
      <c r="E36" s="108"/>
      <c r="F36" s="47"/>
      <c r="G36" s="60"/>
    </row>
    <row r="37" spans="1:7" x14ac:dyDescent="0.3">
      <c r="A37" s="47" t="s">
        <v>39</v>
      </c>
      <c r="B37" s="128">
        <v>4</v>
      </c>
      <c r="C37" s="75">
        <v>8000</v>
      </c>
      <c r="D37" s="75">
        <f t="shared" si="0"/>
        <v>32000</v>
      </c>
      <c r="E37" s="108"/>
      <c r="F37" s="47"/>
      <c r="G37" s="60"/>
    </row>
    <row r="38" spans="1:7" x14ac:dyDescent="0.3">
      <c r="A38" s="47" t="s">
        <v>199</v>
      </c>
      <c r="B38" s="128">
        <v>1</v>
      </c>
      <c r="C38" s="75">
        <v>40000</v>
      </c>
      <c r="D38" s="75">
        <f t="shared" si="0"/>
        <v>40000</v>
      </c>
      <c r="E38" s="108"/>
      <c r="F38" s="47"/>
      <c r="G38" s="60"/>
    </row>
    <row r="39" spans="1:7" x14ac:dyDescent="0.3">
      <c r="A39" s="47" t="s">
        <v>74</v>
      </c>
      <c r="B39" s="128">
        <v>2</v>
      </c>
      <c r="C39" s="129">
        <v>20000</v>
      </c>
      <c r="D39" s="75">
        <f t="shared" si="0"/>
        <v>40000</v>
      </c>
      <c r="E39" s="108"/>
      <c r="F39" s="47"/>
      <c r="G39" s="60"/>
    </row>
    <row r="40" spans="1:7" x14ac:dyDescent="0.3">
      <c r="A40" s="47" t="s">
        <v>200</v>
      </c>
      <c r="B40" s="128">
        <v>2</v>
      </c>
      <c r="C40" s="129">
        <v>40000</v>
      </c>
      <c r="D40" s="75">
        <f t="shared" si="0"/>
        <v>80000</v>
      </c>
      <c r="E40" s="108"/>
      <c r="F40" s="47"/>
      <c r="G40" s="60"/>
    </row>
    <row r="41" spans="1:7" x14ac:dyDescent="0.3">
      <c r="A41" s="47" t="s">
        <v>75</v>
      </c>
      <c r="B41" s="128">
        <v>1</v>
      </c>
      <c r="C41" s="75">
        <v>50000</v>
      </c>
      <c r="D41" s="75">
        <f t="shared" si="0"/>
        <v>50000</v>
      </c>
      <c r="E41" s="108"/>
      <c r="F41" s="47"/>
      <c r="G41" s="60"/>
    </row>
    <row r="42" spans="1:7" x14ac:dyDescent="0.3">
      <c r="A42" s="47" t="s">
        <v>171</v>
      </c>
      <c r="B42" s="128">
        <v>4</v>
      </c>
      <c r="C42" s="75">
        <v>25000</v>
      </c>
      <c r="D42" s="75">
        <f t="shared" si="0"/>
        <v>100000</v>
      </c>
      <c r="E42" s="108"/>
      <c r="F42" s="47"/>
      <c r="G42" s="60"/>
    </row>
    <row r="43" spans="1:7" x14ac:dyDescent="0.3">
      <c r="A43" s="47" t="s">
        <v>204</v>
      </c>
      <c r="B43" s="128">
        <v>6</v>
      </c>
      <c r="C43" s="75">
        <v>12000</v>
      </c>
      <c r="D43" s="75">
        <f t="shared" si="0"/>
        <v>72000</v>
      </c>
      <c r="E43" s="108"/>
      <c r="F43" s="47"/>
      <c r="G43" s="60"/>
    </row>
    <row r="44" spans="1:7" x14ac:dyDescent="0.3">
      <c r="A44" s="47" t="s">
        <v>76</v>
      </c>
      <c r="B44" s="128">
        <v>15</v>
      </c>
      <c r="C44" s="75">
        <v>10000</v>
      </c>
      <c r="D44" s="75">
        <f t="shared" si="0"/>
        <v>150000</v>
      </c>
      <c r="E44" s="108"/>
      <c r="F44" s="47"/>
      <c r="G44" s="60"/>
    </row>
    <row r="45" spans="1:7" x14ac:dyDescent="0.3">
      <c r="A45" s="47" t="s">
        <v>203</v>
      </c>
      <c r="B45" s="128">
        <v>1</v>
      </c>
      <c r="C45" s="75">
        <v>50000</v>
      </c>
      <c r="D45" s="75">
        <f t="shared" si="0"/>
        <v>50000</v>
      </c>
      <c r="E45" s="108"/>
      <c r="F45" s="47"/>
      <c r="G45" s="60"/>
    </row>
    <row r="46" spans="1:7" x14ac:dyDescent="0.3">
      <c r="A46" s="47" t="s">
        <v>41</v>
      </c>
      <c r="B46" s="128">
        <v>1</v>
      </c>
      <c r="C46" s="75">
        <v>75000</v>
      </c>
      <c r="D46" s="75">
        <f t="shared" si="0"/>
        <v>75000</v>
      </c>
      <c r="E46" s="108"/>
      <c r="F46" s="47"/>
      <c r="G46" s="60"/>
    </row>
    <row r="47" spans="1:7" x14ac:dyDescent="0.3">
      <c r="A47" s="47" t="s">
        <v>202</v>
      </c>
      <c r="B47" s="128">
        <v>4</v>
      </c>
      <c r="C47" s="75">
        <v>40000</v>
      </c>
      <c r="D47" s="75">
        <f t="shared" si="0"/>
        <v>160000</v>
      </c>
      <c r="E47" s="108"/>
      <c r="F47" s="47"/>
      <c r="G47" s="60"/>
    </row>
    <row r="48" spans="1:7" x14ac:dyDescent="0.3">
      <c r="A48" s="47" t="s">
        <v>77</v>
      </c>
      <c r="B48" s="128">
        <v>7</v>
      </c>
      <c r="C48" s="75">
        <v>10000</v>
      </c>
      <c r="D48" s="75">
        <f t="shared" si="0"/>
        <v>70000</v>
      </c>
      <c r="E48" s="108"/>
      <c r="F48" s="47"/>
      <c r="G48" s="60"/>
    </row>
    <row r="49" spans="1:8" x14ac:dyDescent="0.3">
      <c r="A49" s="47" t="s">
        <v>95</v>
      </c>
      <c r="B49" s="130">
        <v>15</v>
      </c>
      <c r="C49" s="75">
        <v>12000</v>
      </c>
      <c r="D49" s="101">
        <f t="shared" si="0"/>
        <v>180000</v>
      </c>
      <c r="E49" s="108"/>
      <c r="F49" s="47"/>
      <c r="G49" s="60"/>
    </row>
    <row r="50" spans="1:8" x14ac:dyDescent="0.3">
      <c r="A50" s="47" t="s">
        <v>78</v>
      </c>
      <c r="B50" s="128">
        <f>SUM(B30:B49)</f>
        <v>79</v>
      </c>
      <c r="C50" s="74"/>
      <c r="D50" s="108">
        <f>SUM(D30:D49)</f>
        <v>1410000</v>
      </c>
      <c r="E50" s="108"/>
      <c r="F50" s="47"/>
      <c r="G50" s="131">
        <f>ROUND(D50*12/100000,2)</f>
        <v>169.2</v>
      </c>
    </row>
    <row r="51" spans="1:8" x14ac:dyDescent="0.3">
      <c r="A51" s="47" t="s">
        <v>110</v>
      </c>
      <c r="B51" s="47"/>
      <c r="C51" s="55">
        <v>1</v>
      </c>
      <c r="D51" s="107"/>
      <c r="E51" s="33">
        <v>6</v>
      </c>
      <c r="G51" s="55">
        <f>C51*12</f>
        <v>12</v>
      </c>
    </row>
    <row r="52" spans="1:8" x14ac:dyDescent="0.3">
      <c r="A52" s="47" t="s">
        <v>111</v>
      </c>
      <c r="B52" s="47"/>
      <c r="C52" s="55">
        <v>4</v>
      </c>
      <c r="D52" s="107"/>
      <c r="E52" s="72">
        <v>24</v>
      </c>
      <c r="F52" s="47"/>
      <c r="G52" s="55">
        <f>C52*12</f>
        <v>48</v>
      </c>
    </row>
    <row r="53" spans="1:8" ht="37.5" customHeight="1" x14ac:dyDescent="0.3">
      <c r="A53" s="103" t="s">
        <v>238</v>
      </c>
      <c r="B53" s="132">
        <v>0.08</v>
      </c>
      <c r="C53" s="133"/>
      <c r="D53" s="107"/>
      <c r="E53" s="72"/>
      <c r="F53" s="47"/>
      <c r="G53" s="55">
        <f>ROUND($B53*D16,2)</f>
        <v>64.239999999999995</v>
      </c>
    </row>
    <row r="54" spans="1:8" ht="38.25" customHeight="1" x14ac:dyDescent="0.3">
      <c r="A54" s="103" t="s">
        <v>239</v>
      </c>
      <c r="B54" s="103"/>
      <c r="C54" s="133"/>
      <c r="D54" s="107"/>
      <c r="E54" s="72"/>
      <c r="F54" s="47"/>
      <c r="G54" s="55">
        <v>5</v>
      </c>
    </row>
    <row r="55" spans="1:8" x14ac:dyDescent="0.3">
      <c r="A55" s="47" t="s">
        <v>139</v>
      </c>
      <c r="B55" s="47"/>
      <c r="C55" s="60"/>
      <c r="D55" s="107"/>
      <c r="F55" s="47"/>
      <c r="G55" s="60"/>
    </row>
    <row r="56" spans="1:8" x14ac:dyDescent="0.3">
      <c r="A56" s="47" t="s">
        <v>81</v>
      </c>
      <c r="B56" s="47"/>
      <c r="C56" s="60"/>
      <c r="D56" s="55">
        <v>0.5</v>
      </c>
      <c r="F56" s="47"/>
      <c r="G56" s="60"/>
    </row>
    <row r="57" spans="1:8" x14ac:dyDescent="0.3">
      <c r="A57" s="47" t="s">
        <v>82</v>
      </c>
      <c r="B57" s="47"/>
      <c r="C57" s="60"/>
      <c r="D57" s="55">
        <v>2</v>
      </c>
      <c r="F57" s="47"/>
      <c r="G57" s="60"/>
    </row>
    <row r="58" spans="1:8" x14ac:dyDescent="0.3">
      <c r="A58" s="47" t="s">
        <v>83</v>
      </c>
      <c r="B58" s="47"/>
      <c r="C58" s="60"/>
      <c r="D58" s="55">
        <v>2</v>
      </c>
      <c r="F58" s="47"/>
      <c r="G58" s="60"/>
    </row>
    <row r="59" spans="1:8" x14ac:dyDescent="0.3">
      <c r="A59" s="47" t="s">
        <v>84</v>
      </c>
      <c r="B59" s="47"/>
      <c r="C59" s="60"/>
      <c r="D59" s="55">
        <v>1.5</v>
      </c>
      <c r="F59" s="47"/>
      <c r="G59" s="60"/>
    </row>
    <row r="60" spans="1:8" x14ac:dyDescent="0.3">
      <c r="A60" s="47" t="s">
        <v>85</v>
      </c>
      <c r="B60" s="47"/>
      <c r="C60" s="60"/>
      <c r="D60" s="55">
        <v>1</v>
      </c>
      <c r="F60" s="47"/>
      <c r="G60" s="60"/>
    </row>
    <row r="61" spans="1:8" x14ac:dyDescent="0.3">
      <c r="A61" s="47" t="s">
        <v>86</v>
      </c>
      <c r="B61" s="47"/>
      <c r="C61" s="60"/>
      <c r="D61" s="64">
        <v>2.5</v>
      </c>
      <c r="E61" s="33">
        <f>SUM(D56:D61)</f>
        <v>9.5</v>
      </c>
      <c r="F61" s="47"/>
      <c r="G61" s="55">
        <f>SUM(D56:D61)</f>
        <v>9.5</v>
      </c>
    </row>
    <row r="62" spans="1:8" x14ac:dyDescent="0.3">
      <c r="A62" s="47" t="s">
        <v>35</v>
      </c>
      <c r="B62" s="47"/>
      <c r="C62" s="55"/>
      <c r="D62" s="86"/>
      <c r="E62" s="33"/>
      <c r="F62" s="47"/>
      <c r="G62" s="55">
        <f>'Intt &amp; Depreciation'!G8</f>
        <v>289.5</v>
      </c>
    </row>
    <row r="63" spans="1:8" x14ac:dyDescent="0.3">
      <c r="A63" s="47" t="s">
        <v>90</v>
      </c>
      <c r="B63" s="47"/>
      <c r="C63" s="55"/>
      <c r="D63" s="86"/>
      <c r="E63" s="10">
        <v>88.41</v>
      </c>
      <c r="F63" s="47"/>
      <c r="G63" s="55">
        <f>'Intt &amp; Depreciation'!G30</f>
        <v>376.125</v>
      </c>
    </row>
    <row r="64" spans="1:8" x14ac:dyDescent="0.3">
      <c r="A64" s="230" t="s">
        <v>89</v>
      </c>
      <c r="B64" s="230"/>
      <c r="C64" s="231"/>
      <c r="D64" s="232"/>
      <c r="E64" s="233" t="e">
        <f>SUM(E24:E63)</f>
        <v>#REF!</v>
      </c>
      <c r="F64" s="230"/>
      <c r="G64" s="234">
        <f>SUM(G24:G63)</f>
        <v>1405.5630000000001</v>
      </c>
      <c r="H64" s="33" t="s">
        <v>0</v>
      </c>
    </row>
    <row r="65" spans="1:7" x14ac:dyDescent="0.3">
      <c r="A65" s="57" t="s">
        <v>141</v>
      </c>
      <c r="B65" s="57"/>
      <c r="C65" s="57"/>
      <c r="D65" s="57"/>
      <c r="E65" s="134"/>
      <c r="F65" s="57"/>
      <c r="G65" s="58">
        <f>G21-G64</f>
        <v>86.336999999999989</v>
      </c>
    </row>
    <row r="67" spans="1:7" x14ac:dyDescent="0.3">
      <c r="A67" s="10">
        <f>Cost!B36</f>
        <v>0</v>
      </c>
    </row>
  </sheetData>
  <mergeCells count="4">
    <mergeCell ref="A1:G1"/>
    <mergeCell ref="A2:G2"/>
    <mergeCell ref="A3:G3"/>
    <mergeCell ref="A6:D6"/>
  </mergeCells>
  <phoneticPr fontId="0" type="noConversion"/>
  <pageMargins left="0.70866141732283472" right="0.70866141732283472" top="0.74803149606299213" bottom="0.74803149606299213" header="0.31496062992125984" footer="0.31496062992125984"/>
  <pageSetup scale="65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7"/>
  <sheetViews>
    <sheetView view="pageBreakPreview" topLeftCell="A15" zoomScale="60" zoomScaleNormal="100" workbookViewId="0">
      <selection activeCell="D15" sqref="D15"/>
    </sheetView>
  </sheetViews>
  <sheetFormatPr defaultColWidth="9.109375" defaultRowHeight="14.4" x14ac:dyDescent="0.3"/>
  <cols>
    <col min="1" max="1" width="70" style="10" customWidth="1"/>
    <col min="2" max="2" width="9.109375" style="10" customWidth="1"/>
    <col min="3" max="3" width="10.44140625" style="10" customWidth="1"/>
    <col min="4" max="7" width="12.33203125" style="10" bestFit="1" customWidth="1"/>
    <col min="8" max="9" width="12.6640625" style="10" bestFit="1" customWidth="1"/>
    <col min="10" max="10" width="15.33203125" style="10" bestFit="1" customWidth="1"/>
    <col min="11" max="11" width="11.6640625" style="10" customWidth="1"/>
    <col min="12" max="13" width="9.109375" style="10"/>
    <col min="14" max="14" width="10.33203125" style="10" customWidth="1"/>
    <col min="15" max="16384" width="9.109375" style="10"/>
  </cols>
  <sheetData>
    <row r="1" spans="1:14" x14ac:dyDescent="0.3">
      <c r="A1" s="358" t="str">
        <f>Estimation!A1</f>
        <v>Mahecha Boutique Hotels Private Limited</v>
      </c>
      <c r="B1" s="358"/>
      <c r="C1" s="358"/>
      <c r="D1" s="358"/>
      <c r="E1" s="358"/>
      <c r="F1" s="358"/>
      <c r="G1" s="358"/>
      <c r="H1" s="358"/>
      <c r="I1" s="358"/>
      <c r="J1" s="34" t="s">
        <v>244</v>
      </c>
      <c r="K1" s="268" t="s">
        <v>415</v>
      </c>
    </row>
    <row r="2" spans="1:14" x14ac:dyDescent="0.3">
      <c r="A2" s="360" t="s">
        <v>143</v>
      </c>
      <c r="B2" s="360"/>
      <c r="C2" s="360"/>
      <c r="D2" s="360"/>
      <c r="E2" s="360"/>
      <c r="F2" s="360"/>
      <c r="G2" s="360"/>
      <c r="H2" s="360"/>
      <c r="I2" s="360"/>
      <c r="J2" s="90" t="s">
        <v>128</v>
      </c>
      <c r="K2" s="90"/>
      <c r="L2" s="10">
        <f>Cost!D1</f>
        <v>0</v>
      </c>
    </row>
    <row r="3" spans="1:14" ht="30" customHeight="1" x14ac:dyDescent="0.3">
      <c r="A3" s="83" t="s">
        <v>14</v>
      </c>
      <c r="B3" s="40"/>
      <c r="C3" s="266"/>
      <c r="D3" s="26" t="s">
        <v>246</v>
      </c>
      <c r="E3" s="26" t="s">
        <v>247</v>
      </c>
      <c r="F3" s="26" t="s">
        <v>248</v>
      </c>
      <c r="G3" s="26" t="s">
        <v>249</v>
      </c>
      <c r="H3" s="26" t="s">
        <v>250</v>
      </c>
      <c r="I3" s="26" t="s">
        <v>251</v>
      </c>
      <c r="J3" s="26" t="s">
        <v>252</v>
      </c>
      <c r="K3" s="26" t="s">
        <v>253</v>
      </c>
      <c r="L3" s="71"/>
      <c r="M3" s="71"/>
      <c r="N3" s="71"/>
    </row>
    <row r="4" spans="1:14" ht="27" customHeight="1" x14ac:dyDescent="0.3">
      <c r="A4" s="88" t="s">
        <v>195</v>
      </c>
      <c r="B4" s="393" t="s">
        <v>157</v>
      </c>
      <c r="C4" s="394"/>
      <c r="D4" s="28" t="s">
        <v>56</v>
      </c>
      <c r="E4" s="28" t="s">
        <v>56</v>
      </c>
      <c r="F4" s="28" t="s">
        <v>56</v>
      </c>
      <c r="G4" s="28" t="s">
        <v>56</v>
      </c>
      <c r="H4" s="28" t="s">
        <v>56</v>
      </c>
      <c r="I4" s="28" t="s">
        <v>56</v>
      </c>
      <c r="J4" s="29" t="s">
        <v>56</v>
      </c>
      <c r="K4" s="28" t="s">
        <v>56</v>
      </c>
      <c r="L4" s="91"/>
      <c r="M4" s="91"/>
      <c r="N4" s="91"/>
    </row>
    <row r="5" spans="1:14" ht="15.75" customHeight="1" x14ac:dyDescent="0.3">
      <c r="A5" s="73" t="s">
        <v>196</v>
      </c>
      <c r="B5" s="92"/>
      <c r="C5" s="93">
        <v>100</v>
      </c>
      <c r="D5" s="94">
        <f>Estimation!B4</f>
        <v>100</v>
      </c>
      <c r="E5" s="95">
        <f>D5</f>
        <v>100</v>
      </c>
      <c r="F5" s="94">
        <v>100</v>
      </c>
      <c r="G5" s="95">
        <v>100</v>
      </c>
      <c r="H5" s="94">
        <v>100</v>
      </c>
      <c r="I5" s="95">
        <v>100</v>
      </c>
      <c r="J5" s="94">
        <v>100</v>
      </c>
      <c r="K5" s="94">
        <v>100</v>
      </c>
      <c r="L5" s="91"/>
      <c r="M5" s="91"/>
      <c r="N5" s="91"/>
    </row>
    <row r="6" spans="1:14" x14ac:dyDescent="0.3">
      <c r="A6" s="47" t="s">
        <v>87</v>
      </c>
      <c r="B6" s="60"/>
      <c r="C6" s="60"/>
      <c r="D6" s="206">
        <f>D5*365</f>
        <v>36500</v>
      </c>
      <c r="E6" s="206">
        <f t="shared" ref="E6:K6" si="0">E5*365</f>
        <v>36500</v>
      </c>
      <c r="F6" s="206">
        <f t="shared" si="0"/>
        <v>36500</v>
      </c>
      <c r="G6" s="206">
        <f t="shared" si="0"/>
        <v>36500</v>
      </c>
      <c r="H6" s="206">
        <f t="shared" si="0"/>
        <v>36500</v>
      </c>
      <c r="I6" s="206">
        <f t="shared" si="0"/>
        <v>36500</v>
      </c>
      <c r="J6" s="206">
        <f t="shared" si="0"/>
        <v>36500</v>
      </c>
      <c r="K6" s="206">
        <f t="shared" si="0"/>
        <v>36500</v>
      </c>
      <c r="L6" s="97"/>
      <c r="M6" s="97"/>
      <c r="N6" s="97"/>
    </row>
    <row r="7" spans="1:14" x14ac:dyDescent="0.3">
      <c r="A7" s="47" t="s">
        <v>341</v>
      </c>
      <c r="B7" s="60">
        <v>2</v>
      </c>
      <c r="C7" s="60"/>
      <c r="D7" s="40">
        <f t="shared" ref="D7:K7" si="1">D6*$B$7</f>
        <v>73000</v>
      </c>
      <c r="E7" s="40">
        <f t="shared" si="1"/>
        <v>73000</v>
      </c>
      <c r="F7" s="40">
        <f t="shared" si="1"/>
        <v>73000</v>
      </c>
      <c r="G7" s="40">
        <f t="shared" si="1"/>
        <v>73000</v>
      </c>
      <c r="H7" s="40">
        <f t="shared" si="1"/>
        <v>73000</v>
      </c>
      <c r="I7" s="40">
        <f t="shared" si="1"/>
        <v>73000</v>
      </c>
      <c r="J7" s="40">
        <f t="shared" si="1"/>
        <v>73000</v>
      </c>
      <c r="K7" s="40">
        <f t="shared" si="1"/>
        <v>73000</v>
      </c>
      <c r="L7" s="97"/>
      <c r="M7" s="97"/>
      <c r="N7" s="97"/>
    </row>
    <row r="8" spans="1:14" x14ac:dyDescent="0.3">
      <c r="A8" s="73" t="s">
        <v>112</v>
      </c>
      <c r="B8" s="60"/>
      <c r="C8" s="98"/>
      <c r="D8" s="205">
        <v>0.4</v>
      </c>
      <c r="E8" s="205">
        <v>0.4</v>
      </c>
      <c r="F8" s="205">
        <v>0.45</v>
      </c>
      <c r="G8" s="205">
        <v>0.45</v>
      </c>
      <c r="H8" s="205">
        <v>0.45</v>
      </c>
      <c r="I8" s="205">
        <v>0.45</v>
      </c>
      <c r="J8" s="205">
        <v>0.5</v>
      </c>
      <c r="K8" s="205">
        <v>0.5</v>
      </c>
      <c r="L8" s="99"/>
      <c r="M8" s="99"/>
      <c r="N8" s="99"/>
    </row>
    <row r="9" spans="1:14" x14ac:dyDescent="0.3">
      <c r="A9" s="100" t="s">
        <v>106</v>
      </c>
      <c r="B9" s="60"/>
      <c r="C9" s="60"/>
      <c r="D9" s="206"/>
      <c r="E9" s="206"/>
      <c r="F9" s="206"/>
      <c r="G9" s="206"/>
      <c r="H9" s="206"/>
      <c r="I9" s="206"/>
      <c r="J9" s="206"/>
      <c r="K9" s="206"/>
      <c r="L9" s="99"/>
      <c r="M9" s="99"/>
      <c r="N9" s="99"/>
    </row>
    <row r="10" spans="1:14" x14ac:dyDescent="0.3">
      <c r="A10" s="47" t="s">
        <v>196</v>
      </c>
      <c r="B10" s="60"/>
      <c r="C10" s="96"/>
      <c r="D10" s="206">
        <f>Estimation!D10</f>
        <v>5500</v>
      </c>
      <c r="E10" s="206">
        <f>D10*1.1</f>
        <v>6050.0000000000009</v>
      </c>
      <c r="F10" s="206">
        <f t="shared" ref="F10:K10" si="2">E10*1.1</f>
        <v>6655.0000000000018</v>
      </c>
      <c r="G10" s="206">
        <f t="shared" si="2"/>
        <v>7320.5000000000027</v>
      </c>
      <c r="H10" s="206">
        <f t="shared" si="2"/>
        <v>8052.5500000000038</v>
      </c>
      <c r="I10" s="206">
        <f t="shared" si="2"/>
        <v>8857.8050000000057</v>
      </c>
      <c r="J10" s="206">
        <f t="shared" si="2"/>
        <v>9743.5855000000065</v>
      </c>
      <c r="K10" s="206">
        <f t="shared" si="2"/>
        <v>10717.944050000007</v>
      </c>
      <c r="L10" s="99"/>
      <c r="M10" s="99"/>
      <c r="N10" s="99"/>
    </row>
    <row r="11" spans="1:14" x14ac:dyDescent="0.3">
      <c r="A11" s="47" t="s">
        <v>70</v>
      </c>
      <c r="B11" s="60"/>
      <c r="C11" s="96"/>
      <c r="D11" s="206">
        <f>Estimation!D13</f>
        <v>1500</v>
      </c>
      <c r="E11" s="206">
        <f>D11*1.1</f>
        <v>1650.0000000000002</v>
      </c>
      <c r="F11" s="206">
        <f t="shared" ref="F11:K11" si="3">E11*1.1</f>
        <v>1815.0000000000005</v>
      </c>
      <c r="G11" s="206">
        <f t="shared" si="3"/>
        <v>1996.5000000000007</v>
      </c>
      <c r="H11" s="206">
        <f t="shared" si="3"/>
        <v>2196.150000000001</v>
      </c>
      <c r="I11" s="206">
        <f t="shared" si="3"/>
        <v>2415.7650000000012</v>
      </c>
      <c r="J11" s="206">
        <f t="shared" si="3"/>
        <v>2657.3415000000014</v>
      </c>
      <c r="K11" s="206">
        <f t="shared" si="3"/>
        <v>2923.0756500000016</v>
      </c>
      <c r="L11" s="99"/>
      <c r="M11" s="99"/>
      <c r="N11" s="99"/>
    </row>
    <row r="12" spans="1:14" x14ac:dyDescent="0.3">
      <c r="A12" s="10" t="s">
        <v>166</v>
      </c>
      <c r="B12" s="60"/>
      <c r="C12" s="96"/>
      <c r="D12" s="316">
        <f>Estimation!D14</f>
        <v>450</v>
      </c>
      <c r="E12" s="316">
        <f>D12*1.1</f>
        <v>495.00000000000006</v>
      </c>
      <c r="F12" s="316">
        <f t="shared" ref="F12:K12" si="4">E12*1.1</f>
        <v>544.50000000000011</v>
      </c>
      <c r="G12" s="316">
        <f t="shared" si="4"/>
        <v>598.95000000000016</v>
      </c>
      <c r="H12" s="316">
        <f t="shared" si="4"/>
        <v>658.84500000000025</v>
      </c>
      <c r="I12" s="316">
        <f t="shared" si="4"/>
        <v>724.72950000000037</v>
      </c>
      <c r="J12" s="316">
        <f t="shared" si="4"/>
        <v>797.20245000000045</v>
      </c>
      <c r="K12" s="316">
        <f t="shared" si="4"/>
        <v>876.92269500000054</v>
      </c>
      <c r="L12" s="99"/>
      <c r="M12" s="99"/>
      <c r="N12" s="99"/>
    </row>
    <row r="13" spans="1:14" x14ac:dyDescent="0.3">
      <c r="A13" s="317" t="s">
        <v>15</v>
      </c>
      <c r="B13" s="317"/>
      <c r="C13" s="317"/>
      <c r="D13" s="189"/>
      <c r="E13" s="189"/>
      <c r="F13" s="189"/>
      <c r="G13" s="189"/>
      <c r="H13" s="189"/>
      <c r="I13" s="189"/>
      <c r="J13" s="189"/>
      <c r="K13" s="189"/>
    </row>
    <row r="14" spans="1:14" x14ac:dyDescent="0.3">
      <c r="A14" s="40" t="s">
        <v>67</v>
      </c>
      <c r="B14" s="40"/>
      <c r="C14" s="189"/>
      <c r="D14" s="189">
        <f>ROUND((D5*D10)*D8*365/100000,2)</f>
        <v>803</v>
      </c>
      <c r="E14" s="189">
        <f>ROUND((E5*E10)*E8*365/100000,2)</f>
        <v>883.3</v>
      </c>
      <c r="F14" s="189">
        <f t="shared" ref="F14:K14" si="5">ROUND((F5*F10)*F8*365/100000,2)</f>
        <v>1093.08</v>
      </c>
      <c r="G14" s="189">
        <f t="shared" si="5"/>
        <v>1202.3900000000001</v>
      </c>
      <c r="H14" s="189">
        <f t="shared" si="5"/>
        <v>1322.63</v>
      </c>
      <c r="I14" s="189">
        <f t="shared" si="5"/>
        <v>1454.89</v>
      </c>
      <c r="J14" s="189">
        <f t="shared" si="5"/>
        <v>1778.2</v>
      </c>
      <c r="K14" s="189">
        <f t="shared" si="5"/>
        <v>1956.02</v>
      </c>
      <c r="L14" s="72"/>
      <c r="M14" s="72"/>
      <c r="N14" s="72"/>
    </row>
    <row r="15" spans="1:14" x14ac:dyDescent="0.3">
      <c r="A15" s="40" t="s">
        <v>5</v>
      </c>
      <c r="B15" s="40"/>
      <c r="C15" s="189"/>
      <c r="D15" s="189">
        <f t="shared" ref="D15:K15" si="6">ROUND((D7*D11)*D8/100000,2)</f>
        <v>438</v>
      </c>
      <c r="E15" s="189">
        <f t="shared" si="6"/>
        <v>481.8</v>
      </c>
      <c r="F15" s="189">
        <f t="shared" si="6"/>
        <v>596.23</v>
      </c>
      <c r="G15" s="189">
        <f t="shared" si="6"/>
        <v>655.85</v>
      </c>
      <c r="H15" s="189">
        <f t="shared" si="6"/>
        <v>721.44</v>
      </c>
      <c r="I15" s="189">
        <f t="shared" si="6"/>
        <v>793.58</v>
      </c>
      <c r="J15" s="189">
        <f t="shared" si="6"/>
        <v>969.93</v>
      </c>
      <c r="K15" s="189">
        <f t="shared" si="6"/>
        <v>1066.92</v>
      </c>
      <c r="L15" s="72"/>
      <c r="M15" s="72"/>
      <c r="N15" s="72"/>
    </row>
    <row r="16" spans="1:14" x14ac:dyDescent="0.3">
      <c r="A16" s="40" t="s">
        <v>165</v>
      </c>
      <c r="B16" s="40"/>
      <c r="C16" s="189"/>
      <c r="D16" s="189">
        <f t="shared" ref="D16:K16" si="7">(D7*D8*D12)/100000</f>
        <v>131.4</v>
      </c>
      <c r="E16" s="189">
        <f t="shared" si="7"/>
        <v>144.54000000000002</v>
      </c>
      <c r="F16" s="189">
        <f t="shared" si="7"/>
        <v>178.86825000000005</v>
      </c>
      <c r="G16" s="189">
        <f t="shared" si="7"/>
        <v>196.75507500000003</v>
      </c>
      <c r="H16" s="189">
        <f t="shared" si="7"/>
        <v>216.43058250000007</v>
      </c>
      <c r="I16" s="189">
        <f t="shared" si="7"/>
        <v>238.0736407500001</v>
      </c>
      <c r="J16" s="189">
        <f t="shared" si="7"/>
        <v>290.97889425000017</v>
      </c>
      <c r="K16" s="189">
        <f t="shared" si="7"/>
        <v>320.07678367500017</v>
      </c>
      <c r="L16" s="72"/>
      <c r="M16" s="72"/>
      <c r="N16" s="72"/>
    </row>
    <row r="17" spans="1:14" ht="15.6" x14ac:dyDescent="0.3">
      <c r="A17" s="318" t="s">
        <v>205</v>
      </c>
      <c r="B17" s="40"/>
      <c r="C17" s="189"/>
      <c r="D17" s="189">
        <f>Estimation!D19</f>
        <v>82.5</v>
      </c>
      <c r="E17" s="189">
        <f>D17*1.05</f>
        <v>86.625</v>
      </c>
      <c r="F17" s="189">
        <f t="shared" ref="F17:K18" si="8">E17*1.05</f>
        <v>90.956249999999997</v>
      </c>
      <c r="G17" s="189">
        <f t="shared" si="8"/>
        <v>95.504062500000003</v>
      </c>
      <c r="H17" s="189">
        <f t="shared" si="8"/>
        <v>100.27926562500001</v>
      </c>
      <c r="I17" s="189">
        <f t="shared" si="8"/>
        <v>105.29322890625001</v>
      </c>
      <c r="J17" s="189">
        <f t="shared" si="8"/>
        <v>110.55789035156251</v>
      </c>
      <c r="K17" s="189">
        <f t="shared" si="8"/>
        <v>116.08578486914064</v>
      </c>
      <c r="L17" s="72"/>
      <c r="M17" s="72"/>
      <c r="N17" s="72"/>
    </row>
    <row r="18" spans="1:14" x14ac:dyDescent="0.3">
      <c r="A18" s="40" t="s">
        <v>399</v>
      </c>
      <c r="B18" s="40"/>
      <c r="C18" s="189"/>
      <c r="D18" s="189">
        <f>Estimation!D20</f>
        <v>30</v>
      </c>
      <c r="E18" s="189">
        <f>D18*1.05</f>
        <v>31.5</v>
      </c>
      <c r="F18" s="189">
        <f t="shared" si="8"/>
        <v>33.075000000000003</v>
      </c>
      <c r="G18" s="189">
        <f t="shared" si="8"/>
        <v>34.728750000000005</v>
      </c>
      <c r="H18" s="189">
        <f t="shared" si="8"/>
        <v>36.465187500000006</v>
      </c>
      <c r="I18" s="189">
        <f t="shared" si="8"/>
        <v>38.288446875000005</v>
      </c>
      <c r="J18" s="189">
        <f t="shared" si="8"/>
        <v>40.20286921875001</v>
      </c>
      <c r="K18" s="189">
        <f t="shared" si="8"/>
        <v>42.213012679687509</v>
      </c>
      <c r="L18" s="72"/>
      <c r="M18" s="72"/>
      <c r="N18" s="72"/>
    </row>
    <row r="19" spans="1:14" x14ac:dyDescent="0.3">
      <c r="A19" s="40" t="s">
        <v>49</v>
      </c>
      <c r="B19" s="40"/>
      <c r="C19" s="189"/>
      <c r="D19" s="189">
        <f>Estimation!D21</f>
        <v>7</v>
      </c>
      <c r="E19" s="189">
        <f>D19*1.05</f>
        <v>7.3500000000000005</v>
      </c>
      <c r="F19" s="189">
        <f t="shared" ref="F19:K19" si="9">E19*1.05</f>
        <v>7.7175000000000011</v>
      </c>
      <c r="G19" s="189">
        <f t="shared" si="9"/>
        <v>8.1033750000000015</v>
      </c>
      <c r="H19" s="189">
        <f t="shared" si="9"/>
        <v>8.5085437500000012</v>
      </c>
      <c r="I19" s="189">
        <f t="shared" si="9"/>
        <v>8.9339709375000016</v>
      </c>
      <c r="J19" s="189">
        <f t="shared" si="9"/>
        <v>9.3806694843750016</v>
      </c>
      <c r="K19" s="189">
        <f t="shared" si="9"/>
        <v>9.8497029585937526</v>
      </c>
      <c r="L19" s="72"/>
      <c r="M19" s="72"/>
      <c r="N19" s="72"/>
    </row>
    <row r="20" spans="1:14" x14ac:dyDescent="0.3">
      <c r="A20" s="194" t="s">
        <v>52</v>
      </c>
      <c r="B20" s="194"/>
      <c r="C20" s="194"/>
      <c r="D20" s="219">
        <f t="shared" ref="D20:K20" si="10">ROUND(SUM(D14:D19),2)</f>
        <v>1491.9</v>
      </c>
      <c r="E20" s="219">
        <f t="shared" si="10"/>
        <v>1635.12</v>
      </c>
      <c r="F20" s="219">
        <f t="shared" si="10"/>
        <v>1999.93</v>
      </c>
      <c r="G20" s="219">
        <f t="shared" si="10"/>
        <v>2193.33</v>
      </c>
      <c r="H20" s="219">
        <f t="shared" si="10"/>
        <v>2405.75</v>
      </c>
      <c r="I20" s="219">
        <f t="shared" si="10"/>
        <v>2639.06</v>
      </c>
      <c r="J20" s="219">
        <f t="shared" si="10"/>
        <v>3199.25</v>
      </c>
      <c r="K20" s="219">
        <f t="shared" si="10"/>
        <v>3511.17</v>
      </c>
      <c r="L20" s="72"/>
      <c r="M20" s="72"/>
      <c r="N20" s="72"/>
    </row>
    <row r="21" spans="1:14" x14ac:dyDescent="0.3">
      <c r="A21" s="317" t="s">
        <v>16</v>
      </c>
      <c r="B21" s="57"/>
      <c r="C21" s="57"/>
      <c r="D21" s="102"/>
      <c r="E21" s="102"/>
      <c r="F21" s="102"/>
      <c r="G21" s="102"/>
      <c r="H21" s="102"/>
      <c r="I21" s="102"/>
      <c r="J21" s="102"/>
      <c r="K21" s="102"/>
      <c r="L21" s="72"/>
      <c r="M21" s="72"/>
      <c r="N21" s="72"/>
    </row>
    <row r="22" spans="1:14" x14ac:dyDescent="0.3">
      <c r="A22" s="40" t="s">
        <v>113</v>
      </c>
      <c r="B22" s="319">
        <f>Estimation!B24</f>
        <v>0.08</v>
      </c>
      <c r="C22" s="189">
        <f>ROUND(C14*$B22,2)</f>
        <v>0</v>
      </c>
      <c r="D22" s="189">
        <f t="shared" ref="D22:K22" si="11">ROUND(D14*$B22,2)</f>
        <v>64.239999999999995</v>
      </c>
      <c r="E22" s="189">
        <f t="shared" si="11"/>
        <v>70.66</v>
      </c>
      <c r="F22" s="189">
        <f t="shared" si="11"/>
        <v>87.45</v>
      </c>
      <c r="G22" s="189">
        <f t="shared" si="11"/>
        <v>96.19</v>
      </c>
      <c r="H22" s="189">
        <f t="shared" si="11"/>
        <v>105.81</v>
      </c>
      <c r="I22" s="189">
        <f t="shared" si="11"/>
        <v>116.39</v>
      </c>
      <c r="J22" s="189">
        <f t="shared" si="11"/>
        <v>142.26</v>
      </c>
      <c r="K22" s="189">
        <f t="shared" si="11"/>
        <v>156.47999999999999</v>
      </c>
      <c r="L22" s="72"/>
      <c r="M22" s="72"/>
      <c r="N22" s="72"/>
    </row>
    <row r="23" spans="1:14" x14ac:dyDescent="0.3">
      <c r="A23" s="40" t="s">
        <v>167</v>
      </c>
      <c r="B23" s="319">
        <v>0.55000000000000004</v>
      </c>
      <c r="C23" s="40"/>
      <c r="D23" s="189">
        <f t="shared" ref="D23:K23" si="12">ROUND((D15+D16)*$B23,2)</f>
        <v>313.17</v>
      </c>
      <c r="E23" s="189">
        <f t="shared" si="12"/>
        <v>344.49</v>
      </c>
      <c r="F23" s="189">
        <f t="shared" si="12"/>
        <v>426.3</v>
      </c>
      <c r="G23" s="189">
        <f t="shared" si="12"/>
        <v>468.93</v>
      </c>
      <c r="H23" s="189">
        <f t="shared" si="12"/>
        <v>515.83000000000004</v>
      </c>
      <c r="I23" s="189">
        <f t="shared" si="12"/>
        <v>567.41</v>
      </c>
      <c r="J23" s="189">
        <f t="shared" si="12"/>
        <v>693.5</v>
      </c>
      <c r="K23" s="189">
        <f t="shared" si="12"/>
        <v>762.85</v>
      </c>
      <c r="L23" s="72"/>
      <c r="M23" s="72"/>
      <c r="N23" s="72"/>
    </row>
    <row r="24" spans="1:14" x14ac:dyDescent="0.3">
      <c r="A24" s="40" t="s">
        <v>114</v>
      </c>
      <c r="B24" s="319">
        <f>Estimation!B27</f>
        <v>0.02</v>
      </c>
      <c r="C24" s="189"/>
      <c r="D24" s="189">
        <f t="shared" ref="D24:K24" si="13">ROUND($B24*D20,2)</f>
        <v>29.84</v>
      </c>
      <c r="E24" s="189">
        <f t="shared" si="13"/>
        <v>32.700000000000003</v>
      </c>
      <c r="F24" s="189">
        <f t="shared" si="13"/>
        <v>40</v>
      </c>
      <c r="G24" s="189">
        <f t="shared" si="13"/>
        <v>43.87</v>
      </c>
      <c r="H24" s="189">
        <f t="shared" si="13"/>
        <v>48.12</v>
      </c>
      <c r="I24" s="189">
        <f t="shared" si="13"/>
        <v>52.78</v>
      </c>
      <c r="J24" s="189">
        <f t="shared" si="13"/>
        <v>63.99</v>
      </c>
      <c r="K24" s="189">
        <f t="shared" si="13"/>
        <v>70.22</v>
      </c>
      <c r="L24" s="72"/>
      <c r="M24" s="72"/>
      <c r="N24" s="72"/>
    </row>
    <row r="25" spans="1:14" ht="15.6" x14ac:dyDescent="0.3">
      <c r="A25" s="318" t="s">
        <v>206</v>
      </c>
      <c r="B25" s="319">
        <v>0.3</v>
      </c>
      <c r="C25" s="40"/>
      <c r="D25" s="189">
        <f t="shared" ref="D25:K25" si="14">ROUND($B25*D17,2)</f>
        <v>24.75</v>
      </c>
      <c r="E25" s="189">
        <f t="shared" si="14"/>
        <v>25.99</v>
      </c>
      <c r="F25" s="189">
        <f t="shared" si="14"/>
        <v>27.29</v>
      </c>
      <c r="G25" s="189">
        <f t="shared" si="14"/>
        <v>28.65</v>
      </c>
      <c r="H25" s="189">
        <f t="shared" si="14"/>
        <v>30.08</v>
      </c>
      <c r="I25" s="189">
        <f t="shared" si="14"/>
        <v>31.59</v>
      </c>
      <c r="J25" s="189">
        <f t="shared" si="14"/>
        <v>33.17</v>
      </c>
      <c r="K25" s="189">
        <f t="shared" si="14"/>
        <v>34.83</v>
      </c>
      <c r="L25" s="72"/>
      <c r="M25" s="72"/>
      <c r="N25" s="72"/>
    </row>
    <row r="26" spans="1:14" ht="17.25" customHeight="1" x14ac:dyDescent="0.3">
      <c r="A26" s="136" t="s">
        <v>238</v>
      </c>
      <c r="B26" s="319">
        <v>0.08</v>
      </c>
      <c r="C26" s="189">
        <f t="shared" ref="C26:K26" si="15">ROUND($B26*C14,2)</f>
        <v>0</v>
      </c>
      <c r="D26" s="189">
        <f t="shared" si="15"/>
        <v>64.239999999999995</v>
      </c>
      <c r="E26" s="189">
        <f t="shared" si="15"/>
        <v>70.66</v>
      </c>
      <c r="F26" s="189">
        <f t="shared" si="15"/>
        <v>87.45</v>
      </c>
      <c r="G26" s="189">
        <f t="shared" si="15"/>
        <v>96.19</v>
      </c>
      <c r="H26" s="189">
        <f t="shared" si="15"/>
        <v>105.81</v>
      </c>
      <c r="I26" s="189">
        <f t="shared" si="15"/>
        <v>116.39</v>
      </c>
      <c r="J26" s="189">
        <f t="shared" si="15"/>
        <v>142.26</v>
      </c>
      <c r="K26" s="189">
        <f t="shared" si="15"/>
        <v>156.47999999999999</v>
      </c>
      <c r="L26" s="72"/>
      <c r="M26" s="72"/>
      <c r="N26" s="72"/>
    </row>
    <row r="27" spans="1:14" x14ac:dyDescent="0.3">
      <c r="A27" s="40" t="s">
        <v>9</v>
      </c>
      <c r="B27" s="40"/>
      <c r="C27" s="189"/>
      <c r="D27" s="189">
        <f>Estimation!G50</f>
        <v>169.2</v>
      </c>
      <c r="E27" s="189">
        <f>ROUND(D27*110%,2)</f>
        <v>186.12</v>
      </c>
      <c r="F27" s="189">
        <f t="shared" ref="F27:K27" si="16">ROUND(E27*110%,2)</f>
        <v>204.73</v>
      </c>
      <c r="G27" s="189">
        <f t="shared" si="16"/>
        <v>225.2</v>
      </c>
      <c r="H27" s="189">
        <f t="shared" si="16"/>
        <v>247.72</v>
      </c>
      <c r="I27" s="189">
        <f t="shared" si="16"/>
        <v>272.49</v>
      </c>
      <c r="J27" s="189">
        <f t="shared" si="16"/>
        <v>299.74</v>
      </c>
      <c r="K27" s="189">
        <f t="shared" si="16"/>
        <v>329.71</v>
      </c>
      <c r="L27" s="72"/>
      <c r="M27" s="72"/>
      <c r="N27" s="72"/>
    </row>
    <row r="28" spans="1:14" x14ac:dyDescent="0.3">
      <c r="A28" s="40" t="s">
        <v>17</v>
      </c>
      <c r="B28" s="40"/>
      <c r="C28" s="189"/>
      <c r="D28" s="189">
        <f>Estimation!G51</f>
        <v>12</v>
      </c>
      <c r="E28" s="189">
        <f>ROUND(D28*215%,2)</f>
        <v>25.8</v>
      </c>
      <c r="F28" s="189">
        <f t="shared" ref="F28:K28" si="17">ROUND(E28*115%,2)</f>
        <v>29.67</v>
      </c>
      <c r="G28" s="189">
        <f t="shared" si="17"/>
        <v>34.119999999999997</v>
      </c>
      <c r="H28" s="189">
        <f t="shared" si="17"/>
        <v>39.24</v>
      </c>
      <c r="I28" s="189">
        <f t="shared" si="17"/>
        <v>45.13</v>
      </c>
      <c r="J28" s="189">
        <f t="shared" si="17"/>
        <v>51.9</v>
      </c>
      <c r="K28" s="189">
        <f t="shared" si="17"/>
        <v>59.69</v>
      </c>
      <c r="L28" s="72"/>
      <c r="M28" s="72"/>
      <c r="N28" s="72"/>
    </row>
    <row r="29" spans="1:14" x14ac:dyDescent="0.3">
      <c r="A29" s="40" t="s">
        <v>10</v>
      </c>
      <c r="B29" s="40"/>
      <c r="C29" s="189"/>
      <c r="D29" s="189">
        <f>Estimation!G52</f>
        <v>48</v>
      </c>
      <c r="E29" s="189">
        <f>ROUND(D29*110%,2)</f>
        <v>52.8</v>
      </c>
      <c r="F29" s="189">
        <f t="shared" ref="F29:K29" si="18">ROUND(E29*110%,2)</f>
        <v>58.08</v>
      </c>
      <c r="G29" s="189">
        <f t="shared" si="18"/>
        <v>63.89</v>
      </c>
      <c r="H29" s="189">
        <f t="shared" si="18"/>
        <v>70.28</v>
      </c>
      <c r="I29" s="189">
        <f t="shared" si="18"/>
        <v>77.31</v>
      </c>
      <c r="J29" s="189">
        <f t="shared" si="18"/>
        <v>85.04</v>
      </c>
      <c r="K29" s="189">
        <f t="shared" si="18"/>
        <v>93.54</v>
      </c>
      <c r="L29" s="72"/>
      <c r="M29" s="72"/>
      <c r="N29" s="72"/>
    </row>
    <row r="30" spans="1:14" ht="14.25" customHeight="1" x14ac:dyDescent="0.3">
      <c r="A30" s="136" t="s">
        <v>400</v>
      </c>
      <c r="B30" s="40"/>
      <c r="C30" s="189"/>
      <c r="D30" s="207">
        <f>D20*2%</f>
        <v>29.838000000000001</v>
      </c>
      <c r="E30" s="207">
        <f t="shared" ref="E30:K30" si="19">E20*2%</f>
        <v>32.702399999999997</v>
      </c>
      <c r="F30" s="207">
        <f t="shared" si="19"/>
        <v>39.998600000000003</v>
      </c>
      <c r="G30" s="207">
        <f t="shared" si="19"/>
        <v>43.866599999999998</v>
      </c>
      <c r="H30" s="207">
        <f t="shared" si="19"/>
        <v>48.115000000000002</v>
      </c>
      <c r="I30" s="207">
        <f t="shared" si="19"/>
        <v>52.781199999999998</v>
      </c>
      <c r="J30" s="207">
        <f t="shared" si="19"/>
        <v>63.984999999999999</v>
      </c>
      <c r="K30" s="207">
        <f t="shared" si="19"/>
        <v>70.223399999999998</v>
      </c>
      <c r="L30" s="72"/>
      <c r="M30" s="72"/>
      <c r="N30" s="72"/>
    </row>
    <row r="31" spans="1:14" x14ac:dyDescent="0.3">
      <c r="A31" s="40" t="s">
        <v>18</v>
      </c>
      <c r="B31" s="40"/>
      <c r="C31" s="189"/>
      <c r="D31" s="189">
        <f>Estimation!G61</f>
        <v>9.5</v>
      </c>
      <c r="E31" s="189">
        <f>ROUND(D31*110%,2)</f>
        <v>10.45</v>
      </c>
      <c r="F31" s="189">
        <f t="shared" ref="F31:K31" si="20">ROUND(E31*110%,2)</f>
        <v>11.5</v>
      </c>
      <c r="G31" s="189">
        <f t="shared" si="20"/>
        <v>12.65</v>
      </c>
      <c r="H31" s="189">
        <f t="shared" si="20"/>
        <v>13.92</v>
      </c>
      <c r="I31" s="189">
        <f t="shared" si="20"/>
        <v>15.31</v>
      </c>
      <c r="J31" s="189">
        <f t="shared" si="20"/>
        <v>16.84</v>
      </c>
      <c r="K31" s="189">
        <f t="shared" si="20"/>
        <v>18.52</v>
      </c>
      <c r="L31" s="72"/>
      <c r="M31" s="72"/>
      <c r="N31" s="72"/>
    </row>
    <row r="32" spans="1:14" x14ac:dyDescent="0.3">
      <c r="A32" s="40" t="s">
        <v>37</v>
      </c>
      <c r="B32" s="40"/>
      <c r="C32" s="189"/>
      <c r="D32" s="189">
        <f>'Intt &amp; Depreciation'!G26</f>
        <v>421.5</v>
      </c>
      <c r="E32" s="189">
        <f>'Intt &amp; Depreciation'!G30</f>
        <v>376.125</v>
      </c>
      <c r="F32" s="207">
        <f>'Intt &amp; Depreciation'!G34</f>
        <v>335.77125000000001</v>
      </c>
      <c r="G32" s="189">
        <f>'Intt &amp; Depreciation'!G38</f>
        <v>299.86406249999993</v>
      </c>
      <c r="H32" s="189">
        <f>'Intt &amp; Depreciation'!G42</f>
        <v>267.897103125</v>
      </c>
      <c r="I32" s="189">
        <f>'Intt &amp; Depreciation'!G46</f>
        <v>239.42392265625</v>
      </c>
      <c r="J32" s="189">
        <f>'Intt &amp; Depreciation'!G50</f>
        <v>214.0505807578125</v>
      </c>
      <c r="K32" s="189">
        <f>'Intt &amp; Depreciation'!G54</f>
        <v>191.42921549414061</v>
      </c>
      <c r="L32" s="72"/>
      <c r="M32" s="72"/>
      <c r="N32" s="72"/>
    </row>
    <row r="33" spans="1:14" x14ac:dyDescent="0.3">
      <c r="A33" s="40" t="s">
        <v>444</v>
      </c>
      <c r="B33" s="40"/>
      <c r="C33" s="189"/>
      <c r="D33" s="189">
        <f>344.5/5</f>
        <v>68.900000000000006</v>
      </c>
      <c r="E33" s="189">
        <f t="shared" ref="E33:H33" si="21">344.5/5</f>
        <v>68.900000000000006</v>
      </c>
      <c r="F33" s="189">
        <f t="shared" si="21"/>
        <v>68.900000000000006</v>
      </c>
      <c r="G33" s="189">
        <f t="shared" si="21"/>
        <v>68.900000000000006</v>
      </c>
      <c r="H33" s="189">
        <f t="shared" si="21"/>
        <v>68.900000000000006</v>
      </c>
      <c r="I33" s="189">
        <v>0</v>
      </c>
      <c r="J33" s="189">
        <v>0</v>
      </c>
      <c r="K33" s="189">
        <v>0</v>
      </c>
      <c r="L33" s="72"/>
      <c r="M33" s="72"/>
      <c r="N33" s="72"/>
    </row>
    <row r="34" spans="1:14" x14ac:dyDescent="0.3">
      <c r="A34" s="40" t="s">
        <v>57</v>
      </c>
      <c r="B34" s="40"/>
      <c r="C34" s="189"/>
      <c r="D34" s="189">
        <f>'Intt &amp; Depreciation'!G8</f>
        <v>289.5</v>
      </c>
      <c r="E34" s="189">
        <f>'Intt &amp; Depreciation'!G9</f>
        <v>275.62812500000001</v>
      </c>
      <c r="F34" s="189">
        <f>'Intt &amp; Depreciation'!G10</f>
        <v>246.19562500000001</v>
      </c>
      <c r="G34" s="189">
        <f>'Intt &amp; Depreciation'!G11</f>
        <v>211.09375</v>
      </c>
      <c r="H34" s="189">
        <f>'Intt &amp; Depreciation'!G12</f>
        <v>172.01124999999999</v>
      </c>
      <c r="I34" s="189">
        <f>'Intt &amp; Depreciation'!G13</f>
        <v>129.06875000000002</v>
      </c>
      <c r="J34" s="189">
        <f>'Intt &amp; Depreciation'!G14</f>
        <v>82.628124999999983</v>
      </c>
      <c r="K34" s="189">
        <f>'Intt &amp; Depreciation'!G15</f>
        <v>30.035625</v>
      </c>
      <c r="L34" s="72"/>
      <c r="M34" s="72"/>
      <c r="N34" s="72"/>
    </row>
    <row r="35" spans="1:14" x14ac:dyDescent="0.3">
      <c r="A35" s="194" t="s">
        <v>53</v>
      </c>
      <c r="B35" s="194"/>
      <c r="C35" s="194"/>
      <c r="D35" s="218">
        <f t="shared" ref="D35:K35" si="22">ROUND(SUM(D22:D34),2)</f>
        <v>1544.68</v>
      </c>
      <c r="E35" s="218">
        <f t="shared" si="22"/>
        <v>1573.03</v>
      </c>
      <c r="F35" s="218">
        <f t="shared" si="22"/>
        <v>1663.34</v>
      </c>
      <c r="G35" s="218">
        <f t="shared" si="22"/>
        <v>1693.41</v>
      </c>
      <c r="H35" s="218">
        <f t="shared" si="22"/>
        <v>1733.73</v>
      </c>
      <c r="I35" s="218">
        <f t="shared" si="22"/>
        <v>1716.07</v>
      </c>
      <c r="J35" s="218">
        <f t="shared" si="22"/>
        <v>1889.36</v>
      </c>
      <c r="K35" s="218">
        <f t="shared" si="22"/>
        <v>1974.01</v>
      </c>
      <c r="L35" s="72"/>
      <c r="M35" s="72"/>
      <c r="N35" s="72"/>
    </row>
    <row r="36" spans="1:14" x14ac:dyDescent="0.3">
      <c r="A36" s="58" t="s">
        <v>142</v>
      </c>
      <c r="B36" s="57"/>
      <c r="C36" s="58"/>
      <c r="D36" s="58">
        <f t="shared" ref="D36:K36" si="23">D20-D35</f>
        <v>-52.779999999999973</v>
      </c>
      <c r="E36" s="58">
        <f t="shared" si="23"/>
        <v>62.089999999999918</v>
      </c>
      <c r="F36" s="58">
        <f t="shared" si="23"/>
        <v>336.59000000000015</v>
      </c>
      <c r="G36" s="58">
        <f t="shared" si="23"/>
        <v>499.91999999999985</v>
      </c>
      <c r="H36" s="58">
        <f t="shared" si="23"/>
        <v>672.02</v>
      </c>
      <c r="I36" s="58">
        <f t="shared" si="23"/>
        <v>922.99</v>
      </c>
      <c r="J36" s="58">
        <f t="shared" si="23"/>
        <v>1309.8900000000001</v>
      </c>
      <c r="K36" s="58">
        <f t="shared" si="23"/>
        <v>1537.16</v>
      </c>
      <c r="L36" s="80"/>
      <c r="M36" s="80"/>
      <c r="N36" s="80"/>
    </row>
    <row r="37" spans="1:14" x14ac:dyDescent="0.3">
      <c r="A37" s="40" t="s">
        <v>58</v>
      </c>
      <c r="B37" s="320"/>
      <c r="C37" s="281">
        <f>(25%+(25%*7%))+(25%+(25%*7%))*4%</f>
        <v>0.2782</v>
      </c>
      <c r="D37" s="208">
        <v>0</v>
      </c>
      <c r="E37" s="208">
        <f>(E36+D38)*$C$37</f>
        <v>2.5900419999999849</v>
      </c>
      <c r="F37" s="208">
        <f t="shared" ref="F37:K37" si="24">F36*$C$37</f>
        <v>93.639338000000038</v>
      </c>
      <c r="G37" s="208">
        <f t="shared" si="24"/>
        <v>139.07774399999997</v>
      </c>
      <c r="H37" s="208">
        <f t="shared" si="24"/>
        <v>186.95596399999999</v>
      </c>
      <c r="I37" s="208">
        <f t="shared" si="24"/>
        <v>256.77581800000002</v>
      </c>
      <c r="J37" s="208">
        <f t="shared" si="24"/>
        <v>364.41139800000002</v>
      </c>
      <c r="K37" s="208">
        <f t="shared" si="24"/>
        <v>427.63791200000003</v>
      </c>
      <c r="L37" s="62"/>
      <c r="M37" s="62"/>
      <c r="N37" s="62"/>
    </row>
    <row r="38" spans="1:14" x14ac:dyDescent="0.3">
      <c r="A38" s="194" t="s">
        <v>20</v>
      </c>
      <c r="B38" s="194"/>
      <c r="C38" s="212"/>
      <c r="D38" s="220">
        <f>D36-D37</f>
        <v>-52.779999999999973</v>
      </c>
      <c r="E38" s="220">
        <f>E36-E37</f>
        <v>59.499957999999936</v>
      </c>
      <c r="F38" s="220">
        <f t="shared" ref="F38:K38" si="25">F36-F37</f>
        <v>242.95066200000011</v>
      </c>
      <c r="G38" s="220">
        <f t="shared" si="25"/>
        <v>360.84225599999991</v>
      </c>
      <c r="H38" s="220">
        <f t="shared" si="25"/>
        <v>485.06403599999999</v>
      </c>
      <c r="I38" s="220">
        <f t="shared" si="25"/>
        <v>666.21418199999994</v>
      </c>
      <c r="J38" s="220">
        <f t="shared" si="25"/>
        <v>945.47860200000014</v>
      </c>
      <c r="K38" s="220">
        <f t="shared" si="25"/>
        <v>1109.5220880000002</v>
      </c>
      <c r="L38" s="72"/>
      <c r="M38" s="72"/>
      <c r="N38" s="72"/>
    </row>
    <row r="39" spans="1:14" x14ac:dyDescent="0.3">
      <c r="A39" s="13" t="s">
        <v>266</v>
      </c>
      <c r="B39" s="13"/>
      <c r="C39" s="62"/>
      <c r="D39" s="58">
        <f>(D36+D34+D32)/D34</f>
        <v>2.2736442141623492</v>
      </c>
      <c r="E39" s="58">
        <f t="shared" ref="E39:K39" si="26">(E36+E34+E32)/E34</f>
        <v>2.5898776657861018</v>
      </c>
      <c r="F39" s="58">
        <f t="shared" si="26"/>
        <v>3.7310040541947087</v>
      </c>
      <c r="G39" s="58">
        <f t="shared" si="26"/>
        <v>4.788762398223537</v>
      </c>
      <c r="H39" s="58">
        <f t="shared" si="26"/>
        <v>6.4642769186608442</v>
      </c>
      <c r="I39" s="58">
        <f t="shared" si="26"/>
        <v>10.006160845721755</v>
      </c>
      <c r="J39" s="58">
        <f t="shared" si="26"/>
        <v>19.443363936405586</v>
      </c>
      <c r="K39" s="58">
        <f t="shared" si="26"/>
        <v>58.551298349681112</v>
      </c>
    </row>
    <row r="40" spans="1:14" x14ac:dyDescent="0.3">
      <c r="A40" s="13" t="s">
        <v>241</v>
      </c>
      <c r="B40" s="13"/>
      <c r="C40" s="13"/>
      <c r="D40" s="82"/>
      <c r="E40" s="35"/>
      <c r="F40" s="35"/>
      <c r="G40" s="35"/>
      <c r="H40" s="35"/>
      <c r="I40" s="35"/>
      <c r="J40" s="35"/>
      <c r="K40" s="35"/>
    </row>
    <row r="41" spans="1:14" hidden="1" x14ac:dyDescent="0.3">
      <c r="A41" s="13"/>
      <c r="B41" s="13"/>
      <c r="C41" s="13"/>
      <c r="D41" s="104"/>
      <c r="E41" s="25"/>
      <c r="F41" s="104"/>
      <c r="G41" s="104"/>
      <c r="H41" s="104"/>
    </row>
    <row r="42" spans="1:14" hidden="1" x14ac:dyDescent="0.3">
      <c r="A42" s="13"/>
      <c r="B42" s="13"/>
      <c r="C42" s="13"/>
      <c r="D42" s="104" t="s">
        <v>0</v>
      </c>
      <c r="E42" s="25"/>
      <c r="F42" s="104"/>
      <c r="G42" s="104"/>
      <c r="H42" s="104"/>
    </row>
    <row r="43" spans="1:14" hidden="1" x14ac:dyDescent="0.3">
      <c r="A43" s="13"/>
      <c r="B43" s="13"/>
      <c r="C43" s="13"/>
      <c r="D43" s="104"/>
      <c r="E43" s="25"/>
      <c r="F43" s="104"/>
      <c r="G43" s="104"/>
      <c r="H43" s="104"/>
    </row>
    <row r="44" spans="1:14" hidden="1" x14ac:dyDescent="0.3">
      <c r="A44" s="13"/>
      <c r="B44" s="13"/>
      <c r="C44" s="13"/>
      <c r="D44" s="104"/>
      <c r="E44" s="104"/>
      <c r="F44" s="104"/>
      <c r="G44" s="104"/>
      <c r="H44" s="104"/>
    </row>
    <row r="45" spans="1:14" hidden="1" x14ac:dyDescent="0.3">
      <c r="A45" s="13"/>
      <c r="B45" s="13"/>
      <c r="C45" s="13"/>
      <c r="D45" s="104"/>
      <c r="E45" s="104"/>
      <c r="F45" s="104"/>
      <c r="G45" s="104"/>
      <c r="H45" s="104"/>
    </row>
    <row r="46" spans="1:14" x14ac:dyDescent="0.3">
      <c r="D46" s="82"/>
      <c r="E46" s="82"/>
      <c r="F46" s="82"/>
      <c r="G46" s="82"/>
      <c r="H46" s="82"/>
      <c r="I46" s="82"/>
      <c r="J46" s="82"/>
      <c r="K46" s="82"/>
    </row>
    <row r="47" spans="1:14" x14ac:dyDescent="0.3">
      <c r="D47" s="82"/>
      <c r="E47" s="82"/>
      <c r="F47" s="82"/>
      <c r="G47" s="82"/>
      <c r="H47" s="82"/>
    </row>
  </sheetData>
  <mergeCells count="3">
    <mergeCell ref="A2:I2"/>
    <mergeCell ref="A1:I1"/>
    <mergeCell ref="B4:C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 alignWithMargins="0"/>
  <rowBreaks count="2" manualBreakCount="2">
    <brk id="36" max="10" man="1"/>
    <brk id="3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42"/>
  <sheetViews>
    <sheetView view="pageBreakPreview" topLeftCell="A16" zoomScale="60" zoomScaleNormal="100" workbookViewId="0">
      <selection activeCell="K16" sqref="K16"/>
    </sheetView>
  </sheetViews>
  <sheetFormatPr defaultColWidth="8.88671875" defaultRowHeight="13.5" customHeight="1" x14ac:dyDescent="0.3"/>
  <cols>
    <col min="1" max="1" width="40.5546875" style="10" customWidth="1"/>
    <col min="2" max="3" width="10.5546875" style="10" hidden="1" customWidth="1"/>
    <col min="4" max="4" width="9.88671875" style="10" customWidth="1"/>
    <col min="5" max="5" width="9.6640625" style="10" customWidth="1"/>
    <col min="6" max="6" width="9.33203125" style="10" customWidth="1"/>
    <col min="7" max="7" width="10.109375" style="10" customWidth="1"/>
    <col min="8" max="8" width="10" style="10" customWidth="1"/>
    <col min="9" max="9" width="9.44140625" style="10" customWidth="1"/>
    <col min="10" max="10" width="10" style="10" customWidth="1"/>
    <col min="11" max="11" width="10.33203125" style="10" customWidth="1"/>
    <col min="12" max="12" width="11.5546875" style="10" bestFit="1" customWidth="1"/>
    <col min="13" max="13" width="9.5546875" style="10" bestFit="1" customWidth="1"/>
    <col min="14" max="19" width="12.33203125" style="10" bestFit="1" customWidth="1"/>
    <col min="20" max="20" width="11.33203125" style="10" bestFit="1" customWidth="1"/>
    <col min="21" max="16384" width="8.88671875" style="10"/>
  </cols>
  <sheetData>
    <row r="1" spans="1:20" ht="13.5" customHeight="1" x14ac:dyDescent="0.3">
      <c r="A1" s="358" t="str">
        <f>Cost!A1</f>
        <v>Mahecha Boutique Hotels Private Limited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20" ht="13.5" customHeight="1" x14ac:dyDescent="0.3">
      <c r="A2" s="395"/>
      <c r="B2" s="395"/>
      <c r="C2" s="395"/>
      <c r="D2" s="395"/>
      <c r="E2" s="395"/>
      <c r="F2" s="395"/>
      <c r="G2" s="395"/>
      <c r="H2" s="395"/>
      <c r="I2" s="395"/>
      <c r="K2" s="10">
        <f>Cost!D1</f>
        <v>0</v>
      </c>
    </row>
    <row r="3" spans="1:20" ht="13.5" customHeight="1" x14ac:dyDescent="0.3">
      <c r="A3" s="396" t="s">
        <v>127</v>
      </c>
      <c r="B3" s="396"/>
      <c r="C3" s="396"/>
      <c r="D3" s="396"/>
      <c r="E3" s="396"/>
      <c r="F3" s="396"/>
      <c r="G3" s="396"/>
      <c r="H3" s="396"/>
      <c r="I3" s="396"/>
      <c r="J3" s="397" t="s">
        <v>126</v>
      </c>
      <c r="K3" s="397"/>
    </row>
    <row r="4" spans="1:20" ht="34.5" customHeight="1" x14ac:dyDescent="0.3">
      <c r="A4" s="211" t="s">
        <v>96</v>
      </c>
      <c r="B4" s="199" t="s">
        <v>373</v>
      </c>
      <c r="C4" s="199" t="s">
        <v>342</v>
      </c>
      <c r="D4" s="193" t="s">
        <v>265</v>
      </c>
      <c r="E4" s="193" t="s">
        <v>365</v>
      </c>
      <c r="F4" s="193" t="s">
        <v>366</v>
      </c>
      <c r="G4" s="193" t="s">
        <v>367</v>
      </c>
      <c r="H4" s="193" t="s">
        <v>368</v>
      </c>
      <c r="I4" s="193" t="s">
        <v>369</v>
      </c>
      <c r="J4" s="193" t="s">
        <v>370</v>
      </c>
      <c r="K4" s="193" t="s">
        <v>371</v>
      </c>
      <c r="L4" s="71"/>
      <c r="M4" s="71"/>
    </row>
    <row r="5" spans="1:20" ht="29.25" customHeight="1" x14ac:dyDescent="0.3">
      <c r="A5" s="84"/>
      <c r="B5" s="393" t="s">
        <v>157</v>
      </c>
      <c r="C5" s="394"/>
      <c r="D5" s="28" t="s">
        <v>56</v>
      </c>
      <c r="E5" s="28" t="s">
        <v>56</v>
      </c>
      <c r="F5" s="28" t="s">
        <v>56</v>
      </c>
      <c r="G5" s="28" t="s">
        <v>56</v>
      </c>
      <c r="H5" s="28" t="s">
        <v>56</v>
      </c>
      <c r="I5" s="28" t="s">
        <v>56</v>
      </c>
      <c r="J5" s="29" t="s">
        <v>56</v>
      </c>
      <c r="K5" s="28" t="s">
        <v>56</v>
      </c>
      <c r="L5" s="85"/>
      <c r="M5" s="85"/>
    </row>
    <row r="6" spans="1:20" ht="13.5" customHeight="1" x14ac:dyDescent="0.3">
      <c r="A6" s="317" t="s">
        <v>361</v>
      </c>
      <c r="B6" s="317"/>
      <c r="C6" s="317"/>
      <c r="D6" s="202"/>
      <c r="E6" s="202"/>
      <c r="F6" s="202"/>
      <c r="G6" s="202"/>
      <c r="H6" s="202"/>
      <c r="I6" s="202"/>
      <c r="J6" s="202"/>
      <c r="K6" s="202"/>
      <c r="L6" s="72"/>
      <c r="M6" s="72"/>
    </row>
    <row r="7" spans="1:20" ht="13.5" customHeight="1" x14ac:dyDescent="0.3">
      <c r="A7" s="40" t="s">
        <v>467</v>
      </c>
      <c r="B7" s="40">
        <v>0</v>
      </c>
      <c r="C7" s="40">
        <v>0</v>
      </c>
      <c r="D7" s="202">
        <f>C12</f>
        <v>700</v>
      </c>
      <c r="E7" s="202">
        <f>D12</f>
        <v>647.22</v>
      </c>
      <c r="F7" s="202">
        <f t="shared" ref="F7:K7" si="0">E12</f>
        <v>706.72</v>
      </c>
      <c r="G7" s="202">
        <f t="shared" si="0"/>
        <v>949.67</v>
      </c>
      <c r="H7" s="202">
        <f t="shared" si="0"/>
        <v>1310.51</v>
      </c>
      <c r="I7" s="202">
        <f t="shared" si="0"/>
        <v>1795.57</v>
      </c>
      <c r="J7" s="202">
        <f t="shared" si="0"/>
        <v>2461.7800000000002</v>
      </c>
      <c r="K7" s="202">
        <f t="shared" si="0"/>
        <v>3407.26</v>
      </c>
      <c r="L7" s="72"/>
      <c r="M7" s="72"/>
    </row>
    <row r="8" spans="1:20" ht="13.5" customHeight="1" x14ac:dyDescent="0.3">
      <c r="A8" s="40" t="s">
        <v>97</v>
      </c>
      <c r="B8" s="43">
        <f>Cost!C29/2</f>
        <v>350</v>
      </c>
      <c r="C8" s="43">
        <f>B8*2</f>
        <v>700</v>
      </c>
      <c r="D8" s="202">
        <v>0</v>
      </c>
      <c r="E8" s="202">
        <v>0</v>
      </c>
      <c r="F8" s="202">
        <v>0</v>
      </c>
      <c r="G8" s="202">
        <v>0</v>
      </c>
      <c r="H8" s="202">
        <v>0</v>
      </c>
      <c r="I8" s="202">
        <v>0</v>
      </c>
      <c r="J8" s="202">
        <v>0</v>
      </c>
      <c r="K8" s="202">
        <v>0</v>
      </c>
      <c r="L8" s="72"/>
      <c r="M8" s="72"/>
    </row>
    <row r="9" spans="1:20" ht="13.5" customHeight="1" x14ac:dyDescent="0.3">
      <c r="A9" s="40" t="s">
        <v>144</v>
      </c>
      <c r="B9" s="40">
        <v>0</v>
      </c>
      <c r="C9" s="40">
        <v>0</v>
      </c>
      <c r="D9" s="202">
        <f>Profitability!D38</f>
        <v>-52.779999999999973</v>
      </c>
      <c r="E9" s="202">
        <f>Profitability!E38</f>
        <v>59.499957999999936</v>
      </c>
      <c r="F9" s="202">
        <f>Profitability!F38</f>
        <v>242.95066200000011</v>
      </c>
      <c r="G9" s="202">
        <f>Profitability!G38</f>
        <v>360.84225599999991</v>
      </c>
      <c r="H9" s="202">
        <f>Profitability!H38</f>
        <v>485.06403599999999</v>
      </c>
      <c r="I9" s="202">
        <f>Profitability!I38</f>
        <v>666.21418199999994</v>
      </c>
      <c r="J9" s="202">
        <f>Profitability!J38</f>
        <v>945.47860200000014</v>
      </c>
      <c r="K9" s="202">
        <f>Profitability!K38</f>
        <v>1109.5220880000002</v>
      </c>
      <c r="L9" s="72"/>
      <c r="M9" s="72"/>
    </row>
    <row r="10" spans="1:20" ht="13.5" customHeight="1" x14ac:dyDescent="0.3">
      <c r="A10" s="40" t="s">
        <v>12</v>
      </c>
      <c r="B10" s="43">
        <f>SUM(B7:B9)</f>
        <v>350</v>
      </c>
      <c r="C10" s="43">
        <f>SUM(C7:C9)</f>
        <v>700</v>
      </c>
      <c r="D10" s="43">
        <f>SUM(D7:D9)</f>
        <v>647.22</v>
      </c>
      <c r="E10" s="43">
        <f t="shared" ref="E10:K10" si="1">ROUND(SUM(E7:E9),2)</f>
        <v>706.72</v>
      </c>
      <c r="F10" s="43">
        <f t="shared" si="1"/>
        <v>949.67</v>
      </c>
      <c r="G10" s="43">
        <f t="shared" si="1"/>
        <v>1310.51</v>
      </c>
      <c r="H10" s="43">
        <f t="shared" si="1"/>
        <v>1795.57</v>
      </c>
      <c r="I10" s="43">
        <f t="shared" si="1"/>
        <v>2461.7800000000002</v>
      </c>
      <c r="J10" s="43">
        <f t="shared" si="1"/>
        <v>3407.26</v>
      </c>
      <c r="K10" s="43">
        <f t="shared" si="1"/>
        <v>4516.78</v>
      </c>
      <c r="L10" s="72"/>
      <c r="M10" s="72"/>
    </row>
    <row r="11" spans="1:20" ht="13.5" hidden="1" customHeight="1" x14ac:dyDescent="0.3">
      <c r="A11" s="40" t="s">
        <v>237</v>
      </c>
      <c r="B11" s="40"/>
      <c r="C11" s="40"/>
      <c r="D11" s="321">
        <v>0</v>
      </c>
      <c r="E11" s="321">
        <v>0</v>
      </c>
      <c r="F11" s="321">
        <v>0</v>
      </c>
      <c r="G11" s="321">
        <v>0</v>
      </c>
      <c r="H11" s="321">
        <v>0</v>
      </c>
      <c r="I11" s="321">
        <v>0</v>
      </c>
      <c r="J11" s="321">
        <v>0</v>
      </c>
      <c r="K11" s="321">
        <v>0</v>
      </c>
      <c r="L11" s="72"/>
      <c r="M11" s="72"/>
    </row>
    <row r="12" spans="1:20" ht="13.5" customHeight="1" x14ac:dyDescent="0.3">
      <c r="A12" s="194" t="s">
        <v>208</v>
      </c>
      <c r="B12" s="212">
        <f t="shared" ref="B12:K12" si="2">B10-B11</f>
        <v>350</v>
      </c>
      <c r="C12" s="212">
        <f t="shared" si="2"/>
        <v>700</v>
      </c>
      <c r="D12" s="212">
        <f t="shared" si="2"/>
        <v>647.22</v>
      </c>
      <c r="E12" s="212">
        <f t="shared" si="2"/>
        <v>706.72</v>
      </c>
      <c r="F12" s="212">
        <f t="shared" si="2"/>
        <v>949.67</v>
      </c>
      <c r="G12" s="212">
        <f t="shared" si="2"/>
        <v>1310.51</v>
      </c>
      <c r="H12" s="212">
        <f t="shared" si="2"/>
        <v>1795.57</v>
      </c>
      <c r="I12" s="212">
        <f t="shared" si="2"/>
        <v>2461.7800000000002</v>
      </c>
      <c r="J12" s="212">
        <f t="shared" si="2"/>
        <v>3407.26</v>
      </c>
      <c r="K12" s="212">
        <f t="shared" si="2"/>
        <v>4516.78</v>
      </c>
      <c r="L12" s="72">
        <f>SUM(D12:K12)</f>
        <v>15795.509999999998</v>
      </c>
      <c r="M12" s="72"/>
    </row>
    <row r="13" spans="1:20" ht="13.5" customHeight="1" x14ac:dyDescent="0.3">
      <c r="A13" s="40" t="s">
        <v>54</v>
      </c>
      <c r="B13" s="43">
        <f>'Intt &amp; Depreciation'!F6/2</f>
        <v>1500</v>
      </c>
      <c r="C13" s="43">
        <f>'Intt &amp; Depreciation'!F7</f>
        <v>3000</v>
      </c>
      <c r="D13" s="43">
        <f>'Intt &amp; Depreciation'!F8</f>
        <v>2900</v>
      </c>
      <c r="E13" s="43">
        <f>'Intt &amp; Depreciation'!F9</f>
        <v>2600</v>
      </c>
      <c r="F13" s="43">
        <f>'Intt &amp; Depreciation'!F10</f>
        <v>2240</v>
      </c>
      <c r="G13" s="43">
        <f>'Intt &amp; Depreciation'!F11</f>
        <v>1840</v>
      </c>
      <c r="H13" s="43">
        <f>'Intt &amp; Depreciation'!F12</f>
        <v>1400</v>
      </c>
      <c r="I13" s="43">
        <f>'Intt &amp; Depreciation'!F13</f>
        <v>920</v>
      </c>
      <c r="J13" s="43">
        <f>'Intt &amp; Depreciation'!F14</f>
        <v>420</v>
      </c>
      <c r="K13" s="43">
        <f>'Intt &amp; Depreciation'!F15</f>
        <v>0</v>
      </c>
      <c r="L13" s="72"/>
      <c r="M13" s="72"/>
    </row>
    <row r="14" spans="1:20" ht="13.5" customHeight="1" x14ac:dyDescent="0.3">
      <c r="A14" s="40" t="s">
        <v>268</v>
      </c>
      <c r="B14" s="43">
        <f>Cost!C27/2</f>
        <v>344.565</v>
      </c>
      <c r="C14" s="43">
        <f>B14*2</f>
        <v>689.13</v>
      </c>
      <c r="D14" s="43">
        <f>C14</f>
        <v>689.13</v>
      </c>
      <c r="E14" s="43">
        <f t="shared" ref="E14:K14" si="3">D14</f>
        <v>689.13</v>
      </c>
      <c r="F14" s="43">
        <f t="shared" si="3"/>
        <v>689.13</v>
      </c>
      <c r="G14" s="43">
        <f t="shared" si="3"/>
        <v>689.13</v>
      </c>
      <c r="H14" s="43">
        <f t="shared" si="3"/>
        <v>689.13</v>
      </c>
      <c r="I14" s="43">
        <f t="shared" si="3"/>
        <v>689.13</v>
      </c>
      <c r="J14" s="43">
        <f t="shared" si="3"/>
        <v>689.13</v>
      </c>
      <c r="K14" s="43">
        <f t="shared" si="3"/>
        <v>689.13</v>
      </c>
      <c r="L14" s="72"/>
      <c r="M14" s="72"/>
    </row>
    <row r="15" spans="1:20" ht="27" customHeight="1" x14ac:dyDescent="0.3">
      <c r="A15" s="151" t="s">
        <v>125</v>
      </c>
      <c r="B15" s="322">
        <v>0</v>
      </c>
      <c r="C15" s="323">
        <f>(Profitability!C35-Profitability!C34-Profitability!C32)*30/360</f>
        <v>0</v>
      </c>
      <c r="D15" s="323">
        <f>(Profitability!D35-Profitability!D34-Profitability!D32)*30/360</f>
        <v>69.473333333333343</v>
      </c>
      <c r="E15" s="323">
        <f>(Profitability!E35-Profitability!E34-Profitability!E32)*30/360</f>
        <v>76.773072916666678</v>
      </c>
      <c r="F15" s="323">
        <f>(Profitability!F35-Profitability!F34-Profitability!F32)*30/360</f>
        <v>90.114427083333325</v>
      </c>
      <c r="G15" s="323">
        <f>(Profitability!G35-Profitability!G34-Profitability!G32)*30/360</f>
        <v>98.53768229166667</v>
      </c>
      <c r="H15" s="323">
        <f>(Profitability!H35-Profitability!H34-Profitability!H32)*30/360</f>
        <v>107.81847057291667</v>
      </c>
      <c r="I15" s="323">
        <f>(Profitability!I35-Profitability!I34-Profitability!I32)*30/360</f>
        <v>112.29811061197914</v>
      </c>
      <c r="J15" s="323">
        <f>(Profitability!J35-Profitability!J34-Profitability!J32)*30/360</f>
        <v>132.72344118684896</v>
      </c>
      <c r="K15" s="323">
        <f>(Profitability!K35-Profitability!K34-Profitability!K32)*30/360</f>
        <v>146.04542995882161</v>
      </c>
      <c r="L15" s="72"/>
      <c r="M15" s="72"/>
    </row>
    <row r="16" spans="1:20" ht="13.5" customHeight="1" x14ac:dyDescent="0.3">
      <c r="A16" s="194" t="s">
        <v>12</v>
      </c>
      <c r="B16" s="212">
        <f t="shared" ref="B16:K16" si="4">SUM(B12:B15)</f>
        <v>2194.5650000000001</v>
      </c>
      <c r="C16" s="212">
        <f t="shared" si="4"/>
        <v>4389.13</v>
      </c>
      <c r="D16" s="212">
        <f t="shared" si="4"/>
        <v>4305.8233333333337</v>
      </c>
      <c r="E16" s="212">
        <f t="shared" si="4"/>
        <v>4072.6230729166668</v>
      </c>
      <c r="F16" s="212">
        <f t="shared" si="4"/>
        <v>3968.9144270833335</v>
      </c>
      <c r="G16" s="212">
        <f t="shared" si="4"/>
        <v>3938.1776822916672</v>
      </c>
      <c r="H16" s="212">
        <f t="shared" si="4"/>
        <v>3992.5184705729166</v>
      </c>
      <c r="I16" s="212">
        <f t="shared" si="4"/>
        <v>4183.2081106119795</v>
      </c>
      <c r="J16" s="212">
        <f t="shared" si="4"/>
        <v>4649.1134411868497</v>
      </c>
      <c r="K16" s="212">
        <f t="shared" si="4"/>
        <v>5351.9554299588217</v>
      </c>
      <c r="L16" s="80"/>
      <c r="M16" s="80">
        <v>4305.8233333333337</v>
      </c>
      <c r="N16" s="10">
        <v>4072.6230729166668</v>
      </c>
      <c r="O16" s="10">
        <v>3968.9144270833335</v>
      </c>
      <c r="P16" s="10">
        <v>3938.1776822916672</v>
      </c>
      <c r="Q16" s="10">
        <v>3992.5184705729166</v>
      </c>
      <c r="R16" s="10">
        <v>4183.2081106119795</v>
      </c>
      <c r="S16" s="10">
        <v>4649.1134411868497</v>
      </c>
      <c r="T16" s="10">
        <v>5351.9554299588217</v>
      </c>
    </row>
    <row r="17" spans="1:23" ht="13.5" customHeight="1" x14ac:dyDescent="0.3">
      <c r="A17" s="317" t="s">
        <v>362</v>
      </c>
      <c r="B17" s="324">
        <v>0</v>
      </c>
      <c r="C17" s="324">
        <f t="shared" ref="C17:K17" si="5">C16-C24</f>
        <v>0</v>
      </c>
      <c r="D17" s="324">
        <f t="shared" si="5"/>
        <v>0</v>
      </c>
      <c r="E17" s="324">
        <f t="shared" si="5"/>
        <v>0</v>
      </c>
      <c r="F17" s="324">
        <f t="shared" si="5"/>
        <v>0</v>
      </c>
      <c r="G17" s="324">
        <f t="shared" si="5"/>
        <v>0</v>
      </c>
      <c r="H17" s="324">
        <f t="shared" si="5"/>
        <v>0</v>
      </c>
      <c r="I17" s="324">
        <f t="shared" si="5"/>
        <v>0</v>
      </c>
      <c r="J17" s="324">
        <f t="shared" si="5"/>
        <v>0</v>
      </c>
      <c r="K17" s="324">
        <f t="shared" si="5"/>
        <v>0</v>
      </c>
      <c r="L17" s="72">
        <f>L16/L12</f>
        <v>0</v>
      </c>
      <c r="M17" s="72" t="s">
        <v>234</v>
      </c>
    </row>
    <row r="18" spans="1:23" ht="13.5" customHeight="1" x14ac:dyDescent="0.3">
      <c r="A18" s="201" t="s">
        <v>405</v>
      </c>
      <c r="B18" s="43">
        <f>'Intt &amp; Depreciation'!G22/2</f>
        <v>2022.3150000000001</v>
      </c>
      <c r="C18" s="43">
        <f>'Intt &amp; Depreciation'!G22</f>
        <v>4044.63</v>
      </c>
      <c r="D18" s="43">
        <f>'Intt &amp; Depreciation'!G27</f>
        <v>3623.13</v>
      </c>
      <c r="E18" s="202">
        <f>'Intt &amp; Depreciation'!G31</f>
        <v>3247.0050000000001</v>
      </c>
      <c r="F18" s="202">
        <f>'Intt &amp; Depreciation'!G35</f>
        <v>2911.2337500000003</v>
      </c>
      <c r="G18" s="43">
        <f>'Intt &amp; Depreciation'!G39</f>
        <v>2611.3696875000005</v>
      </c>
      <c r="H18" s="43">
        <f>'Intt &amp; Depreciation'!G43</f>
        <v>2343.4725843750007</v>
      </c>
      <c r="I18" s="43">
        <f>'Intt &amp; Depreciation'!G47</f>
        <v>2104.0486617187507</v>
      </c>
      <c r="J18" s="43">
        <f>'Intt &amp; Depreciation'!G51</f>
        <v>1889.9980809609383</v>
      </c>
      <c r="K18" s="43">
        <f>'Intt &amp; Depreciation'!G55</f>
        <v>1698.5688654667977</v>
      </c>
      <c r="L18" s="72"/>
      <c r="M18" s="72"/>
    </row>
    <row r="19" spans="1:23" ht="13.5" customHeight="1" x14ac:dyDescent="0.3">
      <c r="A19" s="40" t="s">
        <v>155</v>
      </c>
      <c r="B19" s="202">
        <v>0</v>
      </c>
      <c r="C19" s="202">
        <v>0</v>
      </c>
      <c r="D19" s="269">
        <v>45</v>
      </c>
      <c r="E19" s="269">
        <v>45</v>
      </c>
      <c r="F19" s="269">
        <v>45</v>
      </c>
      <c r="G19" s="269">
        <v>45</v>
      </c>
      <c r="H19" s="269">
        <v>45</v>
      </c>
      <c r="I19" s="269">
        <v>45</v>
      </c>
      <c r="J19" s="269">
        <v>45</v>
      </c>
      <c r="K19" s="269">
        <v>45</v>
      </c>
      <c r="L19" s="72"/>
      <c r="M19" s="72"/>
    </row>
    <row r="20" spans="1:23" ht="13.5" customHeight="1" x14ac:dyDescent="0.3">
      <c r="A20" s="201" t="s">
        <v>403</v>
      </c>
      <c r="B20" s="43">
        <f>344.5/2</f>
        <v>172.25</v>
      </c>
      <c r="C20" s="43">
        <v>344.5</v>
      </c>
      <c r="D20" s="43">
        <f>+C20-Profitability!D33</f>
        <v>275.60000000000002</v>
      </c>
      <c r="E20" s="43">
        <f>+D20-Profitability!E33</f>
        <v>206.70000000000002</v>
      </c>
      <c r="F20" s="43">
        <f>+E20-Profitability!F33</f>
        <v>137.80000000000001</v>
      </c>
      <c r="G20" s="43">
        <f>+F20-Profitability!G33</f>
        <v>68.900000000000006</v>
      </c>
      <c r="H20" s="43">
        <f>+G20-Profitability!H33</f>
        <v>0</v>
      </c>
      <c r="I20" s="43">
        <f>+H20-Profitability!I33</f>
        <v>0</v>
      </c>
      <c r="J20" s="43">
        <f>+I20-Profitability!J33</f>
        <v>0</v>
      </c>
      <c r="K20" s="43">
        <f>+J20-Profitability!K33</f>
        <v>0</v>
      </c>
      <c r="L20" s="72"/>
      <c r="M20" s="72"/>
    </row>
    <row r="21" spans="1:23" ht="13.5" customHeight="1" x14ac:dyDescent="0.3">
      <c r="A21" s="40" t="s">
        <v>207</v>
      </c>
      <c r="B21" s="202">
        <f>ROUND((Profitability!B14+Profitability!B15)/12*2,2)</f>
        <v>0</v>
      </c>
      <c r="C21" s="202">
        <f>ROUND((Profitability!C14+Profitability!C15)/12*2,2)</f>
        <v>0</v>
      </c>
      <c r="D21" s="202">
        <f>ROUND((Profitability!D14+Profitability!D15)/12,2)</f>
        <v>103.42</v>
      </c>
      <c r="E21" s="202">
        <f>ROUND((Profitability!E14+Profitability!E15)/12*2,2)</f>
        <v>227.52</v>
      </c>
      <c r="F21" s="202">
        <f>ROUND((Profitability!F14+Profitability!F15)/12*2,2)</f>
        <v>281.55</v>
      </c>
      <c r="G21" s="202">
        <f>ROUND((Profitability!G14+Profitability!G15)/12*2,2)</f>
        <v>309.70999999999998</v>
      </c>
      <c r="H21" s="202">
        <f>ROUND((Profitability!H14+Profitability!H15)/12*2,2)</f>
        <v>340.68</v>
      </c>
      <c r="I21" s="202">
        <f>ROUND((Profitability!I14+Profitability!I15)/12*2,2)</f>
        <v>374.75</v>
      </c>
      <c r="J21" s="202">
        <f>ROUND((Profitability!J14+Profitability!J15)/12*2,2)</f>
        <v>458.02</v>
      </c>
      <c r="K21" s="202">
        <f>ROUND((Profitability!K14+Profitability!K15)/12*2,2)</f>
        <v>503.82</v>
      </c>
      <c r="L21" s="72"/>
      <c r="M21" s="72"/>
    </row>
    <row r="22" spans="1:23" ht="13.5" customHeight="1" x14ac:dyDescent="0.3">
      <c r="A22" s="40" t="s">
        <v>402</v>
      </c>
      <c r="B22" s="202">
        <v>0</v>
      </c>
      <c r="C22" s="202">
        <f>(Profitability!C15+Profitability!C17)*1/12</f>
        <v>0</v>
      </c>
      <c r="D22" s="202">
        <f>(Profitability!D15+Profitability!D17)*1/12</f>
        <v>43.375</v>
      </c>
      <c r="E22" s="202">
        <f>(Profitability!E15+Profitability!E17)*1/12</f>
        <v>47.368749999999999</v>
      </c>
      <c r="F22" s="202">
        <f>(Profitability!F15+Profitability!F17)*1/12</f>
        <v>57.265520833333333</v>
      </c>
      <c r="G22" s="202">
        <f>(Profitability!G15+Profitability!G17)*1/12</f>
        <v>62.612838541666669</v>
      </c>
      <c r="H22" s="202">
        <f>(Profitability!H15+Profitability!H17)*1/12</f>
        <v>68.476605468750009</v>
      </c>
      <c r="I22" s="202">
        <f>(Profitability!I15+Profitability!I17)*1/12</f>
        <v>74.906102408854167</v>
      </c>
      <c r="J22" s="202">
        <f>(Profitability!J15+Profitability!J17)*1/12</f>
        <v>90.04065752929688</v>
      </c>
      <c r="K22" s="202">
        <f>(Profitability!K15+Profitability!K17)*1/12</f>
        <v>98.58381540576174</v>
      </c>
      <c r="L22" s="72"/>
      <c r="M22" s="72"/>
    </row>
    <row r="23" spans="1:23" ht="13.5" customHeight="1" x14ac:dyDescent="0.3">
      <c r="A23" s="40" t="s">
        <v>22</v>
      </c>
      <c r="B23" s="202">
        <v>0</v>
      </c>
      <c r="C23" s="202">
        <v>0</v>
      </c>
      <c r="D23" s="269">
        <v>215.29833333333346</v>
      </c>
      <c r="E23" s="269">
        <v>299.02932291666673</v>
      </c>
      <c r="F23" s="269">
        <v>536.06515624999929</v>
      </c>
      <c r="G23" s="269">
        <v>840.58515624999973</v>
      </c>
      <c r="H23" s="269">
        <v>1194.8892807291659</v>
      </c>
      <c r="I23" s="269">
        <v>1584.5033464843743</v>
      </c>
      <c r="J23" s="269">
        <v>2166.0547026966142</v>
      </c>
      <c r="K23" s="269">
        <v>3005.9827490862626</v>
      </c>
      <c r="L23" s="72"/>
      <c r="M23" s="72"/>
    </row>
    <row r="24" spans="1:23" ht="13.5" customHeight="1" x14ac:dyDescent="0.3">
      <c r="A24" s="194" t="s">
        <v>12</v>
      </c>
      <c r="B24" s="221">
        <f t="shared" ref="B24:K24" si="6">SUM(B18:B23)</f>
        <v>2194.5650000000001</v>
      </c>
      <c r="C24" s="221">
        <f t="shared" si="6"/>
        <v>4389.13</v>
      </c>
      <c r="D24" s="221">
        <f t="shared" si="6"/>
        <v>4305.8233333333337</v>
      </c>
      <c r="E24" s="221">
        <f t="shared" si="6"/>
        <v>4072.6230729166668</v>
      </c>
      <c r="F24" s="221">
        <f t="shared" si="6"/>
        <v>3968.9144270833335</v>
      </c>
      <c r="G24" s="221">
        <f t="shared" si="6"/>
        <v>3938.1776822916672</v>
      </c>
      <c r="H24" s="221">
        <f t="shared" si="6"/>
        <v>3992.5184705729166</v>
      </c>
      <c r="I24" s="221">
        <f t="shared" si="6"/>
        <v>4183.2081106119795</v>
      </c>
      <c r="J24" s="221">
        <f t="shared" si="6"/>
        <v>4649.1134411868497</v>
      </c>
      <c r="K24" s="221">
        <f t="shared" si="6"/>
        <v>5351.9554299588217</v>
      </c>
      <c r="L24" s="80"/>
      <c r="M24" s="80"/>
      <c r="O24" s="33"/>
      <c r="P24" s="33"/>
      <c r="Q24" s="33"/>
      <c r="R24" s="33"/>
      <c r="S24" s="33"/>
      <c r="T24" s="33"/>
      <c r="U24" s="33"/>
      <c r="V24" s="33"/>
      <c r="W24" s="33"/>
    </row>
    <row r="25" spans="1:23" ht="13.5" customHeight="1" x14ac:dyDescent="0.3">
      <c r="A25" s="60" t="s">
        <v>50</v>
      </c>
      <c r="B25" s="78">
        <f>B21+B22</f>
        <v>0</v>
      </c>
      <c r="C25" s="78">
        <f>C21+C22</f>
        <v>0</v>
      </c>
      <c r="D25" s="78">
        <f t="shared" ref="D25:K25" si="7">D21+D22</f>
        <v>146.79500000000002</v>
      </c>
      <c r="E25" s="78">
        <f t="shared" si="7"/>
        <v>274.88875000000002</v>
      </c>
      <c r="F25" s="78">
        <f t="shared" si="7"/>
        <v>338.81552083333332</v>
      </c>
      <c r="G25" s="78">
        <f t="shared" si="7"/>
        <v>372.32283854166667</v>
      </c>
      <c r="H25" s="78">
        <f t="shared" si="7"/>
        <v>409.15660546875</v>
      </c>
      <c r="I25" s="78">
        <f t="shared" si="7"/>
        <v>449.65610240885417</v>
      </c>
      <c r="J25" s="78">
        <f t="shared" si="7"/>
        <v>548.0606575292968</v>
      </c>
      <c r="K25" s="78">
        <f t="shared" si="7"/>
        <v>602.40381540576175</v>
      </c>
      <c r="L25" s="80"/>
      <c r="M25" s="80"/>
    </row>
    <row r="26" spans="1:23" ht="13.5" customHeight="1" x14ac:dyDescent="0.3">
      <c r="A26" s="60" t="s">
        <v>59</v>
      </c>
      <c r="B26" s="78">
        <f t="shared" ref="B26:D26" si="8">SUM(B21:B23)</f>
        <v>0</v>
      </c>
      <c r="C26" s="78">
        <f t="shared" si="8"/>
        <v>0</v>
      </c>
      <c r="D26" s="78">
        <f t="shared" si="8"/>
        <v>362.09333333333348</v>
      </c>
      <c r="E26" s="78">
        <f t="shared" ref="E26:K26" si="9">SUM(E21:E23)</f>
        <v>573.91807291666669</v>
      </c>
      <c r="F26" s="78">
        <f t="shared" si="9"/>
        <v>874.88067708333256</v>
      </c>
      <c r="G26" s="78">
        <f t="shared" si="9"/>
        <v>1212.9079947916664</v>
      </c>
      <c r="H26" s="78">
        <f t="shared" si="9"/>
        <v>1604.0458861979159</v>
      </c>
      <c r="I26" s="78">
        <f t="shared" si="9"/>
        <v>2034.1594488932285</v>
      </c>
      <c r="J26" s="78">
        <f t="shared" si="9"/>
        <v>2714.115360225911</v>
      </c>
      <c r="K26" s="78">
        <f t="shared" si="9"/>
        <v>3608.3865644920243</v>
      </c>
      <c r="L26" s="80">
        <f>SUM(B26:K26)</f>
        <v>12984.507337934079</v>
      </c>
      <c r="M26" s="80"/>
    </row>
    <row r="27" spans="1:23" ht="13.5" customHeight="1" x14ac:dyDescent="0.3">
      <c r="A27" s="60" t="s">
        <v>60</v>
      </c>
      <c r="B27" s="77">
        <f t="shared" ref="B27:C27" si="10">B15</f>
        <v>0</v>
      </c>
      <c r="C27" s="77">
        <f t="shared" si="10"/>
        <v>0</v>
      </c>
      <c r="D27" s="77">
        <f>D15</f>
        <v>69.473333333333343</v>
      </c>
      <c r="E27" s="77">
        <f t="shared" ref="E27:K27" si="11">E15</f>
        <v>76.773072916666678</v>
      </c>
      <c r="F27" s="77">
        <f t="shared" si="11"/>
        <v>90.114427083333325</v>
      </c>
      <c r="G27" s="77">
        <f t="shared" si="11"/>
        <v>98.53768229166667</v>
      </c>
      <c r="H27" s="77">
        <f t="shared" si="11"/>
        <v>107.81847057291667</v>
      </c>
      <c r="I27" s="77">
        <f t="shared" si="11"/>
        <v>112.29811061197914</v>
      </c>
      <c r="J27" s="77">
        <f t="shared" si="11"/>
        <v>132.72344118684896</v>
      </c>
      <c r="K27" s="77">
        <f t="shared" si="11"/>
        <v>146.04542995882161</v>
      </c>
      <c r="L27" s="80">
        <f>SUM(B27:K27)</f>
        <v>833.78396795556637</v>
      </c>
      <c r="M27" s="80"/>
    </row>
    <row r="28" spans="1:23" ht="13.5" customHeight="1" x14ac:dyDescent="0.3">
      <c r="A28" s="194" t="s">
        <v>61</v>
      </c>
      <c r="B28" s="213">
        <f>B26-B27</f>
        <v>0</v>
      </c>
      <c r="C28" s="213">
        <f t="shared" ref="C28:K28" si="12">C26-C27</f>
        <v>0</v>
      </c>
      <c r="D28" s="213">
        <f t="shared" si="12"/>
        <v>292.62000000000012</v>
      </c>
      <c r="E28" s="213">
        <f t="shared" si="12"/>
        <v>497.14499999999998</v>
      </c>
      <c r="F28" s="213">
        <f t="shared" si="12"/>
        <v>784.76624999999922</v>
      </c>
      <c r="G28" s="213">
        <f t="shared" si="12"/>
        <v>1114.3703124999997</v>
      </c>
      <c r="H28" s="213">
        <f t="shared" si="12"/>
        <v>1496.2274156249994</v>
      </c>
      <c r="I28" s="213">
        <f t="shared" si="12"/>
        <v>1921.8613382812493</v>
      </c>
      <c r="J28" s="213">
        <f t="shared" si="12"/>
        <v>2581.391919039062</v>
      </c>
      <c r="K28" s="213">
        <f t="shared" si="12"/>
        <v>3462.3411345332024</v>
      </c>
      <c r="L28" s="80">
        <f>L26-L27</f>
        <v>12150.723369978514</v>
      </c>
      <c r="M28" s="80"/>
    </row>
    <row r="29" spans="1:23" ht="13.5" customHeight="1" x14ac:dyDescent="0.3">
      <c r="A29" s="60" t="s">
        <v>62</v>
      </c>
      <c r="B29" s="87">
        <v>0</v>
      </c>
      <c r="C29" s="87">
        <v>0</v>
      </c>
      <c r="D29" s="87">
        <f>(D26+D13-E13)/D27</f>
        <v>9.5301794453507309</v>
      </c>
      <c r="E29" s="87">
        <f t="shared" ref="E29:K29" si="13">(E26+E13-F13)/E27</f>
        <v>12.164656661983397</v>
      </c>
      <c r="F29" s="87">
        <f t="shared" si="13"/>
        <v>14.1473537406434</v>
      </c>
      <c r="G29" s="87">
        <f t="shared" si="13"/>
        <v>16.774374598127245</v>
      </c>
      <c r="H29" s="87">
        <f t="shared" si="13"/>
        <v>19.329210246851854</v>
      </c>
      <c r="I29" s="87">
        <f t="shared" si="13"/>
        <v>22.566358731087174</v>
      </c>
      <c r="J29" s="87">
        <f t="shared" si="13"/>
        <v>23.613879599562839</v>
      </c>
      <c r="K29" s="87">
        <f t="shared" si="13"/>
        <v>24.707288447912614</v>
      </c>
      <c r="L29" s="80">
        <f>L26/L27</f>
        <v>15.572987532696292</v>
      </c>
      <c r="M29" s="80"/>
    </row>
    <row r="30" spans="1:23" ht="13.5" customHeight="1" x14ac:dyDescent="0.3">
      <c r="A30" s="60" t="s">
        <v>99</v>
      </c>
      <c r="B30" s="78">
        <f t="shared" ref="B30:K30" si="14">B13</f>
        <v>1500</v>
      </c>
      <c r="C30" s="78">
        <f t="shared" si="14"/>
        <v>3000</v>
      </c>
      <c r="D30" s="78">
        <f t="shared" si="14"/>
        <v>2900</v>
      </c>
      <c r="E30" s="78">
        <f t="shared" si="14"/>
        <v>2600</v>
      </c>
      <c r="F30" s="78">
        <f t="shared" si="14"/>
        <v>2240</v>
      </c>
      <c r="G30" s="78">
        <f t="shared" si="14"/>
        <v>1840</v>
      </c>
      <c r="H30" s="78">
        <f t="shared" si="14"/>
        <v>1400</v>
      </c>
      <c r="I30" s="78">
        <f t="shared" si="14"/>
        <v>920</v>
      </c>
      <c r="J30" s="78">
        <f t="shared" si="14"/>
        <v>420</v>
      </c>
      <c r="K30" s="76">
        <f t="shared" si="14"/>
        <v>0</v>
      </c>
      <c r="L30" s="80">
        <f>D30+E30+F30+G30+H30+I30+J30+K30+C30</f>
        <v>15320</v>
      </c>
      <c r="M30" s="80"/>
    </row>
    <row r="31" spans="1:23" ht="13.5" customHeight="1" x14ac:dyDescent="0.3">
      <c r="A31" s="60" t="s">
        <v>267</v>
      </c>
      <c r="B31" s="78">
        <f t="shared" ref="B31:K31" si="15">B12+B14</f>
        <v>694.56500000000005</v>
      </c>
      <c r="C31" s="78">
        <f t="shared" si="15"/>
        <v>1389.13</v>
      </c>
      <c r="D31" s="78">
        <f t="shared" si="15"/>
        <v>1336.35</v>
      </c>
      <c r="E31" s="78">
        <f t="shared" si="15"/>
        <v>1395.85</v>
      </c>
      <c r="F31" s="78">
        <f t="shared" si="15"/>
        <v>1638.8</v>
      </c>
      <c r="G31" s="78">
        <f t="shared" si="15"/>
        <v>1999.6399999999999</v>
      </c>
      <c r="H31" s="78">
        <f t="shared" si="15"/>
        <v>2484.6999999999998</v>
      </c>
      <c r="I31" s="78">
        <f t="shared" si="15"/>
        <v>3150.9100000000003</v>
      </c>
      <c r="J31" s="78">
        <f t="shared" si="15"/>
        <v>4096.3900000000003</v>
      </c>
      <c r="K31" s="78">
        <f t="shared" si="15"/>
        <v>5205.91</v>
      </c>
      <c r="L31" s="80">
        <f>D31+E31+F31+G31+H31+I31+J31+K31+C31</f>
        <v>22697.68</v>
      </c>
      <c r="M31" s="80"/>
    </row>
    <row r="32" spans="1:23" ht="13.5" customHeight="1" x14ac:dyDescent="0.3">
      <c r="A32" s="214" t="s">
        <v>416</v>
      </c>
      <c r="B32" s="215">
        <f>B30/B31</f>
        <v>2.1596250890845345</v>
      </c>
      <c r="C32" s="215">
        <f t="shared" ref="C32" si="16">C30/C31</f>
        <v>2.1596250890845345</v>
      </c>
      <c r="D32" s="215">
        <f t="shared" ref="D32:K32" si="17">D30/D31</f>
        <v>2.1700901709881393</v>
      </c>
      <c r="E32" s="215">
        <f t="shared" si="17"/>
        <v>1.8626643263961029</v>
      </c>
      <c r="F32" s="215">
        <f t="shared" si="17"/>
        <v>1.3668537954600928</v>
      </c>
      <c r="G32" s="215">
        <f t="shared" si="17"/>
        <v>0.92016562981336647</v>
      </c>
      <c r="H32" s="215">
        <f t="shared" si="17"/>
        <v>0.56344830361814313</v>
      </c>
      <c r="I32" s="215">
        <f t="shared" si="17"/>
        <v>0.29197914253342683</v>
      </c>
      <c r="J32" s="215">
        <f t="shared" si="17"/>
        <v>0.10252930018870272</v>
      </c>
      <c r="K32" s="216">
        <f t="shared" si="17"/>
        <v>0</v>
      </c>
      <c r="L32" s="72">
        <f>L30/L31</f>
        <v>0.67495885041995485</v>
      </c>
      <c r="M32" s="72"/>
    </row>
    <row r="33" spans="1:12" ht="13.5" customHeight="1" x14ac:dyDescent="0.3">
      <c r="A33" s="10" t="s">
        <v>66</v>
      </c>
      <c r="D33" s="30"/>
      <c r="E33" s="32">
        <f>(D32+E32+F32+G32+H32+I32+J32+K32)/8</f>
        <v>0.90971633362474669</v>
      </c>
      <c r="F33" s="30"/>
      <c r="G33" s="30" t="s">
        <v>0</v>
      </c>
    </row>
    <row r="34" spans="1:12" ht="13.5" customHeight="1" x14ac:dyDescent="0.3">
      <c r="A34" s="10" t="s">
        <v>242</v>
      </c>
      <c r="B34" s="33">
        <f t="shared" ref="B34:K34" si="18">B13</f>
        <v>1500</v>
      </c>
      <c r="C34" s="33">
        <f t="shared" si="18"/>
        <v>3000</v>
      </c>
      <c r="D34" s="33">
        <f t="shared" si="18"/>
        <v>2900</v>
      </c>
      <c r="E34" s="33">
        <f t="shared" si="18"/>
        <v>2600</v>
      </c>
      <c r="F34" s="33">
        <f t="shared" si="18"/>
        <v>2240</v>
      </c>
      <c r="G34" s="33">
        <f t="shared" si="18"/>
        <v>1840</v>
      </c>
      <c r="H34" s="33">
        <f t="shared" si="18"/>
        <v>1400</v>
      </c>
      <c r="I34" s="33">
        <f t="shared" si="18"/>
        <v>920</v>
      </c>
      <c r="J34" s="33">
        <f t="shared" si="18"/>
        <v>420</v>
      </c>
      <c r="K34" s="33">
        <f t="shared" si="18"/>
        <v>0</v>
      </c>
    </row>
    <row r="35" spans="1:12" ht="13.5" customHeight="1" x14ac:dyDescent="0.3">
      <c r="A35" s="10" t="s">
        <v>418</v>
      </c>
      <c r="B35" s="33">
        <f t="shared" ref="B35:K35" si="19">B12+B14</f>
        <v>694.56500000000005</v>
      </c>
      <c r="C35" s="33">
        <f t="shared" si="19"/>
        <v>1389.13</v>
      </c>
      <c r="D35" s="33">
        <f t="shared" si="19"/>
        <v>1336.35</v>
      </c>
      <c r="E35" s="33">
        <f t="shared" si="19"/>
        <v>1395.85</v>
      </c>
      <c r="F35" s="33">
        <f t="shared" si="19"/>
        <v>1638.8</v>
      </c>
      <c r="G35" s="33">
        <f t="shared" si="19"/>
        <v>1999.6399999999999</v>
      </c>
      <c r="H35" s="33">
        <f t="shared" si="19"/>
        <v>2484.6999999999998</v>
      </c>
      <c r="I35" s="33">
        <f t="shared" si="19"/>
        <v>3150.9100000000003</v>
      </c>
      <c r="J35" s="33">
        <f t="shared" si="19"/>
        <v>4096.3900000000003</v>
      </c>
      <c r="K35" s="33">
        <f t="shared" si="19"/>
        <v>5205.91</v>
      </c>
    </row>
    <row r="36" spans="1:12" ht="13.5" customHeight="1" x14ac:dyDescent="0.3">
      <c r="A36" s="10" t="s">
        <v>417</v>
      </c>
      <c r="B36" s="33">
        <f>B34/B35</f>
        <v>2.1596250890845345</v>
      </c>
      <c r="C36" s="33">
        <f t="shared" ref="C36:K36" si="20">C34/C35</f>
        <v>2.1596250890845345</v>
      </c>
      <c r="D36" s="33">
        <f t="shared" si="20"/>
        <v>2.1700901709881393</v>
      </c>
      <c r="E36" s="33">
        <f t="shared" si="20"/>
        <v>1.8626643263961029</v>
      </c>
      <c r="F36" s="33">
        <f t="shared" si="20"/>
        <v>1.3668537954600928</v>
      </c>
      <c r="G36" s="33">
        <f t="shared" si="20"/>
        <v>0.92016562981336647</v>
      </c>
      <c r="H36" s="33">
        <f t="shared" si="20"/>
        <v>0.56344830361814313</v>
      </c>
      <c r="I36" s="33">
        <f t="shared" si="20"/>
        <v>0.29197914253342683</v>
      </c>
      <c r="J36" s="33">
        <f t="shared" si="20"/>
        <v>0.10252930018870272</v>
      </c>
      <c r="K36" s="33">
        <f t="shared" si="20"/>
        <v>0</v>
      </c>
      <c r="L36" s="33">
        <f>SUM(B36:K36)/9</f>
        <v>1.2885534274630048</v>
      </c>
    </row>
    <row r="37" spans="1:12" ht="31.5" customHeight="1" x14ac:dyDescent="0.3">
      <c r="A37" s="89" t="s">
        <v>269</v>
      </c>
      <c r="B37" s="135">
        <f t="shared" ref="B37:J37" si="21">SUM(800+B24)/B13</f>
        <v>1.9963766666666667</v>
      </c>
      <c r="C37" s="135">
        <f t="shared" si="21"/>
        <v>1.7297100000000001</v>
      </c>
      <c r="D37" s="135">
        <f t="shared" si="21"/>
        <v>1.7606287356321841</v>
      </c>
      <c r="E37" s="135">
        <f t="shared" si="21"/>
        <v>1.8740857972756413</v>
      </c>
      <c r="F37" s="135">
        <f t="shared" si="21"/>
        <v>2.1289796549479165</v>
      </c>
      <c r="G37" s="135">
        <f t="shared" si="21"/>
        <v>2.5750965664628627</v>
      </c>
      <c r="H37" s="135">
        <f t="shared" si="21"/>
        <v>3.4232274789806549</v>
      </c>
      <c r="I37" s="135">
        <f t="shared" si="21"/>
        <v>5.4165305550130212</v>
      </c>
      <c r="J37" s="135">
        <f t="shared" si="21"/>
        <v>12.974079621873452</v>
      </c>
      <c r="K37" s="135"/>
    </row>
    <row r="38" spans="1:12" ht="13.5" customHeight="1" x14ac:dyDescent="0.3">
      <c r="A38" s="10" t="s">
        <v>243</v>
      </c>
      <c r="B38" s="398">
        <f>SUM(C37:J37)/8</f>
        <v>3.9852923012732164</v>
      </c>
      <c r="C38" s="398"/>
      <c r="D38" s="398"/>
      <c r="E38" s="398"/>
      <c r="F38" s="398"/>
      <c r="G38" s="398"/>
      <c r="H38" s="398"/>
      <c r="I38" s="398"/>
      <c r="J38" s="398"/>
      <c r="K38" s="398"/>
      <c r="L38" s="398"/>
    </row>
    <row r="40" spans="1:12" ht="13.5" customHeight="1" x14ac:dyDescent="0.3">
      <c r="A40" s="10" t="s">
        <v>295</v>
      </c>
      <c r="C40" s="33">
        <f>C9-C11+Profitability!C32</f>
        <v>0</v>
      </c>
      <c r="D40" s="33">
        <f>D9-D11+Profitability!D32</f>
        <v>368.72</v>
      </c>
      <c r="E40" s="33">
        <f>E9-E11+Profitability!E32</f>
        <v>435.62495799999994</v>
      </c>
      <c r="F40" s="33">
        <f>F9-F11+Profitability!F32</f>
        <v>578.72191200000009</v>
      </c>
      <c r="G40" s="33">
        <f>G9-G11+Profitability!G32</f>
        <v>660.70631849999984</v>
      </c>
      <c r="H40" s="33">
        <f>H9-H11+Profitability!H32</f>
        <v>752.96113912500005</v>
      </c>
      <c r="I40" s="33">
        <f>I9-I11+Profitability!I32</f>
        <v>905.63810465624988</v>
      </c>
      <c r="J40" s="33">
        <f>J9-J11+Profitability!J32</f>
        <v>1159.5291827578126</v>
      </c>
      <c r="K40" s="33">
        <f>K9-K11+Profitability!K32</f>
        <v>1300.9513034941408</v>
      </c>
    </row>
    <row r="41" spans="1:12" ht="13.5" customHeight="1" x14ac:dyDescent="0.3">
      <c r="A41" s="10" t="s">
        <v>312</v>
      </c>
      <c r="C41" s="33">
        <f>C25-C27</f>
        <v>0</v>
      </c>
      <c r="D41" s="33">
        <f>D25-D27</f>
        <v>77.321666666666673</v>
      </c>
      <c r="E41" s="33">
        <f t="shared" ref="E41:K41" si="22">E25-E27</f>
        <v>198.11567708333334</v>
      </c>
      <c r="F41" s="33">
        <f t="shared" si="22"/>
        <v>248.70109374999998</v>
      </c>
      <c r="G41" s="33">
        <f t="shared" si="22"/>
        <v>273.78515625</v>
      </c>
      <c r="H41" s="33">
        <f t="shared" si="22"/>
        <v>301.33813489583332</v>
      </c>
      <c r="I41" s="33">
        <f t="shared" si="22"/>
        <v>337.35799179687501</v>
      </c>
      <c r="J41" s="33">
        <f t="shared" si="22"/>
        <v>415.33721634244785</v>
      </c>
      <c r="K41" s="33">
        <f t="shared" si="22"/>
        <v>456.35838544694013</v>
      </c>
    </row>
    <row r="42" spans="1:12" ht="13.5" customHeight="1" x14ac:dyDescent="0.3">
      <c r="A42" s="10" t="s">
        <v>313</v>
      </c>
      <c r="D42" s="33">
        <f>D41-C41</f>
        <v>77.321666666666673</v>
      </c>
      <c r="E42" s="33">
        <f t="shared" ref="E42:K42" si="23">E41-D41</f>
        <v>120.79401041666667</v>
      </c>
      <c r="F42" s="33">
        <f t="shared" si="23"/>
        <v>50.585416666666646</v>
      </c>
      <c r="G42" s="33">
        <f t="shared" si="23"/>
        <v>25.084062500000016</v>
      </c>
      <c r="H42" s="33">
        <f t="shared" si="23"/>
        <v>27.552978645833321</v>
      </c>
      <c r="I42" s="33">
        <f t="shared" si="23"/>
        <v>36.019856901041692</v>
      </c>
      <c r="J42" s="33">
        <f t="shared" si="23"/>
        <v>77.979224545572833</v>
      </c>
      <c r="K42" s="33">
        <f t="shared" si="23"/>
        <v>41.021169104492287</v>
      </c>
    </row>
  </sheetData>
  <mergeCells count="6">
    <mergeCell ref="A2:I2"/>
    <mergeCell ref="A3:I3"/>
    <mergeCell ref="J3:K3"/>
    <mergeCell ref="A1:K1"/>
    <mergeCell ref="B38:L38"/>
    <mergeCell ref="B5:C5"/>
  </mergeCells>
  <phoneticPr fontId="0" type="noConversion"/>
  <pageMargins left="0.7" right="0.7" top="0.75" bottom="0.75" header="0.3" footer="0.3"/>
  <pageSetup paperSize="9" scale="83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7"/>
  <sheetViews>
    <sheetView view="pageBreakPreview" topLeftCell="A17" zoomScale="115" zoomScaleNormal="100" zoomScaleSheetLayoutView="115" workbookViewId="0">
      <selection activeCell="L32" sqref="L32"/>
    </sheetView>
  </sheetViews>
  <sheetFormatPr defaultColWidth="9.109375" defaultRowHeight="14.4" x14ac:dyDescent="0.3"/>
  <cols>
    <col min="1" max="1" width="43.5546875" style="10" customWidth="1"/>
    <col min="2" max="2" width="13.5546875" style="10" hidden="1" customWidth="1"/>
    <col min="3" max="3" width="9.88671875" style="10" hidden="1" customWidth="1"/>
    <col min="4" max="8" width="8.5546875" style="10" bestFit="1" customWidth="1"/>
    <col min="9" max="9" width="9.109375" style="10"/>
    <col min="10" max="10" width="9.44140625" style="10" customWidth="1"/>
    <col min="11" max="11" width="10.33203125" style="10" customWidth="1"/>
    <col min="12" max="12" width="11.5546875" style="10" bestFit="1" customWidth="1"/>
    <col min="13" max="16384" width="9.109375" style="10"/>
  </cols>
  <sheetData>
    <row r="1" spans="1:14" x14ac:dyDescent="0.3">
      <c r="A1" s="358" t="str">
        <f>Estimation!A1</f>
        <v>Mahecha Boutique Hotels Private Limited</v>
      </c>
      <c r="B1" s="358"/>
      <c r="C1" s="358"/>
      <c r="D1" s="358"/>
      <c r="E1" s="358"/>
      <c r="F1" s="358"/>
      <c r="G1" s="358"/>
      <c r="H1" s="358"/>
      <c r="I1" s="358"/>
      <c r="J1" s="358"/>
      <c r="K1" s="13">
        <f>Cost!D1</f>
        <v>0</v>
      </c>
    </row>
    <row r="2" spans="1:14" x14ac:dyDescent="0.3">
      <c r="A2" s="395">
        <f>'Balance Sheet'!A2:I2</f>
        <v>0</v>
      </c>
      <c r="B2" s="395"/>
      <c r="C2" s="395"/>
      <c r="D2" s="395"/>
      <c r="E2" s="395"/>
      <c r="F2" s="395"/>
      <c r="G2" s="395"/>
      <c r="H2" s="395"/>
      <c r="I2" s="395"/>
      <c r="J2" s="395"/>
      <c r="K2" s="10" t="s">
        <v>126</v>
      </c>
    </row>
    <row r="3" spans="1:14" x14ac:dyDescent="0.3">
      <c r="A3" s="396" t="s">
        <v>145</v>
      </c>
      <c r="B3" s="396"/>
      <c r="C3" s="396"/>
      <c r="D3" s="396"/>
      <c r="E3" s="396"/>
      <c r="F3" s="396"/>
      <c r="G3" s="396"/>
      <c r="H3" s="396"/>
      <c r="I3" s="396"/>
      <c r="J3" s="396"/>
    </row>
    <row r="4" spans="1:14" ht="28.95" customHeight="1" x14ac:dyDescent="0.3">
      <c r="A4" s="399" t="s">
        <v>51</v>
      </c>
      <c r="B4" s="401" t="s">
        <v>157</v>
      </c>
      <c r="C4" s="402"/>
      <c r="D4" s="193" t="s">
        <v>246</v>
      </c>
      <c r="E4" s="193" t="s">
        <v>247</v>
      </c>
      <c r="F4" s="193" t="s">
        <v>248</v>
      </c>
      <c r="G4" s="193" t="s">
        <v>249</v>
      </c>
      <c r="H4" s="193" t="s">
        <v>250</v>
      </c>
      <c r="I4" s="193" t="s">
        <v>251</v>
      </c>
      <c r="J4" s="193" t="s">
        <v>252</v>
      </c>
      <c r="K4" s="193" t="s">
        <v>253</v>
      </c>
      <c r="L4" s="71"/>
      <c r="M4" s="71"/>
      <c r="N4" s="71"/>
    </row>
    <row r="5" spans="1:14" ht="15" customHeight="1" x14ac:dyDescent="0.3">
      <c r="A5" s="399"/>
      <c r="B5" s="200" t="s">
        <v>419</v>
      </c>
      <c r="C5" s="200" t="s">
        <v>420</v>
      </c>
      <c r="D5" s="198" t="s">
        <v>56</v>
      </c>
      <c r="E5" s="198" t="s">
        <v>56</v>
      </c>
      <c r="F5" s="198" t="s">
        <v>56</v>
      </c>
      <c r="G5" s="198" t="s">
        <v>56</v>
      </c>
      <c r="H5" s="198" t="s">
        <v>56</v>
      </c>
      <c r="I5" s="198" t="s">
        <v>56</v>
      </c>
      <c r="J5" s="198" t="s">
        <v>56</v>
      </c>
      <c r="K5" s="198" t="s">
        <v>56</v>
      </c>
      <c r="L5" s="72"/>
      <c r="M5" s="72"/>
      <c r="N5" s="72"/>
    </row>
    <row r="6" spans="1:14" x14ac:dyDescent="0.3">
      <c r="A6" s="57" t="s">
        <v>23</v>
      </c>
      <c r="B6" s="201"/>
      <c r="C6" s="201"/>
      <c r="D6" s="189"/>
      <c r="E6" s="189"/>
      <c r="F6" s="189"/>
      <c r="G6" s="189"/>
      <c r="H6" s="189"/>
      <c r="I6" s="189"/>
      <c r="J6" s="189"/>
      <c r="K6" s="189"/>
      <c r="L6" s="72"/>
      <c r="M6" s="72"/>
      <c r="N6" s="72"/>
    </row>
    <row r="7" spans="1:14" x14ac:dyDescent="0.3">
      <c r="A7" s="40" t="s">
        <v>209</v>
      </c>
      <c r="B7" s="43">
        <f>'Balance Sheet'!B8</f>
        <v>350</v>
      </c>
      <c r="C7" s="43">
        <f>'Balance Sheet'!C8</f>
        <v>700</v>
      </c>
      <c r="D7" s="202">
        <v>0</v>
      </c>
      <c r="E7" s="202">
        <v>0</v>
      </c>
      <c r="F7" s="202">
        <v>0</v>
      </c>
      <c r="G7" s="202">
        <v>0</v>
      </c>
      <c r="H7" s="202">
        <v>0</v>
      </c>
      <c r="I7" s="202">
        <v>0</v>
      </c>
      <c r="J7" s="202">
        <v>0</v>
      </c>
      <c r="K7" s="202">
        <v>0</v>
      </c>
      <c r="L7" s="72"/>
      <c r="M7" s="72"/>
      <c r="N7" s="72"/>
    </row>
    <row r="8" spans="1:14" x14ac:dyDescent="0.3">
      <c r="A8" s="40" t="s">
        <v>270</v>
      </c>
      <c r="B8" s="43">
        <v>0</v>
      </c>
      <c r="C8" s="43">
        <f>Profitability!C36</f>
        <v>0</v>
      </c>
      <c r="D8" s="269">
        <f>Profitability!D36</f>
        <v>-52.779999999999973</v>
      </c>
      <c r="E8" s="202">
        <f>Profitability!E36</f>
        <v>62.089999999999918</v>
      </c>
      <c r="F8" s="202">
        <f>Profitability!F36</f>
        <v>336.59000000000015</v>
      </c>
      <c r="G8" s="202">
        <f>Profitability!G36</f>
        <v>499.91999999999985</v>
      </c>
      <c r="H8" s="202">
        <f>Profitability!H36</f>
        <v>672.02</v>
      </c>
      <c r="I8" s="202">
        <f>Profitability!I36</f>
        <v>922.99</v>
      </c>
      <c r="J8" s="202">
        <f>Profitability!J36</f>
        <v>1309.8900000000001</v>
      </c>
      <c r="K8" s="202">
        <f>Profitability!K36</f>
        <v>1537.16</v>
      </c>
      <c r="L8" s="72"/>
      <c r="M8" s="72"/>
      <c r="N8" s="72"/>
    </row>
    <row r="9" spans="1:14" x14ac:dyDescent="0.3">
      <c r="A9" s="40" t="s">
        <v>68</v>
      </c>
      <c r="B9" s="43">
        <f>'Balance Sheet'!B13</f>
        <v>1500</v>
      </c>
      <c r="C9" s="43">
        <f>'Balance Sheet'!C13</f>
        <v>3000</v>
      </c>
      <c r="D9" s="269">
        <v>0</v>
      </c>
      <c r="E9" s="202">
        <v>0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72"/>
      <c r="M9" s="72"/>
      <c r="N9" s="72"/>
    </row>
    <row r="10" spans="1:14" x14ac:dyDescent="0.3">
      <c r="A10" s="40" t="s">
        <v>271</v>
      </c>
      <c r="B10" s="43">
        <f>Cost!C27/2</f>
        <v>344.565</v>
      </c>
      <c r="C10" s="43">
        <f>B10*2</f>
        <v>689.13</v>
      </c>
      <c r="D10" s="269">
        <v>0</v>
      </c>
      <c r="E10" s="202">
        <v>0</v>
      </c>
      <c r="F10" s="202">
        <v>0</v>
      </c>
      <c r="G10" s="202">
        <v>0</v>
      </c>
      <c r="H10" s="202">
        <v>0</v>
      </c>
      <c r="I10" s="202">
        <v>0</v>
      </c>
      <c r="J10" s="202">
        <v>0</v>
      </c>
      <c r="K10" s="202">
        <v>0</v>
      </c>
      <c r="L10" s="72"/>
      <c r="M10" s="72"/>
      <c r="N10" s="72"/>
    </row>
    <row r="11" spans="1:14" x14ac:dyDescent="0.3">
      <c r="A11" s="40" t="s">
        <v>19</v>
      </c>
      <c r="B11" s="43">
        <v>0</v>
      </c>
      <c r="C11" s="43">
        <v>0</v>
      </c>
      <c r="D11" s="269">
        <f>'Intt &amp; Depreciation'!G26</f>
        <v>421.5</v>
      </c>
      <c r="E11" s="202">
        <f>'Intt &amp; Depreciation'!G30</f>
        <v>376.125</v>
      </c>
      <c r="F11" s="202">
        <f>'Intt &amp; Depreciation'!G34</f>
        <v>335.77125000000001</v>
      </c>
      <c r="G11" s="202">
        <f>'Intt &amp; Depreciation'!G38</f>
        <v>299.86406249999993</v>
      </c>
      <c r="H11" s="202">
        <f>'Intt &amp; Depreciation'!G42</f>
        <v>267.897103125</v>
      </c>
      <c r="I11" s="202">
        <f>'Intt &amp; Depreciation'!G46</f>
        <v>239.42392265625</v>
      </c>
      <c r="J11" s="202">
        <f>'Intt &amp; Depreciation'!G50</f>
        <v>214.0505807578125</v>
      </c>
      <c r="K11" s="202">
        <f>'Intt &amp; Depreciation'!G54</f>
        <v>191.42921549414061</v>
      </c>
      <c r="L11" s="72"/>
      <c r="M11" s="72"/>
      <c r="N11" s="72"/>
    </row>
    <row r="12" spans="1:14" x14ac:dyDescent="0.3">
      <c r="A12" s="40" t="s">
        <v>404</v>
      </c>
      <c r="B12" s="43">
        <v>0</v>
      </c>
      <c r="C12" s="43">
        <v>0</v>
      </c>
      <c r="D12" s="269">
        <v>68.900000000000006</v>
      </c>
      <c r="E12" s="202">
        <v>68.900000000000006</v>
      </c>
      <c r="F12" s="202">
        <v>68.900000000000006</v>
      </c>
      <c r="G12" s="202">
        <v>68.900000000000006</v>
      </c>
      <c r="H12" s="202">
        <v>68.900000000000006</v>
      </c>
      <c r="I12" s="202">
        <v>0</v>
      </c>
      <c r="J12" s="202">
        <v>0</v>
      </c>
      <c r="K12" s="202">
        <v>0</v>
      </c>
      <c r="L12" s="72"/>
      <c r="M12" s="72"/>
      <c r="N12" s="72"/>
    </row>
    <row r="13" spans="1:14" x14ac:dyDescent="0.3">
      <c r="A13" s="40" t="s">
        <v>24</v>
      </c>
      <c r="B13" s="43">
        <v>0</v>
      </c>
      <c r="C13" s="43">
        <f>'Balance Sheet'!C15</f>
        <v>0</v>
      </c>
      <c r="D13" s="269">
        <f>'Balance Sheet'!D15-'Balance Sheet'!C15</f>
        <v>69.473333333333343</v>
      </c>
      <c r="E13" s="202">
        <f>'Balance Sheet'!E15-'Balance Sheet'!D15</f>
        <v>7.2997395833333343</v>
      </c>
      <c r="F13" s="202">
        <f>'Balance Sheet'!F15-'Balance Sheet'!E15</f>
        <v>13.341354166666648</v>
      </c>
      <c r="G13" s="202">
        <f>'Balance Sheet'!G15-'Balance Sheet'!F15</f>
        <v>8.4232552083333445</v>
      </c>
      <c r="H13" s="202">
        <f>'Balance Sheet'!H15-'Balance Sheet'!G15</f>
        <v>9.2807882812499969</v>
      </c>
      <c r="I13" s="202">
        <f>'Balance Sheet'!I15-'Balance Sheet'!H15</f>
        <v>4.479640039062474</v>
      </c>
      <c r="J13" s="202">
        <f>'Balance Sheet'!J15-'Balance Sheet'!I15</f>
        <v>20.425330574869818</v>
      </c>
      <c r="K13" s="202">
        <f>'Balance Sheet'!K15-'Balance Sheet'!J15</f>
        <v>13.321988771972656</v>
      </c>
      <c r="L13" s="72"/>
      <c r="M13" s="72"/>
      <c r="N13" s="72"/>
    </row>
    <row r="14" spans="1:14" x14ac:dyDescent="0.3">
      <c r="A14" s="194" t="s">
        <v>12</v>
      </c>
      <c r="B14" s="221">
        <f t="shared" ref="B14:K14" si="0">SUM(B7:B13)</f>
        <v>2194.5650000000001</v>
      </c>
      <c r="C14" s="221">
        <f t="shared" si="0"/>
        <v>4389.13</v>
      </c>
      <c r="D14" s="221">
        <f t="shared" si="0"/>
        <v>507.09333333333336</v>
      </c>
      <c r="E14" s="221">
        <f t="shared" si="0"/>
        <v>514.41473958333324</v>
      </c>
      <c r="F14" s="221">
        <f t="shared" si="0"/>
        <v>754.60260416666677</v>
      </c>
      <c r="G14" s="221">
        <f t="shared" si="0"/>
        <v>877.10731770833308</v>
      </c>
      <c r="H14" s="221">
        <f t="shared" si="0"/>
        <v>1018.09789140625</v>
      </c>
      <c r="I14" s="221">
        <f t="shared" si="0"/>
        <v>1166.8935626953125</v>
      </c>
      <c r="J14" s="221">
        <f t="shared" si="0"/>
        <v>1544.3659113326823</v>
      </c>
      <c r="K14" s="221">
        <f t="shared" si="0"/>
        <v>1741.9112042661134</v>
      </c>
      <c r="L14" s="80"/>
      <c r="M14" s="80"/>
      <c r="N14" s="80"/>
    </row>
    <row r="15" spans="1:14" x14ac:dyDescent="0.3">
      <c r="A15" s="57" t="s">
        <v>21</v>
      </c>
      <c r="B15" s="201"/>
      <c r="C15" s="201"/>
      <c r="D15" s="202"/>
      <c r="E15" s="202"/>
      <c r="F15" s="202"/>
      <c r="G15" s="202"/>
      <c r="H15" s="202"/>
      <c r="I15" s="202"/>
      <c r="J15" s="202"/>
      <c r="K15" s="202"/>
      <c r="L15" s="72"/>
      <c r="M15" s="72"/>
      <c r="N15" s="72"/>
    </row>
    <row r="16" spans="1:14" x14ac:dyDescent="0.3">
      <c r="A16" s="40" t="s">
        <v>25</v>
      </c>
      <c r="B16" s="43">
        <f>'Balance Sheet'!B18+'Balance Sheet'!B20</f>
        <v>2194.5650000000001</v>
      </c>
      <c r="C16" s="43">
        <f>+'Balance Sheet'!C18+'Balance Sheet'!C20</f>
        <v>4389.13</v>
      </c>
      <c r="D16" s="269">
        <v>45</v>
      </c>
      <c r="E16" s="202">
        <v>0</v>
      </c>
      <c r="F16" s="202">
        <v>0</v>
      </c>
      <c r="G16" s="202">
        <v>0</v>
      </c>
      <c r="H16" s="202">
        <v>0</v>
      </c>
      <c r="I16" s="202">
        <v>0</v>
      </c>
      <c r="J16" s="202">
        <v>0</v>
      </c>
      <c r="K16" s="202">
        <v>0</v>
      </c>
      <c r="L16" s="72"/>
      <c r="M16" s="72"/>
      <c r="N16" s="72"/>
    </row>
    <row r="17" spans="1:18" x14ac:dyDescent="0.3">
      <c r="A17" s="40" t="s">
        <v>26</v>
      </c>
      <c r="B17" s="43">
        <v>0</v>
      </c>
      <c r="C17" s="43">
        <v>0</v>
      </c>
      <c r="D17" s="269">
        <f>'Balance Sheet'!D25-'Balance Sheet'!C25</f>
        <v>146.79500000000002</v>
      </c>
      <c r="E17" s="202">
        <f>'Balance Sheet'!E25-'Balance Sheet'!D25</f>
        <v>128.09375</v>
      </c>
      <c r="F17" s="202">
        <f>'Balance Sheet'!F25-'Balance Sheet'!E25</f>
        <v>63.926770833333308</v>
      </c>
      <c r="G17" s="202">
        <f>'Balance Sheet'!G25-'Balance Sheet'!F25</f>
        <v>33.507317708333346</v>
      </c>
      <c r="H17" s="202">
        <f>'Balance Sheet'!H25-'Balance Sheet'!G25</f>
        <v>36.833766927083332</v>
      </c>
      <c r="I17" s="202">
        <f>'Balance Sheet'!I25-'Balance Sheet'!H25</f>
        <v>40.499496940104166</v>
      </c>
      <c r="J17" s="202">
        <f>'Balance Sheet'!J25-'Balance Sheet'!I25</f>
        <v>98.404555120442637</v>
      </c>
      <c r="K17" s="202">
        <f>'Balance Sheet'!K25-'Balance Sheet'!J25</f>
        <v>54.343157876464943</v>
      </c>
      <c r="L17" s="72"/>
      <c r="M17" s="72"/>
      <c r="N17" s="72"/>
    </row>
    <row r="18" spans="1:18" x14ac:dyDescent="0.3">
      <c r="A18" s="40" t="s">
        <v>47</v>
      </c>
      <c r="B18" s="43">
        <v>0</v>
      </c>
      <c r="C18" s="43">
        <f>'Intt &amp; Depreciation'!E7</f>
        <v>0</v>
      </c>
      <c r="D18" s="269">
        <f>'Intt &amp; Depreciation'!E8</f>
        <v>100</v>
      </c>
      <c r="E18" s="202">
        <f>'Intt &amp; Depreciation'!E9</f>
        <v>300</v>
      </c>
      <c r="F18" s="202">
        <f>'Intt &amp; Depreciation'!E10</f>
        <v>360</v>
      </c>
      <c r="G18" s="202">
        <f>'Intt &amp; Depreciation'!E11</f>
        <v>400</v>
      </c>
      <c r="H18" s="202">
        <f>'Intt &amp; Depreciation'!E12</f>
        <v>440</v>
      </c>
      <c r="I18" s="202">
        <f>'Intt &amp; Depreciation'!E13</f>
        <v>480</v>
      </c>
      <c r="J18" s="202">
        <f>'Intt &amp; Depreciation'!E14</f>
        <v>500</v>
      </c>
      <c r="K18" s="202">
        <f>'Intt &amp; Depreciation'!E15</f>
        <v>420</v>
      </c>
      <c r="L18" s="72"/>
      <c r="M18" s="72"/>
      <c r="N18" s="72"/>
    </row>
    <row r="19" spans="1:18" x14ac:dyDescent="0.3">
      <c r="A19" s="40" t="s">
        <v>27</v>
      </c>
      <c r="B19" s="43">
        <v>0</v>
      </c>
      <c r="C19" s="43">
        <f>Profitability!B37</f>
        <v>0</v>
      </c>
      <c r="D19" s="202">
        <f>Profitability!D37</f>
        <v>0</v>
      </c>
      <c r="E19" s="202">
        <f>Profitability!E37</f>
        <v>2.5900419999999849</v>
      </c>
      <c r="F19" s="202">
        <f>Profitability!F37</f>
        <v>93.639338000000038</v>
      </c>
      <c r="G19" s="202">
        <f>Profitability!G37</f>
        <v>139.07774399999997</v>
      </c>
      <c r="H19" s="202">
        <f>Profitability!H37</f>
        <v>186.95596399999999</v>
      </c>
      <c r="I19" s="202">
        <f>Profitability!I37</f>
        <v>256.77581800000002</v>
      </c>
      <c r="J19" s="202">
        <f>Profitability!J37</f>
        <v>364.41139800000002</v>
      </c>
      <c r="K19" s="202">
        <f>Profitability!K37</f>
        <v>427.63791200000003</v>
      </c>
      <c r="L19" s="72"/>
      <c r="M19" s="72"/>
      <c r="N19" s="72"/>
    </row>
    <row r="20" spans="1:18" x14ac:dyDescent="0.3">
      <c r="A20" s="194" t="s">
        <v>12</v>
      </c>
      <c r="B20" s="221">
        <f t="shared" ref="B20:K20" si="1">ROUND(SUM(B16:B19),2)</f>
        <v>2194.5700000000002</v>
      </c>
      <c r="C20" s="221">
        <f t="shared" si="1"/>
        <v>4389.13</v>
      </c>
      <c r="D20" s="221">
        <f t="shared" si="1"/>
        <v>291.8</v>
      </c>
      <c r="E20" s="221">
        <f t="shared" si="1"/>
        <v>430.68</v>
      </c>
      <c r="F20" s="221">
        <f t="shared" si="1"/>
        <v>517.57000000000005</v>
      </c>
      <c r="G20" s="221">
        <f t="shared" si="1"/>
        <v>572.59</v>
      </c>
      <c r="H20" s="221">
        <f t="shared" si="1"/>
        <v>663.79</v>
      </c>
      <c r="I20" s="221">
        <f t="shared" si="1"/>
        <v>777.28</v>
      </c>
      <c r="J20" s="221">
        <f t="shared" si="1"/>
        <v>962.82</v>
      </c>
      <c r="K20" s="221">
        <f t="shared" si="1"/>
        <v>901.98</v>
      </c>
      <c r="L20" s="80"/>
      <c r="M20" s="80"/>
      <c r="N20" s="80"/>
    </row>
    <row r="21" spans="1:18" x14ac:dyDescent="0.3">
      <c r="A21" s="40" t="s">
        <v>28</v>
      </c>
      <c r="B21" s="43">
        <v>0</v>
      </c>
      <c r="C21" s="43">
        <f>B23</f>
        <v>0</v>
      </c>
      <c r="D21" s="202">
        <f>C23</f>
        <v>0</v>
      </c>
      <c r="E21" s="202">
        <f>D23</f>
        <v>215.29</v>
      </c>
      <c r="F21" s="202">
        <f t="shared" ref="F21:K21" si="2">E23</f>
        <v>299.02</v>
      </c>
      <c r="G21" s="202">
        <f t="shared" si="2"/>
        <v>536.04999999999995</v>
      </c>
      <c r="H21" s="202">
        <f t="shared" si="2"/>
        <v>840.57</v>
      </c>
      <c r="I21" s="202">
        <f t="shared" si="2"/>
        <v>1194.8800000000001</v>
      </c>
      <c r="J21" s="202">
        <f t="shared" si="2"/>
        <v>1584.49</v>
      </c>
      <c r="K21" s="202">
        <f t="shared" si="2"/>
        <v>2166.04</v>
      </c>
      <c r="L21" s="72"/>
      <c r="M21" s="72"/>
      <c r="N21" s="72"/>
    </row>
    <row r="22" spans="1:18" x14ac:dyDescent="0.3">
      <c r="A22" s="40" t="s">
        <v>29</v>
      </c>
      <c r="B22" s="43">
        <v>0</v>
      </c>
      <c r="C22" s="43">
        <f t="shared" ref="C22:K22" si="3">C14-C20</f>
        <v>0</v>
      </c>
      <c r="D22" s="202">
        <f t="shared" si="3"/>
        <v>215.29333333333335</v>
      </c>
      <c r="E22" s="202">
        <f t="shared" si="3"/>
        <v>83.734739583333237</v>
      </c>
      <c r="F22" s="202">
        <f t="shared" si="3"/>
        <v>237.03260416666672</v>
      </c>
      <c r="G22" s="202">
        <f t="shared" si="3"/>
        <v>304.51731770833305</v>
      </c>
      <c r="H22" s="202">
        <f t="shared" si="3"/>
        <v>354.30789140625006</v>
      </c>
      <c r="I22" s="202">
        <f t="shared" si="3"/>
        <v>389.61356269531257</v>
      </c>
      <c r="J22" s="202">
        <f t="shared" si="3"/>
        <v>581.54591133268229</v>
      </c>
      <c r="K22" s="202">
        <f t="shared" si="3"/>
        <v>839.93120426611335</v>
      </c>
      <c r="L22" s="72"/>
      <c r="M22" s="72"/>
      <c r="N22" s="72"/>
    </row>
    <row r="23" spans="1:18" x14ac:dyDescent="0.3">
      <c r="A23" s="40" t="s">
        <v>30</v>
      </c>
      <c r="B23" s="202">
        <f>ROUND(SUM(B21:B22),2)</f>
        <v>0</v>
      </c>
      <c r="C23" s="202">
        <f>ROUND(SUM(C21:C22),2)</f>
        <v>0</v>
      </c>
      <c r="D23" s="202">
        <f>ROUND(SUM(D21:D22),2)</f>
        <v>215.29</v>
      </c>
      <c r="E23" s="202">
        <f t="shared" ref="E23:K23" si="4">ROUND(SUM(E21:E22),2)</f>
        <v>299.02</v>
      </c>
      <c r="F23" s="202">
        <f t="shared" si="4"/>
        <v>536.04999999999995</v>
      </c>
      <c r="G23" s="202">
        <f t="shared" si="4"/>
        <v>840.57</v>
      </c>
      <c r="H23" s="202">
        <f t="shared" si="4"/>
        <v>1194.8800000000001</v>
      </c>
      <c r="I23" s="202">
        <f t="shared" si="4"/>
        <v>1584.49</v>
      </c>
      <c r="J23" s="202">
        <f t="shared" si="4"/>
        <v>2166.04</v>
      </c>
      <c r="K23" s="202">
        <f t="shared" si="4"/>
        <v>3005.97</v>
      </c>
      <c r="L23" s="81"/>
      <c r="M23" s="81"/>
      <c r="N23" s="81"/>
      <c r="O23" s="81"/>
      <c r="P23" s="81"/>
      <c r="Q23" s="81"/>
      <c r="R23" s="81"/>
    </row>
    <row r="24" spans="1:18" x14ac:dyDescent="0.3">
      <c r="A24" s="40" t="s">
        <v>55</v>
      </c>
      <c r="B24" s="40"/>
      <c r="C24" s="40"/>
      <c r="D24" s="43"/>
      <c r="E24" s="43"/>
      <c r="F24" s="43"/>
      <c r="G24" s="43"/>
      <c r="H24" s="43"/>
      <c r="I24" s="43"/>
      <c r="J24" s="43"/>
      <c r="K24" s="43"/>
      <c r="L24" s="82"/>
      <c r="M24" s="82"/>
      <c r="N24" s="82"/>
      <c r="O24" s="82"/>
      <c r="P24" s="82"/>
      <c r="Q24" s="82"/>
      <c r="R24" s="82"/>
    </row>
    <row r="25" spans="1:18" x14ac:dyDescent="0.3">
      <c r="A25" s="40" t="s">
        <v>43</v>
      </c>
      <c r="B25" s="43">
        <v>0</v>
      </c>
      <c r="C25" s="43">
        <f>Profitability!C38</f>
        <v>0</v>
      </c>
      <c r="D25" s="202">
        <f>Profitability!D38</f>
        <v>-52.779999999999973</v>
      </c>
      <c r="E25" s="202">
        <f>Profitability!E38</f>
        <v>59.499957999999936</v>
      </c>
      <c r="F25" s="202">
        <f>Profitability!F38</f>
        <v>242.95066200000011</v>
      </c>
      <c r="G25" s="202">
        <f>Profitability!G38</f>
        <v>360.84225599999991</v>
      </c>
      <c r="H25" s="202">
        <f>Profitability!H38</f>
        <v>485.06403599999999</v>
      </c>
      <c r="I25" s="202">
        <f>Profitability!I38</f>
        <v>666.21418199999994</v>
      </c>
      <c r="J25" s="202">
        <f>Profitability!J38</f>
        <v>945.47860200000014</v>
      </c>
      <c r="K25" s="202">
        <f>Profitability!K38</f>
        <v>1109.5220880000002</v>
      </c>
      <c r="L25" s="72"/>
      <c r="M25" s="72"/>
      <c r="N25" s="72"/>
    </row>
    <row r="26" spans="1:18" x14ac:dyDescent="0.3">
      <c r="A26" s="40" t="s">
        <v>44</v>
      </c>
      <c r="B26" s="43">
        <v>0</v>
      </c>
      <c r="C26" s="43">
        <f t="shared" ref="C26:K26" si="5">C11</f>
        <v>0</v>
      </c>
      <c r="D26" s="202">
        <f t="shared" si="5"/>
        <v>421.5</v>
      </c>
      <c r="E26" s="202">
        <f t="shared" si="5"/>
        <v>376.125</v>
      </c>
      <c r="F26" s="202">
        <f t="shared" si="5"/>
        <v>335.77125000000001</v>
      </c>
      <c r="G26" s="202">
        <f t="shared" si="5"/>
        <v>299.86406249999993</v>
      </c>
      <c r="H26" s="202">
        <f t="shared" si="5"/>
        <v>267.897103125</v>
      </c>
      <c r="I26" s="202">
        <f t="shared" si="5"/>
        <v>239.42392265625</v>
      </c>
      <c r="J26" s="202">
        <f t="shared" si="5"/>
        <v>214.0505807578125</v>
      </c>
      <c r="K26" s="202">
        <f t="shared" si="5"/>
        <v>191.42921549414061</v>
      </c>
      <c r="L26" s="72"/>
      <c r="M26" s="72"/>
      <c r="N26" s="72"/>
    </row>
    <row r="27" spans="1:18" x14ac:dyDescent="0.3">
      <c r="A27" s="40" t="s">
        <v>401</v>
      </c>
      <c r="B27" s="43"/>
      <c r="C27" s="43"/>
      <c r="D27" s="202">
        <f>+Profitability!D33</f>
        <v>68.900000000000006</v>
      </c>
      <c r="E27" s="202">
        <f>+Profitability!E33</f>
        <v>68.900000000000006</v>
      </c>
      <c r="F27" s="202">
        <f>+Profitability!F33</f>
        <v>68.900000000000006</v>
      </c>
      <c r="G27" s="202">
        <f>+Profitability!G33</f>
        <v>68.900000000000006</v>
      </c>
      <c r="H27" s="202">
        <f>+Profitability!H33</f>
        <v>68.900000000000006</v>
      </c>
      <c r="I27" s="202">
        <f>+Profitability!I33</f>
        <v>0</v>
      </c>
      <c r="J27" s="202">
        <f>+Profitability!J33</f>
        <v>0</v>
      </c>
      <c r="K27" s="202">
        <f>+Profitability!K33</f>
        <v>0</v>
      </c>
      <c r="L27" s="72"/>
      <c r="M27" s="72"/>
      <c r="N27" s="72"/>
    </row>
    <row r="28" spans="1:18" x14ac:dyDescent="0.3">
      <c r="A28" s="40" t="s">
        <v>45</v>
      </c>
      <c r="B28" s="43">
        <v>0</v>
      </c>
      <c r="C28" s="43">
        <f>Profitability!C34</f>
        <v>0</v>
      </c>
      <c r="D28" s="202">
        <f>Profitability!D34</f>
        <v>289.5</v>
      </c>
      <c r="E28" s="202">
        <f>Profitability!E34</f>
        <v>275.62812500000001</v>
      </c>
      <c r="F28" s="202">
        <f>Profitability!F34</f>
        <v>246.19562500000001</v>
      </c>
      <c r="G28" s="202">
        <f>Profitability!G34</f>
        <v>211.09375</v>
      </c>
      <c r="H28" s="202">
        <f>Profitability!H34</f>
        <v>172.01124999999999</v>
      </c>
      <c r="I28" s="202">
        <f>Profitability!I34</f>
        <v>129.06875000000002</v>
      </c>
      <c r="J28" s="202">
        <f>Profitability!J34</f>
        <v>82.628124999999983</v>
      </c>
      <c r="K28" s="202">
        <f>Profitability!K34</f>
        <v>30.035625</v>
      </c>
      <c r="L28" s="72"/>
      <c r="M28" s="72"/>
      <c r="N28" s="72"/>
    </row>
    <row r="29" spans="1:18" x14ac:dyDescent="0.3">
      <c r="A29" s="194" t="s">
        <v>46</v>
      </c>
      <c r="B29" s="221">
        <f t="shared" ref="B29:K29" si="6">SUM(B25:B28)</f>
        <v>0</v>
      </c>
      <c r="C29" s="221">
        <f t="shared" si="6"/>
        <v>0</v>
      </c>
      <c r="D29" s="221">
        <f t="shared" si="6"/>
        <v>727.12</v>
      </c>
      <c r="E29" s="221">
        <f t="shared" si="6"/>
        <v>780.15308299999992</v>
      </c>
      <c r="F29" s="221">
        <f t="shared" si="6"/>
        <v>893.81753700000013</v>
      </c>
      <c r="G29" s="221">
        <f t="shared" si="6"/>
        <v>940.70006849999982</v>
      </c>
      <c r="H29" s="221">
        <f t="shared" si="6"/>
        <v>993.87238912500004</v>
      </c>
      <c r="I29" s="221">
        <f t="shared" si="6"/>
        <v>1034.70685465625</v>
      </c>
      <c r="J29" s="221">
        <f t="shared" si="6"/>
        <v>1242.1573077578125</v>
      </c>
      <c r="K29" s="221">
        <f t="shared" si="6"/>
        <v>1330.9869284941408</v>
      </c>
      <c r="L29" s="80">
        <f>SUM(D29:K29)</f>
        <v>7943.5141685332028</v>
      </c>
      <c r="M29" s="80"/>
      <c r="N29" s="80"/>
    </row>
    <row r="30" spans="1:18" x14ac:dyDescent="0.3">
      <c r="A30" s="40" t="s">
        <v>47</v>
      </c>
      <c r="B30" s="43">
        <v>0</v>
      </c>
      <c r="C30" s="43">
        <f t="shared" ref="C30:K30" si="7">C18</f>
        <v>0</v>
      </c>
      <c r="D30" s="202">
        <f t="shared" si="7"/>
        <v>100</v>
      </c>
      <c r="E30" s="202">
        <f t="shared" si="7"/>
        <v>300</v>
      </c>
      <c r="F30" s="202">
        <f t="shared" si="7"/>
        <v>360</v>
      </c>
      <c r="G30" s="202">
        <f t="shared" si="7"/>
        <v>400</v>
      </c>
      <c r="H30" s="202">
        <f t="shared" si="7"/>
        <v>440</v>
      </c>
      <c r="I30" s="202">
        <f t="shared" si="7"/>
        <v>480</v>
      </c>
      <c r="J30" s="202">
        <f t="shared" si="7"/>
        <v>500</v>
      </c>
      <c r="K30" s="202">
        <f t="shared" si="7"/>
        <v>420</v>
      </c>
      <c r="L30" s="72"/>
      <c r="M30" s="72"/>
      <c r="N30" s="72"/>
    </row>
    <row r="31" spans="1:18" x14ac:dyDescent="0.3">
      <c r="A31" s="40" t="s">
        <v>35</v>
      </c>
      <c r="B31" s="43">
        <v>0</v>
      </c>
      <c r="C31" s="43">
        <f>Profitability!C34</f>
        <v>0</v>
      </c>
      <c r="D31" s="202">
        <f>Profitability!D34</f>
        <v>289.5</v>
      </c>
      <c r="E31" s="202">
        <f>Profitability!E34</f>
        <v>275.62812500000001</v>
      </c>
      <c r="F31" s="202">
        <f>Profitability!F34</f>
        <v>246.19562500000001</v>
      </c>
      <c r="G31" s="202">
        <f>Profitability!G34</f>
        <v>211.09375</v>
      </c>
      <c r="H31" s="202">
        <f>Profitability!H34</f>
        <v>172.01124999999999</v>
      </c>
      <c r="I31" s="202">
        <f>Profitability!I34</f>
        <v>129.06875000000002</v>
      </c>
      <c r="J31" s="202">
        <f>Profitability!J34</f>
        <v>82.628124999999983</v>
      </c>
      <c r="K31" s="202">
        <f>Profitability!K34</f>
        <v>30.035625</v>
      </c>
      <c r="L31" s="72"/>
      <c r="M31" s="72"/>
      <c r="N31" s="72"/>
    </row>
    <row r="32" spans="1:18" x14ac:dyDescent="0.3">
      <c r="A32" s="194" t="s">
        <v>48</v>
      </c>
      <c r="B32" s="221">
        <f>SUM(B30:B31)</f>
        <v>0</v>
      </c>
      <c r="C32" s="221">
        <f>SUM(C30:C31)</f>
        <v>0</v>
      </c>
      <c r="D32" s="221">
        <f t="shared" ref="D32:J32" si="8">SUM(D30:D31)</f>
        <v>389.5</v>
      </c>
      <c r="E32" s="221">
        <f t="shared" si="8"/>
        <v>575.62812499999995</v>
      </c>
      <c r="F32" s="221">
        <f t="shared" si="8"/>
        <v>606.19562500000006</v>
      </c>
      <c r="G32" s="221">
        <f t="shared" si="8"/>
        <v>611.09375</v>
      </c>
      <c r="H32" s="221">
        <f t="shared" si="8"/>
        <v>612.01125000000002</v>
      </c>
      <c r="I32" s="221">
        <f t="shared" si="8"/>
        <v>609.06875000000002</v>
      </c>
      <c r="J32" s="221">
        <f t="shared" si="8"/>
        <v>582.62812499999995</v>
      </c>
      <c r="K32" s="221">
        <f t="shared" ref="K32" si="9">SUM(K30:K31)</f>
        <v>450.03562499999998</v>
      </c>
      <c r="L32" s="80">
        <f>SUM(D32:K32)</f>
        <v>4436.1612499999992</v>
      </c>
      <c r="M32" s="80"/>
      <c r="N32" s="80"/>
    </row>
    <row r="33" spans="1:11" x14ac:dyDescent="0.3">
      <c r="A33" s="57" t="s">
        <v>240</v>
      </c>
      <c r="B33" s="40"/>
      <c r="C33" s="40"/>
      <c r="D33" s="400">
        <f>L29/L32</f>
        <v>1.7906279147389432</v>
      </c>
      <c r="E33" s="400"/>
      <c r="F33" s="400"/>
      <c r="G33" s="400"/>
      <c r="H33" s="400"/>
      <c r="I33" s="400"/>
      <c r="J33" s="400"/>
      <c r="K33" s="400"/>
    </row>
    <row r="35" spans="1:11" x14ac:dyDescent="0.3">
      <c r="D35" s="33">
        <f>+D29/D32</f>
        <v>1.8668035943517329</v>
      </c>
      <c r="E35" s="33">
        <f t="shared" ref="E35:K35" si="10">+E29/E32</f>
        <v>1.3553074443678372</v>
      </c>
      <c r="F35" s="33">
        <f t="shared" si="10"/>
        <v>1.4744704516796867</v>
      </c>
      <c r="G35" s="33">
        <f t="shared" si="10"/>
        <v>1.5393711169521858</v>
      </c>
      <c r="H35" s="33">
        <f t="shared" si="10"/>
        <v>1.6239446401107822</v>
      </c>
      <c r="I35" s="33">
        <f t="shared" si="10"/>
        <v>1.698834252547434</v>
      </c>
      <c r="J35" s="33">
        <f t="shared" si="10"/>
        <v>2.1319899511507665</v>
      </c>
      <c r="K35" s="33">
        <f t="shared" si="10"/>
        <v>2.9575145934150009</v>
      </c>
    </row>
    <row r="37" spans="1:11" x14ac:dyDescent="0.3">
      <c r="D37" s="10">
        <v>1.8668035943517329</v>
      </c>
      <c r="E37" s="10">
        <v>1.3553074443678372</v>
      </c>
      <c r="F37" s="10">
        <v>1.4744704516796867</v>
      </c>
      <c r="G37" s="10">
        <v>1.5393711169521858</v>
      </c>
      <c r="H37" s="10">
        <v>1.6239446401107822</v>
      </c>
      <c r="I37" s="10">
        <v>1.698834252547434</v>
      </c>
      <c r="J37" s="10">
        <v>2.1319899511507665</v>
      </c>
      <c r="K37" s="10">
        <v>2.9575145934150009</v>
      </c>
    </row>
  </sheetData>
  <mergeCells count="6">
    <mergeCell ref="A4:A5"/>
    <mergeCell ref="A2:J2"/>
    <mergeCell ref="A1:J1"/>
    <mergeCell ref="A3:J3"/>
    <mergeCell ref="D33:K33"/>
    <mergeCell ref="B4:C4"/>
  </mergeCells>
  <phoneticPr fontId="0" type="noConversion"/>
  <pageMargins left="0.7" right="0.7" top="0.75" bottom="0.75" header="0.3" footer="0.3"/>
  <pageSetup paperSize="9" scale="88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02"/>
  <sheetViews>
    <sheetView view="pageBreakPreview" zoomScale="60" zoomScaleNormal="100" workbookViewId="0">
      <selection sqref="A1:G1"/>
    </sheetView>
  </sheetViews>
  <sheetFormatPr defaultColWidth="9.109375" defaultRowHeight="14.4" x14ac:dyDescent="0.3"/>
  <cols>
    <col min="1" max="1" width="18.33203125" style="10" customWidth="1"/>
    <col min="2" max="2" width="12.109375" style="10" customWidth="1"/>
    <col min="3" max="3" width="9.109375" style="10" customWidth="1"/>
    <col min="4" max="4" width="11.44140625" style="10" bestFit="1" customWidth="1"/>
    <col min="5" max="5" width="12" style="10" customWidth="1"/>
    <col min="6" max="6" width="11.88671875" style="10" customWidth="1"/>
    <col min="7" max="7" width="10.6640625" style="10" customWidth="1"/>
    <col min="8" max="8" width="7.33203125" style="10" customWidth="1"/>
    <col min="9" max="16384" width="9.109375" style="10"/>
  </cols>
  <sheetData>
    <row r="1" spans="1:9" x14ac:dyDescent="0.3">
      <c r="A1" s="360" t="str">
        <f>'Cost Break Up'!A1:D1</f>
        <v>Mahecha Boutique Hotels Private Limited</v>
      </c>
      <c r="B1" s="360"/>
      <c r="C1" s="360"/>
      <c r="D1" s="360"/>
      <c r="E1" s="360"/>
      <c r="F1" s="360"/>
      <c r="G1" s="360"/>
    </row>
    <row r="2" spans="1:9" x14ac:dyDescent="0.3">
      <c r="A2" s="395">
        <f>'Cash Flow'!A2:J2</f>
        <v>0</v>
      </c>
      <c r="B2" s="395"/>
      <c r="C2" s="395"/>
      <c r="D2" s="395"/>
      <c r="E2" s="395"/>
      <c r="F2" s="395"/>
      <c r="G2" s="395"/>
      <c r="H2" s="35">
        <f>Cost!D1</f>
        <v>0</v>
      </c>
      <c r="I2" s="35"/>
    </row>
    <row r="3" spans="1:9" x14ac:dyDescent="0.3">
      <c r="A3" s="408" t="s">
        <v>115</v>
      </c>
      <c r="B3" s="408"/>
      <c r="C3" s="408"/>
      <c r="D3" s="408"/>
      <c r="E3" s="408"/>
      <c r="F3" s="408"/>
      <c r="G3" s="36">
        <v>9.6500000000000002E-2</v>
      </c>
    </row>
    <row r="4" spans="1:9" x14ac:dyDescent="0.3">
      <c r="D4" s="33"/>
      <c r="G4" s="37" t="s">
        <v>13</v>
      </c>
      <c r="H4" s="37"/>
    </row>
    <row r="5" spans="1:9" ht="43.5" customHeight="1" x14ac:dyDescent="0.3">
      <c r="A5" s="222" t="s">
        <v>14</v>
      </c>
      <c r="B5" s="409" t="s">
        <v>31</v>
      </c>
      <c r="C5" s="410"/>
      <c r="D5" s="223" t="s">
        <v>32</v>
      </c>
      <c r="E5" s="224" t="s">
        <v>33</v>
      </c>
      <c r="F5" s="225" t="s">
        <v>34</v>
      </c>
      <c r="G5" s="224" t="s">
        <v>35</v>
      </c>
      <c r="H5" s="39"/>
    </row>
    <row r="6" spans="1:9" x14ac:dyDescent="0.3">
      <c r="A6" s="57" t="s">
        <v>363</v>
      </c>
      <c r="B6" s="403">
        <v>0</v>
      </c>
      <c r="C6" s="404"/>
      <c r="D6" s="41">
        <f>Cost!C25</f>
        <v>3000</v>
      </c>
      <c r="E6" s="42">
        <v>0</v>
      </c>
      <c r="F6" s="41">
        <f>D6</f>
        <v>3000</v>
      </c>
      <c r="G6" s="42">
        <v>0</v>
      </c>
      <c r="H6" s="39"/>
    </row>
    <row r="7" spans="1:9" x14ac:dyDescent="0.3">
      <c r="A7" s="57" t="s">
        <v>364</v>
      </c>
      <c r="B7" s="403">
        <f>'Debt Schedule'!D11</f>
        <v>3000</v>
      </c>
      <c r="C7" s="404"/>
      <c r="D7" s="43">
        <v>0</v>
      </c>
      <c r="E7" s="43">
        <f>'Debt Schedule'!D12</f>
        <v>0</v>
      </c>
      <c r="F7" s="43">
        <f t="shared" ref="F7" si="0">B7+D7-E7</f>
        <v>3000</v>
      </c>
      <c r="G7" s="43">
        <f>'Debt Schedule'!D13</f>
        <v>0</v>
      </c>
    </row>
    <row r="8" spans="1:9" x14ac:dyDescent="0.3">
      <c r="A8" s="44" t="s">
        <v>246</v>
      </c>
      <c r="B8" s="403">
        <f>F7</f>
        <v>3000</v>
      </c>
      <c r="C8" s="404"/>
      <c r="D8" s="43">
        <v>0</v>
      </c>
      <c r="E8" s="43">
        <f>'Debt Schedule-1'!G9</f>
        <v>100</v>
      </c>
      <c r="F8" s="43">
        <f t="shared" ref="F8:F15" si="1">B8+D8-E8</f>
        <v>2900</v>
      </c>
      <c r="G8" s="43">
        <f>'Debt Schedule-1'!H9</f>
        <v>289.5</v>
      </c>
    </row>
    <row r="9" spans="1:9" x14ac:dyDescent="0.3">
      <c r="A9" s="44" t="s">
        <v>247</v>
      </c>
      <c r="B9" s="403">
        <f>F8</f>
        <v>2900</v>
      </c>
      <c r="C9" s="404"/>
      <c r="D9" s="43">
        <v>0</v>
      </c>
      <c r="E9" s="43">
        <f>'Debt Schedule-1'!G13</f>
        <v>300</v>
      </c>
      <c r="F9" s="43">
        <f t="shared" si="1"/>
        <v>2600</v>
      </c>
      <c r="G9" s="43">
        <f>'Debt Schedule-1'!H13</f>
        <v>275.62812500000001</v>
      </c>
    </row>
    <row r="10" spans="1:9" x14ac:dyDescent="0.3">
      <c r="A10" s="44" t="s">
        <v>248</v>
      </c>
      <c r="B10" s="403">
        <f t="shared" ref="B10:B11" si="2">F9</f>
        <v>2600</v>
      </c>
      <c r="C10" s="404"/>
      <c r="D10" s="43">
        <v>0</v>
      </c>
      <c r="E10" s="43">
        <f>'Debt Schedule-1'!G17</f>
        <v>360</v>
      </c>
      <c r="F10" s="43">
        <f t="shared" si="1"/>
        <v>2240</v>
      </c>
      <c r="G10" s="43">
        <f>'Debt Schedule-1'!H17</f>
        <v>246.19562500000001</v>
      </c>
    </row>
    <row r="11" spans="1:9" x14ac:dyDescent="0.3">
      <c r="A11" s="44" t="s">
        <v>249</v>
      </c>
      <c r="B11" s="403">
        <f t="shared" si="2"/>
        <v>2240</v>
      </c>
      <c r="C11" s="404"/>
      <c r="D11" s="43">
        <v>0</v>
      </c>
      <c r="E11" s="43">
        <f>'Debt Schedule-1'!G21</f>
        <v>400</v>
      </c>
      <c r="F11" s="43">
        <f t="shared" si="1"/>
        <v>1840</v>
      </c>
      <c r="G11" s="43">
        <f>'Debt Schedule-1'!H21</f>
        <v>211.09375</v>
      </c>
    </row>
    <row r="12" spans="1:9" x14ac:dyDescent="0.3">
      <c r="A12" s="44" t="s">
        <v>250</v>
      </c>
      <c r="B12" s="403">
        <f t="shared" ref="B12" si="3">F11</f>
        <v>1840</v>
      </c>
      <c r="C12" s="404"/>
      <c r="D12" s="43">
        <v>0</v>
      </c>
      <c r="E12" s="43">
        <f>'Debt Schedule-1'!G25</f>
        <v>440</v>
      </c>
      <c r="F12" s="43">
        <f t="shared" si="1"/>
        <v>1400</v>
      </c>
      <c r="G12" s="43">
        <f>'Debt Schedule-1'!H25</f>
        <v>172.01124999999999</v>
      </c>
    </row>
    <row r="13" spans="1:9" x14ac:dyDescent="0.3">
      <c r="A13" s="44" t="s">
        <v>251</v>
      </c>
      <c r="B13" s="403">
        <f>F12</f>
        <v>1400</v>
      </c>
      <c r="C13" s="404"/>
      <c r="D13" s="43">
        <v>0</v>
      </c>
      <c r="E13" s="43">
        <f>'Debt Schedule-1'!G29</f>
        <v>480</v>
      </c>
      <c r="F13" s="43">
        <f t="shared" si="1"/>
        <v>920</v>
      </c>
      <c r="G13" s="43">
        <f>'Debt Schedule-1'!H29</f>
        <v>129.06875000000002</v>
      </c>
    </row>
    <row r="14" spans="1:9" x14ac:dyDescent="0.3">
      <c r="A14" s="44" t="s">
        <v>252</v>
      </c>
      <c r="B14" s="403">
        <f>F13</f>
        <v>920</v>
      </c>
      <c r="C14" s="404"/>
      <c r="D14" s="43">
        <v>0</v>
      </c>
      <c r="E14" s="43">
        <f>'Debt Schedule-1'!G33</f>
        <v>500</v>
      </c>
      <c r="F14" s="43">
        <f t="shared" si="1"/>
        <v>420</v>
      </c>
      <c r="G14" s="43">
        <f>'Debt Schedule-1'!H33</f>
        <v>82.628124999999983</v>
      </c>
    </row>
    <row r="15" spans="1:9" x14ac:dyDescent="0.3">
      <c r="A15" s="44" t="s">
        <v>356</v>
      </c>
      <c r="B15" s="403">
        <f>F14</f>
        <v>420</v>
      </c>
      <c r="C15" s="404"/>
      <c r="D15" s="43">
        <v>0</v>
      </c>
      <c r="E15" s="43">
        <f>'Debt Schedule-1'!G37</f>
        <v>420</v>
      </c>
      <c r="F15" s="43">
        <f t="shared" si="1"/>
        <v>0</v>
      </c>
      <c r="G15" s="43">
        <f>'Debt Schedule-1'!H37</f>
        <v>30.035625</v>
      </c>
    </row>
    <row r="16" spans="1:9" x14ac:dyDescent="0.3">
      <c r="A16" s="360" t="s">
        <v>38</v>
      </c>
      <c r="B16" s="360"/>
      <c r="C16" s="360"/>
      <c r="D16" s="360"/>
      <c r="E16" s="360"/>
      <c r="F16" s="360"/>
      <c r="G16" s="360"/>
      <c r="H16" s="13"/>
    </row>
    <row r="17" spans="1:10" x14ac:dyDescent="0.3">
      <c r="A17" s="360" t="s">
        <v>93</v>
      </c>
      <c r="B17" s="360"/>
      <c r="C17" s="360"/>
      <c r="D17" s="360"/>
      <c r="E17" s="360"/>
      <c r="F17" s="360"/>
      <c r="G17" s="360"/>
      <c r="H17" s="13"/>
    </row>
    <row r="18" spans="1:10" x14ac:dyDescent="0.3">
      <c r="D18" s="33"/>
      <c r="G18" s="37" t="s">
        <v>13</v>
      </c>
    </row>
    <row r="19" spans="1:10" ht="72" x14ac:dyDescent="0.3">
      <c r="A19" s="226" t="s">
        <v>14</v>
      </c>
      <c r="B19" s="227" t="s">
        <v>3</v>
      </c>
      <c r="C19" s="226" t="s">
        <v>210</v>
      </c>
      <c r="D19" s="228" t="s">
        <v>92</v>
      </c>
      <c r="E19" s="173" t="s">
        <v>123</v>
      </c>
      <c r="F19" s="229" t="s">
        <v>91</v>
      </c>
      <c r="G19" s="173" t="s">
        <v>12</v>
      </c>
      <c r="H19" s="47"/>
    </row>
    <row r="20" spans="1:10" x14ac:dyDescent="0.3">
      <c r="A20" s="48" t="s">
        <v>168</v>
      </c>
      <c r="B20" s="49" t="s">
        <v>32</v>
      </c>
      <c r="C20" s="50">
        <f>Cost!C11</f>
        <v>44.63</v>
      </c>
      <c r="D20" s="50">
        <f>Cost!C13</f>
        <v>3220</v>
      </c>
      <c r="E20" s="51">
        <f>Cost!C15</f>
        <v>430</v>
      </c>
      <c r="F20" s="50">
        <f>Cost!C17</f>
        <v>350</v>
      </c>
      <c r="G20" s="50">
        <f>D20+E20+F20+C20</f>
        <v>4044.63</v>
      </c>
      <c r="H20" s="33">
        <f>D20+E20+F20</f>
        <v>4000</v>
      </c>
    </row>
    <row r="21" spans="1:10" ht="28.8" x14ac:dyDescent="0.3">
      <c r="A21" s="52" t="s">
        <v>169</v>
      </c>
      <c r="B21" s="53" t="s">
        <v>259</v>
      </c>
      <c r="C21" s="54">
        <v>0</v>
      </c>
      <c r="D21" s="55">
        <v>0</v>
      </c>
      <c r="E21" s="56">
        <v>0</v>
      </c>
      <c r="F21" s="56">
        <v>0</v>
      </c>
      <c r="G21" s="50">
        <f>SUM(D21:F21)</f>
        <v>0</v>
      </c>
      <c r="H21" s="56">
        <f>Cost!C19</f>
        <v>344.5</v>
      </c>
    </row>
    <row r="22" spans="1:10" x14ac:dyDescent="0.3">
      <c r="A22" s="45"/>
      <c r="B22" s="57" t="s">
        <v>12</v>
      </c>
      <c r="C22" s="58">
        <f>C20+C21</f>
        <v>44.63</v>
      </c>
      <c r="D22" s="59">
        <f>SUM(D20:D21)</f>
        <v>3220</v>
      </c>
      <c r="E22" s="59">
        <f t="shared" ref="E22:F22" si="4">SUM(E20:E21)</f>
        <v>430</v>
      </c>
      <c r="F22" s="59">
        <f t="shared" si="4"/>
        <v>350</v>
      </c>
      <c r="G22" s="59">
        <f>SUM(G20:G21)</f>
        <v>4044.63</v>
      </c>
      <c r="H22" s="47"/>
    </row>
    <row r="23" spans="1:10" x14ac:dyDescent="0.3">
      <c r="A23" s="405" t="s">
        <v>398</v>
      </c>
      <c r="B23" s="60" t="s">
        <v>117</v>
      </c>
      <c r="C23" s="50">
        <f>C22</f>
        <v>44.63</v>
      </c>
      <c r="D23" s="50">
        <f>D22</f>
        <v>3220</v>
      </c>
      <c r="E23" s="61">
        <f t="shared" ref="E23:F23" si="5">E22</f>
        <v>430</v>
      </c>
      <c r="F23" s="62">
        <f t="shared" si="5"/>
        <v>350</v>
      </c>
      <c r="G23" s="61">
        <f>G22</f>
        <v>4044.63</v>
      </c>
      <c r="H23" s="47"/>
    </row>
    <row r="24" spans="1:10" x14ac:dyDescent="0.3">
      <c r="A24" s="406"/>
      <c r="B24" s="47" t="s">
        <v>32</v>
      </c>
      <c r="C24" s="56">
        <v>0</v>
      </c>
      <c r="D24" s="55">
        <v>0</v>
      </c>
      <c r="E24" s="55">
        <v>0</v>
      </c>
      <c r="F24" s="33">
        <v>0</v>
      </c>
      <c r="G24" s="50">
        <f>SUM(D24:F24)</f>
        <v>0</v>
      </c>
      <c r="H24" s="47"/>
    </row>
    <row r="25" spans="1:10" x14ac:dyDescent="0.3">
      <c r="A25" s="406"/>
      <c r="B25" s="57" t="s">
        <v>12</v>
      </c>
      <c r="C25" s="58">
        <f>C23+C24</f>
        <v>44.63</v>
      </c>
      <c r="D25" s="43">
        <f>D23+D24</f>
        <v>3220</v>
      </c>
      <c r="E25" s="43">
        <f t="shared" ref="E25:F25" si="6">E23+E24</f>
        <v>430</v>
      </c>
      <c r="F25" s="63">
        <f t="shared" si="6"/>
        <v>350</v>
      </c>
      <c r="G25" s="43">
        <f>G23+G24</f>
        <v>4044.63</v>
      </c>
      <c r="H25" s="56"/>
    </row>
    <row r="26" spans="1:10" x14ac:dyDescent="0.3">
      <c r="A26" s="407"/>
      <c r="B26" s="47" t="s">
        <v>124</v>
      </c>
      <c r="C26" s="56">
        <v>0</v>
      </c>
      <c r="D26" s="55">
        <f>(D24+D25)*10%</f>
        <v>322</v>
      </c>
      <c r="E26" s="55">
        <f>(E24+E25)*15%</f>
        <v>64.5</v>
      </c>
      <c r="F26" s="33">
        <f>(F24+F25)*10%</f>
        <v>35</v>
      </c>
      <c r="G26" s="64">
        <f>SUM(D26:F26)</f>
        <v>421.5</v>
      </c>
      <c r="H26" s="56" t="s">
        <v>0</v>
      </c>
    </row>
    <row r="27" spans="1:10" x14ac:dyDescent="0.3">
      <c r="A27" s="40"/>
      <c r="B27" s="57" t="s">
        <v>254</v>
      </c>
      <c r="C27" s="58">
        <f>C25-C26</f>
        <v>44.63</v>
      </c>
      <c r="D27" s="58">
        <f>D25-D26</f>
        <v>2898</v>
      </c>
      <c r="E27" s="65">
        <f t="shared" ref="E27:F27" si="7">E25-E26</f>
        <v>365.5</v>
      </c>
      <c r="F27" s="65">
        <f t="shared" si="7"/>
        <v>315</v>
      </c>
      <c r="G27" s="65">
        <f>G25-G26</f>
        <v>3623.13</v>
      </c>
      <c r="H27" s="56"/>
    </row>
    <row r="28" spans="1:10" x14ac:dyDescent="0.3">
      <c r="A28" s="66"/>
      <c r="B28" s="60" t="s">
        <v>117</v>
      </c>
      <c r="C28" s="50">
        <f>C27</f>
        <v>44.63</v>
      </c>
      <c r="D28" s="50">
        <f>D27</f>
        <v>2898</v>
      </c>
      <c r="E28" s="50">
        <f>E27</f>
        <v>365.5</v>
      </c>
      <c r="F28" s="62">
        <f>F27</f>
        <v>315</v>
      </c>
      <c r="G28" s="50">
        <f>G27</f>
        <v>3623.13</v>
      </c>
      <c r="H28" s="47"/>
    </row>
    <row r="29" spans="1:10" x14ac:dyDescent="0.3">
      <c r="A29" s="67" t="s">
        <v>247</v>
      </c>
      <c r="B29" s="47" t="s">
        <v>32</v>
      </c>
      <c r="C29" s="56">
        <v>0</v>
      </c>
      <c r="D29" s="55">
        <v>0</v>
      </c>
      <c r="E29" s="55">
        <v>0</v>
      </c>
      <c r="F29" s="33">
        <v>0</v>
      </c>
      <c r="G29" s="55">
        <f>D29+E29+F29</f>
        <v>0</v>
      </c>
      <c r="H29" s="47"/>
    </row>
    <row r="30" spans="1:10" x14ac:dyDescent="0.3">
      <c r="A30" s="60"/>
      <c r="B30" s="47" t="s">
        <v>37</v>
      </c>
      <c r="C30" s="56">
        <v>0</v>
      </c>
      <c r="D30" s="55">
        <f>(D28+D29)*10%</f>
        <v>289.8</v>
      </c>
      <c r="E30" s="55">
        <f>(E28+E29)*15%</f>
        <v>54.824999999999996</v>
      </c>
      <c r="F30" s="33">
        <f>(F28+F29)*10%</f>
        <v>31.5</v>
      </c>
      <c r="G30" s="55">
        <f>SUM(D30:F30)</f>
        <v>376.125</v>
      </c>
      <c r="H30" s="47" t="s">
        <v>0</v>
      </c>
    </row>
    <row r="31" spans="1:10" x14ac:dyDescent="0.3">
      <c r="A31" s="40"/>
      <c r="B31" s="57" t="s">
        <v>254</v>
      </c>
      <c r="C31" s="58">
        <f>C28+C29-C30</f>
        <v>44.63</v>
      </c>
      <c r="D31" s="58">
        <f>D28+D29-D30</f>
        <v>2608.1999999999998</v>
      </c>
      <c r="E31" s="65">
        <f>E28+E29-E30</f>
        <v>310.67500000000001</v>
      </c>
      <c r="F31" s="65">
        <f>F28+F29-F30</f>
        <v>283.5</v>
      </c>
      <c r="G31" s="65">
        <f>G28+G29-G30</f>
        <v>3247.0050000000001</v>
      </c>
      <c r="H31" s="47"/>
      <c r="J31" s="33"/>
    </row>
    <row r="32" spans="1:10" x14ac:dyDescent="0.3">
      <c r="A32" s="68" t="s">
        <v>0</v>
      </c>
      <c r="B32" s="69" t="s">
        <v>117</v>
      </c>
      <c r="C32" s="51">
        <f>C31</f>
        <v>44.63</v>
      </c>
      <c r="D32" s="50">
        <f>D31</f>
        <v>2608.1999999999998</v>
      </c>
      <c r="E32" s="50">
        <f>E31</f>
        <v>310.67500000000001</v>
      </c>
      <c r="F32" s="62">
        <f>F31</f>
        <v>283.5</v>
      </c>
      <c r="G32" s="50">
        <f>G31</f>
        <v>3247.0050000000001</v>
      </c>
      <c r="H32" s="47"/>
      <c r="J32" s="10" t="s">
        <v>0</v>
      </c>
    </row>
    <row r="33" spans="1:8" x14ac:dyDescent="0.3">
      <c r="A33" s="68" t="s">
        <v>248</v>
      </c>
      <c r="B33" s="47" t="s">
        <v>32</v>
      </c>
      <c r="C33" s="56">
        <v>0</v>
      </c>
      <c r="D33" s="55">
        <v>0</v>
      </c>
      <c r="E33" s="55">
        <v>0</v>
      </c>
      <c r="F33" s="33">
        <v>0</v>
      </c>
      <c r="G33" s="55">
        <f>D33+E33+F33</f>
        <v>0</v>
      </c>
      <c r="H33" s="47"/>
    </row>
    <row r="34" spans="1:8" x14ac:dyDescent="0.3">
      <c r="A34" s="60"/>
      <c r="B34" s="47" t="s">
        <v>37</v>
      </c>
      <c r="C34" s="56">
        <v>0</v>
      </c>
      <c r="D34" s="55">
        <f>(D32+D33)*10%</f>
        <v>260.82</v>
      </c>
      <c r="E34" s="55">
        <f>(E32+E33)*15%</f>
        <v>46.60125</v>
      </c>
      <c r="F34" s="33">
        <f>(F32+F33)*10%</f>
        <v>28.35</v>
      </c>
      <c r="G34" s="55">
        <f>SUM(D34:F34)</f>
        <v>335.77125000000001</v>
      </c>
      <c r="H34" s="56" t="s">
        <v>0</v>
      </c>
    </row>
    <row r="35" spans="1:8" x14ac:dyDescent="0.3">
      <c r="A35" s="57" t="s">
        <v>0</v>
      </c>
      <c r="B35" s="57" t="s">
        <v>254</v>
      </c>
      <c r="C35" s="65">
        <f>C32+C33-C34</f>
        <v>44.63</v>
      </c>
      <c r="D35" s="58">
        <f>SUM(D32:D33)-D34</f>
        <v>2347.3799999999997</v>
      </c>
      <c r="E35" s="58">
        <f>SUM(E32:E33)-E34</f>
        <v>264.07375000000002</v>
      </c>
      <c r="F35" s="70">
        <f>SUM(F32:F33)-F34</f>
        <v>255.15</v>
      </c>
      <c r="G35" s="58">
        <f>SUM(G32:G33)-G34</f>
        <v>2911.2337500000003</v>
      </c>
      <c r="H35" s="56" t="s">
        <v>0</v>
      </c>
    </row>
    <row r="36" spans="1:8" x14ac:dyDescent="0.3">
      <c r="A36" s="60" t="s">
        <v>0</v>
      </c>
      <c r="B36" s="47" t="s">
        <v>117</v>
      </c>
      <c r="C36" s="51">
        <f>C35</f>
        <v>44.63</v>
      </c>
      <c r="D36" s="50">
        <f>D35</f>
        <v>2347.3799999999997</v>
      </c>
      <c r="E36" s="50">
        <f>E35</f>
        <v>264.07375000000002</v>
      </c>
      <c r="F36" s="62">
        <f>F35</f>
        <v>255.15</v>
      </c>
      <c r="G36" s="50">
        <f>G35</f>
        <v>2911.2337500000003</v>
      </c>
      <c r="H36" s="47"/>
    </row>
    <row r="37" spans="1:8" x14ac:dyDescent="0.3">
      <c r="A37" s="68" t="s">
        <v>249</v>
      </c>
      <c r="B37" s="47" t="s">
        <v>32</v>
      </c>
      <c r="C37" s="56">
        <v>0</v>
      </c>
      <c r="D37" s="55">
        <v>0</v>
      </c>
      <c r="E37" s="55">
        <v>0</v>
      </c>
      <c r="F37" s="33">
        <v>0</v>
      </c>
      <c r="G37" s="55">
        <f>SUM(D37:F37)</f>
        <v>0</v>
      </c>
      <c r="H37" s="47"/>
    </row>
    <row r="38" spans="1:8" x14ac:dyDescent="0.3">
      <c r="A38" s="68"/>
      <c r="B38" s="47" t="s">
        <v>37</v>
      </c>
      <c r="C38" s="56">
        <v>0</v>
      </c>
      <c r="D38" s="55">
        <f>(D36+D37)*10%</f>
        <v>234.73799999999997</v>
      </c>
      <c r="E38" s="55">
        <f>(E36+E37)*15%</f>
        <v>39.611062500000003</v>
      </c>
      <c r="F38" s="33">
        <f>(F36+F37)*10%</f>
        <v>25.515000000000001</v>
      </c>
      <c r="G38" s="55">
        <f>SUM(D38:F38)</f>
        <v>299.86406249999993</v>
      </c>
      <c r="H38" s="47"/>
    </row>
    <row r="39" spans="1:8" x14ac:dyDescent="0.3">
      <c r="A39" s="57" t="s">
        <v>0</v>
      </c>
      <c r="B39" s="57" t="s">
        <v>254</v>
      </c>
      <c r="C39" s="65">
        <f>C36+C37-C38</f>
        <v>44.63</v>
      </c>
      <c r="D39" s="58">
        <f>SUM(D36:D37)-D38</f>
        <v>2112.6419999999998</v>
      </c>
      <c r="E39" s="58">
        <f>SUM(E36:E37)-E38</f>
        <v>224.46268750000002</v>
      </c>
      <c r="F39" s="70">
        <f>SUM(F36:F37)-F38</f>
        <v>229.63499999999999</v>
      </c>
      <c r="G39" s="58">
        <f>SUM(G36:G37)-G38</f>
        <v>2611.3696875000005</v>
      </c>
      <c r="H39" s="47"/>
    </row>
    <row r="40" spans="1:8" x14ac:dyDescent="0.3">
      <c r="A40" s="60" t="s">
        <v>0</v>
      </c>
      <c r="B40" s="47" t="s">
        <v>36</v>
      </c>
      <c r="C40" s="51">
        <f>C39</f>
        <v>44.63</v>
      </c>
      <c r="D40" s="50">
        <f>D39</f>
        <v>2112.6419999999998</v>
      </c>
      <c r="E40" s="50">
        <f>E39</f>
        <v>224.46268750000002</v>
      </c>
      <c r="F40" s="62">
        <f>F39</f>
        <v>229.63499999999999</v>
      </c>
      <c r="G40" s="50">
        <f>G39</f>
        <v>2611.3696875000005</v>
      </c>
      <c r="H40" s="47"/>
    </row>
    <row r="41" spans="1:8" x14ac:dyDescent="0.3">
      <c r="A41" s="68" t="s">
        <v>250</v>
      </c>
      <c r="B41" s="47" t="s">
        <v>32</v>
      </c>
      <c r="C41" s="56">
        <v>0</v>
      </c>
      <c r="D41" s="55">
        <v>0</v>
      </c>
      <c r="E41" s="55">
        <v>0</v>
      </c>
      <c r="F41" s="33">
        <v>0</v>
      </c>
      <c r="G41" s="55">
        <f>D41+E41+F41</f>
        <v>0</v>
      </c>
      <c r="H41" s="47"/>
    </row>
    <row r="42" spans="1:8" x14ac:dyDescent="0.3">
      <c r="A42" s="60"/>
      <c r="B42" s="47" t="s">
        <v>37</v>
      </c>
      <c r="C42" s="56">
        <v>0</v>
      </c>
      <c r="D42" s="55">
        <f>(D40+D41)*10%</f>
        <v>211.26419999999999</v>
      </c>
      <c r="E42" s="55">
        <f>(E40+E41)*15%</f>
        <v>33.669403125000002</v>
      </c>
      <c r="F42" s="33">
        <f>(F40+F41)*10%</f>
        <v>22.9635</v>
      </c>
      <c r="G42" s="55">
        <f>SUM(D42:F42)</f>
        <v>267.897103125</v>
      </c>
      <c r="H42" s="47"/>
    </row>
    <row r="43" spans="1:8" x14ac:dyDescent="0.3">
      <c r="A43" s="57" t="s">
        <v>0</v>
      </c>
      <c r="B43" s="57" t="s">
        <v>254</v>
      </c>
      <c r="C43" s="65">
        <f>C40+C41-C42</f>
        <v>44.63</v>
      </c>
      <c r="D43" s="58">
        <f>D40+D41-D42</f>
        <v>1901.3777999999998</v>
      </c>
      <c r="E43" s="58">
        <f>E40+E41-E42</f>
        <v>190.79328437500001</v>
      </c>
      <c r="F43" s="70">
        <f>F40+F41-F42</f>
        <v>206.67149999999998</v>
      </c>
      <c r="G43" s="58">
        <f>SUM(G40:G41)-G42</f>
        <v>2343.4725843750007</v>
      </c>
      <c r="H43" s="47"/>
    </row>
    <row r="44" spans="1:8" x14ac:dyDescent="0.3">
      <c r="A44" s="60" t="s">
        <v>0</v>
      </c>
      <c r="B44" s="60" t="s">
        <v>36</v>
      </c>
      <c r="C44" s="50">
        <f>C43</f>
        <v>44.63</v>
      </c>
      <c r="D44" s="50">
        <f>D43</f>
        <v>1901.3777999999998</v>
      </c>
      <c r="E44" s="50">
        <f>E43</f>
        <v>190.79328437500001</v>
      </c>
      <c r="F44" s="62">
        <f>F43</f>
        <v>206.67149999999998</v>
      </c>
      <c r="G44" s="50">
        <f>G43</f>
        <v>2343.4725843750007</v>
      </c>
      <c r="H44" s="47"/>
    </row>
    <row r="45" spans="1:8" x14ac:dyDescent="0.3">
      <c r="A45" s="68" t="s">
        <v>251</v>
      </c>
      <c r="B45" s="60" t="s">
        <v>32</v>
      </c>
      <c r="C45" s="55">
        <v>0</v>
      </c>
      <c r="D45" s="43">
        <v>0</v>
      </c>
      <c r="E45" s="55">
        <v>0</v>
      </c>
      <c r="F45" s="33">
        <v>0</v>
      </c>
      <c r="G45" s="55">
        <v>0</v>
      </c>
      <c r="H45" s="47"/>
    </row>
    <row r="46" spans="1:8" x14ac:dyDescent="0.3">
      <c r="A46" s="60"/>
      <c r="B46" s="60" t="s">
        <v>37</v>
      </c>
      <c r="C46" s="55">
        <v>0</v>
      </c>
      <c r="D46" s="55">
        <f>(D44+D45)*10%</f>
        <v>190.13777999999999</v>
      </c>
      <c r="E46" s="55">
        <f>(E44+E45)*15%</f>
        <v>28.618992656250001</v>
      </c>
      <c r="F46" s="33">
        <f>(F44+F45)*10%</f>
        <v>20.667149999999999</v>
      </c>
      <c r="G46" s="55">
        <f>SUM(D46:F46)</f>
        <v>239.42392265625</v>
      </c>
      <c r="H46" s="47"/>
    </row>
    <row r="47" spans="1:8" x14ac:dyDescent="0.3">
      <c r="A47" s="57" t="s">
        <v>0</v>
      </c>
      <c r="B47" s="57" t="s">
        <v>254</v>
      </c>
      <c r="C47" s="58">
        <f>C44+C45-C46</f>
        <v>44.63</v>
      </c>
      <c r="D47" s="58">
        <f>D44+D45-D46</f>
        <v>1711.2400199999997</v>
      </c>
      <c r="E47" s="58">
        <f>E44+E45-E46</f>
        <v>162.17429171875</v>
      </c>
      <c r="F47" s="70">
        <f>F44+F45-F46</f>
        <v>186.00434999999999</v>
      </c>
      <c r="G47" s="58">
        <f>SUM(G44:G45)-G46</f>
        <v>2104.0486617187507</v>
      </c>
      <c r="H47" s="47"/>
    </row>
    <row r="48" spans="1:8" x14ac:dyDescent="0.3">
      <c r="A48" s="60" t="s">
        <v>0</v>
      </c>
      <c r="B48" s="60" t="s">
        <v>36</v>
      </c>
      <c r="C48" s="50">
        <f>C47</f>
        <v>44.63</v>
      </c>
      <c r="D48" s="50">
        <f>D47</f>
        <v>1711.2400199999997</v>
      </c>
      <c r="E48" s="50">
        <f>E47</f>
        <v>162.17429171875</v>
      </c>
      <c r="F48" s="62">
        <f>F47</f>
        <v>186.00434999999999</v>
      </c>
      <c r="G48" s="50">
        <f>G47</f>
        <v>2104.0486617187507</v>
      </c>
      <c r="H48" s="47"/>
    </row>
    <row r="49" spans="1:7" x14ac:dyDescent="0.3">
      <c r="A49" s="68" t="s">
        <v>252</v>
      </c>
      <c r="B49" s="60" t="s">
        <v>32</v>
      </c>
      <c r="C49" s="55">
        <v>0</v>
      </c>
      <c r="D49" s="55">
        <v>0</v>
      </c>
      <c r="E49" s="55">
        <v>0</v>
      </c>
      <c r="F49" s="33">
        <v>0</v>
      </c>
      <c r="G49" s="55">
        <v>0</v>
      </c>
    </row>
    <row r="50" spans="1:7" x14ac:dyDescent="0.3">
      <c r="A50" s="60"/>
      <c r="B50" s="60" t="s">
        <v>37</v>
      </c>
      <c r="C50" s="55">
        <v>0</v>
      </c>
      <c r="D50" s="55">
        <f>(D48+D49)*10%</f>
        <v>171.12400199999999</v>
      </c>
      <c r="E50" s="55">
        <f>(E48+E49)*15%</f>
        <v>24.326143757812499</v>
      </c>
      <c r="F50" s="33">
        <f>(F48+F49)*10%</f>
        <v>18.600435000000001</v>
      </c>
      <c r="G50" s="64">
        <f>SUM(D50:F50)</f>
        <v>214.0505807578125</v>
      </c>
    </row>
    <row r="51" spans="1:7" x14ac:dyDescent="0.3">
      <c r="A51" s="57" t="s">
        <v>0</v>
      </c>
      <c r="B51" s="57" t="s">
        <v>254</v>
      </c>
      <c r="C51" s="58">
        <f>C48+C49-C50</f>
        <v>44.63</v>
      </c>
      <c r="D51" s="58">
        <f>D48+D49-D50</f>
        <v>1540.1160179999997</v>
      </c>
      <c r="E51" s="58">
        <f>E48+E49-E50</f>
        <v>137.8481479609375</v>
      </c>
      <c r="F51" s="70">
        <f>F48+F49-F50</f>
        <v>167.40391499999998</v>
      </c>
      <c r="G51" s="58">
        <f>SUM(G48:G49)-G50</f>
        <v>1889.9980809609383</v>
      </c>
    </row>
    <row r="52" spans="1:7" x14ac:dyDescent="0.3">
      <c r="A52" s="60" t="s">
        <v>0</v>
      </c>
      <c r="B52" s="60" t="s">
        <v>36</v>
      </c>
      <c r="C52" s="50">
        <f>C51</f>
        <v>44.63</v>
      </c>
      <c r="D52" s="50">
        <f>D51</f>
        <v>1540.1160179999997</v>
      </c>
      <c r="E52" s="50">
        <f>E51</f>
        <v>137.8481479609375</v>
      </c>
      <c r="F52" s="62">
        <f>F51</f>
        <v>167.40391499999998</v>
      </c>
      <c r="G52" s="50">
        <f>G51</f>
        <v>1889.9980809609383</v>
      </c>
    </row>
    <row r="53" spans="1:7" x14ac:dyDescent="0.3">
      <c r="A53" s="68" t="s">
        <v>253</v>
      </c>
      <c r="B53" s="60" t="s">
        <v>32</v>
      </c>
      <c r="C53" s="55">
        <v>0</v>
      </c>
      <c r="D53" s="55">
        <v>0</v>
      </c>
      <c r="E53" s="55">
        <v>0</v>
      </c>
      <c r="F53" s="33">
        <v>0</v>
      </c>
      <c r="G53" s="55">
        <v>0</v>
      </c>
    </row>
    <row r="54" spans="1:7" x14ac:dyDescent="0.3">
      <c r="A54" s="60"/>
      <c r="B54" s="60" t="s">
        <v>37</v>
      </c>
      <c r="C54" s="55">
        <v>0</v>
      </c>
      <c r="D54" s="55">
        <f>(D52+D53)*10%</f>
        <v>154.01160179999999</v>
      </c>
      <c r="E54" s="55">
        <f>(E52+E53)*15%</f>
        <v>20.677222194140622</v>
      </c>
      <c r="F54" s="33">
        <f>(F52+F53)*10%</f>
        <v>16.740391499999998</v>
      </c>
      <c r="G54" s="64">
        <f>SUM(D54:F54)</f>
        <v>191.42921549414061</v>
      </c>
    </row>
    <row r="55" spans="1:7" x14ac:dyDescent="0.3">
      <c r="A55" s="57" t="s">
        <v>0</v>
      </c>
      <c r="B55" s="57" t="s">
        <v>254</v>
      </c>
      <c r="C55" s="58">
        <f>C52+C53-C54</f>
        <v>44.63</v>
      </c>
      <c r="D55" s="58">
        <f>D52+D53-D54</f>
        <v>1386.1044161999998</v>
      </c>
      <c r="E55" s="58">
        <f>E52+E53-E54</f>
        <v>117.17092576679687</v>
      </c>
      <c r="F55" s="70">
        <f>F52+F53-F54</f>
        <v>150.6635235</v>
      </c>
      <c r="G55" s="58">
        <f>SUM(G52:G53)-G54</f>
        <v>1698.5688654667977</v>
      </c>
    </row>
    <row r="67" spans="1:8" x14ac:dyDescent="0.3">
      <c r="D67" s="62"/>
      <c r="E67" s="62"/>
      <c r="F67" s="62"/>
      <c r="G67" s="62"/>
      <c r="H67" s="62"/>
    </row>
    <row r="68" spans="1:8" x14ac:dyDescent="0.3">
      <c r="D68" s="33"/>
      <c r="E68" s="33"/>
      <c r="F68" s="33"/>
      <c r="G68" s="33"/>
      <c r="H68" s="33"/>
    </row>
    <row r="69" spans="1:8" x14ac:dyDescent="0.3">
      <c r="D69" s="33"/>
      <c r="E69" s="33"/>
      <c r="F69" s="33"/>
      <c r="G69" s="33"/>
      <c r="H69" s="33"/>
    </row>
    <row r="70" spans="1:8" x14ac:dyDescent="0.3">
      <c r="A70" s="13"/>
      <c r="B70" s="13"/>
      <c r="C70" s="13"/>
      <c r="D70" s="62"/>
      <c r="E70" s="62"/>
      <c r="F70" s="62"/>
      <c r="G70" s="62"/>
      <c r="H70" s="62"/>
    </row>
    <row r="71" spans="1:8" x14ac:dyDescent="0.3">
      <c r="D71" s="62"/>
      <c r="E71" s="62"/>
      <c r="F71" s="62"/>
      <c r="G71" s="62"/>
      <c r="H71" s="62"/>
    </row>
    <row r="72" spans="1:8" x14ac:dyDescent="0.3">
      <c r="D72" s="33"/>
      <c r="E72" s="33"/>
      <c r="F72" s="33"/>
      <c r="G72" s="33"/>
      <c r="H72" s="33"/>
    </row>
    <row r="73" spans="1:8" x14ac:dyDescent="0.3">
      <c r="D73" s="33"/>
      <c r="E73" s="33"/>
      <c r="F73" s="33"/>
      <c r="G73" s="33"/>
      <c r="H73" s="33"/>
    </row>
    <row r="74" spans="1:8" x14ac:dyDescent="0.3">
      <c r="A74" s="13"/>
      <c r="B74" s="13"/>
      <c r="C74" s="13"/>
      <c r="D74" s="62"/>
      <c r="E74" s="62"/>
      <c r="F74" s="62"/>
      <c r="G74" s="62"/>
      <c r="H74" s="62"/>
    </row>
    <row r="75" spans="1:8" x14ac:dyDescent="0.3">
      <c r="D75" s="62"/>
      <c r="E75" s="62"/>
      <c r="F75" s="62"/>
      <c r="G75" s="62"/>
      <c r="H75" s="62"/>
    </row>
    <row r="76" spans="1:8" x14ac:dyDescent="0.3">
      <c r="D76" s="33"/>
      <c r="E76" s="33"/>
      <c r="F76" s="33"/>
      <c r="G76" s="33"/>
      <c r="H76" s="33"/>
    </row>
    <row r="77" spans="1:8" x14ac:dyDescent="0.3">
      <c r="D77" s="33"/>
      <c r="E77" s="33"/>
      <c r="F77" s="33"/>
      <c r="G77" s="33"/>
      <c r="H77" s="33"/>
    </row>
    <row r="78" spans="1:8" x14ac:dyDescent="0.3">
      <c r="A78" s="13"/>
      <c r="B78" s="13"/>
      <c r="C78" s="13"/>
      <c r="D78" s="62"/>
      <c r="E78" s="62"/>
      <c r="F78" s="62"/>
      <c r="G78" s="62"/>
      <c r="H78" s="62"/>
    </row>
    <row r="79" spans="1:8" x14ac:dyDescent="0.3">
      <c r="D79" s="62"/>
      <c r="E79" s="62"/>
      <c r="F79" s="62"/>
      <c r="G79" s="62"/>
      <c r="H79" s="62"/>
    </row>
    <row r="80" spans="1:8" x14ac:dyDescent="0.3">
      <c r="D80" s="33"/>
      <c r="E80" s="33"/>
      <c r="F80" s="33"/>
      <c r="G80" s="33"/>
      <c r="H80" s="33"/>
    </row>
    <row r="81" spans="1:8" x14ac:dyDescent="0.3">
      <c r="D81" s="33"/>
      <c r="E81" s="33"/>
      <c r="F81" s="33"/>
      <c r="G81" s="33"/>
      <c r="H81" s="33"/>
    </row>
    <row r="82" spans="1:8" x14ac:dyDescent="0.3">
      <c r="A82" s="13"/>
      <c r="B82" s="13"/>
      <c r="C82" s="13"/>
      <c r="D82" s="62"/>
      <c r="E82" s="62"/>
      <c r="F82" s="62"/>
      <c r="G82" s="62"/>
      <c r="H82" s="62"/>
    </row>
    <row r="83" spans="1:8" x14ac:dyDescent="0.3">
      <c r="D83" s="62"/>
      <c r="E83" s="62"/>
      <c r="F83" s="62"/>
      <c r="G83" s="62"/>
      <c r="H83" s="62"/>
    </row>
    <row r="84" spans="1:8" x14ac:dyDescent="0.3">
      <c r="D84" s="33"/>
      <c r="E84" s="33"/>
      <c r="F84" s="33"/>
      <c r="G84" s="33"/>
      <c r="H84" s="33"/>
    </row>
    <row r="85" spans="1:8" x14ac:dyDescent="0.3">
      <c r="D85" s="33"/>
      <c r="E85" s="33"/>
      <c r="F85" s="33"/>
      <c r="G85" s="33"/>
      <c r="H85" s="33"/>
    </row>
    <row r="86" spans="1:8" x14ac:dyDescent="0.3">
      <c r="A86" s="13"/>
      <c r="B86" s="13"/>
      <c r="C86" s="13"/>
      <c r="D86" s="62"/>
      <c r="E86" s="62"/>
      <c r="F86" s="62"/>
      <c r="G86" s="62"/>
      <c r="H86" s="62"/>
    </row>
    <row r="87" spans="1:8" x14ac:dyDescent="0.3">
      <c r="D87" s="62"/>
      <c r="E87" s="62"/>
      <c r="F87" s="62"/>
      <c r="G87" s="62"/>
      <c r="H87" s="62"/>
    </row>
    <row r="88" spans="1:8" x14ac:dyDescent="0.3">
      <c r="D88" s="33"/>
      <c r="E88" s="33"/>
      <c r="F88" s="33"/>
      <c r="G88" s="33"/>
      <c r="H88" s="33"/>
    </row>
    <row r="89" spans="1:8" x14ac:dyDescent="0.3">
      <c r="D89" s="33"/>
      <c r="E89" s="33"/>
      <c r="F89" s="33"/>
      <c r="G89" s="33"/>
      <c r="H89" s="33"/>
    </row>
    <row r="90" spans="1:8" x14ac:dyDescent="0.3">
      <c r="A90" s="13"/>
      <c r="B90" s="13"/>
      <c r="C90" s="13"/>
      <c r="D90" s="62"/>
      <c r="E90" s="62"/>
      <c r="F90" s="62"/>
      <c r="G90" s="62"/>
      <c r="H90" s="62"/>
    </row>
    <row r="91" spans="1:8" x14ac:dyDescent="0.3">
      <c r="D91" s="62"/>
      <c r="E91" s="62"/>
      <c r="F91" s="62"/>
      <c r="G91" s="62"/>
      <c r="H91" s="62"/>
    </row>
    <row r="92" spans="1:8" x14ac:dyDescent="0.3">
      <c r="D92" s="33"/>
      <c r="E92" s="33"/>
      <c r="F92" s="33"/>
      <c r="G92" s="33"/>
      <c r="H92" s="33"/>
    </row>
    <row r="93" spans="1:8" x14ac:dyDescent="0.3">
      <c r="D93" s="33"/>
      <c r="E93" s="33"/>
      <c r="F93" s="33"/>
      <c r="G93" s="33"/>
      <c r="H93" s="33"/>
    </row>
    <row r="94" spans="1:8" x14ac:dyDescent="0.3">
      <c r="A94" s="13"/>
      <c r="B94" s="13"/>
      <c r="C94" s="13"/>
      <c r="D94" s="62"/>
      <c r="E94" s="62"/>
      <c r="F94" s="62"/>
      <c r="G94" s="62"/>
      <c r="H94" s="62"/>
    </row>
    <row r="95" spans="1:8" x14ac:dyDescent="0.3">
      <c r="D95" s="62"/>
      <c r="E95" s="62"/>
      <c r="F95" s="62"/>
      <c r="G95" s="62"/>
      <c r="H95" s="62"/>
    </row>
    <row r="96" spans="1:8" x14ac:dyDescent="0.3">
      <c r="D96" s="33"/>
      <c r="E96" s="33"/>
      <c r="F96" s="33"/>
      <c r="G96" s="33"/>
      <c r="H96" s="33"/>
    </row>
    <row r="97" spans="1:8" x14ac:dyDescent="0.3">
      <c r="D97" s="33"/>
      <c r="E97" s="33"/>
      <c r="F97" s="33"/>
      <c r="G97" s="33"/>
      <c r="H97" s="33"/>
    </row>
    <row r="98" spans="1:8" x14ac:dyDescent="0.3">
      <c r="A98" s="13"/>
      <c r="B98" s="13"/>
      <c r="C98" s="13"/>
      <c r="D98" s="62"/>
      <c r="E98" s="62"/>
      <c r="F98" s="62"/>
      <c r="G98" s="62"/>
      <c r="H98" s="62"/>
    </row>
    <row r="99" spans="1:8" x14ac:dyDescent="0.3">
      <c r="D99" s="62"/>
      <c r="E99" s="62"/>
      <c r="F99" s="62"/>
      <c r="G99" s="62"/>
      <c r="H99" s="62"/>
    </row>
    <row r="100" spans="1:8" x14ac:dyDescent="0.3">
      <c r="D100" s="33"/>
      <c r="E100" s="33"/>
      <c r="F100" s="33"/>
      <c r="G100" s="33"/>
      <c r="H100" s="33"/>
    </row>
    <row r="101" spans="1:8" x14ac:dyDescent="0.3">
      <c r="D101" s="33"/>
      <c r="E101" s="33"/>
      <c r="F101" s="33"/>
      <c r="G101" s="33"/>
      <c r="H101" s="33"/>
    </row>
    <row r="102" spans="1:8" x14ac:dyDescent="0.3">
      <c r="A102" s="13"/>
      <c r="B102" s="13"/>
      <c r="C102" s="13"/>
      <c r="D102" s="62"/>
      <c r="E102" s="62"/>
      <c r="F102" s="62"/>
      <c r="G102" s="62"/>
      <c r="H102" s="62"/>
    </row>
  </sheetData>
  <mergeCells count="17">
    <mergeCell ref="B13:C13"/>
    <mergeCell ref="B14:C14"/>
    <mergeCell ref="B15:C15"/>
    <mergeCell ref="A23:A26"/>
    <mergeCell ref="A1:G1"/>
    <mergeCell ref="A3:F3"/>
    <mergeCell ref="A2:G2"/>
    <mergeCell ref="A16:G16"/>
    <mergeCell ref="A17:G17"/>
    <mergeCell ref="B5:C5"/>
    <mergeCell ref="B6:C6"/>
    <mergeCell ref="B7:C7"/>
    <mergeCell ref="B8:C8"/>
    <mergeCell ref="B9:C9"/>
    <mergeCell ref="B10:C10"/>
    <mergeCell ref="B11:C11"/>
    <mergeCell ref="B12:C12"/>
  </mergeCells>
  <phoneticPr fontId="0" type="noConversion"/>
  <pageMargins left="0.74803149606299213" right="0.74803149606299213" top="0" bottom="0" header="0.51181102362204722" footer="0.51181102362204722"/>
  <pageSetup paperSize="9" scale="97" orientation="portrait" r:id="rId1"/>
  <headerFooter alignWithMargins="0"/>
  <colBreaks count="1" manualBreakCount="1">
    <brk id="7" max="5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5"/>
  <sheetViews>
    <sheetView view="pageBreakPreview" zoomScale="60" zoomScaleNormal="100" workbookViewId="0">
      <selection sqref="A1:I1"/>
    </sheetView>
  </sheetViews>
  <sheetFormatPr defaultRowHeight="13.2" x14ac:dyDescent="0.25"/>
  <cols>
    <col min="1" max="1" width="10.33203125" bestFit="1" customWidth="1"/>
    <col min="2" max="2" width="15.6640625" customWidth="1"/>
    <col min="3" max="3" width="11.5546875" customWidth="1"/>
    <col min="4" max="4" width="12.44140625" bestFit="1" customWidth="1"/>
    <col min="6" max="6" width="9.6640625" bestFit="1" customWidth="1"/>
    <col min="7" max="7" width="24" customWidth="1"/>
    <col min="8" max="9" width="20" customWidth="1"/>
    <col min="12" max="12" width="47.6640625" bestFit="1" customWidth="1"/>
    <col min="13" max="13" width="22.33203125" customWidth="1"/>
    <col min="14" max="14" width="10.44140625" customWidth="1"/>
    <col min="15" max="15" width="13.33203125" bestFit="1" customWidth="1"/>
  </cols>
  <sheetData>
    <row r="1" spans="1:15" ht="14.4" x14ac:dyDescent="0.3">
      <c r="A1" s="358" t="s">
        <v>212</v>
      </c>
      <c r="B1" s="358"/>
      <c r="C1" s="358"/>
      <c r="D1" s="358"/>
      <c r="E1" s="358"/>
      <c r="F1" s="358"/>
      <c r="G1" s="358"/>
      <c r="H1" s="358"/>
      <c r="I1" s="358"/>
    </row>
    <row r="2" spans="1:15" ht="13.8" thickBot="1" x14ac:dyDescent="0.3">
      <c r="A2" t="s">
        <v>358</v>
      </c>
      <c r="C2" s="254">
        <v>9.6500000000000002E-2</v>
      </c>
    </row>
    <row r="3" spans="1:15" x14ac:dyDescent="0.25">
      <c r="A3" t="s">
        <v>51</v>
      </c>
      <c r="C3">
        <v>10</v>
      </c>
      <c r="K3" s="413" t="s">
        <v>102</v>
      </c>
      <c r="L3" s="413" t="s">
        <v>329</v>
      </c>
      <c r="M3" s="413" t="s">
        <v>330</v>
      </c>
    </row>
    <row r="4" spans="1:15" ht="13.8" thickBot="1" x14ac:dyDescent="0.3">
      <c r="A4" s="1" t="s">
        <v>275</v>
      </c>
      <c r="C4" s="1" t="s">
        <v>396</v>
      </c>
      <c r="K4" s="414"/>
      <c r="L4" s="414"/>
      <c r="M4" s="414"/>
    </row>
    <row r="5" spans="1:15" ht="14.4" thickBot="1" x14ac:dyDescent="0.3">
      <c r="A5" t="s">
        <v>1</v>
      </c>
      <c r="C5">
        <v>3000</v>
      </c>
      <c r="K5" s="186">
        <v>1</v>
      </c>
      <c r="L5" s="187" t="s">
        <v>331</v>
      </c>
      <c r="M5" s="209">
        <v>45292</v>
      </c>
    </row>
    <row r="6" spans="1:15" ht="14.4" thickBot="1" x14ac:dyDescent="0.3">
      <c r="K6" s="186">
        <f>+K5+1</f>
        <v>2</v>
      </c>
      <c r="L6" s="187" t="s">
        <v>332</v>
      </c>
      <c r="M6" s="210" t="s">
        <v>333</v>
      </c>
    </row>
    <row r="7" spans="1:15" ht="16.2" thickBot="1" x14ac:dyDescent="0.3">
      <c r="A7" s="255" t="s">
        <v>265</v>
      </c>
      <c r="K7" s="186">
        <f t="shared" ref="K7:K11" si="0">+K6+1</f>
        <v>3</v>
      </c>
      <c r="L7" s="187" t="s">
        <v>334</v>
      </c>
      <c r="M7" s="210" t="s">
        <v>406</v>
      </c>
    </row>
    <row r="8" spans="1:15" ht="42.6" customHeight="1" thickBot="1" x14ac:dyDescent="0.3">
      <c r="A8" s="344"/>
      <c r="B8" s="297" t="s">
        <v>359</v>
      </c>
      <c r="C8" s="297" t="s">
        <v>352</v>
      </c>
      <c r="D8" s="297" t="s">
        <v>397</v>
      </c>
      <c r="E8" s="297" t="s">
        <v>353</v>
      </c>
      <c r="F8" s="297" t="s">
        <v>254</v>
      </c>
      <c r="G8" s="345" t="s">
        <v>360</v>
      </c>
      <c r="H8" s="345" t="s">
        <v>354</v>
      </c>
      <c r="I8" s="257" t="s">
        <v>51</v>
      </c>
      <c r="K8" s="186">
        <f t="shared" si="0"/>
        <v>4</v>
      </c>
      <c r="L8" s="187" t="s">
        <v>408</v>
      </c>
      <c r="M8" s="267" t="s">
        <v>409</v>
      </c>
    </row>
    <row r="9" spans="1:15" ht="16.2" customHeight="1" thickBot="1" x14ac:dyDescent="0.3">
      <c r="A9" s="344">
        <v>46203</v>
      </c>
      <c r="B9" s="301">
        <v>0</v>
      </c>
      <c r="C9" s="346">
        <v>0</v>
      </c>
      <c r="D9" s="346">
        <v>3000</v>
      </c>
      <c r="E9" s="346">
        <f>+D9*0.25*$C$2</f>
        <v>72.375</v>
      </c>
      <c r="F9" s="346">
        <f>+C5-C9</f>
        <v>3000</v>
      </c>
      <c r="G9" s="411">
        <f>SUM(C9:C12)</f>
        <v>100</v>
      </c>
      <c r="H9" s="411">
        <f>SUM(E9:E12)</f>
        <v>289.5</v>
      </c>
      <c r="I9" s="415" t="s">
        <v>387</v>
      </c>
      <c r="K9" s="186">
        <f t="shared" si="0"/>
        <v>5</v>
      </c>
      <c r="L9" s="187" t="s">
        <v>407</v>
      </c>
      <c r="M9" s="352" t="s">
        <v>410</v>
      </c>
    </row>
    <row r="10" spans="1:15" ht="14.4" thickBot="1" x14ac:dyDescent="0.3">
      <c r="A10" s="344">
        <v>46295</v>
      </c>
      <c r="B10" s="301">
        <v>0</v>
      </c>
      <c r="C10" s="346">
        <v>0</v>
      </c>
      <c r="D10" s="346">
        <f>+F9</f>
        <v>3000</v>
      </c>
      <c r="E10" s="346">
        <f>+D9*0.25*$C$2</f>
        <v>72.375</v>
      </c>
      <c r="F10" s="346">
        <f t="shared" ref="F10:F39" si="1">+F9-C10</f>
        <v>3000</v>
      </c>
      <c r="G10" s="412"/>
      <c r="H10" s="412"/>
      <c r="I10" s="416"/>
      <c r="K10" s="186">
        <f t="shared" si="0"/>
        <v>6</v>
      </c>
      <c r="L10" s="187" t="s">
        <v>411</v>
      </c>
      <c r="M10" s="209" t="s">
        <v>385</v>
      </c>
      <c r="N10" t="s">
        <v>413</v>
      </c>
    </row>
    <row r="11" spans="1:15" ht="14.4" thickBot="1" x14ac:dyDescent="0.3">
      <c r="A11" s="344">
        <v>46387</v>
      </c>
      <c r="B11" s="301">
        <v>1</v>
      </c>
      <c r="C11" s="346">
        <v>50</v>
      </c>
      <c r="D11" s="346">
        <f>+F10</f>
        <v>3000</v>
      </c>
      <c r="E11" s="346">
        <f t="shared" ref="E11:E39" si="2">+D10*0.25*$C$2</f>
        <v>72.375</v>
      </c>
      <c r="F11" s="346">
        <f t="shared" si="1"/>
        <v>2950</v>
      </c>
      <c r="G11" s="412"/>
      <c r="H11" s="412"/>
      <c r="I11" s="416"/>
      <c r="K11" s="186">
        <f t="shared" si="0"/>
        <v>7</v>
      </c>
      <c r="L11" s="187" t="s">
        <v>412</v>
      </c>
      <c r="M11" s="210" t="s">
        <v>386</v>
      </c>
      <c r="N11" t="s">
        <v>414</v>
      </c>
    </row>
    <row r="12" spans="1:15" ht="14.4" thickBot="1" x14ac:dyDescent="0.3">
      <c r="A12" s="344">
        <v>46477</v>
      </c>
      <c r="B12" s="301">
        <f>+B11+1</f>
        <v>2</v>
      </c>
      <c r="C12" s="346">
        <v>50</v>
      </c>
      <c r="D12" s="346">
        <f t="shared" ref="D12:D39" si="3">+F11</f>
        <v>2950</v>
      </c>
      <c r="E12" s="346">
        <f t="shared" si="2"/>
        <v>72.375</v>
      </c>
      <c r="F12" s="346">
        <f t="shared" si="1"/>
        <v>2900</v>
      </c>
      <c r="G12" s="412"/>
      <c r="H12" s="412"/>
      <c r="I12" s="416"/>
      <c r="K12" s="186">
        <f t="shared" ref="K12" si="4">+K11+1</f>
        <v>8</v>
      </c>
      <c r="L12" s="187" t="s">
        <v>422</v>
      </c>
      <c r="M12" s="210" t="s">
        <v>421</v>
      </c>
      <c r="N12" t="s">
        <v>414</v>
      </c>
    </row>
    <row r="13" spans="1:15" x14ac:dyDescent="0.25">
      <c r="A13" s="344">
        <v>46568</v>
      </c>
      <c r="B13" s="301">
        <f t="shared" ref="B13:B39" si="5">+B12+1</f>
        <v>3</v>
      </c>
      <c r="C13" s="346">
        <v>75</v>
      </c>
      <c r="D13" s="346">
        <f t="shared" si="3"/>
        <v>2900</v>
      </c>
      <c r="E13" s="346">
        <f t="shared" si="2"/>
        <v>71.168750000000003</v>
      </c>
      <c r="F13" s="346">
        <f t="shared" si="1"/>
        <v>2825</v>
      </c>
      <c r="G13" s="411">
        <f>SUM(C13:C16)</f>
        <v>300</v>
      </c>
      <c r="H13" s="411">
        <f>SUM(E13:E16)</f>
        <v>275.62812500000001</v>
      </c>
      <c r="I13" s="415" t="s">
        <v>388</v>
      </c>
    </row>
    <row r="14" spans="1:15" ht="13.8" x14ac:dyDescent="0.25">
      <c r="A14" s="344">
        <v>46660</v>
      </c>
      <c r="B14" s="301">
        <f t="shared" si="5"/>
        <v>4</v>
      </c>
      <c r="C14" s="346">
        <v>75</v>
      </c>
      <c r="D14" s="346">
        <f t="shared" si="3"/>
        <v>2825</v>
      </c>
      <c r="E14" s="346">
        <f t="shared" si="2"/>
        <v>69.962500000000006</v>
      </c>
      <c r="F14" s="346">
        <f t="shared" si="1"/>
        <v>2750</v>
      </c>
      <c r="G14" s="412"/>
      <c r="H14" s="412"/>
      <c r="I14" s="416"/>
      <c r="M14" s="258" t="s">
        <v>378</v>
      </c>
      <c r="N14" t="s">
        <v>379</v>
      </c>
    </row>
    <row r="15" spans="1:15" x14ac:dyDescent="0.25">
      <c r="A15" s="344">
        <v>46752</v>
      </c>
      <c r="B15" s="301">
        <f t="shared" si="5"/>
        <v>5</v>
      </c>
      <c r="C15" s="346">
        <v>75</v>
      </c>
      <c r="D15" s="346">
        <f t="shared" si="3"/>
        <v>2750</v>
      </c>
      <c r="E15" s="346">
        <f t="shared" si="2"/>
        <v>68.153125000000003</v>
      </c>
      <c r="F15" s="346">
        <f t="shared" si="1"/>
        <v>2675</v>
      </c>
      <c r="G15" s="412"/>
      <c r="H15" s="412"/>
      <c r="I15" s="416"/>
      <c r="L15" t="s">
        <v>265</v>
      </c>
      <c r="M15">
        <v>6</v>
      </c>
      <c r="N15">
        <v>2</v>
      </c>
      <c r="O15" s="418" t="s">
        <v>377</v>
      </c>
    </row>
    <row r="16" spans="1:15" x14ac:dyDescent="0.25">
      <c r="A16" s="344">
        <v>46843</v>
      </c>
      <c r="B16" s="301">
        <f t="shared" si="5"/>
        <v>6</v>
      </c>
      <c r="C16" s="346">
        <v>75</v>
      </c>
      <c r="D16" s="346">
        <f t="shared" si="3"/>
        <v>2675</v>
      </c>
      <c r="E16" s="346">
        <f t="shared" si="2"/>
        <v>66.34375</v>
      </c>
      <c r="F16" s="346">
        <f t="shared" si="1"/>
        <v>2600</v>
      </c>
      <c r="G16" s="412"/>
      <c r="H16" s="412"/>
      <c r="I16" s="416"/>
      <c r="L16" t="s">
        <v>365</v>
      </c>
      <c r="M16">
        <v>12</v>
      </c>
      <c r="N16">
        <v>4</v>
      </c>
      <c r="O16" s="418"/>
    </row>
    <row r="17" spans="1:15" x14ac:dyDescent="0.25">
      <c r="A17" s="344">
        <v>46934</v>
      </c>
      <c r="B17" s="301">
        <f t="shared" si="5"/>
        <v>7</v>
      </c>
      <c r="C17" s="346">
        <v>90</v>
      </c>
      <c r="D17" s="346">
        <f t="shared" si="3"/>
        <v>2600</v>
      </c>
      <c r="E17" s="346">
        <f t="shared" si="2"/>
        <v>64.534374999999997</v>
      </c>
      <c r="F17" s="346">
        <f t="shared" si="1"/>
        <v>2510</v>
      </c>
      <c r="G17" s="411">
        <f>SUM(C17:C20)</f>
        <v>360</v>
      </c>
      <c r="H17" s="411">
        <f>SUM(E17:E20)</f>
        <v>246.19562500000001</v>
      </c>
      <c r="I17" s="415" t="s">
        <v>389</v>
      </c>
      <c r="L17" t="s">
        <v>366</v>
      </c>
      <c r="M17">
        <v>12</v>
      </c>
      <c r="N17">
        <v>4</v>
      </c>
      <c r="O17" s="418"/>
    </row>
    <row r="18" spans="1:15" x14ac:dyDescent="0.25">
      <c r="A18" s="344">
        <v>47026</v>
      </c>
      <c r="B18" s="301">
        <f t="shared" si="5"/>
        <v>8</v>
      </c>
      <c r="C18" s="346">
        <v>90</v>
      </c>
      <c r="D18" s="346">
        <f t="shared" si="3"/>
        <v>2510</v>
      </c>
      <c r="E18" s="346">
        <f t="shared" si="2"/>
        <v>62.725000000000001</v>
      </c>
      <c r="F18" s="346">
        <f t="shared" si="1"/>
        <v>2420</v>
      </c>
      <c r="G18" s="412"/>
      <c r="H18" s="412"/>
      <c r="I18" s="415"/>
      <c r="L18" t="s">
        <v>367</v>
      </c>
      <c r="M18">
        <v>12</v>
      </c>
      <c r="N18">
        <v>4</v>
      </c>
      <c r="O18" s="418"/>
    </row>
    <row r="19" spans="1:15" x14ac:dyDescent="0.25">
      <c r="A19" s="344">
        <v>47118</v>
      </c>
      <c r="B19" s="301">
        <f t="shared" si="5"/>
        <v>9</v>
      </c>
      <c r="C19" s="346">
        <v>90</v>
      </c>
      <c r="D19" s="346">
        <f t="shared" si="3"/>
        <v>2420</v>
      </c>
      <c r="E19" s="346">
        <f t="shared" si="2"/>
        <v>60.553750000000001</v>
      </c>
      <c r="F19" s="346">
        <f t="shared" si="1"/>
        <v>2330</v>
      </c>
      <c r="G19" s="412"/>
      <c r="H19" s="412"/>
      <c r="I19" s="415"/>
      <c r="L19" t="s">
        <v>368</v>
      </c>
      <c r="M19">
        <v>12</v>
      </c>
      <c r="N19">
        <v>4</v>
      </c>
      <c r="O19" s="418"/>
    </row>
    <row r="20" spans="1:15" x14ac:dyDescent="0.25">
      <c r="A20" s="344">
        <v>47208</v>
      </c>
      <c r="B20" s="301">
        <f t="shared" si="5"/>
        <v>10</v>
      </c>
      <c r="C20" s="346">
        <v>90</v>
      </c>
      <c r="D20" s="346">
        <f t="shared" si="3"/>
        <v>2330</v>
      </c>
      <c r="E20" s="346">
        <f t="shared" si="2"/>
        <v>58.3825</v>
      </c>
      <c r="F20" s="346">
        <f t="shared" si="1"/>
        <v>2240</v>
      </c>
      <c r="G20" s="412"/>
      <c r="H20" s="412"/>
      <c r="I20" s="415"/>
      <c r="L20" t="s">
        <v>369</v>
      </c>
      <c r="M20">
        <v>12</v>
      </c>
      <c r="N20">
        <v>4</v>
      </c>
      <c r="O20" s="418"/>
    </row>
    <row r="21" spans="1:15" x14ac:dyDescent="0.25">
      <c r="A21" s="344">
        <v>47299</v>
      </c>
      <c r="B21" s="301">
        <f t="shared" si="5"/>
        <v>11</v>
      </c>
      <c r="C21" s="346">
        <v>100</v>
      </c>
      <c r="D21" s="346">
        <f t="shared" si="3"/>
        <v>2240</v>
      </c>
      <c r="E21" s="346">
        <f t="shared" si="2"/>
        <v>56.21125</v>
      </c>
      <c r="F21" s="346">
        <f t="shared" si="1"/>
        <v>2140</v>
      </c>
      <c r="G21" s="411">
        <f>SUM(C21:C24)</f>
        <v>400</v>
      </c>
      <c r="H21" s="411">
        <f>SUM(E21:E24)</f>
        <v>211.09375</v>
      </c>
      <c r="I21" s="415" t="s">
        <v>390</v>
      </c>
      <c r="L21" t="s">
        <v>370</v>
      </c>
      <c r="M21">
        <v>12</v>
      </c>
      <c r="N21">
        <v>4</v>
      </c>
      <c r="O21" s="418"/>
    </row>
    <row r="22" spans="1:15" x14ac:dyDescent="0.25">
      <c r="A22" s="344">
        <v>47391</v>
      </c>
      <c r="B22" s="301">
        <f t="shared" si="5"/>
        <v>12</v>
      </c>
      <c r="C22" s="346">
        <v>100</v>
      </c>
      <c r="D22" s="346">
        <f t="shared" si="3"/>
        <v>2140</v>
      </c>
      <c r="E22" s="346">
        <f t="shared" si="2"/>
        <v>54.04</v>
      </c>
      <c r="F22" s="346">
        <f t="shared" si="1"/>
        <v>2040</v>
      </c>
      <c r="G22" s="412"/>
      <c r="H22" s="412"/>
      <c r="I22" s="415"/>
      <c r="L22" t="s">
        <v>371</v>
      </c>
      <c r="M22">
        <v>9</v>
      </c>
      <c r="N22">
        <v>3</v>
      </c>
      <c r="O22" s="418"/>
    </row>
    <row r="23" spans="1:15" x14ac:dyDescent="0.25">
      <c r="A23" s="344">
        <v>47483</v>
      </c>
      <c r="B23" s="301">
        <f t="shared" si="5"/>
        <v>13</v>
      </c>
      <c r="C23" s="346">
        <v>100</v>
      </c>
      <c r="D23" s="346">
        <f t="shared" si="3"/>
        <v>2040</v>
      </c>
      <c r="E23" s="346">
        <f t="shared" si="2"/>
        <v>51.627500000000005</v>
      </c>
      <c r="F23" s="346">
        <f t="shared" si="1"/>
        <v>1940</v>
      </c>
      <c r="G23" s="412"/>
      <c r="H23" s="412"/>
      <c r="I23" s="415"/>
      <c r="M23" s="259">
        <f>SUM(M15:M22)</f>
        <v>87</v>
      </c>
      <c r="N23" s="259">
        <f>SUM(N15:N22)</f>
        <v>29</v>
      </c>
    </row>
    <row r="24" spans="1:15" x14ac:dyDescent="0.25">
      <c r="A24" s="344">
        <v>47573</v>
      </c>
      <c r="B24" s="301">
        <f t="shared" si="5"/>
        <v>14</v>
      </c>
      <c r="C24" s="346">
        <v>100</v>
      </c>
      <c r="D24" s="346">
        <f t="shared" si="3"/>
        <v>1940</v>
      </c>
      <c r="E24" s="346">
        <f t="shared" si="2"/>
        <v>49.215000000000003</v>
      </c>
      <c r="F24" s="346">
        <f t="shared" si="1"/>
        <v>1840</v>
      </c>
      <c r="G24" s="412"/>
      <c r="H24" s="412"/>
      <c r="I24" s="415"/>
    </row>
    <row r="25" spans="1:15" x14ac:dyDescent="0.25">
      <c r="A25" s="344">
        <v>47664</v>
      </c>
      <c r="B25" s="301">
        <f t="shared" si="5"/>
        <v>15</v>
      </c>
      <c r="C25" s="346">
        <v>110</v>
      </c>
      <c r="D25" s="346">
        <f t="shared" si="3"/>
        <v>1840</v>
      </c>
      <c r="E25" s="346">
        <f t="shared" si="2"/>
        <v>46.802500000000002</v>
      </c>
      <c r="F25" s="346">
        <f t="shared" si="1"/>
        <v>1730</v>
      </c>
      <c r="G25" s="411">
        <f>SUM(C25:C28)</f>
        <v>440</v>
      </c>
      <c r="H25" s="411">
        <f>SUM(E25:E28)</f>
        <v>172.01124999999999</v>
      </c>
      <c r="I25" s="415" t="s">
        <v>391</v>
      </c>
      <c r="L25" t="s">
        <v>372</v>
      </c>
      <c r="M25">
        <v>3</v>
      </c>
      <c r="N25">
        <v>1</v>
      </c>
      <c r="O25" s="416" t="s">
        <v>375</v>
      </c>
    </row>
    <row r="26" spans="1:15" x14ac:dyDescent="0.25">
      <c r="A26" s="344">
        <v>47756</v>
      </c>
      <c r="B26" s="301">
        <f t="shared" si="5"/>
        <v>16</v>
      </c>
      <c r="C26" s="346">
        <v>110</v>
      </c>
      <c r="D26" s="346">
        <f t="shared" si="3"/>
        <v>1730</v>
      </c>
      <c r="E26" s="346">
        <f t="shared" si="2"/>
        <v>44.39</v>
      </c>
      <c r="F26" s="346">
        <f t="shared" si="1"/>
        <v>1620</v>
      </c>
      <c r="G26" s="412"/>
      <c r="H26" s="412"/>
      <c r="I26" s="415"/>
      <c r="L26" t="s">
        <v>373</v>
      </c>
      <c r="M26">
        <v>12</v>
      </c>
      <c r="N26">
        <v>4</v>
      </c>
      <c r="O26" s="416"/>
    </row>
    <row r="27" spans="1:15" x14ac:dyDescent="0.25">
      <c r="A27" s="344">
        <v>47848</v>
      </c>
      <c r="B27" s="301">
        <f t="shared" si="5"/>
        <v>17</v>
      </c>
      <c r="C27" s="346">
        <v>110</v>
      </c>
      <c r="D27" s="346">
        <f t="shared" si="3"/>
        <v>1620</v>
      </c>
      <c r="E27" s="346">
        <f t="shared" si="2"/>
        <v>41.736249999999998</v>
      </c>
      <c r="F27" s="346">
        <f t="shared" si="1"/>
        <v>1510</v>
      </c>
      <c r="G27" s="412"/>
      <c r="H27" s="412"/>
      <c r="I27" s="415"/>
      <c r="L27" t="s">
        <v>374</v>
      </c>
      <c r="M27">
        <v>12</v>
      </c>
      <c r="N27">
        <v>4</v>
      </c>
      <c r="O27" s="416"/>
    </row>
    <row r="28" spans="1:15" x14ac:dyDescent="0.25">
      <c r="A28" s="344">
        <v>47938</v>
      </c>
      <c r="B28" s="301">
        <f t="shared" si="5"/>
        <v>18</v>
      </c>
      <c r="C28" s="346">
        <v>110</v>
      </c>
      <c r="D28" s="346">
        <f t="shared" si="3"/>
        <v>1510</v>
      </c>
      <c r="E28" s="346">
        <f t="shared" si="2"/>
        <v>39.082500000000003</v>
      </c>
      <c r="F28" s="346">
        <f t="shared" si="1"/>
        <v>1400</v>
      </c>
      <c r="G28" s="412"/>
      <c r="H28" s="412"/>
      <c r="I28" s="415"/>
      <c r="L28" t="s">
        <v>265</v>
      </c>
      <c r="M28">
        <v>6</v>
      </c>
      <c r="N28">
        <v>2</v>
      </c>
      <c r="O28" t="s">
        <v>376</v>
      </c>
    </row>
    <row r="29" spans="1:15" x14ac:dyDescent="0.25">
      <c r="A29" s="344">
        <v>48029</v>
      </c>
      <c r="B29" s="301">
        <f t="shared" si="5"/>
        <v>19</v>
      </c>
      <c r="C29" s="346">
        <v>120</v>
      </c>
      <c r="D29" s="346">
        <f t="shared" si="3"/>
        <v>1400</v>
      </c>
      <c r="E29" s="346">
        <f t="shared" si="2"/>
        <v>36.428750000000001</v>
      </c>
      <c r="F29" s="346">
        <f t="shared" si="1"/>
        <v>1280</v>
      </c>
      <c r="G29" s="411">
        <f>SUM(C29:C32)</f>
        <v>480</v>
      </c>
      <c r="H29" s="411">
        <f>SUM(E29:E32)</f>
        <v>129.06875000000002</v>
      </c>
      <c r="I29" s="415" t="s">
        <v>392</v>
      </c>
      <c r="M29" s="259">
        <f>SUM(M25:M28)</f>
        <v>33</v>
      </c>
      <c r="N29" s="259">
        <f>SUM(N25:N28)</f>
        <v>11</v>
      </c>
    </row>
    <row r="30" spans="1:15" x14ac:dyDescent="0.25">
      <c r="A30" s="344">
        <v>48121</v>
      </c>
      <c r="B30" s="301">
        <f t="shared" si="5"/>
        <v>20</v>
      </c>
      <c r="C30" s="346">
        <v>120</v>
      </c>
      <c r="D30" s="346">
        <f t="shared" si="3"/>
        <v>1280</v>
      </c>
      <c r="E30" s="346">
        <f t="shared" si="2"/>
        <v>33.774999999999999</v>
      </c>
      <c r="F30" s="346">
        <f t="shared" si="1"/>
        <v>1160</v>
      </c>
      <c r="G30" s="412"/>
      <c r="H30" s="412"/>
      <c r="I30" s="415"/>
    </row>
    <row r="31" spans="1:15" x14ac:dyDescent="0.25">
      <c r="A31" s="344">
        <v>48213</v>
      </c>
      <c r="B31" s="301">
        <f t="shared" si="5"/>
        <v>21</v>
      </c>
      <c r="C31" s="346">
        <v>120</v>
      </c>
      <c r="D31" s="346">
        <f t="shared" si="3"/>
        <v>1160</v>
      </c>
      <c r="E31" s="346">
        <f t="shared" si="2"/>
        <v>30.880000000000003</v>
      </c>
      <c r="F31" s="346">
        <f t="shared" si="1"/>
        <v>1040</v>
      </c>
      <c r="G31" s="412"/>
      <c r="H31" s="412"/>
      <c r="I31" s="415"/>
      <c r="L31" s="1" t="s">
        <v>12</v>
      </c>
      <c r="M31" s="259">
        <f>+M23+M29</f>
        <v>120</v>
      </c>
      <c r="N31" s="259">
        <f>+N23+N29</f>
        <v>40</v>
      </c>
    </row>
    <row r="32" spans="1:15" x14ac:dyDescent="0.25">
      <c r="A32" s="344">
        <v>48304</v>
      </c>
      <c r="B32" s="301">
        <f t="shared" si="5"/>
        <v>22</v>
      </c>
      <c r="C32" s="346">
        <v>120</v>
      </c>
      <c r="D32" s="346">
        <f t="shared" si="3"/>
        <v>1040</v>
      </c>
      <c r="E32" s="346">
        <f t="shared" si="2"/>
        <v>27.984999999999999</v>
      </c>
      <c r="F32" s="346">
        <f t="shared" si="1"/>
        <v>920</v>
      </c>
      <c r="G32" s="412"/>
      <c r="H32" s="412"/>
      <c r="I32" s="415"/>
    </row>
    <row r="33" spans="1:15" x14ac:dyDescent="0.25">
      <c r="A33" s="344">
        <v>48395</v>
      </c>
      <c r="B33" s="301">
        <f t="shared" si="5"/>
        <v>23</v>
      </c>
      <c r="C33" s="346">
        <v>125</v>
      </c>
      <c r="D33" s="346">
        <f t="shared" si="3"/>
        <v>920</v>
      </c>
      <c r="E33" s="346">
        <f t="shared" si="2"/>
        <v>25.09</v>
      </c>
      <c r="F33" s="346">
        <f t="shared" si="1"/>
        <v>795</v>
      </c>
      <c r="G33" s="411">
        <f>SUM(C33:C36)</f>
        <v>500</v>
      </c>
      <c r="H33" s="411">
        <f>SUM(E33:E36)</f>
        <v>82.628124999999983</v>
      </c>
      <c r="I33" s="415" t="s">
        <v>393</v>
      </c>
      <c r="L33" s="1" t="s">
        <v>380</v>
      </c>
      <c r="M33">
        <v>3000</v>
      </c>
    </row>
    <row r="34" spans="1:15" x14ac:dyDescent="0.25">
      <c r="A34" s="344">
        <v>48487</v>
      </c>
      <c r="B34" s="301">
        <f t="shared" si="5"/>
        <v>24</v>
      </c>
      <c r="C34" s="346">
        <v>125</v>
      </c>
      <c r="D34" s="346">
        <f t="shared" si="3"/>
        <v>795</v>
      </c>
      <c r="E34" s="346">
        <f t="shared" si="2"/>
        <v>22.195</v>
      </c>
      <c r="F34" s="346">
        <f t="shared" si="1"/>
        <v>670</v>
      </c>
      <c r="G34" s="411"/>
      <c r="H34" s="411"/>
      <c r="I34" s="415"/>
      <c r="L34" s="1" t="s">
        <v>381</v>
      </c>
      <c r="M34">
        <v>29</v>
      </c>
    </row>
    <row r="35" spans="1:15" ht="13.2" customHeight="1" x14ac:dyDescent="0.25">
      <c r="A35" s="344">
        <v>48579</v>
      </c>
      <c r="B35" s="301">
        <f t="shared" si="5"/>
        <v>25</v>
      </c>
      <c r="C35" s="346">
        <v>125</v>
      </c>
      <c r="D35" s="346">
        <f t="shared" si="3"/>
        <v>670</v>
      </c>
      <c r="E35" s="346">
        <f t="shared" si="2"/>
        <v>19.179375</v>
      </c>
      <c r="F35" s="346">
        <f t="shared" si="1"/>
        <v>545</v>
      </c>
      <c r="G35" s="411"/>
      <c r="H35" s="411"/>
      <c r="I35" s="415"/>
      <c r="L35" s="1" t="s">
        <v>382</v>
      </c>
      <c r="M35" s="1" t="s">
        <v>383</v>
      </c>
      <c r="N35" s="5" t="s">
        <v>384</v>
      </c>
      <c r="O35" s="5" t="s">
        <v>395</v>
      </c>
    </row>
    <row r="36" spans="1:15" x14ac:dyDescent="0.25">
      <c r="A36" s="344">
        <v>48669</v>
      </c>
      <c r="B36" s="301">
        <f t="shared" si="5"/>
        <v>26</v>
      </c>
      <c r="C36" s="346">
        <v>125</v>
      </c>
      <c r="D36" s="346">
        <f t="shared" si="3"/>
        <v>545</v>
      </c>
      <c r="E36" s="346">
        <f t="shared" si="2"/>
        <v>16.16375</v>
      </c>
      <c r="F36" s="346">
        <f t="shared" si="1"/>
        <v>420</v>
      </c>
      <c r="G36" s="411"/>
      <c r="H36" s="411"/>
      <c r="I36" s="415"/>
      <c r="L36" s="1" t="s">
        <v>265</v>
      </c>
      <c r="M36">
        <v>2</v>
      </c>
      <c r="N36">
        <v>50</v>
      </c>
      <c r="O36">
        <f>+M36*N36</f>
        <v>100</v>
      </c>
    </row>
    <row r="37" spans="1:15" x14ac:dyDescent="0.25">
      <c r="A37" s="344">
        <v>48760</v>
      </c>
      <c r="B37" s="301">
        <f t="shared" si="5"/>
        <v>27</v>
      </c>
      <c r="C37" s="346">
        <v>140</v>
      </c>
      <c r="D37" s="346">
        <f t="shared" si="3"/>
        <v>420</v>
      </c>
      <c r="E37" s="346">
        <f t="shared" si="2"/>
        <v>13.148125</v>
      </c>
      <c r="F37" s="346">
        <f t="shared" si="1"/>
        <v>280</v>
      </c>
      <c r="G37" s="411">
        <f>SUM(C37:C39)</f>
        <v>420</v>
      </c>
      <c r="H37" s="411">
        <f>SUM(E37:E39)</f>
        <v>30.035625</v>
      </c>
      <c r="I37" s="417" t="s">
        <v>394</v>
      </c>
      <c r="L37" t="s">
        <v>365</v>
      </c>
      <c r="M37">
        <v>4</v>
      </c>
      <c r="N37">
        <v>75</v>
      </c>
      <c r="O37">
        <f>+M37*N37</f>
        <v>300</v>
      </c>
    </row>
    <row r="38" spans="1:15" x14ac:dyDescent="0.25">
      <c r="A38" s="344">
        <v>48852</v>
      </c>
      <c r="B38" s="301">
        <f t="shared" si="5"/>
        <v>28</v>
      </c>
      <c r="C38" s="346">
        <v>140</v>
      </c>
      <c r="D38" s="346">
        <f t="shared" si="3"/>
        <v>280</v>
      </c>
      <c r="E38" s="346">
        <f t="shared" si="2"/>
        <v>10.1325</v>
      </c>
      <c r="F38" s="346">
        <f t="shared" si="1"/>
        <v>140</v>
      </c>
      <c r="G38" s="411"/>
      <c r="H38" s="411"/>
      <c r="I38" s="417"/>
      <c r="L38" t="s">
        <v>366</v>
      </c>
      <c r="M38">
        <v>4</v>
      </c>
      <c r="N38">
        <v>90</v>
      </c>
      <c r="O38">
        <f t="shared" ref="O38:O43" si="6">+M38*N38</f>
        <v>360</v>
      </c>
    </row>
    <row r="39" spans="1:15" x14ac:dyDescent="0.25">
      <c r="A39" s="344">
        <v>48944</v>
      </c>
      <c r="B39" s="301">
        <f t="shared" si="5"/>
        <v>29</v>
      </c>
      <c r="C39" s="346">
        <v>140</v>
      </c>
      <c r="D39" s="346">
        <f t="shared" si="3"/>
        <v>140</v>
      </c>
      <c r="E39" s="346">
        <f t="shared" si="2"/>
        <v>6.7549999999999999</v>
      </c>
      <c r="F39" s="346">
        <f t="shared" si="1"/>
        <v>0</v>
      </c>
      <c r="G39" s="411"/>
      <c r="H39" s="411"/>
      <c r="I39" s="417"/>
      <c r="L39" t="s">
        <v>367</v>
      </c>
      <c r="M39">
        <v>4</v>
      </c>
      <c r="N39">
        <v>100</v>
      </c>
      <c r="O39">
        <f t="shared" si="6"/>
        <v>400</v>
      </c>
    </row>
    <row r="40" spans="1:15" x14ac:dyDescent="0.25">
      <c r="G40" s="264"/>
      <c r="H40" s="264"/>
      <c r="I40" s="265"/>
      <c r="L40" t="s">
        <v>368</v>
      </c>
      <c r="M40">
        <v>4</v>
      </c>
      <c r="N40">
        <v>110</v>
      </c>
      <c r="O40">
        <f t="shared" si="6"/>
        <v>440</v>
      </c>
    </row>
    <row r="41" spans="1:15" x14ac:dyDescent="0.25">
      <c r="L41" t="s">
        <v>369</v>
      </c>
      <c r="M41">
        <v>4</v>
      </c>
      <c r="N41">
        <v>120</v>
      </c>
      <c r="O41">
        <f t="shared" si="6"/>
        <v>480</v>
      </c>
    </row>
    <row r="42" spans="1:15" x14ac:dyDescent="0.25">
      <c r="L42" t="s">
        <v>370</v>
      </c>
      <c r="M42">
        <v>4</v>
      </c>
      <c r="N42">
        <v>125</v>
      </c>
      <c r="O42">
        <f t="shared" si="6"/>
        <v>500</v>
      </c>
    </row>
    <row r="43" spans="1:15" x14ac:dyDescent="0.25">
      <c r="L43" t="s">
        <v>371</v>
      </c>
      <c r="M43">
        <v>3</v>
      </c>
      <c r="N43">
        <v>140</v>
      </c>
      <c r="O43">
        <f t="shared" si="6"/>
        <v>420</v>
      </c>
    </row>
    <row r="45" spans="1:15" x14ac:dyDescent="0.25">
      <c r="M45">
        <f>SUM(M36:M44)</f>
        <v>29</v>
      </c>
      <c r="O45">
        <f t="shared" ref="O45" si="7">SUM(O36:O44)</f>
        <v>3000</v>
      </c>
    </row>
  </sheetData>
  <mergeCells count="30">
    <mergeCell ref="G37:G39"/>
    <mergeCell ref="H37:H39"/>
    <mergeCell ref="I37:I39"/>
    <mergeCell ref="O25:O27"/>
    <mergeCell ref="O15:O22"/>
    <mergeCell ref="G33:G36"/>
    <mergeCell ref="H33:H36"/>
    <mergeCell ref="I33:I36"/>
    <mergeCell ref="H25:H28"/>
    <mergeCell ref="G29:G32"/>
    <mergeCell ref="H29:H32"/>
    <mergeCell ref="I13:I16"/>
    <mergeCell ref="I17:I20"/>
    <mergeCell ref="I21:I24"/>
    <mergeCell ref="I25:I28"/>
    <mergeCell ref="I29:I32"/>
    <mergeCell ref="A1:I1"/>
    <mergeCell ref="K3:K4"/>
    <mergeCell ref="I9:I12"/>
    <mergeCell ref="G9:G12"/>
    <mergeCell ref="H9:H12"/>
    <mergeCell ref="G21:G24"/>
    <mergeCell ref="H21:H24"/>
    <mergeCell ref="G25:G28"/>
    <mergeCell ref="L3:L4"/>
    <mergeCell ref="M3:M4"/>
    <mergeCell ref="G13:G16"/>
    <mergeCell ref="H13:H16"/>
    <mergeCell ref="G17:G20"/>
    <mergeCell ref="H17:H20"/>
  </mergeCells>
  <phoneticPr fontId="23" type="noConversion"/>
  <pageMargins left="0.7" right="0.7" top="0.75" bottom="0.75" header="0.3" footer="0.3"/>
  <pageSetup scale="69" orientation="portrait" horizontalDpi="4294967294" verticalDpi="4294967294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I24"/>
  <sheetViews>
    <sheetView workbookViewId="0"/>
  </sheetViews>
  <sheetFormatPr defaultRowHeight="13.2" x14ac:dyDescent="0.25"/>
  <cols>
    <col min="2" max="2" width="34.5546875" customWidth="1"/>
    <col min="3" max="3" width="9.88671875" bestFit="1" customWidth="1"/>
    <col min="4" max="4" width="11.109375" customWidth="1"/>
    <col min="5" max="5" width="9.33203125" bestFit="1" customWidth="1"/>
    <col min="6" max="7" width="11.33203125" customWidth="1"/>
    <col min="8" max="8" width="10.88671875" customWidth="1"/>
    <col min="9" max="10" width="9.44140625" bestFit="1" customWidth="1"/>
    <col min="11" max="11" width="10.33203125" customWidth="1"/>
    <col min="12" max="12" width="9.44140625" bestFit="1" customWidth="1"/>
    <col min="13" max="13" width="10.6640625" customWidth="1"/>
    <col min="14" max="17" width="9.44140625" bestFit="1" customWidth="1"/>
    <col min="18" max="18" width="11" bestFit="1" customWidth="1"/>
    <col min="19" max="27" width="9.44140625" bestFit="1" customWidth="1"/>
    <col min="258" max="258" width="34.5546875" customWidth="1"/>
    <col min="259" max="259" width="9.88671875" bestFit="1" customWidth="1"/>
    <col min="261" max="261" width="9.33203125" bestFit="1" customWidth="1"/>
    <col min="262" max="262" width="11.33203125" customWidth="1"/>
    <col min="514" max="514" width="34.5546875" customWidth="1"/>
    <col min="515" max="515" width="9.88671875" bestFit="1" customWidth="1"/>
    <col min="517" max="517" width="9.33203125" bestFit="1" customWidth="1"/>
    <col min="518" max="518" width="11.33203125" customWidth="1"/>
    <col min="770" max="770" width="34.5546875" customWidth="1"/>
    <col min="771" max="771" width="9.88671875" bestFit="1" customWidth="1"/>
    <col min="773" max="773" width="9.33203125" bestFit="1" customWidth="1"/>
    <col min="774" max="774" width="11.33203125" customWidth="1"/>
    <col min="1026" max="1026" width="34.5546875" customWidth="1"/>
    <col min="1027" max="1027" width="9.88671875" bestFit="1" customWidth="1"/>
    <col min="1029" max="1029" width="9.33203125" bestFit="1" customWidth="1"/>
    <col min="1030" max="1030" width="11.33203125" customWidth="1"/>
    <col min="1282" max="1282" width="34.5546875" customWidth="1"/>
    <col min="1283" max="1283" width="9.88671875" bestFit="1" customWidth="1"/>
    <col min="1285" max="1285" width="9.33203125" bestFit="1" customWidth="1"/>
    <col min="1286" max="1286" width="11.33203125" customWidth="1"/>
    <col min="1538" max="1538" width="34.5546875" customWidth="1"/>
    <col min="1539" max="1539" width="9.88671875" bestFit="1" customWidth="1"/>
    <col min="1541" max="1541" width="9.33203125" bestFit="1" customWidth="1"/>
    <col min="1542" max="1542" width="11.33203125" customWidth="1"/>
    <col min="1794" max="1794" width="34.5546875" customWidth="1"/>
    <col min="1795" max="1795" width="9.88671875" bestFit="1" customWidth="1"/>
    <col min="1797" max="1797" width="9.33203125" bestFit="1" customWidth="1"/>
    <col min="1798" max="1798" width="11.33203125" customWidth="1"/>
    <col min="2050" max="2050" width="34.5546875" customWidth="1"/>
    <col min="2051" max="2051" width="9.88671875" bestFit="1" customWidth="1"/>
    <col min="2053" max="2053" width="9.33203125" bestFit="1" customWidth="1"/>
    <col min="2054" max="2054" width="11.33203125" customWidth="1"/>
    <col min="2306" max="2306" width="34.5546875" customWidth="1"/>
    <col min="2307" max="2307" width="9.88671875" bestFit="1" customWidth="1"/>
    <col min="2309" max="2309" width="9.33203125" bestFit="1" customWidth="1"/>
    <col min="2310" max="2310" width="11.33203125" customWidth="1"/>
    <col min="2562" max="2562" width="34.5546875" customWidth="1"/>
    <col min="2563" max="2563" width="9.88671875" bestFit="1" customWidth="1"/>
    <col min="2565" max="2565" width="9.33203125" bestFit="1" customWidth="1"/>
    <col min="2566" max="2566" width="11.33203125" customWidth="1"/>
    <col min="2818" max="2818" width="34.5546875" customWidth="1"/>
    <col min="2819" max="2819" width="9.88671875" bestFit="1" customWidth="1"/>
    <col min="2821" max="2821" width="9.33203125" bestFit="1" customWidth="1"/>
    <col min="2822" max="2822" width="11.33203125" customWidth="1"/>
    <col min="3074" max="3074" width="34.5546875" customWidth="1"/>
    <col min="3075" max="3075" width="9.88671875" bestFit="1" customWidth="1"/>
    <col min="3077" max="3077" width="9.33203125" bestFit="1" customWidth="1"/>
    <col min="3078" max="3078" width="11.33203125" customWidth="1"/>
    <col min="3330" max="3330" width="34.5546875" customWidth="1"/>
    <col min="3331" max="3331" width="9.88671875" bestFit="1" customWidth="1"/>
    <col min="3333" max="3333" width="9.33203125" bestFit="1" customWidth="1"/>
    <col min="3334" max="3334" width="11.33203125" customWidth="1"/>
    <col min="3586" max="3586" width="34.5546875" customWidth="1"/>
    <col min="3587" max="3587" width="9.88671875" bestFit="1" customWidth="1"/>
    <col min="3589" max="3589" width="9.33203125" bestFit="1" customWidth="1"/>
    <col min="3590" max="3590" width="11.33203125" customWidth="1"/>
    <col min="3842" max="3842" width="34.5546875" customWidth="1"/>
    <col min="3843" max="3843" width="9.88671875" bestFit="1" customWidth="1"/>
    <col min="3845" max="3845" width="9.33203125" bestFit="1" customWidth="1"/>
    <col min="3846" max="3846" width="11.33203125" customWidth="1"/>
    <col min="4098" max="4098" width="34.5546875" customWidth="1"/>
    <col min="4099" max="4099" width="9.88671875" bestFit="1" customWidth="1"/>
    <col min="4101" max="4101" width="9.33203125" bestFit="1" customWidth="1"/>
    <col min="4102" max="4102" width="11.33203125" customWidth="1"/>
    <col min="4354" max="4354" width="34.5546875" customWidth="1"/>
    <col min="4355" max="4355" width="9.88671875" bestFit="1" customWidth="1"/>
    <col min="4357" max="4357" width="9.33203125" bestFit="1" customWidth="1"/>
    <col min="4358" max="4358" width="11.33203125" customWidth="1"/>
    <col min="4610" max="4610" width="34.5546875" customWidth="1"/>
    <col min="4611" max="4611" width="9.88671875" bestFit="1" customWidth="1"/>
    <col min="4613" max="4613" width="9.33203125" bestFit="1" customWidth="1"/>
    <col min="4614" max="4614" width="11.33203125" customWidth="1"/>
    <col min="4866" max="4866" width="34.5546875" customWidth="1"/>
    <col min="4867" max="4867" width="9.88671875" bestFit="1" customWidth="1"/>
    <col min="4869" max="4869" width="9.33203125" bestFit="1" customWidth="1"/>
    <col min="4870" max="4870" width="11.33203125" customWidth="1"/>
    <col min="5122" max="5122" width="34.5546875" customWidth="1"/>
    <col min="5123" max="5123" width="9.88671875" bestFit="1" customWidth="1"/>
    <col min="5125" max="5125" width="9.33203125" bestFit="1" customWidth="1"/>
    <col min="5126" max="5126" width="11.33203125" customWidth="1"/>
    <col min="5378" max="5378" width="34.5546875" customWidth="1"/>
    <col min="5379" max="5379" width="9.88671875" bestFit="1" customWidth="1"/>
    <col min="5381" max="5381" width="9.33203125" bestFit="1" customWidth="1"/>
    <col min="5382" max="5382" width="11.33203125" customWidth="1"/>
    <col min="5634" max="5634" width="34.5546875" customWidth="1"/>
    <col min="5635" max="5635" width="9.88671875" bestFit="1" customWidth="1"/>
    <col min="5637" max="5637" width="9.33203125" bestFit="1" customWidth="1"/>
    <col min="5638" max="5638" width="11.33203125" customWidth="1"/>
    <col min="5890" max="5890" width="34.5546875" customWidth="1"/>
    <col min="5891" max="5891" width="9.88671875" bestFit="1" customWidth="1"/>
    <col min="5893" max="5893" width="9.33203125" bestFit="1" customWidth="1"/>
    <col min="5894" max="5894" width="11.33203125" customWidth="1"/>
    <col min="6146" max="6146" width="34.5546875" customWidth="1"/>
    <col min="6147" max="6147" width="9.88671875" bestFit="1" customWidth="1"/>
    <col min="6149" max="6149" width="9.33203125" bestFit="1" customWidth="1"/>
    <col min="6150" max="6150" width="11.33203125" customWidth="1"/>
    <col min="6402" max="6402" width="34.5546875" customWidth="1"/>
    <col min="6403" max="6403" width="9.88671875" bestFit="1" customWidth="1"/>
    <col min="6405" max="6405" width="9.33203125" bestFit="1" customWidth="1"/>
    <col min="6406" max="6406" width="11.33203125" customWidth="1"/>
    <col min="6658" max="6658" width="34.5546875" customWidth="1"/>
    <col min="6659" max="6659" width="9.88671875" bestFit="1" customWidth="1"/>
    <col min="6661" max="6661" width="9.33203125" bestFit="1" customWidth="1"/>
    <col min="6662" max="6662" width="11.33203125" customWidth="1"/>
    <col min="6914" max="6914" width="34.5546875" customWidth="1"/>
    <col min="6915" max="6915" width="9.88671875" bestFit="1" customWidth="1"/>
    <col min="6917" max="6917" width="9.33203125" bestFit="1" customWidth="1"/>
    <col min="6918" max="6918" width="11.33203125" customWidth="1"/>
    <col min="7170" max="7170" width="34.5546875" customWidth="1"/>
    <col min="7171" max="7171" width="9.88671875" bestFit="1" customWidth="1"/>
    <col min="7173" max="7173" width="9.33203125" bestFit="1" customWidth="1"/>
    <col min="7174" max="7174" width="11.33203125" customWidth="1"/>
    <col min="7426" max="7426" width="34.5546875" customWidth="1"/>
    <col min="7427" max="7427" width="9.88671875" bestFit="1" customWidth="1"/>
    <col min="7429" max="7429" width="9.33203125" bestFit="1" customWidth="1"/>
    <col min="7430" max="7430" width="11.33203125" customWidth="1"/>
    <col min="7682" max="7682" width="34.5546875" customWidth="1"/>
    <col min="7683" max="7683" width="9.88671875" bestFit="1" customWidth="1"/>
    <col min="7685" max="7685" width="9.33203125" bestFit="1" customWidth="1"/>
    <col min="7686" max="7686" width="11.33203125" customWidth="1"/>
    <col min="7938" max="7938" width="34.5546875" customWidth="1"/>
    <col min="7939" max="7939" width="9.88671875" bestFit="1" customWidth="1"/>
    <col min="7941" max="7941" width="9.33203125" bestFit="1" customWidth="1"/>
    <col min="7942" max="7942" width="11.33203125" customWidth="1"/>
    <col min="8194" max="8194" width="34.5546875" customWidth="1"/>
    <col min="8195" max="8195" width="9.88671875" bestFit="1" customWidth="1"/>
    <col min="8197" max="8197" width="9.33203125" bestFit="1" customWidth="1"/>
    <col min="8198" max="8198" width="11.33203125" customWidth="1"/>
    <col min="8450" max="8450" width="34.5546875" customWidth="1"/>
    <col min="8451" max="8451" width="9.88671875" bestFit="1" customWidth="1"/>
    <col min="8453" max="8453" width="9.33203125" bestFit="1" customWidth="1"/>
    <col min="8454" max="8454" width="11.33203125" customWidth="1"/>
    <col min="8706" max="8706" width="34.5546875" customWidth="1"/>
    <col min="8707" max="8707" width="9.88671875" bestFit="1" customWidth="1"/>
    <col min="8709" max="8709" width="9.33203125" bestFit="1" customWidth="1"/>
    <col min="8710" max="8710" width="11.33203125" customWidth="1"/>
    <col min="8962" max="8962" width="34.5546875" customWidth="1"/>
    <col min="8963" max="8963" width="9.88671875" bestFit="1" customWidth="1"/>
    <col min="8965" max="8965" width="9.33203125" bestFit="1" customWidth="1"/>
    <col min="8966" max="8966" width="11.33203125" customWidth="1"/>
    <col min="9218" max="9218" width="34.5546875" customWidth="1"/>
    <col min="9219" max="9219" width="9.88671875" bestFit="1" customWidth="1"/>
    <col min="9221" max="9221" width="9.33203125" bestFit="1" customWidth="1"/>
    <col min="9222" max="9222" width="11.33203125" customWidth="1"/>
    <col min="9474" max="9474" width="34.5546875" customWidth="1"/>
    <col min="9475" max="9475" width="9.88671875" bestFit="1" customWidth="1"/>
    <col min="9477" max="9477" width="9.33203125" bestFit="1" customWidth="1"/>
    <col min="9478" max="9478" width="11.33203125" customWidth="1"/>
    <col min="9730" max="9730" width="34.5546875" customWidth="1"/>
    <col min="9731" max="9731" width="9.88671875" bestFit="1" customWidth="1"/>
    <col min="9733" max="9733" width="9.33203125" bestFit="1" customWidth="1"/>
    <col min="9734" max="9734" width="11.33203125" customWidth="1"/>
    <col min="9986" max="9986" width="34.5546875" customWidth="1"/>
    <col min="9987" max="9987" width="9.88671875" bestFit="1" customWidth="1"/>
    <col min="9989" max="9989" width="9.33203125" bestFit="1" customWidth="1"/>
    <col min="9990" max="9990" width="11.33203125" customWidth="1"/>
    <col min="10242" max="10242" width="34.5546875" customWidth="1"/>
    <col min="10243" max="10243" width="9.88671875" bestFit="1" customWidth="1"/>
    <col min="10245" max="10245" width="9.33203125" bestFit="1" customWidth="1"/>
    <col min="10246" max="10246" width="11.33203125" customWidth="1"/>
    <col min="10498" max="10498" width="34.5546875" customWidth="1"/>
    <col min="10499" max="10499" width="9.88671875" bestFit="1" customWidth="1"/>
    <col min="10501" max="10501" width="9.33203125" bestFit="1" customWidth="1"/>
    <col min="10502" max="10502" width="11.33203125" customWidth="1"/>
    <col min="10754" max="10754" width="34.5546875" customWidth="1"/>
    <col min="10755" max="10755" width="9.88671875" bestFit="1" customWidth="1"/>
    <col min="10757" max="10757" width="9.33203125" bestFit="1" customWidth="1"/>
    <col min="10758" max="10758" width="11.33203125" customWidth="1"/>
    <col min="11010" max="11010" width="34.5546875" customWidth="1"/>
    <col min="11011" max="11011" width="9.88671875" bestFit="1" customWidth="1"/>
    <col min="11013" max="11013" width="9.33203125" bestFit="1" customWidth="1"/>
    <col min="11014" max="11014" width="11.33203125" customWidth="1"/>
    <col min="11266" max="11266" width="34.5546875" customWidth="1"/>
    <col min="11267" max="11267" width="9.88671875" bestFit="1" customWidth="1"/>
    <col min="11269" max="11269" width="9.33203125" bestFit="1" customWidth="1"/>
    <col min="11270" max="11270" width="11.33203125" customWidth="1"/>
    <col min="11522" max="11522" width="34.5546875" customWidth="1"/>
    <col min="11523" max="11523" width="9.88671875" bestFit="1" customWidth="1"/>
    <col min="11525" max="11525" width="9.33203125" bestFit="1" customWidth="1"/>
    <col min="11526" max="11526" width="11.33203125" customWidth="1"/>
    <col min="11778" max="11778" width="34.5546875" customWidth="1"/>
    <col min="11779" max="11779" width="9.88671875" bestFit="1" customWidth="1"/>
    <col min="11781" max="11781" width="9.33203125" bestFit="1" customWidth="1"/>
    <col min="11782" max="11782" width="11.33203125" customWidth="1"/>
    <col min="12034" max="12034" width="34.5546875" customWidth="1"/>
    <col min="12035" max="12035" width="9.88671875" bestFit="1" customWidth="1"/>
    <col min="12037" max="12037" width="9.33203125" bestFit="1" customWidth="1"/>
    <col min="12038" max="12038" width="11.33203125" customWidth="1"/>
    <col min="12290" max="12290" width="34.5546875" customWidth="1"/>
    <col min="12291" max="12291" width="9.88671875" bestFit="1" customWidth="1"/>
    <col min="12293" max="12293" width="9.33203125" bestFit="1" customWidth="1"/>
    <col min="12294" max="12294" width="11.33203125" customWidth="1"/>
    <col min="12546" max="12546" width="34.5546875" customWidth="1"/>
    <col min="12547" max="12547" width="9.88671875" bestFit="1" customWidth="1"/>
    <col min="12549" max="12549" width="9.33203125" bestFit="1" customWidth="1"/>
    <col min="12550" max="12550" width="11.33203125" customWidth="1"/>
    <col min="12802" max="12802" width="34.5546875" customWidth="1"/>
    <col min="12803" max="12803" width="9.88671875" bestFit="1" customWidth="1"/>
    <col min="12805" max="12805" width="9.33203125" bestFit="1" customWidth="1"/>
    <col min="12806" max="12806" width="11.33203125" customWidth="1"/>
    <col min="13058" max="13058" width="34.5546875" customWidth="1"/>
    <col min="13059" max="13059" width="9.88671875" bestFit="1" customWidth="1"/>
    <col min="13061" max="13061" width="9.33203125" bestFit="1" customWidth="1"/>
    <col min="13062" max="13062" width="11.33203125" customWidth="1"/>
    <col min="13314" max="13314" width="34.5546875" customWidth="1"/>
    <col min="13315" max="13315" width="9.88671875" bestFit="1" customWidth="1"/>
    <col min="13317" max="13317" width="9.33203125" bestFit="1" customWidth="1"/>
    <col min="13318" max="13318" width="11.33203125" customWidth="1"/>
    <col min="13570" max="13570" width="34.5546875" customWidth="1"/>
    <col min="13571" max="13571" width="9.88671875" bestFit="1" customWidth="1"/>
    <col min="13573" max="13573" width="9.33203125" bestFit="1" customWidth="1"/>
    <col min="13574" max="13574" width="11.33203125" customWidth="1"/>
    <col min="13826" max="13826" width="34.5546875" customWidth="1"/>
    <col min="13827" max="13827" width="9.88671875" bestFit="1" customWidth="1"/>
    <col min="13829" max="13829" width="9.33203125" bestFit="1" customWidth="1"/>
    <col min="13830" max="13830" width="11.33203125" customWidth="1"/>
    <col min="14082" max="14082" width="34.5546875" customWidth="1"/>
    <col min="14083" max="14083" width="9.88671875" bestFit="1" customWidth="1"/>
    <col min="14085" max="14085" width="9.33203125" bestFit="1" customWidth="1"/>
    <col min="14086" max="14086" width="11.33203125" customWidth="1"/>
    <col min="14338" max="14338" width="34.5546875" customWidth="1"/>
    <col min="14339" max="14339" width="9.88671875" bestFit="1" customWidth="1"/>
    <col min="14341" max="14341" width="9.33203125" bestFit="1" customWidth="1"/>
    <col min="14342" max="14342" width="11.33203125" customWidth="1"/>
    <col min="14594" max="14594" width="34.5546875" customWidth="1"/>
    <col min="14595" max="14595" width="9.88671875" bestFit="1" customWidth="1"/>
    <col min="14597" max="14597" width="9.33203125" bestFit="1" customWidth="1"/>
    <col min="14598" max="14598" width="11.33203125" customWidth="1"/>
    <col min="14850" max="14850" width="34.5546875" customWidth="1"/>
    <col min="14851" max="14851" width="9.88671875" bestFit="1" customWidth="1"/>
    <col min="14853" max="14853" width="9.33203125" bestFit="1" customWidth="1"/>
    <col min="14854" max="14854" width="11.33203125" customWidth="1"/>
    <col min="15106" max="15106" width="34.5546875" customWidth="1"/>
    <col min="15107" max="15107" width="9.88671875" bestFit="1" customWidth="1"/>
    <col min="15109" max="15109" width="9.33203125" bestFit="1" customWidth="1"/>
    <col min="15110" max="15110" width="11.33203125" customWidth="1"/>
    <col min="15362" max="15362" width="34.5546875" customWidth="1"/>
    <col min="15363" max="15363" width="9.88671875" bestFit="1" customWidth="1"/>
    <col min="15365" max="15365" width="9.33203125" bestFit="1" customWidth="1"/>
    <col min="15366" max="15366" width="11.33203125" customWidth="1"/>
    <col min="15618" max="15618" width="34.5546875" customWidth="1"/>
    <col min="15619" max="15619" width="9.88671875" bestFit="1" customWidth="1"/>
    <col min="15621" max="15621" width="9.33203125" bestFit="1" customWidth="1"/>
    <col min="15622" max="15622" width="11.33203125" customWidth="1"/>
    <col min="15874" max="15874" width="34.5546875" customWidth="1"/>
    <col min="15875" max="15875" width="9.88671875" bestFit="1" customWidth="1"/>
    <col min="15877" max="15877" width="9.33203125" bestFit="1" customWidth="1"/>
    <col min="15878" max="15878" width="11.33203125" customWidth="1"/>
    <col min="16130" max="16130" width="34.5546875" customWidth="1"/>
    <col min="16131" max="16131" width="9.88671875" bestFit="1" customWidth="1"/>
    <col min="16133" max="16133" width="9.33203125" bestFit="1" customWidth="1"/>
    <col min="16134" max="16134" width="11.33203125" customWidth="1"/>
  </cols>
  <sheetData>
    <row r="2" spans="2:35" ht="21" x14ac:dyDescent="0.4">
      <c r="B2" s="419" t="s">
        <v>316</v>
      </c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</row>
    <row r="4" spans="2:35" ht="28.8" x14ac:dyDescent="0.25">
      <c r="B4" s="173" t="s">
        <v>3</v>
      </c>
      <c r="C4" s="173" t="s">
        <v>317</v>
      </c>
      <c r="D4" s="173" t="s">
        <v>318</v>
      </c>
      <c r="E4" s="173" t="s">
        <v>319</v>
      </c>
      <c r="F4" s="173" t="s">
        <v>320</v>
      </c>
      <c r="G4" s="173" t="s">
        <v>321</v>
      </c>
    </row>
    <row r="5" spans="2:35" x14ac:dyDescent="0.25">
      <c r="B5" s="174" t="s">
        <v>322</v>
      </c>
      <c r="C5" s="185" t="s">
        <v>328</v>
      </c>
      <c r="D5" s="174">
        <f>'Cost Break Up'!E17</f>
        <v>3000</v>
      </c>
      <c r="E5" s="175">
        <v>9.6500000000000002E-2</v>
      </c>
      <c r="F5" s="176">
        <f>G5*4</f>
        <v>28</v>
      </c>
      <c r="G5" s="177">
        <v>7</v>
      </c>
    </row>
    <row r="6" spans="2:35" x14ac:dyDescent="0.25">
      <c r="B6" s="174"/>
      <c r="C6" s="185"/>
      <c r="D6" s="174"/>
      <c r="E6" s="175"/>
      <c r="F6" s="176"/>
      <c r="G6" s="177"/>
    </row>
    <row r="7" spans="2:35" ht="14.4" x14ac:dyDescent="0.3">
      <c r="B7" s="178" t="s">
        <v>12</v>
      </c>
      <c r="C7" s="178" t="s">
        <v>323</v>
      </c>
      <c r="D7" s="179">
        <f>SUM(D5:D6)</f>
        <v>3000</v>
      </c>
      <c r="E7" s="180">
        <f>SUMPRODUCT(D5:D6,E5:E6)/D7</f>
        <v>9.6500000000000002E-2</v>
      </c>
      <c r="F7" s="181">
        <v>27</v>
      </c>
      <c r="G7" s="181">
        <f>G5</f>
        <v>7</v>
      </c>
    </row>
    <row r="10" spans="2:35" ht="14.4" x14ac:dyDescent="0.25">
      <c r="B10" s="173" t="s">
        <v>3</v>
      </c>
      <c r="C10" s="182">
        <v>45747</v>
      </c>
      <c r="D10" s="182">
        <f>EDATE(C10,12)</f>
        <v>46112</v>
      </c>
      <c r="E10" s="182">
        <f>DATE(YEAR(D10),MONTH(D10)+4,1)-1</f>
        <v>46203</v>
      </c>
      <c r="F10" s="182">
        <f t="shared" ref="F10:AI10" si="0">DATE(YEAR(E10),MONTH(E10)+4,1)-1</f>
        <v>46295</v>
      </c>
      <c r="G10" s="182">
        <f t="shared" si="0"/>
        <v>46387</v>
      </c>
      <c r="H10" s="182">
        <f t="shared" si="0"/>
        <v>46477</v>
      </c>
      <c r="I10" s="182">
        <f t="shared" si="0"/>
        <v>46568</v>
      </c>
      <c r="J10" s="182">
        <f t="shared" si="0"/>
        <v>46660</v>
      </c>
      <c r="K10" s="182">
        <f t="shared" si="0"/>
        <v>46752</v>
      </c>
      <c r="L10" s="182">
        <f t="shared" si="0"/>
        <v>46843</v>
      </c>
      <c r="M10" s="182">
        <f t="shared" si="0"/>
        <v>46934</v>
      </c>
      <c r="N10" s="182">
        <f t="shared" si="0"/>
        <v>47026</v>
      </c>
      <c r="O10" s="182">
        <f t="shared" si="0"/>
        <v>47118</v>
      </c>
      <c r="P10" s="182">
        <f t="shared" si="0"/>
        <v>47208</v>
      </c>
      <c r="Q10" s="182">
        <f t="shared" si="0"/>
        <v>47299</v>
      </c>
      <c r="R10" s="182">
        <f t="shared" si="0"/>
        <v>47391</v>
      </c>
      <c r="S10" s="182">
        <f t="shared" si="0"/>
        <v>47483</v>
      </c>
      <c r="T10" s="182">
        <f t="shared" si="0"/>
        <v>47573</v>
      </c>
      <c r="U10" s="182">
        <f t="shared" si="0"/>
        <v>47664</v>
      </c>
      <c r="V10" s="182">
        <f t="shared" si="0"/>
        <v>47756</v>
      </c>
      <c r="W10" s="182">
        <f t="shared" si="0"/>
        <v>47848</v>
      </c>
      <c r="X10" s="182">
        <f t="shared" si="0"/>
        <v>47938</v>
      </c>
      <c r="Y10" s="182">
        <f t="shared" si="0"/>
        <v>48029</v>
      </c>
      <c r="Z10" s="182">
        <f t="shared" si="0"/>
        <v>48121</v>
      </c>
      <c r="AA10" s="182">
        <f t="shared" si="0"/>
        <v>48213</v>
      </c>
      <c r="AB10" s="182">
        <f t="shared" si="0"/>
        <v>48304</v>
      </c>
      <c r="AC10" s="182">
        <f t="shared" si="0"/>
        <v>48395</v>
      </c>
      <c r="AD10" s="182">
        <f t="shared" si="0"/>
        <v>48487</v>
      </c>
      <c r="AE10" s="182">
        <f t="shared" si="0"/>
        <v>48579</v>
      </c>
      <c r="AF10" s="182">
        <f t="shared" si="0"/>
        <v>48669</v>
      </c>
      <c r="AG10" s="182">
        <f t="shared" si="0"/>
        <v>48760</v>
      </c>
      <c r="AH10" s="182">
        <f t="shared" si="0"/>
        <v>48852</v>
      </c>
      <c r="AI10" s="182">
        <f t="shared" si="0"/>
        <v>48944</v>
      </c>
    </row>
    <row r="11" spans="2:35" x14ac:dyDescent="0.25">
      <c r="B11" s="183" t="s">
        <v>324</v>
      </c>
      <c r="C11" s="184">
        <f>D7</f>
        <v>3000</v>
      </c>
      <c r="D11" s="184">
        <f>D7</f>
        <v>3000</v>
      </c>
      <c r="E11" s="184">
        <f t="shared" ref="E11:L11" si="1">D14</f>
        <v>3000</v>
      </c>
      <c r="F11" s="184">
        <f t="shared" si="1"/>
        <v>3000</v>
      </c>
      <c r="G11" s="184">
        <f t="shared" si="1"/>
        <v>3000</v>
      </c>
      <c r="H11" s="184">
        <f t="shared" si="1"/>
        <v>3000</v>
      </c>
      <c r="I11" s="184">
        <f t="shared" si="1"/>
        <v>3000</v>
      </c>
      <c r="J11" s="184">
        <f t="shared" si="1"/>
        <v>2888.8888888888887</v>
      </c>
      <c r="K11" s="184">
        <f t="shared" si="1"/>
        <v>2777.7777777777774</v>
      </c>
      <c r="L11" s="184">
        <f t="shared" si="1"/>
        <v>2666.6666666666661</v>
      </c>
      <c r="M11" s="184">
        <f t="shared" ref="M11" si="2">L14</f>
        <v>2555.5555555555547</v>
      </c>
      <c r="N11" s="184">
        <f t="shared" ref="N11" si="3">M14</f>
        <v>2444.4444444444434</v>
      </c>
      <c r="O11" s="184">
        <f t="shared" ref="O11" si="4">N14</f>
        <v>2333.3333333333321</v>
      </c>
      <c r="P11" s="184">
        <f t="shared" ref="P11" si="5">O14</f>
        <v>2222.2222222222208</v>
      </c>
      <c r="Q11" s="184">
        <f t="shared" ref="Q11" si="6">P14</f>
        <v>2111.1111111111095</v>
      </c>
      <c r="R11" s="184">
        <f t="shared" ref="R11" si="7">Q14</f>
        <v>1999.9999999999984</v>
      </c>
      <c r="S11" s="184">
        <f t="shared" ref="S11" si="8">R14</f>
        <v>1888.8888888888873</v>
      </c>
      <c r="T11" s="184">
        <f t="shared" ref="T11" si="9">S14</f>
        <v>1777.7777777777762</v>
      </c>
      <c r="U11" s="184">
        <f t="shared" ref="U11" si="10">T14</f>
        <v>1666.6666666666652</v>
      </c>
      <c r="V11" s="184">
        <f t="shared" ref="V11" si="11">U14</f>
        <v>1555.5555555555541</v>
      </c>
      <c r="W11" s="184">
        <f t="shared" ref="W11" si="12">V14</f>
        <v>1444.444444444443</v>
      </c>
      <c r="X11" s="184">
        <f t="shared" ref="X11" si="13">W14</f>
        <v>1333.3333333333319</v>
      </c>
      <c r="Y11" s="184">
        <f t="shared" ref="Y11" si="14">X14</f>
        <v>1222.2222222222208</v>
      </c>
      <c r="Z11" s="184">
        <f t="shared" ref="Z11" si="15">Y14</f>
        <v>1111.1111111111097</v>
      </c>
      <c r="AA11" s="184">
        <f t="shared" ref="AA11" si="16">Z14</f>
        <v>999.99999999999864</v>
      </c>
      <c r="AB11" s="184">
        <f t="shared" ref="AB11" si="17">AA14</f>
        <v>888.88888888888755</v>
      </c>
      <c r="AC11" s="184">
        <f t="shared" ref="AC11" si="18">AB14</f>
        <v>777.77777777777646</v>
      </c>
      <c r="AD11" s="184">
        <f t="shared" ref="AD11" si="19">AC14</f>
        <v>666.66666666666538</v>
      </c>
      <c r="AE11" s="184">
        <f t="shared" ref="AE11" si="20">AD14</f>
        <v>555.55555555555429</v>
      </c>
      <c r="AF11" s="184">
        <f t="shared" ref="AF11" si="21">AE14</f>
        <v>444.44444444444321</v>
      </c>
      <c r="AG11" s="184">
        <f t="shared" ref="AG11" si="22">AF14</f>
        <v>333.33333333333212</v>
      </c>
      <c r="AH11" s="184">
        <f t="shared" ref="AH11" si="23">AG14</f>
        <v>222.22222222222101</v>
      </c>
      <c r="AI11" s="184">
        <f t="shared" ref="AI11" si="24">AH14</f>
        <v>111.11111111110989</v>
      </c>
    </row>
    <row r="12" spans="2:35" x14ac:dyDescent="0.25">
      <c r="B12" s="183" t="s">
        <v>325</v>
      </c>
      <c r="C12" s="184">
        <v>0</v>
      </c>
      <c r="D12" s="184">
        <v>0</v>
      </c>
      <c r="E12" s="184">
        <v>0</v>
      </c>
      <c r="F12" s="184">
        <v>0</v>
      </c>
      <c r="G12" s="184">
        <v>0</v>
      </c>
      <c r="H12" s="184">
        <v>0</v>
      </c>
      <c r="I12" s="184">
        <f t="shared" ref="I12:AI12" si="25">$D$7/$F$7</f>
        <v>111.11111111111111</v>
      </c>
      <c r="J12" s="184">
        <f t="shared" si="25"/>
        <v>111.11111111111111</v>
      </c>
      <c r="K12" s="184">
        <f t="shared" si="25"/>
        <v>111.11111111111111</v>
      </c>
      <c r="L12" s="184">
        <f t="shared" si="25"/>
        <v>111.11111111111111</v>
      </c>
      <c r="M12" s="184">
        <f t="shared" si="25"/>
        <v>111.11111111111111</v>
      </c>
      <c r="N12" s="184">
        <f t="shared" si="25"/>
        <v>111.11111111111111</v>
      </c>
      <c r="O12" s="184">
        <f t="shared" si="25"/>
        <v>111.11111111111111</v>
      </c>
      <c r="P12" s="184">
        <f t="shared" si="25"/>
        <v>111.11111111111111</v>
      </c>
      <c r="Q12" s="184">
        <f t="shared" si="25"/>
        <v>111.11111111111111</v>
      </c>
      <c r="R12" s="184">
        <f t="shared" si="25"/>
        <v>111.11111111111111</v>
      </c>
      <c r="S12" s="184">
        <f t="shared" si="25"/>
        <v>111.11111111111111</v>
      </c>
      <c r="T12" s="184">
        <f t="shared" si="25"/>
        <v>111.11111111111111</v>
      </c>
      <c r="U12" s="184">
        <f t="shared" si="25"/>
        <v>111.11111111111111</v>
      </c>
      <c r="V12" s="184">
        <f t="shared" si="25"/>
        <v>111.11111111111111</v>
      </c>
      <c r="W12" s="184">
        <f t="shared" si="25"/>
        <v>111.11111111111111</v>
      </c>
      <c r="X12" s="184">
        <f t="shared" si="25"/>
        <v>111.11111111111111</v>
      </c>
      <c r="Y12" s="184">
        <f t="shared" si="25"/>
        <v>111.11111111111111</v>
      </c>
      <c r="Z12" s="184">
        <f t="shared" si="25"/>
        <v>111.11111111111111</v>
      </c>
      <c r="AA12" s="184">
        <f t="shared" si="25"/>
        <v>111.11111111111111</v>
      </c>
      <c r="AB12" s="184">
        <f t="shared" si="25"/>
        <v>111.11111111111111</v>
      </c>
      <c r="AC12" s="184">
        <f t="shared" si="25"/>
        <v>111.11111111111111</v>
      </c>
      <c r="AD12" s="184">
        <f t="shared" si="25"/>
        <v>111.11111111111111</v>
      </c>
      <c r="AE12" s="184">
        <f t="shared" si="25"/>
        <v>111.11111111111111</v>
      </c>
      <c r="AF12" s="184">
        <f t="shared" si="25"/>
        <v>111.11111111111111</v>
      </c>
      <c r="AG12" s="184">
        <f t="shared" si="25"/>
        <v>111.11111111111111</v>
      </c>
      <c r="AH12" s="184">
        <f t="shared" si="25"/>
        <v>111.11111111111111</v>
      </c>
      <c r="AI12" s="184">
        <f t="shared" si="25"/>
        <v>111.11111111111111</v>
      </c>
    </row>
    <row r="13" spans="2:35" x14ac:dyDescent="0.25">
      <c r="B13" s="183" t="s">
        <v>326</v>
      </c>
      <c r="C13" s="184">
        <f>C11*E6*(6/12)</f>
        <v>0</v>
      </c>
      <c r="D13" s="184">
        <f>D11*F6*(6/12)</f>
        <v>0</v>
      </c>
      <c r="E13" s="184">
        <f t="shared" ref="E13:H13" si="26">E11*G6*(6/12)</f>
        <v>0</v>
      </c>
      <c r="F13" s="184">
        <f t="shared" si="26"/>
        <v>0</v>
      </c>
      <c r="G13" s="184">
        <f t="shared" si="26"/>
        <v>0</v>
      </c>
      <c r="H13" s="184">
        <f t="shared" si="26"/>
        <v>0</v>
      </c>
      <c r="I13" s="184">
        <f t="shared" ref="I13:L13" si="27">I11*$E$7</f>
        <v>289.5</v>
      </c>
      <c r="J13" s="184">
        <f t="shared" si="27"/>
        <v>278.77777777777777</v>
      </c>
      <c r="K13" s="184">
        <f t="shared" si="27"/>
        <v>268.05555555555554</v>
      </c>
      <c r="L13" s="184">
        <f t="shared" si="27"/>
        <v>257.33333333333326</v>
      </c>
      <c r="M13" s="184">
        <f t="shared" ref="M13:AI13" si="28">M11*$E$7</f>
        <v>246.61111111111103</v>
      </c>
      <c r="N13" s="184">
        <f t="shared" si="28"/>
        <v>235.8888888888888</v>
      </c>
      <c r="O13" s="184">
        <f t="shared" si="28"/>
        <v>225.16666666666654</v>
      </c>
      <c r="P13" s="184">
        <f t="shared" si="28"/>
        <v>214.44444444444431</v>
      </c>
      <c r="Q13" s="184">
        <f t="shared" si="28"/>
        <v>203.72222222222206</v>
      </c>
      <c r="R13" s="184">
        <f t="shared" si="28"/>
        <v>192.99999999999986</v>
      </c>
      <c r="S13" s="184">
        <f t="shared" si="28"/>
        <v>182.27777777777763</v>
      </c>
      <c r="T13" s="184">
        <f t="shared" si="28"/>
        <v>171.5555555555554</v>
      </c>
      <c r="U13" s="184">
        <f t="shared" si="28"/>
        <v>160.8333333333332</v>
      </c>
      <c r="V13" s="184">
        <f t="shared" si="28"/>
        <v>150.11111111111097</v>
      </c>
      <c r="W13" s="184">
        <f t="shared" si="28"/>
        <v>139.38888888888874</v>
      </c>
      <c r="X13" s="184">
        <f t="shared" si="28"/>
        <v>128.66666666666654</v>
      </c>
      <c r="Y13" s="184">
        <f t="shared" si="28"/>
        <v>117.94444444444431</v>
      </c>
      <c r="Z13" s="184">
        <f t="shared" si="28"/>
        <v>107.22222222222209</v>
      </c>
      <c r="AA13" s="184">
        <f t="shared" si="28"/>
        <v>96.499999999999872</v>
      </c>
      <c r="AB13" s="184">
        <f t="shared" si="28"/>
        <v>85.777777777777658</v>
      </c>
      <c r="AC13" s="184">
        <f t="shared" si="28"/>
        <v>75.055555555555429</v>
      </c>
      <c r="AD13" s="184">
        <f t="shared" si="28"/>
        <v>64.333333333333215</v>
      </c>
      <c r="AE13" s="184">
        <f t="shared" si="28"/>
        <v>53.611111111110993</v>
      </c>
      <c r="AF13" s="184">
        <f t="shared" si="28"/>
        <v>42.888888888888772</v>
      </c>
      <c r="AG13" s="184">
        <f t="shared" si="28"/>
        <v>32.166666666666551</v>
      </c>
      <c r="AH13" s="184">
        <f t="shared" si="28"/>
        <v>21.444444444444329</v>
      </c>
      <c r="AI13" s="184">
        <f t="shared" si="28"/>
        <v>10.722222222222104</v>
      </c>
    </row>
    <row r="14" spans="2:35" x14ac:dyDescent="0.25">
      <c r="B14" s="183" t="s">
        <v>30</v>
      </c>
      <c r="C14" s="184">
        <f t="shared" ref="C14:L14" si="29">C11-C12</f>
        <v>3000</v>
      </c>
      <c r="D14" s="184">
        <f t="shared" si="29"/>
        <v>3000</v>
      </c>
      <c r="E14" s="184">
        <f t="shared" si="29"/>
        <v>3000</v>
      </c>
      <c r="F14" s="184">
        <f t="shared" si="29"/>
        <v>3000</v>
      </c>
      <c r="G14" s="184">
        <f t="shared" si="29"/>
        <v>3000</v>
      </c>
      <c r="H14" s="184">
        <f t="shared" si="29"/>
        <v>3000</v>
      </c>
      <c r="I14" s="184">
        <f t="shared" si="29"/>
        <v>2888.8888888888887</v>
      </c>
      <c r="J14" s="184">
        <f t="shared" si="29"/>
        <v>2777.7777777777774</v>
      </c>
      <c r="K14" s="184">
        <f t="shared" si="29"/>
        <v>2666.6666666666661</v>
      </c>
      <c r="L14" s="184">
        <f t="shared" si="29"/>
        <v>2555.5555555555547</v>
      </c>
      <c r="M14" s="184">
        <f t="shared" ref="M14:AI14" si="30">M11-M12</f>
        <v>2444.4444444444434</v>
      </c>
      <c r="N14" s="184">
        <f t="shared" si="30"/>
        <v>2333.3333333333321</v>
      </c>
      <c r="O14" s="184">
        <f t="shared" si="30"/>
        <v>2222.2222222222208</v>
      </c>
      <c r="P14" s="184">
        <f t="shared" si="30"/>
        <v>2111.1111111111095</v>
      </c>
      <c r="Q14" s="184">
        <f t="shared" si="30"/>
        <v>1999.9999999999984</v>
      </c>
      <c r="R14" s="184">
        <f t="shared" si="30"/>
        <v>1888.8888888888873</v>
      </c>
      <c r="S14" s="184">
        <f t="shared" si="30"/>
        <v>1777.7777777777762</v>
      </c>
      <c r="T14" s="184">
        <f t="shared" si="30"/>
        <v>1666.6666666666652</v>
      </c>
      <c r="U14" s="184">
        <f t="shared" si="30"/>
        <v>1555.5555555555541</v>
      </c>
      <c r="V14" s="184">
        <f t="shared" si="30"/>
        <v>1444.444444444443</v>
      </c>
      <c r="W14" s="184">
        <f t="shared" si="30"/>
        <v>1333.3333333333319</v>
      </c>
      <c r="X14" s="184">
        <f t="shared" si="30"/>
        <v>1222.2222222222208</v>
      </c>
      <c r="Y14" s="184">
        <f t="shared" si="30"/>
        <v>1111.1111111111097</v>
      </c>
      <c r="Z14" s="184">
        <f t="shared" si="30"/>
        <v>999.99999999999864</v>
      </c>
      <c r="AA14" s="184">
        <f t="shared" si="30"/>
        <v>888.88888888888755</v>
      </c>
      <c r="AB14" s="184">
        <f t="shared" si="30"/>
        <v>777.77777777777646</v>
      </c>
      <c r="AC14" s="184">
        <f t="shared" si="30"/>
        <v>666.66666666666538</v>
      </c>
      <c r="AD14" s="184">
        <f t="shared" si="30"/>
        <v>555.55555555555429</v>
      </c>
      <c r="AE14" s="184">
        <f t="shared" si="30"/>
        <v>444.44444444444321</v>
      </c>
      <c r="AF14" s="184">
        <f t="shared" si="30"/>
        <v>333.33333333333212</v>
      </c>
      <c r="AG14" s="184">
        <f t="shared" si="30"/>
        <v>222.22222222222101</v>
      </c>
      <c r="AH14" s="184">
        <f t="shared" si="30"/>
        <v>111.11111111110989</v>
      </c>
      <c r="AI14" s="184">
        <f t="shared" si="30"/>
        <v>-1.2221335055073723E-12</v>
      </c>
    </row>
    <row r="15" spans="2:35" ht="26.4" x14ac:dyDescent="0.25">
      <c r="G15" s="253" t="s">
        <v>354</v>
      </c>
      <c r="H15" s="184">
        <f>SUM(E12:H12)</f>
        <v>0</v>
      </c>
      <c r="L15" s="184">
        <f>SUM(I13:L13)</f>
        <v>1093.6666666666665</v>
      </c>
      <c r="P15" s="184">
        <f>SUM(M13:P13)</f>
        <v>922.11111111111074</v>
      </c>
      <c r="T15" s="184">
        <f>SUM(Q13:T13)</f>
        <v>750.55555555555497</v>
      </c>
      <c r="X15" s="184">
        <f>SUM(U13:X13)</f>
        <v>578.99999999999943</v>
      </c>
      <c r="AB15" s="184">
        <f>SUM(Y13:AB13)</f>
        <v>407.44444444444395</v>
      </c>
      <c r="AF15" s="184">
        <f>SUM(AC13:AF13)</f>
        <v>235.8888888888884</v>
      </c>
      <c r="AI15" s="184">
        <f>SUM(AG13:AI13)</f>
        <v>64.333333333332988</v>
      </c>
    </row>
    <row r="16" spans="2:35" ht="27" thickBot="1" x14ac:dyDescent="0.3">
      <c r="B16" t="s">
        <v>327</v>
      </c>
      <c r="C16" s="1" t="s">
        <v>357</v>
      </c>
      <c r="G16" s="253" t="s">
        <v>355</v>
      </c>
      <c r="H16" s="184">
        <f>SUM(E12:H12)</f>
        <v>0</v>
      </c>
      <c r="L16" s="184">
        <f>SUM(I12:L12)</f>
        <v>444.44444444444446</v>
      </c>
      <c r="P16" s="184">
        <f>SUM(M12:P12)</f>
        <v>444.44444444444446</v>
      </c>
      <c r="T16" s="184">
        <f>SUM(Q12:T12)</f>
        <v>444.44444444444446</v>
      </c>
      <c r="X16" s="184">
        <f>SUM(U12:X12)</f>
        <v>444.44444444444446</v>
      </c>
      <c r="AB16" s="184">
        <f>SUM(Y12:AB12)</f>
        <v>444.44444444444446</v>
      </c>
      <c r="AF16" s="184">
        <f>SUM(AC12:AF12)</f>
        <v>444.44444444444446</v>
      </c>
      <c r="AI16" s="184">
        <f>SUM(AG12:AI12)</f>
        <v>333.33333333333337</v>
      </c>
    </row>
    <row r="17" spans="1:3" ht="27.6" customHeight="1" x14ac:dyDescent="0.25">
      <c r="A17" s="413" t="s">
        <v>102</v>
      </c>
      <c r="B17" s="413" t="s">
        <v>329</v>
      </c>
      <c r="C17" s="413" t="s">
        <v>330</v>
      </c>
    </row>
    <row r="18" spans="1:3" ht="13.95" customHeight="1" thickBot="1" x14ac:dyDescent="0.3">
      <c r="A18" s="414"/>
      <c r="B18" s="414"/>
      <c r="C18" s="414"/>
    </row>
    <row r="19" spans="1:3" ht="14.4" thickBot="1" x14ac:dyDescent="0.3">
      <c r="A19" s="186">
        <v>1</v>
      </c>
      <c r="B19" s="187" t="s">
        <v>331</v>
      </c>
      <c r="C19" s="209">
        <v>45323</v>
      </c>
    </row>
    <row r="20" spans="1:3" ht="14.4" thickBot="1" x14ac:dyDescent="0.3">
      <c r="A20" s="186">
        <v>2</v>
      </c>
      <c r="B20" s="187" t="s">
        <v>332</v>
      </c>
      <c r="C20" s="210" t="s">
        <v>333</v>
      </c>
    </row>
    <row r="21" spans="1:3" ht="16.2" thickBot="1" x14ac:dyDescent="0.3">
      <c r="A21" s="186">
        <v>3</v>
      </c>
      <c r="B21" s="187" t="s">
        <v>334</v>
      </c>
      <c r="C21" s="210" t="s">
        <v>345</v>
      </c>
    </row>
    <row r="22" spans="1:3" ht="14.4" thickBot="1" x14ac:dyDescent="0.3">
      <c r="A22" s="186">
        <v>4</v>
      </c>
      <c r="B22" s="187" t="s">
        <v>335</v>
      </c>
      <c r="C22" s="210" t="s">
        <v>340</v>
      </c>
    </row>
    <row r="23" spans="1:3" ht="14.4" thickBot="1" x14ac:dyDescent="0.3">
      <c r="A23" s="186">
        <v>5</v>
      </c>
      <c r="B23" s="187" t="s">
        <v>336</v>
      </c>
      <c r="C23" s="209">
        <v>46478</v>
      </c>
    </row>
    <row r="24" spans="1:3" ht="14.4" thickBot="1" x14ac:dyDescent="0.3">
      <c r="A24" s="186">
        <v>6</v>
      </c>
      <c r="B24" s="187" t="s">
        <v>337</v>
      </c>
      <c r="C24" s="210" t="s">
        <v>346</v>
      </c>
    </row>
  </sheetData>
  <mergeCells count="4">
    <mergeCell ref="B17:B18"/>
    <mergeCell ref="C17:C18"/>
    <mergeCell ref="A17:A18"/>
    <mergeCell ref="B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Cost</vt:lpstr>
      <vt:lpstr>Cost Break Up</vt:lpstr>
      <vt:lpstr>Estimation</vt:lpstr>
      <vt:lpstr>Profitability</vt:lpstr>
      <vt:lpstr>Balance Sheet</vt:lpstr>
      <vt:lpstr>Cash Flow</vt:lpstr>
      <vt:lpstr>Intt &amp; Depreciation</vt:lpstr>
      <vt:lpstr>Debt Schedule-1</vt:lpstr>
      <vt:lpstr>Debt Schedule</vt:lpstr>
      <vt:lpstr>Ratio Analysis</vt:lpstr>
      <vt:lpstr>BEP, Sensitivity </vt:lpstr>
      <vt:lpstr>IRR</vt:lpstr>
      <vt:lpstr>Sheet2</vt:lpstr>
      <vt:lpstr>'Balance Sheet'!Print_Area</vt:lpstr>
      <vt:lpstr>'Cash Flow'!Print_Area</vt:lpstr>
      <vt:lpstr>Cost!Print_Area</vt:lpstr>
      <vt:lpstr>'Cost Break Up'!Print_Area</vt:lpstr>
      <vt:lpstr>Estimation!Print_Area</vt:lpstr>
      <vt:lpstr>'Intt &amp; Depreciation'!Print_Area</vt:lpstr>
      <vt:lpstr>Profitability!Print_Area</vt:lpstr>
      <vt:lpstr>'Ratio Analysis'!Print_Area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welcome</cp:lastModifiedBy>
  <cp:lastPrinted>2024-01-31T12:47:52Z</cp:lastPrinted>
  <dcterms:created xsi:type="dcterms:W3CDTF">2006-05-12T13:05:55Z</dcterms:created>
  <dcterms:modified xsi:type="dcterms:W3CDTF">2024-02-02T05:33:42Z</dcterms:modified>
</cp:coreProperties>
</file>