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360" yWindow="195" windowWidth="9720" windowHeight="6225" tabRatio="871" activeTab="7"/>
  </bookViews>
  <sheets>
    <sheet name="Cost" sheetId="9" r:id="rId1"/>
    <sheet name="Cost Break Up" sheetId="18" r:id="rId2"/>
    <sheet name="Estimation" sheetId="1" r:id="rId3"/>
    <sheet name="Profitability" sheetId="4" r:id="rId4"/>
    <sheet name="Balance Sheet" sheetId="2" r:id="rId5"/>
    <sheet name="Cash Flow" sheetId="5" r:id="rId6"/>
    <sheet name="Intt &amp; Depreciation" sheetId="6" r:id="rId7"/>
    <sheet name="Sheet1" sheetId="19" r:id="rId8"/>
  </sheets>
  <definedNames>
    <definedName name="_xlnm.Print_Area" localSheetId="4">'Balance Sheet'!$A$1:$K$40</definedName>
    <definedName name="_xlnm.Print_Area" localSheetId="5">'Cash Flow'!$A$1:$K$38</definedName>
    <definedName name="_xlnm.Print_Area" localSheetId="0">Cost!$A$1:$E$39</definedName>
    <definedName name="_xlnm.Print_Area" localSheetId="1">'Cost Break Up'!$A$1:$H$79</definedName>
    <definedName name="_xlnm.Print_Area" localSheetId="2">Estimation!$A$1:$G$70</definedName>
    <definedName name="_xlnm.Print_Area" localSheetId="6">'Intt &amp; Depreciation'!$A$1:$G$62</definedName>
    <definedName name="_xlnm.Print_Area" localSheetId="3">Profitability!$A$1:$K$43</definedName>
  </definedNames>
  <calcPr calcId="144525"/>
</workbook>
</file>

<file path=xl/calcChain.xml><?xml version="1.0" encoding="utf-8"?>
<calcChain xmlns="http://schemas.openxmlformats.org/spreadsheetml/2006/main">
  <c r="D18" i="19" l="1"/>
  <c r="D13" i="19"/>
  <c r="E13" i="19"/>
  <c r="F13" i="19"/>
  <c r="G13" i="19"/>
  <c r="H13" i="19"/>
  <c r="I13" i="19"/>
  <c r="J13" i="19"/>
  <c r="K13" i="19"/>
  <c r="D9" i="19"/>
  <c r="E9" i="19"/>
  <c r="F9" i="19"/>
  <c r="G9" i="19"/>
  <c r="H9" i="19"/>
  <c r="I9" i="19"/>
  <c r="J9" i="19"/>
  <c r="K9" i="19"/>
  <c r="D8" i="19"/>
  <c r="E8" i="19"/>
  <c r="F8" i="19"/>
  <c r="G8" i="19"/>
  <c r="H8" i="19"/>
  <c r="I8" i="19"/>
  <c r="J8" i="19"/>
  <c r="K8" i="19"/>
  <c r="C8" i="19"/>
  <c r="C33" i="2" l="1"/>
  <c r="D33" i="2"/>
  <c r="E33" i="2"/>
  <c r="F33" i="2"/>
  <c r="G33" i="2"/>
  <c r="H33" i="2"/>
  <c r="I33" i="2"/>
  <c r="J33" i="2"/>
  <c r="K33" i="2"/>
  <c r="B33" i="2"/>
  <c r="B30" i="2"/>
  <c r="B34" i="2"/>
  <c r="G62" i="1"/>
  <c r="G61" i="1"/>
  <c r="C17" i="4"/>
  <c r="K17" i="5" l="1"/>
  <c r="C21" i="5"/>
  <c r="C19" i="5"/>
  <c r="J17" i="5"/>
  <c r="I17" i="5"/>
  <c r="H17" i="5"/>
  <c r="G17" i="5"/>
  <c r="F17" i="5"/>
  <c r="E17" i="5"/>
  <c r="D17" i="5"/>
  <c r="C17" i="5"/>
  <c r="C29" i="5" s="1"/>
  <c r="C30" i="4"/>
  <c r="C28" i="4"/>
  <c r="C27" i="4"/>
  <c r="C26" i="4"/>
  <c r="C24" i="4"/>
  <c r="C12" i="4"/>
  <c r="C11" i="4"/>
  <c r="C10" i="4"/>
  <c r="C14" i="4" s="1"/>
  <c r="C25" i="4" l="1"/>
  <c r="C11" i="9"/>
  <c r="E22" i="18"/>
  <c r="E17" i="18"/>
  <c r="C6" i="4"/>
  <c r="C7" i="4" s="1"/>
  <c r="C16" i="4" s="1"/>
  <c r="C15" i="4" l="1"/>
  <c r="B10" i="5"/>
  <c r="E29" i="4"/>
  <c r="F29" i="4" s="1"/>
  <c r="G29" i="4" s="1"/>
  <c r="H29" i="4" s="1"/>
  <c r="I29" i="4" s="1"/>
  <c r="J29" i="4" s="1"/>
  <c r="K29" i="4" s="1"/>
  <c r="G52" i="1"/>
  <c r="E78" i="18"/>
  <c r="E20" i="18"/>
  <c r="C20" i="2" l="1"/>
  <c r="C19" i="4"/>
  <c r="C19" i="2"/>
  <c r="C7" i="19"/>
  <c r="D5" i="4"/>
  <c r="E5" i="4" s="1"/>
  <c r="D19" i="1"/>
  <c r="C23" i="2" l="1"/>
  <c r="C25" i="2"/>
  <c r="C24" i="2"/>
  <c r="C16" i="5" s="1"/>
  <c r="D16" i="1"/>
  <c r="G23" i="1" s="1"/>
  <c r="B14" i="2" l="1"/>
  <c r="C14" i="2" s="1"/>
  <c r="D14" i="2" s="1"/>
  <c r="E14" i="2" s="1"/>
  <c r="F14" i="2" s="1"/>
  <c r="G14" i="2" s="1"/>
  <c r="H14" i="2" s="1"/>
  <c r="I14" i="2" s="1"/>
  <c r="J14" i="2" s="1"/>
  <c r="K14" i="2" s="1"/>
  <c r="D8" i="4" l="1"/>
  <c r="B8" i="2" l="1"/>
  <c r="D6" i="6"/>
  <c r="C30" i="9"/>
  <c r="G25" i="1" l="1"/>
  <c r="E6" i="4" l="1"/>
  <c r="E7" i="4" s="1"/>
  <c r="F6" i="4"/>
  <c r="F7" i="4" s="1"/>
  <c r="G6" i="4"/>
  <c r="G7" i="4" s="1"/>
  <c r="H6" i="4"/>
  <c r="H7" i="4" s="1"/>
  <c r="I6" i="4"/>
  <c r="I7" i="4" s="1"/>
  <c r="J6" i="4"/>
  <c r="J7" i="4" s="1"/>
  <c r="K6" i="4"/>
  <c r="K7" i="4" s="1"/>
  <c r="D6" i="4"/>
  <c r="D7" i="4" s="1"/>
  <c r="D11" i="1"/>
  <c r="D12" i="1" s="1"/>
  <c r="D18" i="1" l="1"/>
  <c r="D17" i="1"/>
  <c r="D29" i="9"/>
  <c r="D25" i="9"/>
  <c r="H2" i="6"/>
  <c r="K1" i="5"/>
  <c r="K2" i="2"/>
  <c r="L2" i="4"/>
  <c r="C20" i="6" l="1"/>
  <c r="C22" i="6" s="1"/>
  <c r="C23" i="6" s="1"/>
  <c r="C25" i="6" s="1"/>
  <c r="C27" i="6" s="1"/>
  <c r="C28" i="6" s="1"/>
  <c r="C31" i="6" s="1"/>
  <c r="C32" i="6" s="1"/>
  <c r="C35" i="6" s="1"/>
  <c r="C36" i="6" s="1"/>
  <c r="C39" i="6" s="1"/>
  <c r="C40" i="6" s="1"/>
  <c r="C43" i="6" s="1"/>
  <c r="C44" i="6" s="1"/>
  <c r="C47" i="6" s="1"/>
  <c r="C48" i="6" s="1"/>
  <c r="C51" i="6" s="1"/>
  <c r="C52" i="6" s="1"/>
  <c r="C55" i="6" s="1"/>
  <c r="C56" i="6" s="1"/>
  <c r="C59" i="6" s="1"/>
  <c r="D17" i="4" l="1"/>
  <c r="D24" i="4" s="1"/>
  <c r="D10" i="4"/>
  <c r="E10" i="4" s="1"/>
  <c r="F10" i="4" s="1"/>
  <c r="G10" i="4" s="1"/>
  <c r="H10" i="4" s="1"/>
  <c r="I10" i="4" s="1"/>
  <c r="J10" i="4" s="1"/>
  <c r="K10" i="4" s="1"/>
  <c r="E17" i="4" l="1"/>
  <c r="E24" i="4" s="1"/>
  <c r="D14" i="4"/>
  <c r="D25" i="4" l="1"/>
  <c r="F17" i="4"/>
  <c r="F24" i="4" s="1"/>
  <c r="E14" i="4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B49" i="1"/>
  <c r="G24" i="1"/>
  <c r="E30" i="18"/>
  <c r="E25" i="4" l="1"/>
  <c r="F14" i="4"/>
  <c r="G17" i="4"/>
  <c r="G24" i="4" s="1"/>
  <c r="D12" i="4"/>
  <c r="D16" i="4" s="1"/>
  <c r="F25" i="4" l="1"/>
  <c r="H17" i="4"/>
  <c r="H24" i="4" s="1"/>
  <c r="G14" i="4"/>
  <c r="E12" i="4"/>
  <c r="A2" i="1"/>
  <c r="E29" i="18"/>
  <c r="A2" i="18"/>
  <c r="F12" i="4" l="1"/>
  <c r="F16" i="4" s="1"/>
  <c r="E16" i="4"/>
  <c r="G25" i="4"/>
  <c r="H14" i="4"/>
  <c r="G12" i="4"/>
  <c r="G16" i="4" s="1"/>
  <c r="I17" i="4"/>
  <c r="I24" i="4" s="1"/>
  <c r="E35" i="18"/>
  <c r="E34" i="18"/>
  <c r="E33" i="18"/>
  <c r="E31" i="18"/>
  <c r="E55" i="18"/>
  <c r="E70" i="18" s="1"/>
  <c r="H25" i="4" l="1"/>
  <c r="J17" i="4"/>
  <c r="J24" i="4" s="1"/>
  <c r="I14" i="4"/>
  <c r="H12" i="4"/>
  <c r="H16" i="4" s="1"/>
  <c r="B21" i="4"/>
  <c r="G60" i="1"/>
  <c r="D30" i="4" s="1"/>
  <c r="G50" i="1"/>
  <c r="G51" i="1"/>
  <c r="I25" i="4" l="1"/>
  <c r="I21" i="4"/>
  <c r="C21" i="4"/>
  <c r="D21" i="4"/>
  <c r="E21" i="4"/>
  <c r="F21" i="4"/>
  <c r="G21" i="4"/>
  <c r="H21" i="4"/>
  <c r="I12" i="4"/>
  <c r="I16" i="4" s="1"/>
  <c r="K17" i="4"/>
  <c r="K24" i="4" s="1"/>
  <c r="K14" i="4"/>
  <c r="J14" i="4"/>
  <c r="E30" i="4"/>
  <c r="F30" i="4" s="1"/>
  <c r="G30" i="4" s="1"/>
  <c r="H30" i="4" s="1"/>
  <c r="I30" i="4" s="1"/>
  <c r="J30" i="4" s="1"/>
  <c r="K30" i="4" s="1"/>
  <c r="D11" i="4"/>
  <c r="K21" i="4" l="1"/>
  <c r="J21" i="4"/>
  <c r="E11" i="4"/>
  <c r="D15" i="4"/>
  <c r="K25" i="4"/>
  <c r="J25" i="4"/>
  <c r="J12" i="4"/>
  <c r="J16" i="4" s="1"/>
  <c r="C19" i="9"/>
  <c r="C13" i="9"/>
  <c r="D20" i="6" s="1"/>
  <c r="F11" i="4" l="1"/>
  <c r="E15" i="4"/>
  <c r="K12" i="4"/>
  <c r="K16" i="4" s="1"/>
  <c r="G20" i="1"/>
  <c r="G26" i="1" s="1"/>
  <c r="A1" i="18"/>
  <c r="E20" i="2" l="1"/>
  <c r="G11" i="4"/>
  <c r="F15" i="4"/>
  <c r="F20" i="2"/>
  <c r="A1" i="2"/>
  <c r="C17" i="9"/>
  <c r="H11" i="4" l="1"/>
  <c r="G15" i="4"/>
  <c r="F20" i="6"/>
  <c r="A1" i="6"/>
  <c r="A1" i="1"/>
  <c r="A1" i="5" s="1"/>
  <c r="G20" i="2" l="1"/>
  <c r="I11" i="4"/>
  <c r="H15" i="4"/>
  <c r="H20" i="2"/>
  <c r="E32" i="18"/>
  <c r="E28" i="18"/>
  <c r="J11" i="4" l="1"/>
  <c r="I15" i="4"/>
  <c r="I20" i="2" s="1"/>
  <c r="E51" i="18"/>
  <c r="C15" i="9" s="1"/>
  <c r="C21" i="9" s="1"/>
  <c r="B31" i="5"/>
  <c r="B28" i="5"/>
  <c r="B23" i="5"/>
  <c r="F6" i="6"/>
  <c r="B13" i="2" s="1"/>
  <c r="K11" i="4" l="1"/>
  <c r="K15" i="4" s="1"/>
  <c r="J15" i="4"/>
  <c r="J20" i="2" s="1"/>
  <c r="C31" i="9"/>
  <c r="D22" i="19"/>
  <c r="E20" i="6"/>
  <c r="K19" i="5"/>
  <c r="A1" i="4"/>
  <c r="A2" i="5" s="1"/>
  <c r="A2" i="6" s="1"/>
  <c r="K20" i="2" l="1"/>
  <c r="G20" i="6"/>
  <c r="H20" i="6"/>
  <c r="B26" i="2"/>
  <c r="B19" i="2"/>
  <c r="B24" i="2" s="1"/>
  <c r="B9" i="5"/>
  <c r="B7" i="6"/>
  <c r="F7" i="6" l="1"/>
  <c r="C13" i="2" s="1"/>
  <c r="B29" i="2"/>
  <c r="B25" i="2"/>
  <c r="B27" i="2" s="1"/>
  <c r="C29" i="2" l="1"/>
  <c r="G7" i="6"/>
  <c r="C32" i="4" s="1"/>
  <c r="A66" i="1"/>
  <c r="C27" i="5" l="1"/>
  <c r="C30" i="5"/>
  <c r="C31" i="5" s="1"/>
  <c r="E19" i="2"/>
  <c r="D19" i="5"/>
  <c r="G29" i="5"/>
  <c r="F29" i="5"/>
  <c r="E29" i="5"/>
  <c r="D29" i="5"/>
  <c r="J19" i="5"/>
  <c r="I19" i="5"/>
  <c r="H19" i="5"/>
  <c r="G19" i="5"/>
  <c r="F19" i="5"/>
  <c r="E19" i="5"/>
  <c r="J29" i="5"/>
  <c r="I29" i="5"/>
  <c r="H29" i="5"/>
  <c r="B23" i="4"/>
  <c r="C23" i="4" l="1"/>
  <c r="E23" i="2"/>
  <c r="E25" i="2"/>
  <c r="E24" i="2"/>
  <c r="F19" i="2"/>
  <c r="B8" i="6"/>
  <c r="F23" i="2" l="1"/>
  <c r="F25" i="2"/>
  <c r="F24" i="2"/>
  <c r="F16" i="5"/>
  <c r="G19" i="2"/>
  <c r="G41" i="6"/>
  <c r="G37" i="6"/>
  <c r="G33" i="6"/>
  <c r="G29" i="6"/>
  <c r="G25" i="2" l="1"/>
  <c r="G24" i="2"/>
  <c r="G16" i="5" s="1"/>
  <c r="G23" i="2"/>
  <c r="H19" i="2"/>
  <c r="B22" i="4"/>
  <c r="C22" i="4" l="1"/>
  <c r="D22" i="4"/>
  <c r="E22" i="4"/>
  <c r="F22" i="4"/>
  <c r="G22" i="4"/>
  <c r="H22" i="4"/>
  <c r="I22" i="4"/>
  <c r="J22" i="4"/>
  <c r="K22" i="4"/>
  <c r="H25" i="2"/>
  <c r="H24" i="2"/>
  <c r="H23" i="2"/>
  <c r="H16" i="5"/>
  <c r="I19" i="2"/>
  <c r="H21" i="6"/>
  <c r="I23" i="2" l="1"/>
  <c r="I25" i="2"/>
  <c r="I24" i="2"/>
  <c r="I16" i="5" s="1"/>
  <c r="J19" i="2"/>
  <c r="K19" i="2"/>
  <c r="F21" i="6"/>
  <c r="F22" i="6" s="1"/>
  <c r="D21" i="6"/>
  <c r="E21" i="6"/>
  <c r="G24" i="6"/>
  <c r="K25" i="2" l="1"/>
  <c r="K24" i="2"/>
  <c r="K23" i="2"/>
  <c r="J23" i="2"/>
  <c r="J25" i="2"/>
  <c r="J24" i="2"/>
  <c r="J16" i="5"/>
  <c r="D22" i="6"/>
  <c r="D23" i="6" s="1"/>
  <c r="D25" i="6" s="1"/>
  <c r="D26" i="6" s="1"/>
  <c r="G21" i="6"/>
  <c r="G22" i="6" s="1"/>
  <c r="E22" i="6"/>
  <c r="K16" i="5" l="1"/>
  <c r="G23" i="6"/>
  <c r="G25" i="6" s="1"/>
  <c r="F23" i="6"/>
  <c r="F25" i="6" s="1"/>
  <c r="D18" i="4"/>
  <c r="D7" i="19" s="1"/>
  <c r="D28" i="4"/>
  <c r="D27" i="4"/>
  <c r="F27" i="6" l="1"/>
  <c r="F28" i="6" s="1"/>
  <c r="F30" i="6" s="1"/>
  <c r="F31" i="6" s="1"/>
  <c r="F32" i="6" s="1"/>
  <c r="F34" i="6" s="1"/>
  <c r="F35" i="6" s="1"/>
  <c r="F36" i="6" s="1"/>
  <c r="F38" i="6" s="1"/>
  <c r="F39" i="6" s="1"/>
  <c r="F40" i="6" s="1"/>
  <c r="F42" i="6" s="1"/>
  <c r="F43" i="6" s="1"/>
  <c r="F44" i="6" s="1"/>
  <c r="F46" i="6" s="1"/>
  <c r="F47" i="6" s="1"/>
  <c r="F48" i="6" s="1"/>
  <c r="F50" i="6" s="1"/>
  <c r="F51" i="6" s="1"/>
  <c r="F52" i="6" s="1"/>
  <c r="F54" i="6" s="1"/>
  <c r="F55" i="6" s="1"/>
  <c r="F56" i="6" s="1"/>
  <c r="F58" i="6" s="1"/>
  <c r="F59" i="6" s="1"/>
  <c r="F26" i="6"/>
  <c r="E18" i="4"/>
  <c r="E27" i="4"/>
  <c r="F27" i="4" s="1"/>
  <c r="G27" i="4" s="1"/>
  <c r="H27" i="4" s="1"/>
  <c r="I27" i="4" s="1"/>
  <c r="J27" i="4" s="1"/>
  <c r="K27" i="4" s="1"/>
  <c r="E28" i="4"/>
  <c r="F28" i="4" s="1"/>
  <c r="G28" i="4" s="1"/>
  <c r="H28" i="4" s="1"/>
  <c r="I28" i="4" s="1"/>
  <c r="J28" i="4" s="1"/>
  <c r="K28" i="4" s="1"/>
  <c r="B10" i="2"/>
  <c r="B12" i="2" s="1"/>
  <c r="C7" i="2" s="1"/>
  <c r="B7" i="5"/>
  <c r="B13" i="5" s="1"/>
  <c r="E23" i="6"/>
  <c r="E25" i="6" s="1"/>
  <c r="E26" i="6" s="1"/>
  <c r="D27" i="6"/>
  <c r="D28" i="6" s="1"/>
  <c r="D30" i="6" s="1"/>
  <c r="F18" i="4" l="1"/>
  <c r="E7" i="19"/>
  <c r="B16" i="2"/>
  <c r="B35" i="2"/>
  <c r="E27" i="6"/>
  <c r="E28" i="6" s="1"/>
  <c r="E30" i="6" s="1"/>
  <c r="E31" i="6" s="1"/>
  <c r="E32" i="6" s="1"/>
  <c r="E34" i="6" s="1"/>
  <c r="E35" i="6" s="1"/>
  <c r="E36" i="6" s="1"/>
  <c r="E38" i="6" s="1"/>
  <c r="E39" i="6" s="1"/>
  <c r="E40" i="6" s="1"/>
  <c r="E42" i="6" s="1"/>
  <c r="E43" i="6" s="1"/>
  <c r="E44" i="6" s="1"/>
  <c r="E46" i="6" s="1"/>
  <c r="E47" i="6" s="1"/>
  <c r="E48" i="6" s="1"/>
  <c r="E50" i="6" s="1"/>
  <c r="E51" i="6" s="1"/>
  <c r="E52" i="6" s="1"/>
  <c r="E54" i="6" s="1"/>
  <c r="E55" i="6" s="1"/>
  <c r="E56" i="6" s="1"/>
  <c r="G26" i="6"/>
  <c r="D20" i="2"/>
  <c r="B18" i="2"/>
  <c r="B15" i="5" s="1"/>
  <c r="B20" i="5" s="1"/>
  <c r="D19" i="4"/>
  <c r="B31" i="2"/>
  <c r="D31" i="6"/>
  <c r="D32" i="6" s="1"/>
  <c r="D34" i="6" s="1"/>
  <c r="D19" i="2"/>
  <c r="E23" i="1"/>
  <c r="E17" i="1"/>
  <c r="E20" i="1" s="1"/>
  <c r="E26" i="1" s="1"/>
  <c r="D29" i="1"/>
  <c r="D49" i="1" s="1"/>
  <c r="G49" i="1" s="1"/>
  <c r="E60" i="1"/>
  <c r="D23" i="4" l="1"/>
  <c r="G18" i="4"/>
  <c r="F7" i="19"/>
  <c r="D25" i="2"/>
  <c r="D24" i="2"/>
  <c r="D16" i="5" s="1"/>
  <c r="D23" i="2"/>
  <c r="G27" i="6"/>
  <c r="C18" i="2" s="1"/>
  <c r="C36" i="2" s="1"/>
  <c r="C11" i="5"/>
  <c r="C26" i="5" s="1"/>
  <c r="C31" i="4"/>
  <c r="E58" i="6"/>
  <c r="E59" i="6" s="1"/>
  <c r="F19" i="4"/>
  <c r="G34" i="6"/>
  <c r="G30" i="6"/>
  <c r="B23" i="2"/>
  <c r="B36" i="2" s="1"/>
  <c r="E19" i="4"/>
  <c r="G63" i="1"/>
  <c r="D35" i="6"/>
  <c r="D36" i="6" s="1"/>
  <c r="D38" i="6" s="1"/>
  <c r="G38" i="6" s="1"/>
  <c r="E24" i="1"/>
  <c r="E63" i="1" s="1"/>
  <c r="C33" i="4" l="1"/>
  <c r="C6" i="19"/>
  <c r="C5" i="19"/>
  <c r="E23" i="4"/>
  <c r="F23" i="4"/>
  <c r="H18" i="4"/>
  <c r="G7" i="19"/>
  <c r="F11" i="5"/>
  <c r="F31" i="4"/>
  <c r="F6" i="19" s="1"/>
  <c r="E11" i="5"/>
  <c r="E26" i="5" s="1"/>
  <c r="E31" i="4"/>
  <c r="E6" i="19" s="1"/>
  <c r="G28" i="6"/>
  <c r="G31" i="6" s="1"/>
  <c r="D18" i="2" s="1"/>
  <c r="D36" i="2" s="1"/>
  <c r="C15" i="2"/>
  <c r="C34" i="4"/>
  <c r="D31" i="4"/>
  <c r="D6" i="19" s="1"/>
  <c r="D11" i="5"/>
  <c r="D26" i="5" s="1"/>
  <c r="L25" i="2"/>
  <c r="B17" i="2"/>
  <c r="G19" i="4"/>
  <c r="F26" i="5"/>
  <c r="D39" i="6"/>
  <c r="D40" i="6" s="1"/>
  <c r="D42" i="6" s="1"/>
  <c r="G42" i="6" s="1"/>
  <c r="D26" i="4"/>
  <c r="F8" i="6"/>
  <c r="C37" i="4" l="1"/>
  <c r="C35" i="4"/>
  <c r="C18" i="5" s="1"/>
  <c r="C20" i="5" s="1"/>
  <c r="I18" i="4"/>
  <c r="H7" i="19"/>
  <c r="G23" i="4"/>
  <c r="C13" i="19"/>
  <c r="C14" i="19" s="1"/>
  <c r="C9" i="19"/>
  <c r="C11" i="19" s="1"/>
  <c r="G8" i="6"/>
  <c r="D32" i="4" s="1"/>
  <c r="D33" i="4" s="1"/>
  <c r="D13" i="2"/>
  <c r="C8" i="5"/>
  <c r="G11" i="5"/>
  <c r="G26" i="5" s="1"/>
  <c r="G31" i="4"/>
  <c r="G6" i="19" s="1"/>
  <c r="C12" i="5"/>
  <c r="C26" i="2"/>
  <c r="H19" i="4"/>
  <c r="G32" i="6"/>
  <c r="G35" i="6" s="1"/>
  <c r="E18" i="2" s="1"/>
  <c r="E26" i="4"/>
  <c r="D43" i="6"/>
  <c r="D44" i="6" s="1"/>
  <c r="D46" i="6" s="1"/>
  <c r="G46" i="6" s="1"/>
  <c r="B9" i="6"/>
  <c r="F26" i="4" l="1"/>
  <c r="D15" i="2"/>
  <c r="D26" i="2" s="1"/>
  <c r="D34" i="4"/>
  <c r="D37" i="4" s="1"/>
  <c r="D5" i="19"/>
  <c r="D14" i="19" s="1"/>
  <c r="C36" i="4"/>
  <c r="C25" i="5" s="1"/>
  <c r="C28" i="5" s="1"/>
  <c r="H23" i="4"/>
  <c r="J18" i="4"/>
  <c r="I7" i="19"/>
  <c r="H11" i="5"/>
  <c r="H26" i="5" s="1"/>
  <c r="H31" i="4"/>
  <c r="H6" i="19" s="1"/>
  <c r="C28" i="2"/>
  <c r="C27" i="2"/>
  <c r="C13" i="5"/>
  <c r="C22" i="5" s="1"/>
  <c r="C23" i="5" s="1"/>
  <c r="D21" i="5" s="1"/>
  <c r="D29" i="2"/>
  <c r="D30" i="5"/>
  <c r="D31" i="5" s="1"/>
  <c r="D27" i="5"/>
  <c r="E29" i="2"/>
  <c r="I19" i="4"/>
  <c r="G36" i="6"/>
  <c r="G39" i="6" s="1"/>
  <c r="F18" i="2" s="1"/>
  <c r="D47" i="6"/>
  <c r="D48" i="6" s="1"/>
  <c r="D50" i="6" s="1"/>
  <c r="G50" i="6" s="1"/>
  <c r="F9" i="6"/>
  <c r="E13" i="2" s="1"/>
  <c r="D12" i="5" l="1"/>
  <c r="I23" i="4"/>
  <c r="C9" i="2"/>
  <c r="C10" i="2" s="1"/>
  <c r="C12" i="2" s="1"/>
  <c r="D7" i="2" s="1"/>
  <c r="K18" i="4"/>
  <c r="K7" i="19" s="1"/>
  <c r="J7" i="19"/>
  <c r="D11" i="19"/>
  <c r="D27" i="2"/>
  <c r="D28" i="2"/>
  <c r="G26" i="4"/>
  <c r="I11" i="5"/>
  <c r="I26" i="5" s="1"/>
  <c r="I31" i="4"/>
  <c r="I6" i="19" s="1"/>
  <c r="J19" i="4"/>
  <c r="D35" i="4"/>
  <c r="G40" i="6"/>
  <c r="G43" i="6" s="1"/>
  <c r="G18" i="2" s="1"/>
  <c r="D8" i="5"/>
  <c r="E16" i="5"/>
  <c r="G9" i="6"/>
  <c r="E32" i="4" s="1"/>
  <c r="E5" i="19" s="1"/>
  <c r="D51" i="6"/>
  <c r="D52" i="6" s="1"/>
  <c r="B10" i="6"/>
  <c r="D13" i="5" l="1"/>
  <c r="C16" i="2"/>
  <c r="C17" i="2" s="1"/>
  <c r="H26" i="4"/>
  <c r="J23" i="4"/>
  <c r="C34" i="2"/>
  <c r="C35" i="2" s="1"/>
  <c r="C30" i="2"/>
  <c r="C31" i="2" s="1"/>
  <c r="E27" i="5"/>
  <c r="E33" i="4"/>
  <c r="E34" i="4" s="1"/>
  <c r="E37" i="4" s="1"/>
  <c r="E30" i="5"/>
  <c r="E31" i="5" s="1"/>
  <c r="K19" i="4"/>
  <c r="G44" i="6"/>
  <c r="G47" i="6" s="1"/>
  <c r="H18" i="2" s="1"/>
  <c r="D36" i="4"/>
  <c r="D9" i="2" s="1"/>
  <c r="D18" i="5"/>
  <c r="D54" i="6"/>
  <c r="G54" i="6" s="1"/>
  <c r="F10" i="6"/>
  <c r="I26" i="4" l="1"/>
  <c r="K23" i="4"/>
  <c r="E11" i="19"/>
  <c r="E14" i="19"/>
  <c r="G10" i="6"/>
  <c r="F32" i="4" s="1"/>
  <c r="F30" i="5" s="1"/>
  <c r="F31" i="5" s="1"/>
  <c r="F13" i="2"/>
  <c r="J11" i="5"/>
  <c r="J26" i="5" s="1"/>
  <c r="J31" i="4"/>
  <c r="J6" i="19" s="1"/>
  <c r="E15" i="2"/>
  <c r="D20" i="5"/>
  <c r="D22" i="5" s="1"/>
  <c r="D23" i="5" s="1"/>
  <c r="G48" i="6"/>
  <c r="G51" i="6" s="1"/>
  <c r="I18" i="2" s="1"/>
  <c r="D25" i="5"/>
  <c r="D28" i="5" s="1"/>
  <c r="D55" i="6"/>
  <c r="D56" i="6" s="1"/>
  <c r="B11" i="6"/>
  <c r="F33" i="4" l="1"/>
  <c r="F34" i="4" s="1"/>
  <c r="F37" i="4" s="1"/>
  <c r="J26" i="4"/>
  <c r="F5" i="19"/>
  <c r="F14" i="19" s="1"/>
  <c r="F27" i="5"/>
  <c r="E26" i="2"/>
  <c r="E12" i="5"/>
  <c r="F29" i="2"/>
  <c r="E8" i="5"/>
  <c r="E35" i="4"/>
  <c r="D58" i="6"/>
  <c r="G58" i="6" s="1"/>
  <c r="G52" i="6"/>
  <c r="G55" i="6" s="1"/>
  <c r="J18" i="2" s="1"/>
  <c r="F11" i="6"/>
  <c r="F15" i="2" l="1"/>
  <c r="F35" i="4"/>
  <c r="F36" i="4" s="1"/>
  <c r="F9" i="2" s="1"/>
  <c r="F11" i="19"/>
  <c r="E28" i="2"/>
  <c r="E27" i="2"/>
  <c r="K26" i="4"/>
  <c r="E36" i="4"/>
  <c r="E9" i="2" s="1"/>
  <c r="E18" i="5"/>
  <c r="E20" i="5" s="1"/>
  <c r="G11" i="6"/>
  <c r="G32" i="4" s="1"/>
  <c r="G5" i="19" s="1"/>
  <c r="G14" i="19" s="1"/>
  <c r="G13" i="2"/>
  <c r="E13" i="5"/>
  <c r="K11" i="5"/>
  <c r="K26" i="5" s="1"/>
  <c r="K31" i="4"/>
  <c r="K6" i="19" s="1"/>
  <c r="D59" i="6"/>
  <c r="K36" i="2"/>
  <c r="G56" i="6"/>
  <c r="G59" i="6" s="1"/>
  <c r="K18" i="2" s="1"/>
  <c r="F26" i="2"/>
  <c r="F12" i="5"/>
  <c r="F8" i="5"/>
  <c r="B12" i="6"/>
  <c r="F12" i="6" s="1"/>
  <c r="G27" i="5" l="1"/>
  <c r="G30" i="5"/>
  <c r="G31" i="5" s="1"/>
  <c r="G33" i="4"/>
  <c r="G34" i="4" s="1"/>
  <c r="G37" i="4" s="1"/>
  <c r="F28" i="2"/>
  <c r="F27" i="2"/>
  <c r="G29" i="2"/>
  <c r="G12" i="6"/>
  <c r="H32" i="4" s="1"/>
  <c r="H5" i="19" s="1"/>
  <c r="H13" i="2"/>
  <c r="H29" i="2"/>
  <c r="F13" i="5"/>
  <c r="G11" i="19"/>
  <c r="G35" i="4"/>
  <c r="G36" i="4" s="1"/>
  <c r="F18" i="5"/>
  <c r="F20" i="5" s="1"/>
  <c r="G15" i="2"/>
  <c r="B13" i="6"/>
  <c r="H33" i="4" l="1"/>
  <c r="H34" i="4" s="1"/>
  <c r="H37" i="4" s="1"/>
  <c r="H30" i="5"/>
  <c r="H31" i="5" s="1"/>
  <c r="H27" i="5"/>
  <c r="G12" i="5"/>
  <c r="G26" i="2"/>
  <c r="G8" i="5"/>
  <c r="G9" i="2"/>
  <c r="F13" i="6"/>
  <c r="I13" i="2" s="1"/>
  <c r="G28" i="2" l="1"/>
  <c r="G27" i="2"/>
  <c r="I29" i="2"/>
  <c r="H11" i="19"/>
  <c r="H14" i="19"/>
  <c r="H15" i="2"/>
  <c r="G13" i="5"/>
  <c r="G18" i="5"/>
  <c r="G20" i="5" s="1"/>
  <c r="G13" i="6"/>
  <c r="I32" i="4" s="1"/>
  <c r="I5" i="19" s="1"/>
  <c r="K29" i="5"/>
  <c r="B14" i="6"/>
  <c r="G14" i="6" s="1"/>
  <c r="J32" i="4" s="1"/>
  <c r="J5" i="19" s="1"/>
  <c r="G64" i="1"/>
  <c r="H12" i="5" l="1"/>
  <c r="H26" i="2"/>
  <c r="I27" i="5"/>
  <c r="I30" i="5"/>
  <c r="I31" i="5" s="1"/>
  <c r="I33" i="4"/>
  <c r="I34" i="4" s="1"/>
  <c r="I37" i="4" s="1"/>
  <c r="H8" i="5"/>
  <c r="H35" i="4"/>
  <c r="F14" i="6"/>
  <c r="J13" i="2" s="1"/>
  <c r="H28" i="2" l="1"/>
  <c r="H27" i="2"/>
  <c r="H13" i="5"/>
  <c r="J29" i="2"/>
  <c r="I15" i="2"/>
  <c r="H36" i="4"/>
  <c r="H9" i="2" s="1"/>
  <c r="H18" i="5"/>
  <c r="H20" i="5" s="1"/>
  <c r="I14" i="19"/>
  <c r="I11" i="19"/>
  <c r="B15" i="6"/>
  <c r="G15" i="6" s="1"/>
  <c r="K32" i="4" s="1"/>
  <c r="J33" i="4"/>
  <c r="J34" i="4" s="1"/>
  <c r="J37" i="4" s="1"/>
  <c r="J30" i="5"/>
  <c r="J31" i="5" s="1"/>
  <c r="J27" i="5"/>
  <c r="K27" i="5" l="1"/>
  <c r="K5" i="19"/>
  <c r="K14" i="19" s="1"/>
  <c r="K33" i="4"/>
  <c r="K34" i="4" s="1"/>
  <c r="K37" i="4" s="1"/>
  <c r="K30" i="5"/>
  <c r="K31" i="5" s="1"/>
  <c r="L31" i="5"/>
  <c r="I26" i="2"/>
  <c r="I12" i="5"/>
  <c r="I35" i="4"/>
  <c r="I8" i="5"/>
  <c r="K29" i="2"/>
  <c r="L29" i="2" s="1"/>
  <c r="F15" i="6"/>
  <c r="K13" i="2" s="1"/>
  <c r="J14" i="19"/>
  <c r="J35" i="4"/>
  <c r="J36" i="4" s="1"/>
  <c r="J11" i="19"/>
  <c r="K15" i="2"/>
  <c r="J15" i="2"/>
  <c r="K11" i="19" l="1"/>
  <c r="I27" i="2"/>
  <c r="I28" i="2"/>
  <c r="K8" i="5"/>
  <c r="K35" i="4"/>
  <c r="K36" i="4" s="1"/>
  <c r="K9" i="2" s="1"/>
  <c r="I13" i="5"/>
  <c r="D38" i="4"/>
  <c r="I36" i="4"/>
  <c r="I9" i="2" s="1"/>
  <c r="I18" i="5"/>
  <c r="I20" i="5" s="1"/>
  <c r="K12" i="5"/>
  <c r="K13" i="5" s="1"/>
  <c r="K26" i="2"/>
  <c r="J12" i="5"/>
  <c r="J26" i="2"/>
  <c r="J8" i="5"/>
  <c r="D20" i="19"/>
  <c r="D24" i="19" s="1"/>
  <c r="J9" i="2"/>
  <c r="E21" i="5"/>
  <c r="D10" i="2"/>
  <c r="D12" i="2" s="1"/>
  <c r="L9" i="19" l="1"/>
  <c r="J28" i="2"/>
  <c r="J27" i="2"/>
  <c r="D34" i="2"/>
  <c r="D35" i="2" s="1"/>
  <c r="D30" i="2"/>
  <c r="K28" i="2"/>
  <c r="K27" i="2"/>
  <c r="J13" i="5"/>
  <c r="L26" i="2"/>
  <c r="D16" i="2"/>
  <c r="K18" i="5"/>
  <c r="K20" i="5" s="1"/>
  <c r="J18" i="5"/>
  <c r="J20" i="5" s="1"/>
  <c r="E7" i="2"/>
  <c r="D31" i="2" l="1"/>
  <c r="L28" i="2"/>
  <c r="L27" i="2"/>
  <c r="D17" i="2"/>
  <c r="E22" i="5" l="1"/>
  <c r="E23" i="5" s="1"/>
  <c r="E25" i="5"/>
  <c r="E28" i="5" s="1"/>
  <c r="F21" i="5" l="1"/>
  <c r="E36" i="2"/>
  <c r="E10" i="2"/>
  <c r="E12" i="2" s="1"/>
  <c r="E34" i="2" l="1"/>
  <c r="E35" i="2" s="1"/>
  <c r="E30" i="2"/>
  <c r="E16" i="2"/>
  <c r="E17" i="2" s="1"/>
  <c r="F7" i="2"/>
  <c r="E31" i="2" l="1"/>
  <c r="F22" i="5"/>
  <c r="F23" i="5" s="1"/>
  <c r="F36" i="2"/>
  <c r="G21" i="5" l="1"/>
  <c r="F10" i="2"/>
  <c r="F12" i="2" s="1"/>
  <c r="F25" i="5"/>
  <c r="F28" i="5" s="1"/>
  <c r="F34" i="2" l="1"/>
  <c r="F35" i="2" s="1"/>
  <c r="F30" i="2"/>
  <c r="F16" i="2"/>
  <c r="F17" i="2" s="1"/>
  <c r="G7" i="2"/>
  <c r="F31" i="2" l="1"/>
  <c r="G22" i="5"/>
  <c r="G23" i="5" s="1"/>
  <c r="G10" i="2"/>
  <c r="G12" i="2" s="1"/>
  <c r="G34" i="2" l="1"/>
  <c r="G35" i="2" s="1"/>
  <c r="G30" i="2"/>
  <c r="G16" i="2"/>
  <c r="H21" i="5"/>
  <c r="G25" i="5"/>
  <c r="G28" i="5" s="1"/>
  <c r="H7" i="2"/>
  <c r="G36" i="2"/>
  <c r="G31" i="2" l="1"/>
  <c r="G17" i="2"/>
  <c r="H22" i="5" l="1"/>
  <c r="H23" i="5" s="1"/>
  <c r="I21" i="5" l="1"/>
  <c r="H10" i="2"/>
  <c r="H12" i="2" s="1"/>
  <c r="H25" i="5"/>
  <c r="H28" i="5" s="1"/>
  <c r="H36" i="2"/>
  <c r="H34" i="2" l="1"/>
  <c r="H35" i="2" s="1"/>
  <c r="H30" i="2"/>
  <c r="H16" i="2"/>
  <c r="H17" i="2" s="1"/>
  <c r="I7" i="2"/>
  <c r="H31" i="2" l="1"/>
  <c r="I25" i="5"/>
  <c r="I28" i="5" s="1"/>
  <c r="I22" i="5" l="1"/>
  <c r="I23" i="5" s="1"/>
  <c r="I10" i="2"/>
  <c r="I12" i="2" s="1"/>
  <c r="I36" i="2"/>
  <c r="I34" i="2" l="1"/>
  <c r="I35" i="2" s="1"/>
  <c r="I30" i="2"/>
  <c r="I16" i="2"/>
  <c r="I17" i="2" s="1"/>
  <c r="J21" i="5"/>
  <c r="J7" i="2"/>
  <c r="I31" i="2" l="1"/>
  <c r="J22" i="5"/>
  <c r="J23" i="5" s="1"/>
  <c r="J10" i="2"/>
  <c r="J12" i="2" s="1"/>
  <c r="J34" i="2" l="1"/>
  <c r="J35" i="2" s="1"/>
  <c r="J30" i="2"/>
  <c r="J36" i="2"/>
  <c r="B37" i="2" s="1"/>
  <c r="J16" i="2"/>
  <c r="J17" i="2" s="1"/>
  <c r="K21" i="5"/>
  <c r="K7" i="2"/>
  <c r="J25" i="5"/>
  <c r="J28" i="5" s="1"/>
  <c r="J31" i="2" l="1"/>
  <c r="K22" i="5"/>
  <c r="K23" i="5" s="1"/>
  <c r="K25" i="5"/>
  <c r="K10" i="2"/>
  <c r="K12" i="2" s="1"/>
  <c r="K34" i="2" l="1"/>
  <c r="K35" i="2" s="1"/>
  <c r="L35" i="2" s="1"/>
  <c r="K30" i="2"/>
  <c r="K28" i="5"/>
  <c r="L28" i="5" s="1"/>
  <c r="D32" i="5" s="1"/>
  <c r="K16" i="2"/>
  <c r="L12" i="2"/>
  <c r="K31" i="2" l="1"/>
  <c r="E32" i="2" s="1"/>
  <c r="L30" i="2"/>
  <c r="L31" i="2" s="1"/>
  <c r="K17" i="2"/>
  <c r="L17" i="2"/>
</calcChain>
</file>

<file path=xl/sharedStrings.xml><?xml version="1.0" encoding="utf-8"?>
<sst xmlns="http://schemas.openxmlformats.org/spreadsheetml/2006/main" count="513" uniqueCount="304">
  <si>
    <t xml:space="preserve"> </t>
  </si>
  <si>
    <t>Amount</t>
  </si>
  <si>
    <t>Average for first year</t>
  </si>
  <si>
    <t>Particular</t>
  </si>
  <si>
    <t xml:space="preserve">Estimated Revenue </t>
  </si>
  <si>
    <t>Food Sale</t>
  </si>
  <si>
    <t>Cost of Services</t>
  </si>
  <si>
    <t>Designation</t>
  </si>
  <si>
    <t>No. of Persons</t>
  </si>
  <si>
    <t>Salary &amp; Wages</t>
  </si>
  <si>
    <t>Power &amp; Fuel</t>
  </si>
  <si>
    <t>Rs. In Lakhs</t>
  </si>
  <si>
    <t>Total</t>
  </si>
  <si>
    <t>( Rs. In Lakhs)</t>
  </si>
  <si>
    <t>Year</t>
  </si>
  <si>
    <t>Income</t>
  </si>
  <si>
    <t>Expenditure</t>
  </si>
  <si>
    <t>Repairs &amp; Maintenance</t>
  </si>
  <si>
    <t>Other Admin. Exp.</t>
  </si>
  <si>
    <t>Depreciation</t>
  </si>
  <si>
    <t>Profit after Tax</t>
  </si>
  <si>
    <t>Source of Funds</t>
  </si>
  <si>
    <t>Application of Funds</t>
  </si>
  <si>
    <t>Cash &amp; Bank Balance</t>
  </si>
  <si>
    <t xml:space="preserve">Sources of Funds </t>
  </si>
  <si>
    <t>Increase in Current Liabilites</t>
  </si>
  <si>
    <t>Capital Expenditure</t>
  </si>
  <si>
    <t>Increase in Current Assets</t>
  </si>
  <si>
    <t>Taxation</t>
  </si>
  <si>
    <t>Opening Balance</t>
  </si>
  <si>
    <t>Surplus</t>
  </si>
  <si>
    <t>Closing Balance</t>
  </si>
  <si>
    <t>Opening Balance of Term Loan</t>
  </si>
  <si>
    <t>Addition</t>
  </si>
  <si>
    <t>Repayment during the year</t>
  </si>
  <si>
    <t>Closing Balance of Term Loan</t>
  </si>
  <si>
    <t>Interest on Term Loan</t>
  </si>
  <si>
    <t>WDV</t>
  </si>
  <si>
    <t xml:space="preserve">Depreciation </t>
  </si>
  <si>
    <t xml:space="preserve">Depreciation Chart </t>
  </si>
  <si>
    <t>Sweepers</t>
  </si>
  <si>
    <t xml:space="preserve">TOTAL </t>
  </si>
  <si>
    <t>Chef</t>
  </si>
  <si>
    <t>Particulars</t>
  </si>
  <si>
    <t xml:space="preserve">Profit after tax </t>
  </si>
  <si>
    <t xml:space="preserve">Add: Depreciation for the year </t>
  </si>
  <si>
    <t>Add: Interest on Term Loan</t>
  </si>
  <si>
    <t xml:space="preserve">Total  ( A ) </t>
  </si>
  <si>
    <t>Repayment of Term Loan</t>
  </si>
  <si>
    <t>Total ( B )</t>
  </si>
  <si>
    <t>Misc. Income [ Net ]</t>
  </si>
  <si>
    <t>Current Assets other than cash &amp; bank</t>
  </si>
  <si>
    <t>Years</t>
  </si>
  <si>
    <t>Total       -          A</t>
  </si>
  <si>
    <t>Total      -     B</t>
  </si>
  <si>
    <t xml:space="preserve">Term Loan </t>
  </si>
  <si>
    <t>CALCULATION OF DEBT S.COVERAGE RATIO</t>
  </si>
  <si>
    <t>Fixed Assets[ Net ]</t>
  </si>
  <si>
    <t>Projected</t>
  </si>
  <si>
    <t xml:space="preserve">Term Loan Interest </t>
  </si>
  <si>
    <t xml:space="preserve">Income Tax </t>
  </si>
  <si>
    <t>Total Current Assets  = A</t>
  </si>
  <si>
    <t>Current Liabilities = B</t>
  </si>
  <si>
    <t>Net Working Capital=[ A - B ]</t>
  </si>
  <si>
    <t>Current Ratio = [ A / B ]</t>
  </si>
  <si>
    <t>Debt / Equity Ratio =[ C / D ]</t>
  </si>
  <si>
    <t>Furniture &amp; Fixtures</t>
  </si>
  <si>
    <t xml:space="preserve">Application of  funds : </t>
  </si>
  <si>
    <t>SOURCES OF FUNDS</t>
  </si>
  <si>
    <t>Average Debt Equity Ratio for projected period</t>
  </si>
  <si>
    <t>Room Sale</t>
  </si>
  <si>
    <t>Term Loan</t>
  </si>
  <si>
    <t>Rs.in Lakhs</t>
  </si>
  <si>
    <t xml:space="preserve">Food &amp; Beverage sale per person per day </t>
  </si>
  <si>
    <t xml:space="preserve">Total </t>
  </si>
  <si>
    <t xml:space="preserve">Building </t>
  </si>
  <si>
    <t>Security Guards</t>
  </si>
  <si>
    <t>Front Office Assistant</t>
  </si>
  <si>
    <t>Housekeeping In Charge</t>
  </si>
  <si>
    <t>Room Boys</t>
  </si>
  <si>
    <t>Kitchen Staff</t>
  </si>
  <si>
    <t>Total Salary Paid</t>
  </si>
  <si>
    <t>Salary</t>
  </si>
  <si>
    <t>Salary p.m.</t>
  </si>
  <si>
    <t>Postage &amp; Telegraph [ Official only ]</t>
  </si>
  <si>
    <t xml:space="preserve">Legal &amp; Professional </t>
  </si>
  <si>
    <t xml:space="preserve">Insurance Premium </t>
  </si>
  <si>
    <t xml:space="preserve">Travelling &amp; Conveyance </t>
  </si>
  <si>
    <t xml:space="preserve">Printing &amp; Stationery </t>
  </si>
  <si>
    <t>Miscellaneous Exp.</t>
  </si>
  <si>
    <t>Max.Room Nights [ No. of Rooms * 365]</t>
  </si>
  <si>
    <t xml:space="preserve">Amount </t>
  </si>
  <si>
    <t>Total of Expenses</t>
  </si>
  <si>
    <t>Depreciation as per Income Tax Act</t>
  </si>
  <si>
    <t>Furniture &amp; Furnishing@ 10 %</t>
  </si>
  <si>
    <t>Building @ 10 %</t>
  </si>
  <si>
    <t>Depreciation Rates as per Income Tax Act</t>
  </si>
  <si>
    <t xml:space="preserve">Accountant </t>
  </si>
  <si>
    <t>Restaurant / Banquest Staff</t>
  </si>
  <si>
    <t>YEARS</t>
  </si>
  <si>
    <t xml:space="preserve">Addition </t>
  </si>
  <si>
    <t>Plumber / electrcian / carpenter</t>
  </si>
  <si>
    <t>Debt [ Term Loan ] = C</t>
  </si>
  <si>
    <t>S.No.</t>
  </si>
  <si>
    <t>Description of each building</t>
  </si>
  <si>
    <t>S.No</t>
  </si>
  <si>
    <t>TOTAL</t>
  </si>
  <si>
    <t>Description</t>
  </si>
  <si>
    <t xml:space="preserve">No. of days hotel is in operation </t>
  </si>
  <si>
    <t>Average Room Rent[Net of Commi.]</t>
  </si>
  <si>
    <t xml:space="preserve">At a capicity utilisation of </t>
  </si>
  <si>
    <t>Max. No. of Guests[ Room nights * 1.75 ]</t>
  </si>
  <si>
    <t xml:space="preserve">House Keeping Exp. As % of Room Sale </t>
  </si>
  <si>
    <t xml:space="preserve">Sales &amp; Marketing Exp. as % of Total Sales  </t>
  </si>
  <si>
    <t>Repairs &amp; Maintenance @ per month</t>
  </si>
  <si>
    <t xml:space="preserve">Power &amp; Fuel @ per month average </t>
  </si>
  <si>
    <t>Capacity Utilised</t>
  </si>
  <si>
    <t xml:space="preserve">Housekeeping Exp.(% of Room Sale) </t>
  </si>
  <si>
    <t xml:space="preserve">Sales &amp; Marketing Exp. (% of Total Sales) </t>
  </si>
  <si>
    <t xml:space="preserve">                  Interest Calculation @</t>
  </si>
  <si>
    <t>Equipments</t>
  </si>
  <si>
    <t xml:space="preserve">Op. Balance </t>
  </si>
  <si>
    <t>Max. Room Nights [ No. of Rooms * 365]</t>
  </si>
  <si>
    <t>Location</t>
  </si>
  <si>
    <t xml:space="preserve"> 2. COST OF CONSTRUCTION</t>
  </si>
  <si>
    <t xml:space="preserve">Water Tanks </t>
  </si>
  <si>
    <t>S. No.</t>
  </si>
  <si>
    <t xml:space="preserve">Misc </t>
  </si>
  <si>
    <t>Plant &amp; Machinery and equipments @ 15 %</t>
  </si>
  <si>
    <t>Depriciation</t>
  </si>
  <si>
    <t>Current Liabilities[=30day exp.,other than dep.&amp; int on term loan]</t>
  </si>
  <si>
    <t>Rs.In Lakhs</t>
  </si>
  <si>
    <t>Balance Sheet</t>
  </si>
  <si>
    <t>Rs. In lakhs</t>
  </si>
  <si>
    <t>Internal paths</t>
  </si>
  <si>
    <t>Fencing and boundary wall</t>
  </si>
  <si>
    <t>House keeping Equipment</t>
  </si>
  <si>
    <t>STP plant &amp; connection + Water harvesting pipelines etc</t>
  </si>
  <si>
    <t>Geysers</t>
  </si>
  <si>
    <t>Front office furniture</t>
  </si>
  <si>
    <t>Furniture of garden</t>
  </si>
  <si>
    <t>Electric connection including transformer</t>
  </si>
  <si>
    <t>Fire fighting system</t>
  </si>
  <si>
    <t>Computer Hradware &amp; Software</t>
  </si>
  <si>
    <t xml:space="preserve">Other Administrative Exp: - </t>
  </si>
  <si>
    <t xml:space="preserve">Crockery &amp; Cutlery for Restaurant &amp; Bar </t>
  </si>
  <si>
    <t>Profit after tax</t>
  </si>
  <si>
    <t>Profit before tax</t>
  </si>
  <si>
    <t>Profitability Statement</t>
  </si>
  <si>
    <t>Net Profit after tax transferred to Capital a/c</t>
  </si>
  <si>
    <t>Cash Flow Statement</t>
  </si>
  <si>
    <t>Owned</t>
  </si>
  <si>
    <t>QTY</t>
  </si>
  <si>
    <t>Rate</t>
  </si>
  <si>
    <t>Fans</t>
  </si>
  <si>
    <t>L.S</t>
  </si>
  <si>
    <t>Qty</t>
  </si>
  <si>
    <t xml:space="preserve"> Estimated Cost </t>
  </si>
  <si>
    <t xml:space="preserve">Estimated Cost </t>
  </si>
  <si>
    <t xml:space="preserve">Architect/Project Consultancy Fees </t>
  </si>
  <si>
    <t xml:space="preserve">Deposit &amp; Advances </t>
  </si>
  <si>
    <t>Stock(1 Month of food sale and banquet sale)</t>
  </si>
  <si>
    <t>No. of Rooms</t>
  </si>
  <si>
    <t>Construction Period</t>
  </si>
  <si>
    <t xml:space="preserve"> L.S </t>
  </si>
  <si>
    <t xml:space="preserve">Solar Water Heater </t>
  </si>
  <si>
    <t xml:space="preserve">Misc. Furniture </t>
  </si>
  <si>
    <t>Gardner</t>
  </si>
  <si>
    <t xml:space="preserve">Area in sq ft </t>
  </si>
  <si>
    <t xml:space="preserve">Rate per sq ft </t>
  </si>
  <si>
    <t xml:space="preserve">Miscellaneous </t>
  </si>
  <si>
    <t xml:space="preserve">Bar Sale </t>
  </si>
  <si>
    <t xml:space="preserve">Bar Sale per person per day </t>
  </si>
  <si>
    <t>Food Expenses (% of food, Banquet &amp; Bar sale )</t>
  </si>
  <si>
    <t>Construction</t>
  </si>
  <si>
    <t xml:space="preserve">Construction </t>
  </si>
  <si>
    <t xml:space="preserve">Period </t>
  </si>
  <si>
    <t xml:space="preserve">Accounts / Stores Assistant </t>
  </si>
  <si>
    <t>Housekeeping Supervisors</t>
  </si>
  <si>
    <t xml:space="preserve">Whether owned or Leased </t>
  </si>
  <si>
    <t>LED TVS</t>
  </si>
  <si>
    <t xml:space="preserve">Mini Bars for the rooms </t>
  </si>
  <si>
    <t xml:space="preserve">Safes for the rooms </t>
  </si>
  <si>
    <t xml:space="preserve">Hair Dryers </t>
  </si>
  <si>
    <t xml:space="preserve">Electric Kettles for the rooms </t>
  </si>
  <si>
    <t xml:space="preserve">Front office euipment </t>
  </si>
  <si>
    <t>CCTV &amp; Camera</t>
  </si>
  <si>
    <t xml:space="preserve">Intercom and Wi Fi System </t>
  </si>
  <si>
    <t xml:space="preserve">Gardening Tools and Equipments </t>
  </si>
  <si>
    <t>1. LAND</t>
  </si>
  <si>
    <t>Kitchen Equipments</t>
  </si>
  <si>
    <t xml:space="preserve">Restaurant </t>
  </si>
  <si>
    <t>Food &amp; Liquor Cost as % of Food &amp; Beverage Sale, Bar Sale</t>
  </si>
  <si>
    <t xml:space="preserve">Banquet </t>
  </si>
  <si>
    <t>Bar</t>
  </si>
  <si>
    <t>Stores</t>
  </si>
  <si>
    <t>Kitchen</t>
  </si>
  <si>
    <t>Pantry</t>
  </si>
  <si>
    <t>Time Office</t>
  </si>
  <si>
    <t>Security Office</t>
  </si>
  <si>
    <t>Administration Office</t>
  </si>
  <si>
    <t>Laundry Room</t>
  </si>
  <si>
    <t>Staff Changing room</t>
  </si>
  <si>
    <t>Rooms Category</t>
  </si>
  <si>
    <t>Rooms</t>
  </si>
  <si>
    <t>Room Rent</t>
  </si>
  <si>
    <t>Banquet Expenses % of Banquet Sale</t>
  </si>
  <si>
    <t>Front Office Manager</t>
  </si>
  <si>
    <t>Shift Incharge</t>
  </si>
  <si>
    <t>General Manager</t>
  </si>
  <si>
    <t>Assistant Chef</t>
  </si>
  <si>
    <t>Food &amp; Beverage Manager</t>
  </si>
  <si>
    <t>Bell Boys</t>
  </si>
  <si>
    <t>Conference/Banquet receipts</t>
  </si>
  <si>
    <t>Banquet Expenses (% of Banquet Sale)</t>
  </si>
  <si>
    <t>Sundry Debtors[=2 months Room &amp; Food Sale]</t>
  </si>
  <si>
    <t>Net Capital a/c</t>
  </si>
  <si>
    <t>Share Capital a/c</t>
  </si>
  <si>
    <t>Land</t>
  </si>
  <si>
    <t>Assitant Manager</t>
  </si>
  <si>
    <t>Mahecha Boutique Hotels Private Limited</t>
  </si>
  <si>
    <t>Mobile : 73740-00007              E-mail : vikrampratapsingh13@gmail.com</t>
  </si>
  <si>
    <t>Unsecured Loan</t>
  </si>
  <si>
    <t>Land [owned]</t>
  </si>
  <si>
    <t>\\mainpcs\E\Mahecha\Project/calculations</t>
  </si>
  <si>
    <t>Swimming pool</t>
  </si>
  <si>
    <t>Area ( In Sq Mtr )</t>
  </si>
  <si>
    <t>Share Capital</t>
  </si>
  <si>
    <t xml:space="preserve">Details of Equipments and Plant &amp; Machinery:                              </t>
  </si>
  <si>
    <t>Details of Furniture &amp; Furnishing [Rs. In lakhs]</t>
  </si>
  <si>
    <t xml:space="preserve"> L.S.</t>
  </si>
  <si>
    <t>Conference receipts/Banquet [ 10 events x 750 pax @ Rs. 1000/- per pax]</t>
  </si>
  <si>
    <t>Cost of Land including Regsitation &amp; Stamp duty (Rs. In lakhs)</t>
  </si>
  <si>
    <t>Air Conditioner (100 for rooms &amp; 15 for public area)</t>
  </si>
  <si>
    <t>DG set-850 KVA each</t>
  </si>
  <si>
    <t xml:space="preserve">Furniture </t>
  </si>
  <si>
    <t>L.S.</t>
  </si>
  <si>
    <t>Landscaping of Gardens &amp; Horticulture</t>
  </si>
  <si>
    <t xml:space="preserve">Calculation of BEP </t>
  </si>
  <si>
    <t>Fixed Costs</t>
  </si>
  <si>
    <t>Sales price per unit</t>
  </si>
  <si>
    <t>Variable price per unit</t>
  </si>
  <si>
    <t xml:space="preserve">Capacity </t>
  </si>
  <si>
    <t>BEP %</t>
  </si>
  <si>
    <t>CBEP[In units]</t>
  </si>
  <si>
    <t>CBEP%</t>
  </si>
  <si>
    <t xml:space="preserve">Calculation of ARR </t>
  </si>
  <si>
    <t>No. of years</t>
  </si>
  <si>
    <t>Total Net profit</t>
  </si>
  <si>
    <t>Average profit</t>
  </si>
  <si>
    <t>Initial cost</t>
  </si>
  <si>
    <t>ARR %</t>
  </si>
  <si>
    <t xml:space="preserve">BEP </t>
  </si>
  <si>
    <r>
      <t>Civil Work -</t>
    </r>
    <r>
      <rPr>
        <sz val="11"/>
        <rFont val="Times New Roman"/>
        <family val="1"/>
      </rPr>
      <t xml:space="preserve"> Hotel consisting of 100 rooms - with all related facilities as per area statement and cost estimate of architect attached</t>
    </r>
  </si>
  <si>
    <t>Lift</t>
  </si>
  <si>
    <t>ToL to TNW</t>
  </si>
  <si>
    <t xml:space="preserve">Initial Franchise fees payable to the Hotel Management Group </t>
  </si>
  <si>
    <t xml:space="preserve">Technical Service fees payable to the Hotel Management Group </t>
  </si>
  <si>
    <t xml:space="preserve">Preopening Initial Franchise fees payable to the Hotel Management Group </t>
  </si>
  <si>
    <t xml:space="preserve">Interest during construction period @ 9 % for 2 year on average balance of 15 crores </t>
  </si>
  <si>
    <t>Less: Dividends</t>
  </si>
  <si>
    <t>Royalty &amp; Marketing Service Fees to Hotel Management Company [ % of GRR ]</t>
  </si>
  <si>
    <t>Quality Circle Fee payable to Hotel Management Compnay USD 5,000</t>
  </si>
  <si>
    <t>Dividends</t>
  </si>
  <si>
    <t xml:space="preserve">Average DSCR </t>
  </si>
  <si>
    <t xml:space="preserve">Average Interest Coverage Ratio </t>
  </si>
  <si>
    <t xml:space="preserve">Total Outside Liabilites </t>
  </si>
  <si>
    <t>Average Security Coverage Ratio</t>
  </si>
  <si>
    <t>TOL/TNW</t>
  </si>
  <si>
    <t>DCCO</t>
  </si>
  <si>
    <t>Basis of Estimation ( For the full year of operations i.e FY 2026-27 )</t>
  </si>
  <si>
    <t>25-26 ( 6 months )</t>
  </si>
  <si>
    <t>26-27</t>
  </si>
  <si>
    <t>27-28</t>
  </si>
  <si>
    <t>28-29</t>
  </si>
  <si>
    <t>29-30</t>
  </si>
  <si>
    <t>30-31</t>
  </si>
  <si>
    <t>31-32</t>
  </si>
  <si>
    <t>32-33</t>
  </si>
  <si>
    <t>33-34</t>
  </si>
  <si>
    <t>Balance</t>
  </si>
  <si>
    <t>25-26 (182 days)</t>
  </si>
  <si>
    <t xml:space="preserve"> Tie-up / Franchise Fees [ Rs. In Lakhs]</t>
  </si>
  <si>
    <t xml:space="preserve">Tie up / Frnachise Fees to Operator Company </t>
  </si>
  <si>
    <t>Sub total</t>
  </si>
  <si>
    <t>Khasra No. 795/10, 796/10, 799/10 &amp; 803/10,  Village: Sinya, Gram Panchyat: Kariya, Tehsil: Kumbhalgarh, Dist.: Rajsamand</t>
  </si>
  <si>
    <t>24 bigha, 7 biswa &amp; 10 biswansi i.e 52,650 sq meters of land of the above khasras</t>
  </si>
  <si>
    <t>Add Tieup Exp.</t>
  </si>
  <si>
    <t>25 - 26
(6 Months)</t>
  </si>
  <si>
    <t>COST OF PROJECT OF HOTEL OF 100 ROOMS</t>
  </si>
  <si>
    <t>Khasra No. 795/10 &amp; others, Village: Sinya, Gram Panchyat: Kariya, Tehsil: Kumbhalgarh, Dist.: Rajsamand</t>
  </si>
  <si>
    <t>Cost as per audited balance sheet</t>
  </si>
  <si>
    <t>Administrative Exp. during the construction Period</t>
  </si>
  <si>
    <t xml:space="preserve">Preopening Advertisment &amp; Publicity Expenses </t>
  </si>
  <si>
    <t>2025-26 
(182 days)</t>
  </si>
  <si>
    <t>2026-27</t>
  </si>
  <si>
    <t>Total Networth [ share capital + unsecuredd loans]</t>
  </si>
  <si>
    <t xml:space="preserve">Interest Service Ratio = EBIDT/Interest </t>
  </si>
  <si>
    <t>Share Capital + Unsecured loan = Equity =D</t>
  </si>
  <si>
    <t>Unsecured Loan from Directors/Relatives</t>
  </si>
  <si>
    <t xml:space="preserve">Security Coverage ratio = (Collateral security Rs 8 Crores  +  All assets) / outstanding Loan </t>
  </si>
  <si>
    <t>Profit before tax but after Interest &amp; depreciation</t>
  </si>
  <si>
    <t>Unsecured Loan from Directors/ Relatives</t>
  </si>
  <si>
    <t>PNB 24.10.23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</si>
</sst>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64" formatCode="_-* #,##0.00_-;\-* #,##0.00_-;_-* &quot;-&quot;??_-;_-@_-"/>
    <numFmt numFmtId="165" formatCode="_(* #,##0.00_);_(* \(#,##0.00\);_(* &quot;-&quot;??_);_(@_)"/>
    <numFmt numFmtId="166" formatCode="_(* #,##0_);_(* \(#,##0\);_(* &quot;-&quot;??_);_(@_)"/>
  </numFmts>
  <fonts count="2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u/>
      <sz val="10"/>
      <color theme="10"/>
      <name val="Arial"/>
      <family val="2"/>
    </font>
    <font>
      <u/>
      <sz val="8"/>
      <color theme="10"/>
      <name val="Arial"/>
      <family val="2"/>
    </font>
    <font>
      <sz val="8"/>
      <name val="Times New Roman"/>
      <family val="1"/>
    </font>
    <font>
      <b/>
      <u/>
      <sz val="11"/>
      <name val="Times New Roman"/>
      <family val="1"/>
    </font>
    <font>
      <u/>
      <sz val="11"/>
      <color theme="10"/>
      <name val="Times New Roman"/>
      <family val="1"/>
    </font>
    <font>
      <sz val="11"/>
      <color rgb="FFFF0000"/>
      <name val="Times New Roman"/>
      <family val="1"/>
    </font>
    <font>
      <u/>
      <sz val="11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u/>
      <sz val="14"/>
      <name val="Times New Roman"/>
      <family val="1"/>
    </font>
    <font>
      <sz val="12"/>
      <name val="Times New Roman"/>
      <family val="1"/>
    </font>
    <font>
      <b/>
      <sz val="14"/>
      <name val="Arial"/>
      <family val="2"/>
    </font>
    <font>
      <sz val="10"/>
      <name val="Arial"/>
    </font>
    <font>
      <b/>
      <sz val="11"/>
      <name val="Cambria"/>
      <family val="1"/>
      <scheme val="major"/>
    </font>
    <font>
      <sz val="11"/>
      <name val="Cambria"/>
      <family val="1"/>
      <scheme val="major"/>
    </font>
    <font>
      <b/>
      <u/>
      <sz val="11"/>
      <name val="Cambria"/>
      <family val="1"/>
      <scheme val="major"/>
    </font>
    <font>
      <b/>
      <sz val="12"/>
      <name val="Cambria"/>
      <family val="1"/>
      <scheme val="major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9" fontId="19" fillId="0" borderId="0" applyFont="0" applyFill="0" applyBorder="0" applyAlignment="0" applyProtection="0"/>
  </cellStyleXfs>
  <cellXfs count="401">
    <xf numFmtId="0" fontId="0" fillId="0" borderId="0" xfId="0"/>
    <xf numFmtId="0" fontId="0" fillId="0" borderId="0" xfId="0" applyBorder="1"/>
    <xf numFmtId="0" fontId="2" fillId="0" borderId="0" xfId="1" applyNumberFormat="1" applyFont="1" applyBorder="1" applyAlignment="1">
      <alignment horizontal="center"/>
    </xf>
    <xf numFmtId="165" fontId="3" fillId="0" borderId="0" xfId="1" applyFont="1" applyBorder="1"/>
    <xf numFmtId="165" fontId="1" fillId="0" borderId="0" xfId="1" applyBorder="1"/>
    <xf numFmtId="165" fontId="1" fillId="0" borderId="0" xfId="1" applyFont="1" applyBorder="1"/>
    <xf numFmtId="165" fontId="2" fillId="0" borderId="0" xfId="1" applyFont="1" applyBorder="1"/>
    <xf numFmtId="165" fontId="2" fillId="0" borderId="0" xfId="1" applyNumberFormat="1" applyFont="1" applyBorder="1"/>
    <xf numFmtId="165" fontId="1" fillId="0" borderId="0" xfId="1" applyNumberFormat="1" applyBorder="1"/>
    <xf numFmtId="165" fontId="4" fillId="0" borderId="0" xfId="1" applyFont="1" applyBorder="1" applyAlignment="1">
      <alignment horizontal="center"/>
    </xf>
    <xf numFmtId="0" fontId="6" fillId="0" borderId="0" xfId="0" applyFont="1"/>
    <xf numFmtId="0" fontId="6" fillId="0" borderId="8" xfId="0" applyFont="1" applyBorder="1" applyAlignment="1">
      <alignment vertical="top" wrapText="1"/>
    </xf>
    <xf numFmtId="2" fontId="6" fillId="0" borderId="8" xfId="0" applyNumberFormat="1" applyFont="1" applyBorder="1" applyAlignment="1">
      <alignment horizontal="right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justify" vertical="top" wrapText="1"/>
    </xf>
    <xf numFmtId="2" fontId="5" fillId="0" borderId="8" xfId="0" applyNumberFormat="1" applyFont="1" applyBorder="1" applyAlignment="1">
      <alignment horizontal="right" vertical="top" wrapText="1"/>
    </xf>
    <xf numFmtId="0" fontId="6" fillId="0" borderId="8" xfId="0" applyFont="1" applyBorder="1"/>
    <xf numFmtId="0" fontId="5" fillId="0" borderId="8" xfId="0" applyFont="1" applyBorder="1" applyAlignment="1">
      <alignment vertical="top" wrapText="1"/>
    </xf>
    <xf numFmtId="0" fontId="6" fillId="0" borderId="0" xfId="0" applyFont="1" applyAlignment="1">
      <alignment horizontal="right"/>
    </xf>
    <xf numFmtId="0" fontId="6" fillId="0" borderId="11" xfId="0" applyFont="1" applyBorder="1" applyAlignment="1">
      <alignment horizontal="left"/>
    </xf>
    <xf numFmtId="0" fontId="6" fillId="0" borderId="0" xfId="0" applyFont="1" applyAlignment="1"/>
    <xf numFmtId="0" fontId="6" fillId="0" borderId="8" xfId="0" applyFont="1" applyBorder="1" applyAlignment="1">
      <alignment horizontal="right" vertical="top" wrapText="1"/>
    </xf>
    <xf numFmtId="0" fontId="6" fillId="0" borderId="8" xfId="0" applyFont="1" applyBorder="1" applyAlignment="1">
      <alignment wrapText="1"/>
    </xf>
    <xf numFmtId="2" fontId="6" fillId="0" borderId="8" xfId="0" applyNumberFormat="1" applyFont="1" applyBorder="1" applyAlignment="1"/>
    <xf numFmtId="2" fontId="6" fillId="0" borderId="8" xfId="0" applyNumberFormat="1" applyFont="1" applyFill="1" applyBorder="1" applyAlignment="1"/>
    <xf numFmtId="0" fontId="5" fillId="0" borderId="3" xfId="0" applyFont="1" applyBorder="1" applyAlignment="1">
      <alignment vertical="top" wrapText="1"/>
    </xf>
    <xf numFmtId="2" fontId="5" fillId="0" borderId="19" xfId="0" applyNumberFormat="1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8" xfId="0" applyFont="1" applyBorder="1" applyAlignment="1">
      <alignment horizontal="justify" vertical="top" wrapText="1"/>
    </xf>
    <xf numFmtId="0" fontId="6" fillId="0" borderId="8" xfId="0" applyFont="1" applyBorder="1" applyAlignment="1">
      <alignment horizontal="center" wrapText="1"/>
    </xf>
    <xf numFmtId="0" fontId="5" fillId="0" borderId="8" xfId="0" applyFont="1" applyBorder="1" applyAlignment="1">
      <alignment horizontal="center" vertical="top" wrapText="1"/>
    </xf>
    <xf numFmtId="0" fontId="9" fillId="0" borderId="0" xfId="0" applyFont="1" applyAlignment="1">
      <alignment horizontal="right"/>
    </xf>
    <xf numFmtId="0" fontId="6" fillId="0" borderId="8" xfId="0" applyFont="1" applyBorder="1" applyAlignment="1">
      <alignment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8" xfId="0" applyFont="1" applyBorder="1" applyAlignment="1">
      <alignment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3" fontId="5" fillId="0" borderId="8" xfId="0" applyNumberFormat="1" applyFont="1" applyBorder="1" applyAlignment="1">
      <alignment vertical="top" wrapText="1"/>
    </xf>
    <xf numFmtId="0" fontId="6" fillId="0" borderId="8" xfId="0" applyFont="1" applyBorder="1" applyAlignment="1">
      <alignment horizontal="center" vertical="top"/>
    </xf>
    <xf numFmtId="2" fontId="6" fillId="0" borderId="8" xfId="0" applyNumberFormat="1" applyFont="1" applyBorder="1" applyAlignment="1">
      <alignment vertical="top"/>
    </xf>
    <xf numFmtId="0" fontId="6" fillId="0" borderId="19" xfId="0" applyFont="1" applyBorder="1" applyAlignment="1">
      <alignment horizontal="center" vertical="center" wrapText="1"/>
    </xf>
    <xf numFmtId="2" fontId="6" fillId="0" borderId="8" xfId="0" applyNumberFormat="1" applyFont="1" applyFill="1" applyBorder="1" applyAlignment="1">
      <alignment vertical="top"/>
    </xf>
    <xf numFmtId="0" fontId="6" fillId="0" borderId="5" xfId="0" applyFont="1" applyBorder="1" applyAlignment="1">
      <alignment horizontal="left" vertical="top" wrapText="1"/>
    </xf>
    <xf numFmtId="0" fontId="6" fillId="0" borderId="8" xfId="0" applyFont="1" applyBorder="1" applyAlignment="1">
      <alignment vertical="top" wrapText="1"/>
    </xf>
    <xf numFmtId="0" fontId="6" fillId="0" borderId="5" xfId="0" applyFont="1" applyBorder="1" applyAlignment="1">
      <alignment horizontal="right" vertical="top" wrapText="1"/>
    </xf>
    <xf numFmtId="0" fontId="5" fillId="0" borderId="8" xfId="0" applyFont="1" applyBorder="1" applyAlignment="1">
      <alignment horizontal="right" vertical="top" wrapText="1"/>
    </xf>
    <xf numFmtId="0" fontId="8" fillId="0" borderId="4" xfId="2" applyFont="1" applyBorder="1" applyAlignment="1"/>
    <xf numFmtId="0" fontId="6" fillId="0" borderId="8" xfId="0" applyFont="1" applyBorder="1" applyAlignment="1">
      <alignment vertical="top"/>
    </xf>
    <xf numFmtId="2" fontId="6" fillId="0" borderId="8" xfId="0" applyNumberFormat="1" applyFont="1" applyBorder="1"/>
    <xf numFmtId="0" fontId="6" fillId="0" borderId="0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5" fillId="0" borderId="0" xfId="0" applyFont="1" applyAlignment="1"/>
    <xf numFmtId="0" fontId="5" fillId="0" borderId="0" xfId="0" applyFont="1"/>
    <xf numFmtId="0" fontId="5" fillId="0" borderId="0" xfId="0" applyFont="1" applyBorder="1"/>
    <xf numFmtId="0" fontId="5" fillId="0" borderId="2" xfId="0" applyFont="1" applyBorder="1"/>
    <xf numFmtId="0" fontId="6" fillId="0" borderId="11" xfId="0" applyFont="1" applyBorder="1" applyAlignment="1">
      <alignment horizontal="center"/>
    </xf>
    <xf numFmtId="0" fontId="5" fillId="0" borderId="11" xfId="0" applyFont="1" applyBorder="1"/>
    <xf numFmtId="0" fontId="6" fillId="0" borderId="8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6" xfId="0" applyFont="1" applyBorder="1"/>
    <xf numFmtId="2" fontId="6" fillId="0" borderId="6" xfId="0" applyNumberFormat="1" applyFont="1" applyBorder="1" applyAlignment="1">
      <alignment horizontal="right"/>
    </xf>
    <xf numFmtId="2" fontId="6" fillId="0" borderId="6" xfId="0" applyNumberFormat="1" applyFont="1" applyBorder="1"/>
    <xf numFmtId="2" fontId="5" fillId="0" borderId="8" xfId="0" applyNumberFormat="1" applyFont="1" applyBorder="1"/>
    <xf numFmtId="2" fontId="6" fillId="0" borderId="0" xfId="0" applyNumberFormat="1" applyFont="1"/>
    <xf numFmtId="0" fontId="10" fillId="0" borderId="0" xfId="0" applyFont="1" applyBorder="1"/>
    <xf numFmtId="0" fontId="6" fillId="0" borderId="6" xfId="0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Fill="1" applyBorder="1"/>
    <xf numFmtId="0" fontId="5" fillId="0" borderId="8" xfId="0" applyFont="1" applyBorder="1"/>
    <xf numFmtId="0" fontId="5" fillId="0" borderId="3" xfId="0" applyFont="1" applyBorder="1"/>
    <xf numFmtId="2" fontId="5" fillId="0" borderId="0" xfId="0" applyNumberFormat="1" applyFont="1" applyBorder="1"/>
    <xf numFmtId="0" fontId="6" fillId="0" borderId="0" xfId="0" applyFont="1" applyAlignment="1">
      <alignment horizontal="left" wrapText="1"/>
    </xf>
    <xf numFmtId="0" fontId="11" fillId="0" borderId="0" xfId="2" applyFont="1" applyAlignment="1">
      <alignment horizontal="left" wrapText="1"/>
    </xf>
    <xf numFmtId="0" fontId="5" fillId="0" borderId="5" xfId="0" applyFont="1" applyBorder="1" applyAlignment="1">
      <alignment horizontal="center"/>
    </xf>
    <xf numFmtId="0" fontId="5" fillId="0" borderId="8" xfId="1" applyNumberFormat="1" applyFont="1" applyBorder="1" applyAlignment="1">
      <alignment horizontal="center"/>
    </xf>
    <xf numFmtId="0" fontId="5" fillId="0" borderId="0" xfId="1" applyNumberFormat="1" applyFont="1" applyBorder="1" applyAlignment="1">
      <alignment horizontal="center"/>
    </xf>
    <xf numFmtId="0" fontId="5" fillId="0" borderId="9" xfId="0" applyFont="1" applyBorder="1"/>
    <xf numFmtId="0" fontId="6" fillId="0" borderId="9" xfId="0" applyFont="1" applyBorder="1" applyAlignment="1">
      <alignment horizontal="center" wrapText="1"/>
    </xf>
    <xf numFmtId="165" fontId="6" fillId="0" borderId="8" xfId="1" applyFont="1" applyBorder="1" applyAlignment="1">
      <alignment horizontal="left"/>
    </xf>
    <xf numFmtId="165" fontId="6" fillId="0" borderId="11" xfId="1" applyFont="1" applyBorder="1" applyAlignment="1">
      <alignment horizontal="left"/>
    </xf>
    <xf numFmtId="165" fontId="5" fillId="0" borderId="0" xfId="1" applyFont="1" applyBorder="1" applyAlignment="1">
      <alignment horizontal="left"/>
    </xf>
    <xf numFmtId="0" fontId="5" fillId="0" borderId="1" xfId="0" applyFont="1" applyBorder="1"/>
    <xf numFmtId="9" fontId="6" fillId="0" borderId="0" xfId="1" applyNumberFormat="1" applyFont="1" applyBorder="1"/>
    <xf numFmtId="9" fontId="6" fillId="0" borderId="6" xfId="1" applyNumberFormat="1" applyFont="1" applyBorder="1"/>
    <xf numFmtId="1" fontId="6" fillId="0" borderId="0" xfId="1" applyNumberFormat="1" applyFont="1" applyBorder="1"/>
    <xf numFmtId="0" fontId="10" fillId="0" borderId="1" xfId="0" applyFont="1" applyBorder="1"/>
    <xf numFmtId="166" fontId="6" fillId="0" borderId="6" xfId="1" applyNumberFormat="1" applyFont="1" applyBorder="1"/>
    <xf numFmtId="166" fontId="6" fillId="0" borderId="0" xfId="1" applyNumberFormat="1" applyFont="1" applyBorder="1"/>
    <xf numFmtId="0" fontId="10" fillId="0" borderId="6" xfId="0" applyFont="1" applyBorder="1"/>
    <xf numFmtId="165" fontId="6" fillId="0" borderId="6" xfId="1" applyFont="1" applyBorder="1"/>
    <xf numFmtId="165" fontId="6" fillId="0" borderId="0" xfId="1" applyNumberFormat="1" applyFont="1" applyBorder="1"/>
    <xf numFmtId="165" fontId="6" fillId="0" borderId="6" xfId="1" applyNumberFormat="1" applyFont="1" applyBorder="1"/>
    <xf numFmtId="165" fontId="6" fillId="0" borderId="0" xfId="1" applyFont="1" applyBorder="1"/>
    <xf numFmtId="165" fontId="6" fillId="0" borderId="1" xfId="1" applyNumberFormat="1" applyFont="1" applyBorder="1"/>
    <xf numFmtId="165" fontId="5" fillId="0" borderId="8" xfId="1" applyNumberFormat="1" applyFont="1" applyBorder="1"/>
    <xf numFmtId="0" fontId="5" fillId="0" borderId="6" xfId="0" applyFont="1" applyBorder="1"/>
    <xf numFmtId="9" fontId="6" fillId="0" borderId="6" xfId="0" applyNumberFormat="1" applyFont="1" applyBorder="1"/>
    <xf numFmtId="0" fontId="6" fillId="0" borderId="1" xfId="0" applyFont="1" applyFill="1" applyBorder="1"/>
    <xf numFmtId="165" fontId="5" fillId="0" borderId="8" xfId="1" applyNumberFormat="1" applyFont="1" applyBorder="1" applyAlignment="1"/>
    <xf numFmtId="2" fontId="5" fillId="0" borderId="1" xfId="0" applyNumberFormat="1" applyFont="1" applyBorder="1"/>
    <xf numFmtId="165" fontId="5" fillId="0" borderId="0" xfId="1" applyFont="1" applyBorder="1"/>
    <xf numFmtId="165" fontId="6" fillId="0" borderId="6" xfId="1" applyNumberFormat="1" applyFont="1" applyBorder="1" applyAlignment="1"/>
    <xf numFmtId="165" fontId="5" fillId="0" borderId="8" xfId="0" applyNumberFormat="1" applyFont="1" applyBorder="1" applyAlignment="1">
      <alignment horizontal="right"/>
    </xf>
    <xf numFmtId="165" fontId="5" fillId="0" borderId="0" xfId="1" applyFont="1"/>
    <xf numFmtId="165" fontId="6" fillId="0" borderId="0" xfId="0" applyNumberFormat="1" applyFont="1" applyBorder="1"/>
    <xf numFmtId="9" fontId="6" fillId="0" borderId="0" xfId="0" applyNumberFormat="1" applyFont="1" applyBorder="1"/>
    <xf numFmtId="43" fontId="6" fillId="0" borderId="0" xfId="0" applyNumberFormat="1" applyFont="1"/>
    <xf numFmtId="0" fontId="6" fillId="0" borderId="9" xfId="0" applyFont="1" applyBorder="1"/>
    <xf numFmtId="165" fontId="6" fillId="0" borderId="0" xfId="1" applyFont="1" applyBorder="1" applyAlignment="1">
      <alignment horizontal="center"/>
    </xf>
    <xf numFmtId="2" fontId="6" fillId="0" borderId="6" xfId="1" applyNumberFormat="1" applyFont="1" applyBorder="1"/>
    <xf numFmtId="2" fontId="6" fillId="0" borderId="0" xfId="1" applyNumberFormat="1" applyFont="1" applyBorder="1"/>
    <xf numFmtId="2" fontId="6" fillId="0" borderId="1" xfId="1" applyNumberFormat="1" applyFont="1" applyBorder="1"/>
    <xf numFmtId="2" fontId="6" fillId="0" borderId="5" xfId="1" applyNumberFormat="1" applyFont="1" applyBorder="1"/>
    <xf numFmtId="2" fontId="6" fillId="0" borderId="7" xfId="1" applyNumberFormat="1" applyFont="1" applyBorder="1"/>
    <xf numFmtId="2" fontId="6" fillId="0" borderId="11" xfId="0" applyNumberFormat="1" applyFont="1" applyBorder="1"/>
    <xf numFmtId="2" fontId="5" fillId="0" borderId="11" xfId="0" applyNumberFormat="1" applyFont="1" applyBorder="1"/>
    <xf numFmtId="2" fontId="6" fillId="0" borderId="1" xfId="0" applyNumberFormat="1" applyFont="1" applyBorder="1"/>
    <xf numFmtId="0" fontId="6" fillId="0" borderId="6" xfId="0" applyFont="1" applyBorder="1" applyAlignment="1">
      <alignment wrapText="1"/>
    </xf>
    <xf numFmtId="0" fontId="6" fillId="0" borderId="6" xfId="0" applyFont="1" applyBorder="1" applyAlignment="1">
      <alignment vertical="center"/>
    </xf>
    <xf numFmtId="2" fontId="6" fillId="0" borderId="6" xfId="0" applyNumberFormat="1" applyFont="1" applyBorder="1" applyAlignment="1">
      <alignment vertical="center"/>
    </xf>
    <xf numFmtId="2" fontId="12" fillId="0" borderId="5" xfId="1" applyNumberFormat="1" applyFont="1" applyBorder="1"/>
    <xf numFmtId="0" fontId="13" fillId="0" borderId="6" xfId="0" applyFont="1" applyBorder="1"/>
    <xf numFmtId="2" fontId="6" fillId="0" borderId="9" xfId="1" applyNumberFormat="1" applyFont="1" applyBorder="1"/>
    <xf numFmtId="2" fontId="6" fillId="0" borderId="10" xfId="1" applyNumberFormat="1" applyFont="1" applyBorder="1"/>
    <xf numFmtId="2" fontId="5" fillId="0" borderId="8" xfId="1" applyNumberFormat="1" applyFont="1" applyBorder="1"/>
    <xf numFmtId="2" fontId="5" fillId="0" borderId="3" xfId="1" applyNumberFormat="1" applyFont="1" applyBorder="1"/>
    <xf numFmtId="2" fontId="5" fillId="0" borderId="11" xfId="1" applyNumberFormat="1" applyFont="1" applyBorder="1"/>
    <xf numFmtId="2" fontId="6" fillId="0" borderId="18" xfId="1" applyNumberFormat="1" applyFont="1" applyBorder="1"/>
    <xf numFmtId="165" fontId="5" fillId="0" borderId="0" xfId="1" applyNumberFormat="1" applyFont="1" applyBorder="1"/>
    <xf numFmtId="2" fontId="6" fillId="0" borderId="5" xfId="0" applyNumberFormat="1" applyFont="1" applyBorder="1"/>
    <xf numFmtId="165" fontId="6" fillId="0" borderId="0" xfId="1" applyFont="1"/>
    <xf numFmtId="0" fontId="13" fillId="0" borderId="1" xfId="0" applyFont="1" applyBorder="1"/>
    <xf numFmtId="165" fontId="6" fillId="0" borderId="5" xfId="1" applyFont="1" applyBorder="1"/>
    <xf numFmtId="0" fontId="6" fillId="0" borderId="10" xfId="0" applyFont="1" applyBorder="1"/>
    <xf numFmtId="165" fontId="12" fillId="0" borderId="0" xfId="1" applyFont="1" applyBorder="1"/>
    <xf numFmtId="2" fontId="6" fillId="0" borderId="17" xfId="0" applyNumberFormat="1" applyFont="1" applyBorder="1"/>
    <xf numFmtId="43" fontId="6" fillId="0" borderId="0" xfId="0" applyNumberFormat="1" applyFont="1" applyBorder="1"/>
    <xf numFmtId="165" fontId="6" fillId="0" borderId="0" xfId="1" applyFont="1" applyAlignment="1"/>
    <xf numFmtId="10" fontId="5" fillId="0" borderId="0" xfId="0" applyNumberFormat="1" applyFont="1" applyAlignment="1"/>
    <xf numFmtId="0" fontId="6" fillId="0" borderId="0" xfId="0" applyFont="1" applyBorder="1" applyAlignment="1">
      <alignment horizontal="right"/>
    </xf>
    <xf numFmtId="0" fontId="13" fillId="0" borderId="4" xfId="0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2" fontId="6" fillId="0" borderId="9" xfId="0" applyNumberFormat="1" applyFont="1" applyBorder="1"/>
    <xf numFmtId="2" fontId="6" fillId="0" borderId="0" xfId="0" applyNumberFormat="1" applyFont="1" applyBorder="1"/>
    <xf numFmtId="0" fontId="13" fillId="0" borderId="5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5" xfId="0" applyFont="1" applyBorder="1"/>
    <xf numFmtId="2" fontId="5" fillId="0" borderId="0" xfId="0" applyNumberFormat="1" applyFont="1"/>
    <xf numFmtId="2" fontId="5" fillId="0" borderId="6" xfId="0" applyNumberFormat="1" applyFont="1" applyBorder="1"/>
    <xf numFmtId="0" fontId="5" fillId="0" borderId="6" xfId="0" applyFont="1" applyBorder="1" applyAlignment="1">
      <alignment vertical="center" wrapText="1"/>
    </xf>
    <xf numFmtId="0" fontId="5" fillId="0" borderId="0" xfId="0" applyFont="1" applyAlignment="1">
      <alignment vertical="top"/>
    </xf>
    <xf numFmtId="0" fontId="6" fillId="0" borderId="6" xfId="0" applyFont="1" applyBorder="1" applyAlignment="1">
      <alignment vertical="top" wrapText="1"/>
    </xf>
    <xf numFmtId="0" fontId="13" fillId="0" borderId="8" xfId="0" applyFont="1" applyBorder="1" applyAlignment="1">
      <alignment vertical="center" wrapText="1"/>
    </xf>
    <xf numFmtId="2" fontId="5" fillId="0" borderId="8" xfId="0" applyNumberFormat="1" applyFont="1" applyBorder="1" applyAlignment="1">
      <alignment horizontal="right" vertical="center" wrapText="1"/>
    </xf>
    <xf numFmtId="0" fontId="13" fillId="0" borderId="6" xfId="0" applyFont="1" applyBorder="1" applyAlignment="1">
      <alignment vertical="center" wrapText="1"/>
    </xf>
    <xf numFmtId="0" fontId="5" fillId="0" borderId="6" xfId="0" applyFont="1" applyBorder="1" applyAlignment="1">
      <alignment wrapText="1"/>
    </xf>
    <xf numFmtId="2" fontId="5" fillId="0" borderId="3" xfId="0" applyNumberFormat="1" applyFont="1" applyBorder="1"/>
    <xf numFmtId="0" fontId="15" fillId="0" borderId="0" xfId="0" applyFont="1"/>
    <xf numFmtId="0" fontId="14" fillId="0" borderId="8" xfId="0" applyFont="1" applyBorder="1"/>
    <xf numFmtId="0" fontId="15" fillId="0" borderId="8" xfId="0" applyFont="1" applyBorder="1"/>
    <xf numFmtId="165" fontId="15" fillId="0" borderId="0" xfId="1" applyFont="1"/>
    <xf numFmtId="0" fontId="14" fillId="0" borderId="1" xfId="0" applyFont="1" applyBorder="1"/>
    <xf numFmtId="0" fontId="14" fillId="0" borderId="8" xfId="0" applyFont="1" applyBorder="1" applyAlignment="1">
      <alignment horizontal="center" vertical="top" wrapText="1"/>
    </xf>
    <xf numFmtId="0" fontId="14" fillId="0" borderId="0" xfId="0" applyFont="1"/>
    <xf numFmtId="165" fontId="15" fillId="0" borderId="6" xfId="1" applyFont="1" applyBorder="1"/>
    <xf numFmtId="0" fontId="15" fillId="0" borderId="1" xfId="0" applyFont="1" applyBorder="1"/>
    <xf numFmtId="0" fontId="15" fillId="0" borderId="6" xfId="0" applyFont="1" applyBorder="1"/>
    <xf numFmtId="0" fontId="15" fillId="0" borderId="0" xfId="0" applyFont="1" applyBorder="1"/>
    <xf numFmtId="165" fontId="15" fillId="0" borderId="0" xfId="1" applyFont="1" applyBorder="1"/>
    <xf numFmtId="2" fontId="15" fillId="0" borderId="6" xfId="0" applyNumberFormat="1" applyFont="1" applyBorder="1"/>
    <xf numFmtId="0" fontId="16" fillId="0" borderId="0" xfId="0" applyFont="1" applyBorder="1"/>
    <xf numFmtId="0" fontId="14" fillId="0" borderId="0" xfId="0" applyFont="1" applyBorder="1" applyAlignment="1">
      <alignment horizontal="right"/>
    </xf>
    <xf numFmtId="165" fontId="15" fillId="0" borderId="12" xfId="1" applyFont="1" applyBorder="1" applyAlignment="1">
      <alignment vertical="top" wrapText="1"/>
    </xf>
    <xf numFmtId="0" fontId="15" fillId="0" borderId="16" xfId="0" applyFont="1" applyBorder="1"/>
    <xf numFmtId="0" fontId="15" fillId="0" borderId="0" xfId="0" applyFont="1" applyBorder="1" applyAlignment="1">
      <alignment vertical="top" wrapText="1"/>
    </xf>
    <xf numFmtId="9" fontId="15" fillId="0" borderId="0" xfId="0" applyNumberFormat="1" applyFont="1" applyBorder="1" applyAlignment="1">
      <alignment vertical="top" wrapText="1"/>
    </xf>
    <xf numFmtId="165" fontId="15" fillId="0" borderId="0" xfId="1" applyFont="1" applyBorder="1" applyAlignment="1">
      <alignment vertical="top" wrapText="1"/>
    </xf>
    <xf numFmtId="0" fontId="15" fillId="0" borderId="13" xfId="0" applyFont="1" applyBorder="1" applyAlignment="1">
      <alignment vertical="top" wrapText="1"/>
    </xf>
    <xf numFmtId="165" fontId="15" fillId="0" borderId="14" xfId="1" applyFont="1" applyBorder="1" applyAlignment="1">
      <alignment vertical="top" wrapText="1"/>
    </xf>
    <xf numFmtId="0" fontId="15" fillId="0" borderId="7" xfId="0" applyFont="1" applyBorder="1"/>
    <xf numFmtId="0" fontId="15" fillId="0" borderId="1" xfId="0" applyFont="1" applyBorder="1" applyAlignment="1">
      <alignment horizontal="center"/>
    </xf>
    <xf numFmtId="165" fontId="15" fillId="0" borderId="6" xfId="1" applyFont="1" applyBorder="1" applyAlignment="1">
      <alignment horizontal="right" vertical="top" wrapText="1"/>
    </xf>
    <xf numFmtId="0" fontId="15" fillId="0" borderId="9" xfId="0" applyFont="1" applyBorder="1" applyAlignment="1">
      <alignment horizontal="center"/>
    </xf>
    <xf numFmtId="165" fontId="15" fillId="0" borderId="5" xfId="1" applyFont="1" applyBorder="1"/>
    <xf numFmtId="165" fontId="15" fillId="0" borderId="6" xfId="0" applyNumberFormat="1" applyFont="1" applyBorder="1" applyAlignment="1">
      <alignment horizontal="right"/>
    </xf>
    <xf numFmtId="2" fontId="15" fillId="0" borderId="0" xfId="0" applyNumberFormat="1" applyFont="1" applyBorder="1"/>
    <xf numFmtId="2" fontId="15" fillId="0" borderId="9" xfId="0" applyNumberFormat="1" applyFont="1" applyBorder="1"/>
    <xf numFmtId="2" fontId="15" fillId="0" borderId="6" xfId="0" applyNumberFormat="1" applyFont="1" applyFill="1" applyBorder="1"/>
    <xf numFmtId="0" fontId="14" fillId="0" borderId="7" xfId="0" applyFont="1" applyBorder="1"/>
    <xf numFmtId="0" fontId="14" fillId="0" borderId="5" xfId="0" applyFont="1" applyBorder="1"/>
    <xf numFmtId="165" fontId="14" fillId="0" borderId="17" xfId="0" applyNumberFormat="1" applyFont="1" applyBorder="1"/>
    <xf numFmtId="2" fontId="14" fillId="0" borderId="5" xfId="0" applyNumberFormat="1" applyFont="1" applyBorder="1"/>
    <xf numFmtId="2" fontId="15" fillId="0" borderId="0" xfId="0" applyNumberFormat="1" applyFont="1"/>
    <xf numFmtId="2" fontId="14" fillId="0" borderId="8" xfId="0" applyNumberFormat="1" applyFont="1" applyBorder="1"/>
    <xf numFmtId="0" fontId="6" fillId="0" borderId="8" xfId="0" applyFont="1" applyBorder="1" applyAlignment="1">
      <alignment horizontal="justify" vertical="top" wrapText="1"/>
    </xf>
    <xf numFmtId="0" fontId="6" fillId="0" borderId="8" xfId="0" applyFont="1" applyBorder="1" applyAlignment="1">
      <alignment vertical="top" wrapText="1"/>
    </xf>
    <xf numFmtId="0" fontId="6" fillId="0" borderId="11" xfId="0" applyFont="1" applyBorder="1"/>
    <xf numFmtId="0" fontId="6" fillId="0" borderId="8" xfId="0" applyFont="1" applyBorder="1" applyAlignment="1">
      <alignment horizontal="left"/>
    </xf>
    <xf numFmtId="3" fontId="6" fillId="0" borderId="17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/>
    </xf>
    <xf numFmtId="0" fontId="6" fillId="0" borderId="19" xfId="0" applyFont="1" applyBorder="1" applyAlignment="1">
      <alignment horizontal="center" vertical="top" wrapText="1"/>
    </xf>
    <xf numFmtId="0" fontId="6" fillId="0" borderId="9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5" xfId="0" applyFont="1" applyBorder="1" applyAlignment="1">
      <alignment horizontal="center" wrapText="1"/>
    </xf>
    <xf numFmtId="0" fontId="5" fillId="0" borderId="8" xfId="0" applyFont="1" applyBorder="1" applyAlignment="1">
      <alignment horizontal="justify" vertical="center" wrapText="1"/>
    </xf>
    <xf numFmtId="0" fontId="6" fillId="0" borderId="19" xfId="0" applyFont="1" applyBorder="1" applyAlignment="1">
      <alignment horizontal="center" wrapText="1"/>
    </xf>
    <xf numFmtId="0" fontId="15" fillId="0" borderId="1" xfId="0" applyFont="1" applyFill="1" applyBorder="1"/>
    <xf numFmtId="165" fontId="6" fillId="0" borderId="9" xfId="1" applyNumberFormat="1" applyFont="1" applyBorder="1"/>
    <xf numFmtId="165" fontId="5" fillId="0" borderId="5" xfId="1" applyNumberFormat="1" applyFont="1" applyBorder="1"/>
    <xf numFmtId="2" fontId="6" fillId="0" borderId="8" xfId="0" applyNumberFormat="1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166" fontId="5" fillId="0" borderId="9" xfId="1" applyNumberFormat="1" applyFont="1" applyBorder="1" applyAlignment="1">
      <alignment horizontal="center"/>
    </xf>
    <xf numFmtId="166" fontId="5" fillId="0" borderId="2" xfId="1" applyNumberFormat="1" applyFont="1" applyBorder="1" applyAlignment="1">
      <alignment horizontal="center"/>
    </xf>
    <xf numFmtId="0" fontId="17" fillId="0" borderId="1" xfId="0" applyFont="1" applyBorder="1"/>
    <xf numFmtId="0" fontId="14" fillId="0" borderId="8" xfId="0" applyFont="1" applyFill="1" applyBorder="1"/>
    <xf numFmtId="165" fontId="15" fillId="0" borderId="9" xfId="1" applyFont="1" applyBorder="1"/>
    <xf numFmtId="165" fontId="5" fillId="0" borderId="1" xfId="1" applyNumberFormat="1" applyFont="1" applyBorder="1"/>
    <xf numFmtId="165" fontId="5" fillId="0" borderId="4" xfId="1" applyNumberFormat="1" applyFont="1" applyBorder="1"/>
    <xf numFmtId="165" fontId="6" fillId="0" borderId="0" xfId="1" applyNumberFormat="1" applyFont="1" applyFill="1" applyBorder="1"/>
    <xf numFmtId="2" fontId="6" fillId="0" borderId="18" xfId="0" applyNumberFormat="1" applyFont="1" applyBorder="1"/>
    <xf numFmtId="2" fontId="5" fillId="0" borderId="5" xfId="0" applyNumberFormat="1" applyFont="1" applyBorder="1"/>
    <xf numFmtId="2" fontId="6" fillId="0" borderId="3" xfId="0" applyNumberFormat="1" applyFont="1" applyBorder="1"/>
    <xf numFmtId="0" fontId="6" fillId="0" borderId="7" xfId="0" applyFont="1" applyBorder="1"/>
    <xf numFmtId="2" fontId="12" fillId="0" borderId="7" xfId="1" applyNumberFormat="1" applyFont="1" applyBorder="1"/>
    <xf numFmtId="2" fontId="6" fillId="0" borderId="7" xfId="0" applyNumberFormat="1" applyFont="1" applyBorder="1"/>
    <xf numFmtId="2" fontId="6" fillId="0" borderId="15" xfId="1" applyNumberFormat="1" applyFont="1" applyBorder="1"/>
    <xf numFmtId="2" fontId="12" fillId="0" borderId="4" xfId="1" applyNumberFormat="1" applyFont="1" applyBorder="1"/>
    <xf numFmtId="2" fontId="6" fillId="0" borderId="2" xfId="1" applyNumberFormat="1" applyFont="1" applyBorder="1"/>
    <xf numFmtId="2" fontId="12" fillId="0" borderId="18" xfId="1" applyNumberFormat="1" applyFont="1" applyBorder="1"/>
    <xf numFmtId="0" fontId="5" fillId="0" borderId="2" xfId="0" applyFont="1" applyBorder="1" applyAlignment="1"/>
    <xf numFmtId="165" fontId="14" fillId="0" borderId="19" xfId="1" applyFont="1" applyBorder="1" applyAlignment="1">
      <alignment horizontal="center" vertical="top" wrapText="1"/>
    </xf>
    <xf numFmtId="165" fontId="15" fillId="0" borderId="18" xfId="1" applyFont="1" applyBorder="1"/>
    <xf numFmtId="165" fontId="15" fillId="0" borderId="18" xfId="1" applyNumberFormat="1" applyFont="1" applyBorder="1"/>
    <xf numFmtId="0" fontId="15" fillId="0" borderId="18" xfId="0" applyFont="1" applyBorder="1"/>
    <xf numFmtId="165" fontId="15" fillId="0" borderId="18" xfId="1" applyFont="1" applyBorder="1" applyAlignment="1">
      <alignment vertical="top" wrapText="1"/>
    </xf>
    <xf numFmtId="165" fontId="15" fillId="0" borderId="17" xfId="1" applyFont="1" applyBorder="1" applyAlignment="1">
      <alignment vertical="top" wrapText="1"/>
    </xf>
    <xf numFmtId="0" fontId="14" fillId="0" borderId="19" xfId="0" applyFont="1" applyBorder="1"/>
    <xf numFmtId="9" fontId="15" fillId="0" borderId="18" xfId="0" applyNumberFormat="1" applyFont="1" applyBorder="1"/>
    <xf numFmtId="9" fontId="15" fillId="0" borderId="18" xfId="1" applyNumberFormat="1" applyFont="1" applyBorder="1"/>
    <xf numFmtId="0" fontId="15" fillId="0" borderId="18" xfId="1" applyNumberFormat="1" applyFont="1" applyBorder="1"/>
    <xf numFmtId="1" fontId="15" fillId="0" borderId="18" xfId="1" applyNumberFormat="1" applyFont="1" applyBorder="1"/>
    <xf numFmtId="0" fontId="16" fillId="0" borderId="1" xfId="0" applyFont="1" applyBorder="1"/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wrapText="1"/>
    </xf>
    <xf numFmtId="2" fontId="15" fillId="0" borderId="18" xfId="0" applyNumberFormat="1" applyFont="1" applyBorder="1"/>
    <xf numFmtId="2" fontId="15" fillId="0" borderId="18" xfId="0" applyNumberFormat="1" applyFont="1" applyFill="1" applyBorder="1"/>
    <xf numFmtId="0" fontId="14" fillId="0" borderId="7" xfId="0" applyFont="1" applyFill="1" applyBorder="1"/>
    <xf numFmtId="0" fontId="14" fillId="0" borderId="17" xfId="0" applyFont="1" applyBorder="1"/>
    <xf numFmtId="0" fontId="6" fillId="0" borderId="8" xfId="0" applyFont="1" applyBorder="1" applyAlignment="1">
      <alignment vertical="top" wrapText="1"/>
    </xf>
    <xf numFmtId="2" fontId="5" fillId="0" borderId="0" xfId="0" applyNumberFormat="1" applyFont="1" applyAlignment="1">
      <alignment horizontal="right"/>
    </xf>
    <xf numFmtId="0" fontId="5" fillId="0" borderId="3" xfId="0" applyFont="1" applyBorder="1" applyAlignment="1">
      <alignment horizontal="center" vertical="top" wrapText="1"/>
    </xf>
    <xf numFmtId="2" fontId="6" fillId="0" borderId="6" xfId="0" applyNumberFormat="1" applyFont="1" applyBorder="1" applyAlignment="1">
      <alignment wrapText="1"/>
    </xf>
    <xf numFmtId="0" fontId="6" fillId="0" borderId="8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2" fontId="5" fillId="0" borderId="0" xfId="0" applyNumberFormat="1" applyFont="1" applyBorder="1" applyAlignment="1">
      <alignment vertical="top" wrapText="1"/>
    </xf>
    <xf numFmtId="0" fontId="6" fillId="0" borderId="3" xfId="0" applyFont="1" applyBorder="1"/>
    <xf numFmtId="0" fontId="5" fillId="0" borderId="3" xfId="0" applyFont="1" applyBorder="1" applyAlignment="1">
      <alignment horizontal="right" vertical="top" wrapText="1"/>
    </xf>
    <xf numFmtId="2" fontId="5" fillId="0" borderId="3" xfId="0" applyNumberFormat="1" applyFont="1" applyBorder="1" applyAlignment="1">
      <alignment horizontal="right" vertical="top" wrapText="1"/>
    </xf>
    <xf numFmtId="0" fontId="6" fillId="0" borderId="2" xfId="0" applyFont="1" applyBorder="1"/>
    <xf numFmtId="0" fontId="5" fillId="0" borderId="2" xfId="0" applyFont="1" applyBorder="1" applyAlignment="1">
      <alignment horizontal="justify" vertical="center" wrapText="1"/>
    </xf>
    <xf numFmtId="2" fontId="5" fillId="0" borderId="2" xfId="0" applyNumberFormat="1" applyFont="1" applyBorder="1" applyAlignment="1">
      <alignment horizontal="right" vertical="center" wrapText="1"/>
    </xf>
    <xf numFmtId="0" fontId="6" fillId="0" borderId="8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1" fontId="6" fillId="0" borderId="0" xfId="0" applyNumberFormat="1" applyFont="1"/>
    <xf numFmtId="0" fontId="6" fillId="0" borderId="10" xfId="0" applyFont="1" applyBorder="1" applyAlignment="1">
      <alignment vertical="top" wrapText="1"/>
    </xf>
    <xf numFmtId="0" fontId="6" fillId="0" borderId="15" xfId="0" applyFont="1" applyBorder="1" applyAlignment="1">
      <alignment horizontal="center" vertical="top"/>
    </xf>
    <xf numFmtId="3" fontId="6" fillId="0" borderId="15" xfId="0" applyNumberFormat="1" applyFont="1" applyBorder="1" applyAlignment="1">
      <alignment horizontal="center" vertical="top"/>
    </xf>
    <xf numFmtId="3" fontId="6" fillId="0" borderId="19" xfId="0" applyNumberFormat="1" applyFont="1" applyBorder="1" applyAlignment="1">
      <alignment horizontal="center" vertical="top"/>
    </xf>
    <xf numFmtId="0" fontId="6" fillId="0" borderId="8" xfId="0" applyFont="1" applyBorder="1" applyAlignment="1">
      <alignment vertical="top" wrapText="1"/>
    </xf>
    <xf numFmtId="0" fontId="6" fillId="0" borderId="8" xfId="0" applyFont="1" applyBorder="1" applyAlignment="1">
      <alignment horizontal="center" vertical="top" wrapText="1"/>
    </xf>
    <xf numFmtId="165" fontId="14" fillId="0" borderId="17" xfId="1" applyFont="1" applyBorder="1" applyAlignment="1">
      <alignment vertical="top" wrapText="1"/>
    </xf>
    <xf numFmtId="0" fontId="15" fillId="0" borderId="20" xfId="0" applyFont="1" applyBorder="1" applyAlignment="1">
      <alignment vertical="top" wrapText="1"/>
    </xf>
    <xf numFmtId="0" fontId="15" fillId="0" borderId="21" xfId="0" applyFont="1" applyBorder="1" applyAlignment="1">
      <alignment vertical="top" wrapText="1"/>
    </xf>
    <xf numFmtId="165" fontId="15" fillId="0" borderId="21" xfId="1" applyFont="1" applyBorder="1" applyAlignment="1">
      <alignment vertical="top" wrapText="1"/>
    </xf>
    <xf numFmtId="165" fontId="15" fillId="0" borderId="22" xfId="1" applyFont="1" applyBorder="1" applyAlignment="1">
      <alignment vertical="top" wrapText="1"/>
    </xf>
    <xf numFmtId="0" fontId="16" fillId="0" borderId="11" xfId="0" applyFont="1" applyBorder="1"/>
    <xf numFmtId="0" fontId="15" fillId="0" borderId="3" xfId="0" applyFont="1" applyBorder="1"/>
    <xf numFmtId="0" fontId="15" fillId="0" borderId="19" xfId="0" applyFont="1" applyBorder="1"/>
    <xf numFmtId="165" fontId="15" fillId="0" borderId="19" xfId="1" applyFont="1" applyBorder="1"/>
    <xf numFmtId="0" fontId="15" fillId="0" borderId="11" xfId="0" applyFont="1" applyBorder="1"/>
    <xf numFmtId="0" fontId="15" fillId="0" borderId="0" xfId="0" applyFont="1" applyAlignment="1"/>
    <xf numFmtId="165" fontId="21" fillId="0" borderId="8" xfId="1" applyFont="1" applyBorder="1" applyAlignment="1">
      <alignment horizontal="left"/>
    </xf>
    <xf numFmtId="165" fontId="21" fillId="0" borderId="11" xfId="1" applyFont="1" applyBorder="1" applyAlignment="1">
      <alignment horizontal="left"/>
    </xf>
    <xf numFmtId="0" fontId="22" fillId="0" borderId="0" xfId="0" applyFont="1"/>
    <xf numFmtId="0" fontId="21" fillId="0" borderId="0" xfId="0" applyFont="1"/>
    <xf numFmtId="165" fontId="21" fillId="0" borderId="0" xfId="1" applyFont="1"/>
    <xf numFmtId="0" fontId="20" fillId="0" borderId="0" xfId="0" applyFont="1"/>
    <xf numFmtId="165" fontId="20" fillId="0" borderId="0" xfId="1" applyFont="1"/>
    <xf numFmtId="0" fontId="23" fillId="0" borderId="0" xfId="0" applyFont="1"/>
    <xf numFmtId="165" fontId="23" fillId="0" borderId="0" xfId="1" applyFont="1"/>
    <xf numFmtId="164" fontId="20" fillId="0" borderId="0" xfId="0" applyNumberFormat="1" applyFont="1"/>
    <xf numFmtId="9" fontId="21" fillId="0" borderId="0" xfId="3" applyFont="1"/>
    <xf numFmtId="10" fontId="21" fillId="0" borderId="0" xfId="3" applyNumberFormat="1" applyFont="1"/>
    <xf numFmtId="0" fontId="6" fillId="0" borderId="8" xfId="0" applyFont="1" applyBorder="1" applyAlignment="1">
      <alignment vertical="top" wrapText="1"/>
    </xf>
    <xf numFmtId="164" fontId="23" fillId="0" borderId="0" xfId="0" applyNumberFormat="1" applyFont="1"/>
    <xf numFmtId="2" fontId="6" fillId="0" borderId="19" xfId="0" applyNumberFormat="1" applyFont="1" applyBorder="1" applyAlignment="1">
      <alignment horizontal="right" vertical="center"/>
    </xf>
    <xf numFmtId="2" fontId="6" fillId="0" borderId="19" xfId="0" applyNumberFormat="1" applyFont="1" applyBorder="1" applyAlignment="1">
      <alignment horizontal="right" vertical="top"/>
    </xf>
    <xf numFmtId="0" fontId="6" fillId="0" borderId="19" xfId="0" applyFont="1" applyBorder="1" applyAlignment="1"/>
    <xf numFmtId="2" fontId="5" fillId="0" borderId="19" xfId="0" applyNumberFormat="1" applyFont="1" applyBorder="1" applyAlignment="1">
      <alignment horizontal="right" vertical="top"/>
    </xf>
    <xf numFmtId="0" fontId="6" fillId="0" borderId="8" xfId="0" applyFont="1" applyBorder="1" applyAlignment="1">
      <alignment horizontal="right" vertical="center"/>
    </xf>
    <xf numFmtId="0" fontId="6" fillId="0" borderId="8" xfId="0" applyFont="1" applyBorder="1" applyAlignment="1">
      <alignment horizontal="right" vertical="top"/>
    </xf>
    <xf numFmtId="0" fontId="15" fillId="0" borderId="1" xfId="0" applyFont="1" applyFill="1" applyBorder="1" applyAlignment="1">
      <alignment vertical="top" wrapText="1"/>
    </xf>
    <xf numFmtId="2" fontId="15" fillId="0" borderId="6" xfId="0" applyNumberFormat="1" applyFont="1" applyBorder="1" applyAlignment="1">
      <alignment vertical="top" wrapText="1"/>
    </xf>
    <xf numFmtId="9" fontId="15" fillId="0" borderId="1" xfId="0" applyNumberFormat="1" applyFont="1" applyBorder="1" applyAlignment="1">
      <alignment wrapText="1"/>
    </xf>
    <xf numFmtId="0" fontId="6" fillId="0" borderId="1" xfId="0" applyFont="1" applyFill="1" applyBorder="1" applyAlignment="1">
      <alignment vertical="top" wrapText="1"/>
    </xf>
    <xf numFmtId="2" fontId="0" fillId="0" borderId="0" xfId="0" applyNumberFormat="1"/>
    <xf numFmtId="2" fontId="0" fillId="0" borderId="0" xfId="0" applyNumberFormat="1" applyAlignment="1">
      <alignment vertical="top" wrapText="1"/>
    </xf>
    <xf numFmtId="0" fontId="5" fillId="0" borderId="0" xfId="0" applyFont="1" applyAlignment="1">
      <alignment horizontal="center"/>
    </xf>
    <xf numFmtId="0" fontId="6" fillId="0" borderId="8" xfId="0" applyFont="1" applyBorder="1" applyAlignment="1">
      <alignment vertical="top" wrapText="1"/>
    </xf>
    <xf numFmtId="0" fontId="5" fillId="0" borderId="9" xfId="0" applyFont="1" applyBorder="1" applyAlignment="1">
      <alignment horizontal="center" vertical="top" wrapText="1"/>
    </xf>
    <xf numFmtId="17" fontId="5" fillId="0" borderId="0" xfId="0" applyNumberFormat="1" applyFont="1" applyAlignment="1">
      <alignment horizontal="center"/>
    </xf>
    <xf numFmtId="0" fontId="6" fillId="0" borderId="8" xfId="0" applyFont="1" applyBorder="1" applyAlignment="1"/>
    <xf numFmtId="0" fontId="5" fillId="0" borderId="8" xfId="0" applyFont="1" applyBorder="1" applyAlignment="1">
      <alignment wrapText="1"/>
    </xf>
    <xf numFmtId="2" fontId="6" fillId="0" borderId="19" xfId="0" applyNumberFormat="1" applyFont="1" applyBorder="1" applyAlignment="1">
      <alignment horizontal="right" vertical="top" wrapText="1"/>
    </xf>
    <xf numFmtId="0" fontId="5" fillId="0" borderId="8" xfId="0" applyFont="1" applyFill="1" applyBorder="1" applyAlignment="1">
      <alignment horizontal="right" vertical="top" wrapText="1"/>
    </xf>
    <xf numFmtId="2" fontId="5" fillId="0" borderId="19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/>
    </xf>
    <xf numFmtId="0" fontId="5" fillId="0" borderId="8" xfId="0" applyFont="1" applyBorder="1" applyAlignment="1">
      <alignment horizontal="center" wrapText="1"/>
    </xf>
    <xf numFmtId="0" fontId="5" fillId="0" borderId="8" xfId="0" applyFont="1" applyBorder="1" applyAlignment="1">
      <alignment horizontal="left" indent="3"/>
    </xf>
    <xf numFmtId="0" fontId="6" fillId="2" borderId="11" xfId="0" applyFont="1" applyFill="1" applyBorder="1" applyAlignment="1">
      <alignment vertical="top" wrapText="1"/>
    </xf>
    <xf numFmtId="2" fontId="6" fillId="2" borderId="19" xfId="0" applyNumberFormat="1" applyFont="1" applyFill="1" applyBorder="1" applyAlignment="1">
      <alignment horizontal="right" vertical="top"/>
    </xf>
    <xf numFmtId="0" fontId="5" fillId="2" borderId="8" xfId="0" applyFont="1" applyFill="1" applyBorder="1" applyAlignment="1">
      <alignment wrapText="1"/>
    </xf>
    <xf numFmtId="0" fontId="6" fillId="2" borderId="0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11" fillId="0" borderId="0" xfId="2" applyFont="1" applyAlignment="1">
      <alignment horizontal="right"/>
    </xf>
    <xf numFmtId="0" fontId="24" fillId="0" borderId="0" xfId="0" applyFont="1" applyAlignment="1">
      <alignment horizontal="center"/>
    </xf>
    <xf numFmtId="0" fontId="11" fillId="0" borderId="0" xfId="2" applyFont="1" applyAlignment="1">
      <alignment horizontal="center"/>
    </xf>
    <xf numFmtId="0" fontId="6" fillId="0" borderId="0" xfId="0" applyFont="1" applyBorder="1" applyAlignment="1">
      <alignment horizontal="center" vertical="top" wrapText="1"/>
    </xf>
    <xf numFmtId="0" fontId="7" fillId="0" borderId="0" xfId="2" applyAlignment="1">
      <alignment horizontal="right"/>
    </xf>
    <xf numFmtId="0" fontId="8" fillId="0" borderId="0" xfId="2" applyFont="1" applyAlignment="1">
      <alignment horizontal="right"/>
    </xf>
    <xf numFmtId="0" fontId="6" fillId="0" borderId="11" xfId="0" applyFont="1" applyBorder="1" applyAlignment="1">
      <alignment horizontal="left" vertical="top" wrapText="1"/>
    </xf>
    <xf numFmtId="0" fontId="6" fillId="0" borderId="19" xfId="0" applyFont="1" applyBorder="1" applyAlignment="1">
      <alignment horizontal="left" vertical="top" wrapText="1"/>
    </xf>
    <xf numFmtId="0" fontId="18" fillId="0" borderId="0" xfId="0" applyFont="1" applyAlignment="1">
      <alignment horizontal="center"/>
    </xf>
    <xf numFmtId="0" fontId="6" fillId="0" borderId="8" xfId="0" applyNumberFormat="1" applyFont="1" applyBorder="1" applyAlignment="1">
      <alignment horizontal="left" vertical="top" wrapText="1"/>
    </xf>
    <xf numFmtId="0" fontId="6" fillId="0" borderId="11" xfId="0" applyFont="1" applyFill="1" applyBorder="1" applyAlignment="1">
      <alignment horizontal="right" vertical="top" wrapText="1"/>
    </xf>
    <xf numFmtId="0" fontId="6" fillId="0" borderId="3" xfId="0" applyFont="1" applyFill="1" applyBorder="1" applyAlignment="1">
      <alignment horizontal="right" vertical="top" wrapText="1"/>
    </xf>
    <xf numFmtId="0" fontId="6" fillId="0" borderId="19" xfId="0" applyFont="1" applyFill="1" applyBorder="1" applyAlignment="1">
      <alignment horizontal="right" vertical="top" wrapText="1"/>
    </xf>
    <xf numFmtId="0" fontId="5" fillId="0" borderId="0" xfId="0" applyFont="1" applyBorder="1" applyAlignment="1">
      <alignment horizontal="left" vertical="center"/>
    </xf>
    <xf numFmtId="0" fontId="6" fillId="0" borderId="0" xfId="0" applyFont="1" applyAlignment="1">
      <alignment horizontal="center" wrapText="1"/>
    </xf>
    <xf numFmtId="2" fontId="6" fillId="0" borderId="11" xfId="0" applyNumberFormat="1" applyFont="1" applyBorder="1" applyAlignment="1">
      <alignment horizontal="left" vertical="top" wrapText="1"/>
    </xf>
    <xf numFmtId="2" fontId="6" fillId="0" borderId="3" xfId="0" applyNumberFormat="1" applyFont="1" applyBorder="1" applyAlignment="1">
      <alignment horizontal="left" vertical="top" wrapText="1"/>
    </xf>
    <xf numFmtId="2" fontId="6" fillId="0" borderId="19" xfId="0" applyNumberFormat="1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11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19" xfId="0" applyFont="1" applyBorder="1" applyAlignment="1">
      <alignment horizontal="center" vertical="top"/>
    </xf>
    <xf numFmtId="0" fontId="6" fillId="2" borderId="11" xfId="0" applyFont="1" applyFill="1" applyBorder="1" applyAlignment="1">
      <alignment horizontal="left" vertical="top"/>
    </xf>
    <xf numFmtId="0" fontId="6" fillId="2" borderId="3" xfId="0" applyFont="1" applyFill="1" applyBorder="1" applyAlignment="1">
      <alignment horizontal="left" vertical="top"/>
    </xf>
    <xf numFmtId="0" fontId="6" fillId="2" borderId="19" xfId="0" applyFont="1" applyFill="1" applyBorder="1" applyAlignment="1">
      <alignment horizontal="left" vertical="top"/>
    </xf>
    <xf numFmtId="0" fontId="5" fillId="0" borderId="3" xfId="0" applyFont="1" applyBorder="1" applyAlignment="1">
      <alignment horizontal="left"/>
    </xf>
    <xf numFmtId="0" fontId="6" fillId="2" borderId="11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19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/>
    </xf>
    <xf numFmtId="0" fontId="6" fillId="0" borderId="1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top" wrapText="1"/>
    </xf>
    <xf numFmtId="0" fontId="6" fillId="0" borderId="8" xfId="0" applyFont="1" applyBorder="1" applyAlignment="1">
      <alignment horizontal="justify" vertical="top" wrapText="1"/>
    </xf>
    <xf numFmtId="0" fontId="6" fillId="0" borderId="8" xfId="0" applyFont="1" applyBorder="1" applyAlignment="1">
      <alignment vertical="top" wrapText="1"/>
    </xf>
    <xf numFmtId="0" fontId="5" fillId="0" borderId="2" xfId="0" applyFont="1" applyBorder="1" applyAlignment="1">
      <alignment horizontal="left"/>
    </xf>
    <xf numFmtId="0" fontId="14" fillId="0" borderId="0" xfId="0" applyFont="1" applyAlignment="1">
      <alignment horizontal="center"/>
    </xf>
    <xf numFmtId="0" fontId="14" fillId="0" borderId="1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9" xfId="0" applyFont="1" applyBorder="1" applyAlignment="1">
      <alignment horizontal="center" vertical="top" wrapText="1"/>
    </xf>
    <xf numFmtId="165" fontId="6" fillId="0" borderId="0" xfId="1" applyFont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right"/>
    </xf>
    <xf numFmtId="2" fontId="2" fillId="0" borderId="0" xfId="0" applyNumberFormat="1" applyFont="1" applyAlignment="1">
      <alignment horizontal="left" vertical="top" wrapText="1"/>
    </xf>
    <xf numFmtId="0" fontId="5" fillId="0" borderId="5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2" fontId="6" fillId="0" borderId="4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2" fontId="6" fillId="0" borderId="11" xfId="0" applyNumberFormat="1" applyFont="1" applyBorder="1" applyAlignment="1">
      <alignment horizontal="right"/>
    </xf>
    <xf numFmtId="2" fontId="6" fillId="0" borderId="19" xfId="0" applyNumberFormat="1" applyFont="1" applyBorder="1" applyAlignment="1">
      <alignment horizontal="right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2" fontId="6" fillId="0" borderId="11" xfId="0" applyNumberFormat="1" applyFont="1" applyBorder="1" applyAlignment="1">
      <alignment horizontal="center" vertical="center" wrapText="1"/>
    </xf>
    <xf numFmtId="2" fontId="6" fillId="0" borderId="19" xfId="0" applyNumberFormat="1" applyFont="1" applyBorder="1" applyAlignment="1">
      <alignment horizontal="center" vertical="center" wrapText="1"/>
    </xf>
    <xf numFmtId="0" fontId="24" fillId="0" borderId="0" xfId="0" applyFont="1"/>
    <xf numFmtId="165" fontId="21" fillId="0" borderId="0" xfId="1" applyNumberFormat="1" applyFont="1"/>
  </cellXfs>
  <cellStyles count="4">
    <cellStyle name="Comma" xfId="1" builtinId="3"/>
    <cellStyle name="Hyperlink" xfId="2" builtinId="8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../../../Mahecha/Project/calculation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view="pageBreakPreview" zoomScaleNormal="100" zoomScaleSheetLayoutView="100" workbookViewId="0">
      <selection activeCell="G4" sqref="G4"/>
    </sheetView>
  </sheetViews>
  <sheetFormatPr defaultRowHeight="15" x14ac:dyDescent="0.25"/>
  <cols>
    <col min="1" max="1" width="5" style="10" customWidth="1"/>
    <col min="2" max="2" width="45.140625" style="10" customWidth="1"/>
    <col min="3" max="3" width="15.85546875" style="10" customWidth="1"/>
    <col min="4" max="4" width="7.140625" style="10" customWidth="1"/>
    <col min="5" max="5" width="14" style="10" customWidth="1"/>
    <col min="6" max="16384" width="9.140625" style="10"/>
  </cols>
  <sheetData>
    <row r="1" spans="1:6" ht="15.75" x14ac:dyDescent="0.25">
      <c r="A1" s="333" t="s">
        <v>220</v>
      </c>
      <c r="B1" s="333"/>
      <c r="C1" s="333"/>
      <c r="D1" s="333"/>
      <c r="E1" s="399" t="s">
        <v>303</v>
      </c>
    </row>
    <row r="2" spans="1:6" ht="29.25" customHeight="1" x14ac:dyDescent="0.25">
      <c r="A2" s="337" t="s">
        <v>290</v>
      </c>
      <c r="B2" s="337"/>
      <c r="C2" s="337"/>
      <c r="D2" s="337"/>
      <c r="E2" s="337"/>
    </row>
    <row r="3" spans="1:6" ht="15" customHeight="1" x14ac:dyDescent="0.25">
      <c r="A3" s="337" t="s">
        <v>221</v>
      </c>
      <c r="B3" s="337"/>
      <c r="C3" s="337"/>
      <c r="D3" s="337"/>
      <c r="E3" s="337"/>
    </row>
    <row r="4" spans="1:6" x14ac:dyDescent="0.25">
      <c r="A4" s="49"/>
      <c r="B4" s="49"/>
      <c r="C4" s="49"/>
      <c r="F4" s="50"/>
    </row>
    <row r="5" spans="1:6" ht="15.75" x14ac:dyDescent="0.25">
      <c r="A5" s="335" t="s">
        <v>289</v>
      </c>
      <c r="B5" s="335"/>
      <c r="C5" s="335"/>
      <c r="D5" s="52"/>
      <c r="E5" s="52"/>
    </row>
    <row r="6" spans="1:6" x14ac:dyDescent="0.25">
      <c r="A6" s="326"/>
      <c r="B6" s="326"/>
      <c r="C6" s="326"/>
      <c r="D6" s="52"/>
      <c r="E6" s="52"/>
    </row>
    <row r="7" spans="1:6" x14ac:dyDescent="0.25">
      <c r="A7" s="52" t="s">
        <v>67</v>
      </c>
      <c r="B7" s="52"/>
      <c r="C7" s="53" t="s">
        <v>72</v>
      </c>
    </row>
    <row r="8" spans="1:6" x14ac:dyDescent="0.25">
      <c r="A8" s="52"/>
      <c r="B8" s="52"/>
      <c r="C8" s="54"/>
    </row>
    <row r="9" spans="1:6" x14ac:dyDescent="0.25">
      <c r="A9" s="55"/>
      <c r="B9" s="56" t="s">
        <v>43</v>
      </c>
      <c r="C9" s="57" t="s">
        <v>74</v>
      </c>
    </row>
    <row r="10" spans="1:6" x14ac:dyDescent="0.25">
      <c r="A10" s="58"/>
      <c r="B10" s="59"/>
      <c r="C10" s="60"/>
    </row>
    <row r="11" spans="1:6" x14ac:dyDescent="0.25">
      <c r="A11" s="58">
        <v>1</v>
      </c>
      <c r="B11" s="59" t="s">
        <v>223</v>
      </c>
      <c r="C11" s="61">
        <f>'Cost Break Up'!E7</f>
        <v>44.63</v>
      </c>
    </row>
    <row r="12" spans="1:6" x14ac:dyDescent="0.25">
      <c r="A12" s="58"/>
      <c r="B12" s="59"/>
      <c r="C12" s="60"/>
    </row>
    <row r="13" spans="1:6" x14ac:dyDescent="0.25">
      <c r="A13" s="58">
        <v>2</v>
      </c>
      <c r="B13" s="59" t="s">
        <v>75</v>
      </c>
      <c r="C13" s="62">
        <f>'Cost Break Up'!E22</f>
        <v>3070.37</v>
      </c>
    </row>
    <row r="14" spans="1:6" x14ac:dyDescent="0.25">
      <c r="A14" s="58"/>
      <c r="B14" s="59" t="s">
        <v>0</v>
      </c>
      <c r="C14" s="62" t="s">
        <v>0</v>
      </c>
    </row>
    <row r="15" spans="1:6" x14ac:dyDescent="0.25">
      <c r="A15" s="58">
        <v>3</v>
      </c>
      <c r="B15" s="59" t="s">
        <v>120</v>
      </c>
      <c r="C15" s="62">
        <f>'Cost Break Up'!E51</f>
        <v>420</v>
      </c>
    </row>
    <row r="16" spans="1:6" x14ac:dyDescent="0.25">
      <c r="A16" s="58"/>
      <c r="B16" s="59"/>
      <c r="C16" s="60"/>
    </row>
    <row r="17" spans="1:5" x14ac:dyDescent="0.25">
      <c r="A17" s="58">
        <v>4</v>
      </c>
      <c r="B17" s="59" t="s">
        <v>66</v>
      </c>
      <c r="C17" s="62">
        <f>'Cost Break Up'!E70</f>
        <v>350</v>
      </c>
    </row>
    <row r="18" spans="1:5" x14ac:dyDescent="0.25">
      <c r="A18" s="58"/>
      <c r="B18" s="59"/>
      <c r="C18" s="62"/>
    </row>
    <row r="19" spans="1:5" x14ac:dyDescent="0.25">
      <c r="A19" s="58">
        <v>5</v>
      </c>
      <c r="B19" s="59" t="s">
        <v>283</v>
      </c>
      <c r="C19" s="62">
        <f>'Cost Break Up'!E78</f>
        <v>115</v>
      </c>
    </row>
    <row r="20" spans="1:5" x14ac:dyDescent="0.25">
      <c r="A20" s="58"/>
      <c r="B20" s="59"/>
      <c r="C20" s="62" t="s">
        <v>0</v>
      </c>
    </row>
    <row r="21" spans="1:5" x14ac:dyDescent="0.25">
      <c r="A21" s="56"/>
      <c r="B21" s="56" t="s">
        <v>41</v>
      </c>
      <c r="C21" s="63">
        <f>SUM(C11:C20)</f>
        <v>4000</v>
      </c>
      <c r="D21" s="64"/>
      <c r="E21" s="64"/>
    </row>
    <row r="22" spans="1:5" x14ac:dyDescent="0.25">
      <c r="A22" s="60"/>
      <c r="B22" s="65"/>
      <c r="C22" s="60"/>
    </row>
    <row r="23" spans="1:5" x14ac:dyDescent="0.25">
      <c r="A23" s="60"/>
      <c r="B23" s="65" t="s">
        <v>68</v>
      </c>
      <c r="C23" s="66"/>
    </row>
    <row r="24" spans="1:5" x14ac:dyDescent="0.25">
      <c r="A24" s="60"/>
      <c r="B24" s="67"/>
      <c r="C24" s="60"/>
    </row>
    <row r="25" spans="1:5" x14ac:dyDescent="0.25">
      <c r="A25" s="66">
        <v>1</v>
      </c>
      <c r="B25" s="68" t="s">
        <v>55</v>
      </c>
      <c r="C25" s="62">
        <v>3000</v>
      </c>
      <c r="D25" s="273">
        <f>C25/C30*100</f>
        <v>75</v>
      </c>
    </row>
    <row r="26" spans="1:5" x14ac:dyDescent="0.25">
      <c r="A26" s="66"/>
      <c r="B26" s="67"/>
      <c r="C26" s="60"/>
      <c r="D26" s="273"/>
    </row>
    <row r="27" spans="1:5" x14ac:dyDescent="0.25">
      <c r="A27" s="66">
        <v>2</v>
      </c>
      <c r="B27" s="67" t="s">
        <v>222</v>
      </c>
      <c r="C27" s="62">
        <v>500</v>
      </c>
      <c r="D27" s="273"/>
    </row>
    <row r="28" spans="1:5" x14ac:dyDescent="0.25">
      <c r="A28" s="66"/>
      <c r="B28" s="67"/>
      <c r="C28" s="60"/>
      <c r="D28" s="273"/>
    </row>
    <row r="29" spans="1:5" x14ac:dyDescent="0.25">
      <c r="A29" s="66">
        <v>3</v>
      </c>
      <c r="B29" s="67" t="s">
        <v>227</v>
      </c>
      <c r="C29" s="62">
        <v>500</v>
      </c>
      <c r="D29" s="273">
        <f>C29/C30*100</f>
        <v>12.5</v>
      </c>
    </row>
    <row r="30" spans="1:5" x14ac:dyDescent="0.25">
      <c r="A30" s="69"/>
      <c r="B30" s="70" t="s">
        <v>41</v>
      </c>
      <c r="C30" s="63">
        <f>SUM(C22:C29)</f>
        <v>4000</v>
      </c>
      <c r="D30" s="273"/>
    </row>
    <row r="31" spans="1:5" x14ac:dyDescent="0.25">
      <c r="A31" s="53"/>
      <c r="B31" s="53"/>
      <c r="C31" s="71">
        <f>C21-C30</f>
        <v>0</v>
      </c>
    </row>
    <row r="32" spans="1:5" x14ac:dyDescent="0.25">
      <c r="A32" s="338" t="s">
        <v>224</v>
      </c>
      <c r="B32" s="339"/>
      <c r="C32" s="339"/>
      <c r="D32" s="339"/>
    </row>
    <row r="33" spans="2:5" x14ac:dyDescent="0.25">
      <c r="B33" s="72"/>
      <c r="C33" s="72"/>
    </row>
    <row r="34" spans="2:5" x14ac:dyDescent="0.25">
      <c r="B34" s="73"/>
      <c r="C34" s="72"/>
    </row>
    <row r="35" spans="2:5" x14ac:dyDescent="0.25">
      <c r="C35" s="336"/>
      <c r="D35" s="336"/>
    </row>
    <row r="36" spans="2:5" x14ac:dyDescent="0.25">
      <c r="B36" s="334"/>
      <c r="C36" s="334"/>
      <c r="D36" s="334"/>
      <c r="E36" s="20"/>
    </row>
  </sheetData>
  <mergeCells count="7">
    <mergeCell ref="A1:D1"/>
    <mergeCell ref="B36:D36"/>
    <mergeCell ref="A5:C5"/>
    <mergeCell ref="C35:D35"/>
    <mergeCell ref="A2:E2"/>
    <mergeCell ref="A32:D32"/>
    <mergeCell ref="A3:E3"/>
  </mergeCells>
  <phoneticPr fontId="0" type="noConversion"/>
  <hyperlinks>
    <hyperlink ref="A32" r:id="rId1"/>
  </hyperlinks>
  <pageMargins left="0.7" right="0.7" top="0.75" bottom="0.75" header="0.3" footer="0.3"/>
  <pageSetup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view="pageBreakPreview" topLeftCell="A70" zoomScaleNormal="100" zoomScaleSheetLayoutView="100" workbookViewId="0">
      <selection activeCell="E84" sqref="E84"/>
    </sheetView>
  </sheetViews>
  <sheetFormatPr defaultRowHeight="15" x14ac:dyDescent="0.25"/>
  <cols>
    <col min="1" max="1" width="6.7109375" style="10" customWidth="1"/>
    <col min="2" max="2" width="31.140625" style="10" customWidth="1"/>
    <col min="3" max="3" width="12" style="10" customWidth="1"/>
    <col min="4" max="4" width="16.5703125" style="10" customWidth="1"/>
    <col min="5" max="5" width="16.7109375" style="10" customWidth="1"/>
    <col min="6" max="6" width="9.140625" style="10" hidden="1" customWidth="1"/>
    <col min="7" max="7" width="0.85546875" style="10" customWidth="1"/>
    <col min="8" max="8" width="9.140625" style="10" hidden="1" customWidth="1"/>
    <col min="9" max="16384" width="9.140625" style="10"/>
  </cols>
  <sheetData>
    <row r="1" spans="1:8" ht="18" x14ac:dyDescent="0.25">
      <c r="A1" s="342" t="str">
        <f>Cost!A1</f>
        <v>Mahecha Boutique Hotels Private Limited</v>
      </c>
      <c r="B1" s="342"/>
      <c r="C1" s="342"/>
      <c r="D1" s="342"/>
      <c r="E1" s="342"/>
    </row>
    <row r="2" spans="1:8" ht="31.5" customHeight="1" x14ac:dyDescent="0.25">
      <c r="A2" s="348" t="str">
        <f>Cost!A2</f>
        <v>Khasra No. 795/10 &amp; others, Village: Sinya, Gram Panchyat: Kariya, Tehsil: Kumbhalgarh, Dist.: Rajsamand</v>
      </c>
      <c r="B2" s="348"/>
      <c r="C2" s="348"/>
      <c r="D2" s="348"/>
      <c r="E2" s="348"/>
    </row>
    <row r="3" spans="1:8" x14ac:dyDescent="0.25">
      <c r="A3" s="347" t="s">
        <v>189</v>
      </c>
      <c r="B3" s="347"/>
      <c r="C3" s="347"/>
      <c r="D3" s="18"/>
    </row>
    <row r="4" spans="1:8" ht="48" customHeight="1" x14ac:dyDescent="0.25">
      <c r="A4" s="32">
        <v>1</v>
      </c>
      <c r="B4" s="34" t="s">
        <v>123</v>
      </c>
      <c r="C4" s="343" t="s">
        <v>285</v>
      </c>
      <c r="D4" s="343"/>
      <c r="E4" s="343"/>
    </row>
    <row r="5" spans="1:8" ht="30.75" customHeight="1" x14ac:dyDescent="0.25">
      <c r="A5" s="44">
        <v>2</v>
      </c>
      <c r="B5" s="42" t="s">
        <v>226</v>
      </c>
      <c r="C5" s="349" t="s">
        <v>286</v>
      </c>
      <c r="D5" s="350"/>
      <c r="E5" s="351"/>
      <c r="G5" s="147"/>
      <c r="H5" s="147"/>
    </row>
    <row r="6" spans="1:8" ht="15.75" customHeight="1" x14ac:dyDescent="0.25">
      <c r="A6" s="256">
        <v>3</v>
      </c>
      <c r="B6" s="256" t="s">
        <v>179</v>
      </c>
      <c r="C6" s="344" t="s">
        <v>151</v>
      </c>
      <c r="D6" s="345"/>
      <c r="E6" s="346"/>
      <c r="G6" s="67"/>
      <c r="H6" s="67"/>
    </row>
    <row r="7" spans="1:8" ht="30.75" customHeight="1" x14ac:dyDescent="0.25">
      <c r="A7" s="278">
        <v>4</v>
      </c>
      <c r="B7" s="318" t="s">
        <v>232</v>
      </c>
      <c r="C7" s="340" t="s">
        <v>291</v>
      </c>
      <c r="D7" s="341"/>
      <c r="E7" s="324">
        <v>44.63</v>
      </c>
      <c r="G7" s="67"/>
      <c r="H7" s="67"/>
    </row>
    <row r="8" spans="1:8" ht="15" customHeight="1" x14ac:dyDescent="0.25">
      <c r="B8" s="52"/>
      <c r="C8" s="257"/>
      <c r="D8" s="257"/>
      <c r="E8" s="257"/>
    </row>
    <row r="9" spans="1:8" ht="15" customHeight="1" x14ac:dyDescent="0.25">
      <c r="A9" s="374" t="s">
        <v>124</v>
      </c>
      <c r="B9" s="374"/>
      <c r="C9" s="374"/>
    </row>
    <row r="10" spans="1:8" ht="15" customHeight="1" x14ac:dyDescent="0.25">
      <c r="A10" s="11" t="s">
        <v>103</v>
      </c>
      <c r="B10" s="11" t="s">
        <v>104</v>
      </c>
      <c r="C10" s="36" t="s">
        <v>168</v>
      </c>
      <c r="D10" s="35" t="s">
        <v>169</v>
      </c>
      <c r="E10" s="33" t="s">
        <v>157</v>
      </c>
    </row>
    <row r="11" spans="1:8" ht="60" x14ac:dyDescent="0.25">
      <c r="A11" s="11">
        <v>1</v>
      </c>
      <c r="B11" s="203" t="s">
        <v>253</v>
      </c>
      <c r="C11" s="37">
        <v>165718</v>
      </c>
      <c r="D11" s="202" t="s">
        <v>236</v>
      </c>
      <c r="E11" s="12">
        <v>2544.6799999999998</v>
      </c>
    </row>
    <row r="12" spans="1:8" ht="30" x14ac:dyDescent="0.25">
      <c r="A12" s="27">
        <v>2</v>
      </c>
      <c r="B12" s="199" t="s">
        <v>237</v>
      </c>
      <c r="C12" s="199"/>
      <c r="D12" s="38" t="s">
        <v>230</v>
      </c>
      <c r="E12" s="12">
        <v>50</v>
      </c>
    </row>
    <row r="13" spans="1:8" x14ac:dyDescent="0.25">
      <c r="A13" s="269">
        <v>3</v>
      </c>
      <c r="B13" s="274" t="s">
        <v>225</v>
      </c>
      <c r="C13" s="269"/>
      <c r="D13" s="275" t="s">
        <v>230</v>
      </c>
      <c r="E13" s="12">
        <v>30</v>
      </c>
    </row>
    <row r="14" spans="1:8" ht="15.75" customHeight="1" x14ac:dyDescent="0.25">
      <c r="A14" s="27">
        <v>4</v>
      </c>
      <c r="B14" s="204" t="s">
        <v>134</v>
      </c>
      <c r="C14" s="201"/>
      <c r="D14" s="276" t="s">
        <v>164</v>
      </c>
      <c r="E14" s="12">
        <v>70</v>
      </c>
    </row>
    <row r="15" spans="1:8" x14ac:dyDescent="0.25">
      <c r="A15" s="269">
        <v>5</v>
      </c>
      <c r="B15" s="19" t="s">
        <v>135</v>
      </c>
      <c r="C15" s="201"/>
      <c r="D15" s="277" t="s">
        <v>164</v>
      </c>
      <c r="E15" s="12">
        <v>25.21</v>
      </c>
    </row>
    <row r="16" spans="1:8" x14ac:dyDescent="0.25">
      <c r="A16" s="27">
        <v>6</v>
      </c>
      <c r="B16" s="200" t="s">
        <v>125</v>
      </c>
      <c r="C16" s="16"/>
      <c r="D16" s="277" t="s">
        <v>164</v>
      </c>
      <c r="E16" s="12">
        <v>15</v>
      </c>
    </row>
    <row r="17" spans="1:5" x14ac:dyDescent="0.25">
      <c r="A17" s="27"/>
      <c r="B17" s="356" t="s">
        <v>284</v>
      </c>
      <c r="C17" s="357"/>
      <c r="D17" s="358"/>
      <c r="E17" s="325">
        <f>SUM(E11:E16)</f>
        <v>2734.89</v>
      </c>
    </row>
    <row r="18" spans="1:5" x14ac:dyDescent="0.25">
      <c r="A18" s="329">
        <v>7</v>
      </c>
      <c r="B18" s="362" t="s">
        <v>292</v>
      </c>
      <c r="C18" s="363"/>
      <c r="D18" s="364"/>
      <c r="E18" s="330">
        <v>20</v>
      </c>
    </row>
    <row r="19" spans="1:5" x14ac:dyDescent="0.25">
      <c r="A19" s="329">
        <v>8</v>
      </c>
      <c r="B19" s="362" t="s">
        <v>159</v>
      </c>
      <c r="C19" s="363"/>
      <c r="D19" s="364"/>
      <c r="E19" s="330">
        <v>25</v>
      </c>
    </row>
    <row r="20" spans="1:5" x14ac:dyDescent="0.25">
      <c r="A20" s="329">
        <v>9</v>
      </c>
      <c r="B20" s="366" t="s">
        <v>259</v>
      </c>
      <c r="C20" s="367"/>
      <c r="D20" s="368"/>
      <c r="E20" s="330">
        <f>1500*0.09*2</f>
        <v>270</v>
      </c>
    </row>
    <row r="21" spans="1:5" x14ac:dyDescent="0.25">
      <c r="A21" s="27">
        <v>10</v>
      </c>
      <c r="B21" s="200" t="s">
        <v>127</v>
      </c>
      <c r="C21" s="16"/>
      <c r="D21" s="277"/>
      <c r="E21" s="323">
        <v>20.48</v>
      </c>
    </row>
    <row r="22" spans="1:5" x14ac:dyDescent="0.25">
      <c r="A22" s="260"/>
      <c r="B22" s="272" t="s">
        <v>106</v>
      </c>
      <c r="C22" s="17"/>
      <c r="D22" s="17"/>
      <c r="E22" s="26">
        <f>SUM(E17:E21)</f>
        <v>3070.37</v>
      </c>
    </row>
    <row r="23" spans="1:5" x14ac:dyDescent="0.25">
      <c r="A23" s="270"/>
      <c r="B23" s="271"/>
      <c r="C23" s="261"/>
      <c r="D23" s="261"/>
      <c r="E23" s="262"/>
    </row>
    <row r="24" spans="1:5" x14ac:dyDescent="0.25">
      <c r="A24" s="377" t="s">
        <v>228</v>
      </c>
      <c r="B24" s="377"/>
      <c r="C24" s="377"/>
      <c r="D24" s="20"/>
      <c r="E24" s="20"/>
    </row>
    <row r="25" spans="1:5" x14ac:dyDescent="0.25">
      <c r="A25" s="375" t="s">
        <v>105</v>
      </c>
      <c r="B25" s="376" t="s">
        <v>43</v>
      </c>
      <c r="C25" s="373" t="s">
        <v>152</v>
      </c>
      <c r="D25" s="373" t="s">
        <v>153</v>
      </c>
      <c r="E25" s="373" t="s">
        <v>158</v>
      </c>
    </row>
    <row r="26" spans="1:5" ht="5.25" customHeight="1" x14ac:dyDescent="0.25">
      <c r="A26" s="375"/>
      <c r="B26" s="376"/>
      <c r="C26" s="373"/>
      <c r="D26" s="373"/>
      <c r="E26" s="373"/>
    </row>
    <row r="27" spans="1:5" ht="15" hidden="1" customHeight="1" x14ac:dyDescent="0.25">
      <c r="A27" s="375"/>
      <c r="B27" s="376"/>
      <c r="C27" s="43"/>
      <c r="D27" s="373"/>
      <c r="E27" s="373"/>
    </row>
    <row r="28" spans="1:5" ht="30" x14ac:dyDescent="0.25">
      <c r="A28" s="21">
        <v>1</v>
      </c>
      <c r="B28" s="199" t="s">
        <v>233</v>
      </c>
      <c r="C28" s="205">
        <v>115</v>
      </c>
      <c r="D28" s="279">
        <v>55000</v>
      </c>
      <c r="E28" s="39">
        <f>D28*C28/100000</f>
        <v>63.25</v>
      </c>
    </row>
    <row r="29" spans="1:5" x14ac:dyDescent="0.25">
      <c r="A29" s="21">
        <v>2</v>
      </c>
      <c r="B29" s="206" t="s">
        <v>154</v>
      </c>
      <c r="C29" s="29">
        <v>350</v>
      </c>
      <c r="D29" s="279">
        <v>3000</v>
      </c>
      <c r="E29" s="23">
        <f>D29*C29/100000</f>
        <v>10.5</v>
      </c>
    </row>
    <row r="30" spans="1:5" x14ac:dyDescent="0.25">
      <c r="A30" s="21">
        <v>3</v>
      </c>
      <c r="B30" s="22" t="s">
        <v>138</v>
      </c>
      <c r="C30" s="29">
        <v>100</v>
      </c>
      <c r="D30" s="279">
        <v>12000</v>
      </c>
      <c r="E30" s="23">
        <f>D30*C30/100000</f>
        <v>12</v>
      </c>
    </row>
    <row r="31" spans="1:5" x14ac:dyDescent="0.25">
      <c r="A31" s="21">
        <v>4</v>
      </c>
      <c r="B31" s="22" t="s">
        <v>180</v>
      </c>
      <c r="C31" s="29">
        <v>110</v>
      </c>
      <c r="D31" s="279">
        <v>50000</v>
      </c>
      <c r="E31" s="23">
        <f>D31*C31/100000</f>
        <v>55</v>
      </c>
    </row>
    <row r="32" spans="1:5" x14ac:dyDescent="0.25">
      <c r="A32" s="21">
        <v>5</v>
      </c>
      <c r="B32" s="22" t="s">
        <v>181</v>
      </c>
      <c r="C32" s="29">
        <v>100</v>
      </c>
      <c r="D32" s="279">
        <v>11000</v>
      </c>
      <c r="E32" s="24">
        <f>C32*D32/100000</f>
        <v>11</v>
      </c>
    </row>
    <row r="33" spans="1:5" x14ac:dyDescent="0.25">
      <c r="A33" s="21">
        <v>6</v>
      </c>
      <c r="B33" s="22" t="s">
        <v>182</v>
      </c>
      <c r="C33" s="29">
        <v>100</v>
      </c>
      <c r="D33" s="279">
        <v>12000</v>
      </c>
      <c r="E33" s="23">
        <f>C33*D33/100000</f>
        <v>12</v>
      </c>
    </row>
    <row r="34" spans="1:5" x14ac:dyDescent="0.25">
      <c r="A34" s="21">
        <v>7</v>
      </c>
      <c r="B34" s="22" t="s">
        <v>183</v>
      </c>
      <c r="C34" s="29">
        <v>100</v>
      </c>
      <c r="D34" s="279">
        <v>2000</v>
      </c>
      <c r="E34" s="23">
        <f>C34*D34/100000</f>
        <v>2</v>
      </c>
    </row>
    <row r="35" spans="1:5" x14ac:dyDescent="0.25">
      <c r="A35" s="21">
        <v>8</v>
      </c>
      <c r="B35" s="22" t="s">
        <v>184</v>
      </c>
      <c r="C35" s="29">
        <v>100</v>
      </c>
      <c r="D35" s="279">
        <v>1500</v>
      </c>
      <c r="E35" s="23">
        <f>C35*D35/100000</f>
        <v>1.5</v>
      </c>
    </row>
    <row r="36" spans="1:5" x14ac:dyDescent="0.25">
      <c r="A36" s="47">
        <v>9</v>
      </c>
      <c r="B36" s="16" t="s">
        <v>185</v>
      </c>
      <c r="C36" s="57"/>
      <c r="D36" s="57" t="s">
        <v>155</v>
      </c>
      <c r="E36" s="23">
        <v>15</v>
      </c>
    </row>
    <row r="37" spans="1:5" x14ac:dyDescent="0.25">
      <c r="A37" s="21">
        <v>10</v>
      </c>
      <c r="B37" s="22" t="s">
        <v>136</v>
      </c>
      <c r="C37" s="29"/>
      <c r="D37" s="29" t="s">
        <v>155</v>
      </c>
      <c r="E37" s="24">
        <v>20</v>
      </c>
    </row>
    <row r="38" spans="1:5" ht="15" customHeight="1" x14ac:dyDescent="0.25">
      <c r="A38" s="21">
        <v>11</v>
      </c>
      <c r="B38" s="43" t="s">
        <v>143</v>
      </c>
      <c r="C38" s="29"/>
      <c r="D38" s="29" t="s">
        <v>155</v>
      </c>
      <c r="E38" s="41">
        <v>15</v>
      </c>
    </row>
    <row r="39" spans="1:5" x14ac:dyDescent="0.25">
      <c r="A39" s="43">
        <v>12</v>
      </c>
      <c r="B39" s="22" t="s">
        <v>142</v>
      </c>
      <c r="C39" s="29"/>
      <c r="D39" s="29" t="s">
        <v>155</v>
      </c>
      <c r="E39" s="24">
        <v>25</v>
      </c>
    </row>
    <row r="40" spans="1:5" x14ac:dyDescent="0.25">
      <c r="A40" s="21">
        <v>13</v>
      </c>
      <c r="B40" s="16" t="s">
        <v>187</v>
      </c>
      <c r="C40" s="16"/>
      <c r="D40" s="29" t="s">
        <v>155</v>
      </c>
      <c r="E40" s="48">
        <v>5</v>
      </c>
    </row>
    <row r="41" spans="1:5" ht="16.5" customHeight="1" x14ac:dyDescent="0.25">
      <c r="A41" s="43">
        <v>14</v>
      </c>
      <c r="B41" s="16" t="s">
        <v>188</v>
      </c>
      <c r="C41" s="16"/>
      <c r="D41" s="29" t="s">
        <v>155</v>
      </c>
      <c r="E41" s="48">
        <v>8</v>
      </c>
    </row>
    <row r="42" spans="1:5" ht="15" customHeight="1" x14ac:dyDescent="0.25">
      <c r="A42" s="21">
        <v>15</v>
      </c>
      <c r="B42" s="22" t="s">
        <v>165</v>
      </c>
      <c r="C42" s="29"/>
      <c r="D42" s="29" t="s">
        <v>155</v>
      </c>
      <c r="E42" s="24">
        <v>10</v>
      </c>
    </row>
    <row r="43" spans="1:5" x14ac:dyDescent="0.25">
      <c r="A43" s="43">
        <v>16</v>
      </c>
      <c r="B43" s="22" t="s">
        <v>186</v>
      </c>
      <c r="C43" s="29"/>
      <c r="D43" s="29" t="s">
        <v>155</v>
      </c>
      <c r="E43" s="24">
        <v>10</v>
      </c>
    </row>
    <row r="44" spans="1:5" ht="30" x14ac:dyDescent="0.25">
      <c r="A44" s="43">
        <v>17</v>
      </c>
      <c r="B44" s="22" t="s">
        <v>141</v>
      </c>
      <c r="C44" s="29"/>
      <c r="D44" s="29" t="s">
        <v>155</v>
      </c>
      <c r="E44" s="41">
        <v>35</v>
      </c>
    </row>
    <row r="45" spans="1:5" x14ac:dyDescent="0.25">
      <c r="A45" s="21">
        <v>18</v>
      </c>
      <c r="B45" s="22" t="s">
        <v>234</v>
      </c>
      <c r="C45" s="29">
        <v>2</v>
      </c>
      <c r="D45" s="29" t="s">
        <v>155</v>
      </c>
      <c r="E45" s="24">
        <v>25</v>
      </c>
    </row>
    <row r="46" spans="1:5" ht="30" x14ac:dyDescent="0.25">
      <c r="A46" s="43">
        <v>19</v>
      </c>
      <c r="B46" s="22" t="s">
        <v>137</v>
      </c>
      <c r="C46" s="29"/>
      <c r="D46" s="29" t="s">
        <v>155</v>
      </c>
      <c r="E46" s="24">
        <v>15</v>
      </c>
    </row>
    <row r="47" spans="1:5" x14ac:dyDescent="0.25">
      <c r="A47" s="43">
        <v>20</v>
      </c>
      <c r="B47" s="22" t="s">
        <v>190</v>
      </c>
      <c r="C47" s="29"/>
      <c r="D47" s="29" t="s">
        <v>155</v>
      </c>
      <c r="E47" s="24">
        <v>25</v>
      </c>
    </row>
    <row r="48" spans="1:5" ht="30" x14ac:dyDescent="0.25">
      <c r="A48" s="43">
        <v>21</v>
      </c>
      <c r="B48" s="22" t="s">
        <v>145</v>
      </c>
      <c r="C48" s="29"/>
      <c r="D48" s="29" t="s">
        <v>155</v>
      </c>
      <c r="E48" s="24">
        <v>20</v>
      </c>
    </row>
    <row r="49" spans="1:5" x14ac:dyDescent="0.25">
      <c r="A49" s="303">
        <v>22</v>
      </c>
      <c r="B49" s="22" t="s">
        <v>254</v>
      </c>
      <c r="C49" s="29">
        <v>2</v>
      </c>
      <c r="D49" s="29" t="s">
        <v>236</v>
      </c>
      <c r="E49" s="24">
        <v>18</v>
      </c>
    </row>
    <row r="50" spans="1:5" x14ac:dyDescent="0.25">
      <c r="A50" s="21">
        <v>23</v>
      </c>
      <c r="B50" s="22" t="s">
        <v>170</v>
      </c>
      <c r="C50" s="29"/>
      <c r="D50" s="29" t="s">
        <v>155</v>
      </c>
      <c r="E50" s="24">
        <v>6.75</v>
      </c>
    </row>
    <row r="51" spans="1:5" x14ac:dyDescent="0.25">
      <c r="A51" s="16"/>
      <c r="B51" s="17" t="s">
        <v>106</v>
      </c>
      <c r="C51" s="30"/>
      <c r="D51" s="45"/>
      <c r="E51" s="15">
        <f>SUM(E28:E50)</f>
        <v>420</v>
      </c>
    </row>
    <row r="52" spans="1:5" x14ac:dyDescent="0.25">
      <c r="A52" s="263"/>
      <c r="B52" s="25"/>
      <c r="C52" s="258"/>
      <c r="D52" s="264"/>
      <c r="E52" s="265"/>
    </row>
    <row r="53" spans="1:5" x14ac:dyDescent="0.25">
      <c r="A53" s="365" t="s">
        <v>229</v>
      </c>
      <c r="B53" s="365"/>
      <c r="C53" s="365"/>
      <c r="D53" s="365"/>
      <c r="E53" s="365"/>
    </row>
    <row r="54" spans="1:5" x14ac:dyDescent="0.25">
      <c r="A54" s="11" t="s">
        <v>126</v>
      </c>
      <c r="B54" s="14" t="s">
        <v>107</v>
      </c>
      <c r="C54" s="28" t="s">
        <v>156</v>
      </c>
      <c r="D54" s="33" t="s">
        <v>153</v>
      </c>
      <c r="E54" s="33" t="s">
        <v>157</v>
      </c>
    </row>
    <row r="55" spans="1:5" ht="15" customHeight="1" x14ac:dyDescent="0.25">
      <c r="A55" s="16">
        <v>1</v>
      </c>
      <c r="B55" s="22" t="s">
        <v>235</v>
      </c>
      <c r="C55" s="29">
        <v>100</v>
      </c>
      <c r="D55" s="38">
        <v>2.25</v>
      </c>
      <c r="E55" s="24">
        <f>C55*D55</f>
        <v>225</v>
      </c>
    </row>
    <row r="56" spans="1:5" x14ac:dyDescent="0.25">
      <c r="A56" s="16">
        <v>2</v>
      </c>
      <c r="B56" s="22" t="s">
        <v>191</v>
      </c>
      <c r="C56" s="29">
        <v>1</v>
      </c>
      <c r="D56" s="13" t="s">
        <v>155</v>
      </c>
      <c r="E56" s="23">
        <v>30</v>
      </c>
    </row>
    <row r="57" spans="1:5" x14ac:dyDescent="0.25">
      <c r="A57" s="16">
        <v>3</v>
      </c>
      <c r="B57" s="22" t="s">
        <v>193</v>
      </c>
      <c r="C57" s="29">
        <v>1</v>
      </c>
      <c r="D57" s="13" t="s">
        <v>155</v>
      </c>
      <c r="E57" s="23">
        <v>20</v>
      </c>
    </row>
    <row r="58" spans="1:5" x14ac:dyDescent="0.25">
      <c r="A58" s="16">
        <v>4</v>
      </c>
      <c r="B58" s="22" t="s">
        <v>194</v>
      </c>
      <c r="C58" s="29">
        <v>1</v>
      </c>
      <c r="D58" s="13" t="s">
        <v>155</v>
      </c>
      <c r="E58" s="23">
        <v>15</v>
      </c>
    </row>
    <row r="59" spans="1:5" x14ac:dyDescent="0.25">
      <c r="A59" s="16">
        <v>8</v>
      </c>
      <c r="B59" s="198" t="s">
        <v>195</v>
      </c>
      <c r="C59" s="210">
        <v>1</v>
      </c>
      <c r="D59" s="13" t="s">
        <v>155</v>
      </c>
      <c r="E59" s="23">
        <v>5</v>
      </c>
    </row>
    <row r="60" spans="1:5" x14ac:dyDescent="0.25">
      <c r="A60" s="16">
        <v>9</v>
      </c>
      <c r="B60" s="198" t="s">
        <v>196</v>
      </c>
      <c r="C60" s="210">
        <v>1</v>
      </c>
      <c r="D60" s="13" t="s">
        <v>155</v>
      </c>
      <c r="E60" s="23">
        <v>15</v>
      </c>
    </row>
    <row r="61" spans="1:5" x14ac:dyDescent="0.25">
      <c r="A61" s="16">
        <v>10</v>
      </c>
      <c r="B61" s="198" t="s">
        <v>197</v>
      </c>
      <c r="C61" s="210">
        <v>1</v>
      </c>
      <c r="D61" s="13" t="s">
        <v>155</v>
      </c>
      <c r="E61" s="23">
        <v>3</v>
      </c>
    </row>
    <row r="62" spans="1:5" x14ac:dyDescent="0.25">
      <c r="A62" s="16">
        <v>11</v>
      </c>
      <c r="B62" s="198" t="s">
        <v>198</v>
      </c>
      <c r="C62" s="210">
        <v>1</v>
      </c>
      <c r="D62" s="13" t="s">
        <v>155</v>
      </c>
      <c r="E62" s="23">
        <v>4</v>
      </c>
    </row>
    <row r="63" spans="1:5" x14ac:dyDescent="0.25">
      <c r="A63" s="16">
        <v>12</v>
      </c>
      <c r="B63" s="198" t="s">
        <v>199</v>
      </c>
      <c r="C63" s="210">
        <v>1</v>
      </c>
      <c r="D63" s="13" t="s">
        <v>155</v>
      </c>
      <c r="E63" s="23">
        <v>3</v>
      </c>
    </row>
    <row r="64" spans="1:5" x14ac:dyDescent="0.25">
      <c r="A64" s="16">
        <v>13</v>
      </c>
      <c r="B64" s="198" t="s">
        <v>200</v>
      </c>
      <c r="C64" s="210">
        <v>1</v>
      </c>
      <c r="D64" s="13" t="s">
        <v>155</v>
      </c>
      <c r="E64" s="23">
        <v>2.5</v>
      </c>
    </row>
    <row r="65" spans="1:6" x14ac:dyDescent="0.25">
      <c r="A65" s="16">
        <v>14</v>
      </c>
      <c r="B65" s="198" t="s">
        <v>201</v>
      </c>
      <c r="C65" s="210">
        <v>1</v>
      </c>
      <c r="D65" s="13" t="s">
        <v>155</v>
      </c>
      <c r="E65" s="23">
        <v>3</v>
      </c>
    </row>
    <row r="66" spans="1:6" x14ac:dyDescent="0.25">
      <c r="A66" s="16">
        <v>15</v>
      </c>
      <c r="B66" s="198" t="s">
        <v>202</v>
      </c>
      <c r="C66" s="210">
        <v>1</v>
      </c>
      <c r="D66" s="13" t="s">
        <v>155</v>
      </c>
      <c r="E66" s="23">
        <v>3</v>
      </c>
    </row>
    <row r="67" spans="1:6" x14ac:dyDescent="0.25">
      <c r="A67" s="16">
        <v>16</v>
      </c>
      <c r="B67" s="22" t="s">
        <v>139</v>
      </c>
      <c r="C67" s="29">
        <v>1</v>
      </c>
      <c r="D67" s="13" t="s">
        <v>155</v>
      </c>
      <c r="E67" s="24">
        <v>4</v>
      </c>
    </row>
    <row r="68" spans="1:6" x14ac:dyDescent="0.25">
      <c r="A68" s="16">
        <v>17</v>
      </c>
      <c r="B68" s="22" t="s">
        <v>140</v>
      </c>
      <c r="C68" s="29">
        <v>1</v>
      </c>
      <c r="D68" s="13" t="s">
        <v>155</v>
      </c>
      <c r="E68" s="23">
        <v>5</v>
      </c>
    </row>
    <row r="69" spans="1:6" x14ac:dyDescent="0.25">
      <c r="A69" s="16">
        <v>18</v>
      </c>
      <c r="B69" s="207" t="s">
        <v>166</v>
      </c>
      <c r="C69" s="208"/>
      <c r="D69" s="143" t="s">
        <v>155</v>
      </c>
      <c r="E69" s="23">
        <v>12</v>
      </c>
    </row>
    <row r="70" spans="1:6" x14ac:dyDescent="0.25">
      <c r="A70" s="16"/>
      <c r="B70" s="209" t="s">
        <v>12</v>
      </c>
      <c r="C70" s="209"/>
      <c r="D70" s="209"/>
      <c r="E70" s="157">
        <f>ROUND(SUM(E55:E69),0)</f>
        <v>350</v>
      </c>
    </row>
    <row r="71" spans="1:6" x14ac:dyDescent="0.25">
      <c r="A71" s="266"/>
      <c r="B71" s="267"/>
      <c r="C71" s="267"/>
      <c r="D71" s="267"/>
      <c r="E71" s="268"/>
    </row>
    <row r="72" spans="1:6" x14ac:dyDescent="0.25">
      <c r="A72" s="369" t="s">
        <v>282</v>
      </c>
      <c r="B72" s="369"/>
      <c r="C72" s="369"/>
      <c r="D72" s="369"/>
      <c r="E72" s="369"/>
    </row>
    <row r="73" spans="1:6" ht="21.75" customHeight="1" x14ac:dyDescent="0.25">
      <c r="A73" s="13" t="s">
        <v>126</v>
      </c>
      <c r="B73" s="370" t="s">
        <v>43</v>
      </c>
      <c r="C73" s="371"/>
      <c r="D73" s="372"/>
      <c r="E73" s="40" t="s">
        <v>1</v>
      </c>
    </row>
    <row r="74" spans="1:6" ht="15.75" customHeight="1" x14ac:dyDescent="0.25">
      <c r="A74" s="309">
        <v>1</v>
      </c>
      <c r="B74" s="352" t="s">
        <v>256</v>
      </c>
      <c r="C74" s="353"/>
      <c r="D74" s="354"/>
      <c r="E74" s="305">
        <v>40</v>
      </c>
    </row>
    <row r="75" spans="1:6" ht="15.75" customHeight="1" x14ac:dyDescent="0.25">
      <c r="A75" s="309">
        <v>2</v>
      </c>
      <c r="B75" s="352" t="s">
        <v>257</v>
      </c>
      <c r="C75" s="353"/>
      <c r="D75" s="354"/>
      <c r="E75" s="305">
        <v>40</v>
      </c>
    </row>
    <row r="76" spans="1:6" ht="32.25" customHeight="1" x14ac:dyDescent="0.25">
      <c r="A76" s="309">
        <v>3</v>
      </c>
      <c r="B76" s="340" t="s">
        <v>258</v>
      </c>
      <c r="C76" s="355"/>
      <c r="D76" s="341"/>
      <c r="E76" s="305">
        <v>20</v>
      </c>
    </row>
    <row r="77" spans="1:6" ht="15.75" customHeight="1" x14ac:dyDescent="0.25">
      <c r="A77" s="310">
        <v>4</v>
      </c>
      <c r="B77" s="352" t="s">
        <v>293</v>
      </c>
      <c r="C77" s="353"/>
      <c r="D77" s="354"/>
      <c r="E77" s="306">
        <v>15</v>
      </c>
    </row>
    <row r="78" spans="1:6" x14ac:dyDescent="0.25">
      <c r="A78" s="307"/>
      <c r="B78" s="359" t="s">
        <v>74</v>
      </c>
      <c r="C78" s="360"/>
      <c r="D78" s="361"/>
      <c r="E78" s="308">
        <f>SUM(E74:E77)</f>
        <v>115</v>
      </c>
    </row>
    <row r="79" spans="1:6" x14ac:dyDescent="0.25">
      <c r="B79" s="46"/>
      <c r="C79" s="46"/>
      <c r="D79" s="46"/>
      <c r="E79" s="31"/>
      <c r="F79" s="31"/>
    </row>
  </sheetData>
  <mergeCells count="26">
    <mergeCell ref="A9:C9"/>
    <mergeCell ref="A25:A27"/>
    <mergeCell ref="B25:B27"/>
    <mergeCell ref="D25:D27"/>
    <mergeCell ref="C25:C26"/>
    <mergeCell ref="A24:C24"/>
    <mergeCell ref="B74:D74"/>
    <mergeCell ref="B75:D75"/>
    <mergeCell ref="B76:D76"/>
    <mergeCell ref="B17:D17"/>
    <mergeCell ref="B78:D78"/>
    <mergeCell ref="B77:D77"/>
    <mergeCell ref="B18:D18"/>
    <mergeCell ref="B19:D19"/>
    <mergeCell ref="A53:E53"/>
    <mergeCell ref="B20:D20"/>
    <mergeCell ref="A72:E72"/>
    <mergeCell ref="B73:D73"/>
    <mergeCell ref="E25:E27"/>
    <mergeCell ref="C7:D7"/>
    <mergeCell ref="A1:E1"/>
    <mergeCell ref="C4:E4"/>
    <mergeCell ref="C6:E6"/>
    <mergeCell ref="A3:C3"/>
    <mergeCell ref="A2:E2"/>
    <mergeCell ref="C5:E5"/>
  </mergeCells>
  <pageMargins left="0.27559055118110237" right="0" top="0.51181102362204722" bottom="0" header="0.31496062992125984" footer="0.23622047244094491"/>
  <pageSetup paperSize="9" scale="98" fitToWidth="2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6"/>
  <sheetViews>
    <sheetView view="pageBreakPreview" topLeftCell="A10" zoomScale="85" zoomScaleNormal="90" zoomScaleSheetLayoutView="85" workbookViewId="0">
      <selection activeCell="G63" sqref="G63"/>
    </sheetView>
  </sheetViews>
  <sheetFormatPr defaultRowHeight="18.75" x14ac:dyDescent="0.3"/>
  <cols>
    <col min="1" max="1" width="48.85546875" style="161" customWidth="1"/>
    <col min="2" max="2" width="13.28515625" style="161" customWidth="1"/>
    <col min="3" max="3" width="16.28515625" style="161" customWidth="1"/>
    <col min="4" max="4" width="18.28515625" style="161" customWidth="1"/>
    <col min="5" max="5" width="10.140625" style="161" hidden="1" customWidth="1"/>
    <col min="6" max="6" width="14.7109375" style="161" hidden="1" customWidth="1"/>
    <col min="7" max="7" width="11.85546875" style="161" customWidth="1"/>
    <col min="8" max="8" width="13.85546875" style="161" customWidth="1"/>
    <col min="9" max="16384" width="9.140625" style="161"/>
  </cols>
  <sheetData>
    <row r="1" spans="1:7" x14ac:dyDescent="0.3">
      <c r="A1" s="378" t="str">
        <f>'Cost Break Up'!A1:D1</f>
        <v>Mahecha Boutique Hotels Private Limited</v>
      </c>
      <c r="B1" s="378"/>
      <c r="C1" s="378"/>
      <c r="D1" s="378"/>
      <c r="E1" s="378"/>
      <c r="F1" s="378"/>
      <c r="G1" s="378"/>
    </row>
    <row r="2" spans="1:7" x14ac:dyDescent="0.3">
      <c r="A2" s="378" t="str">
        <f>Cost!A2</f>
        <v>Khasra No. 795/10 &amp; others, Village: Sinya, Gram Panchyat: Kariya, Tehsil: Kumbhalgarh, Dist.: Rajsamand</v>
      </c>
      <c r="B2" s="378"/>
      <c r="C2" s="378"/>
      <c r="D2" s="378"/>
      <c r="E2" s="378"/>
      <c r="F2" s="378"/>
      <c r="G2" s="378"/>
    </row>
    <row r="3" spans="1:7" x14ac:dyDescent="0.3">
      <c r="A3" s="378" t="s">
        <v>270</v>
      </c>
      <c r="B3" s="378"/>
      <c r="C3" s="378"/>
      <c r="D3" s="378"/>
      <c r="E3" s="378"/>
      <c r="F3" s="378"/>
      <c r="G3" s="378"/>
    </row>
    <row r="4" spans="1:7" x14ac:dyDescent="0.3">
      <c r="A4" s="162" t="s">
        <v>162</v>
      </c>
      <c r="B4" s="163">
        <v>100</v>
      </c>
      <c r="E4" s="164"/>
    </row>
    <row r="5" spans="1:7" x14ac:dyDescent="0.3">
      <c r="A5" s="162" t="s">
        <v>108</v>
      </c>
      <c r="B5" s="163">
        <v>365</v>
      </c>
    </row>
    <row r="6" spans="1:7" s="167" customFormat="1" ht="16.5" customHeight="1" x14ac:dyDescent="0.3">
      <c r="A6" s="379" t="s">
        <v>3</v>
      </c>
      <c r="B6" s="380"/>
      <c r="C6" s="380"/>
      <c r="D6" s="381"/>
      <c r="E6" s="238" t="s">
        <v>2</v>
      </c>
      <c r="F6" s="165"/>
      <c r="G6" s="166" t="s">
        <v>1</v>
      </c>
    </row>
    <row r="7" spans="1:7" x14ac:dyDescent="0.3">
      <c r="A7" s="165" t="s">
        <v>4</v>
      </c>
      <c r="B7" s="171"/>
      <c r="C7" s="171"/>
      <c r="D7" s="241"/>
      <c r="E7" s="239"/>
      <c r="F7" s="169"/>
      <c r="G7" s="170"/>
    </row>
    <row r="8" spans="1:7" x14ac:dyDescent="0.3">
      <c r="A8" s="169" t="s">
        <v>110</v>
      </c>
      <c r="B8" s="171"/>
      <c r="C8" s="171"/>
      <c r="D8" s="245">
        <v>0.4</v>
      </c>
      <c r="E8" s="239"/>
      <c r="F8" s="169"/>
      <c r="G8" s="170"/>
    </row>
    <row r="9" spans="1:7" x14ac:dyDescent="0.3">
      <c r="A9" s="165" t="s">
        <v>109</v>
      </c>
      <c r="B9" s="171"/>
      <c r="C9" s="171"/>
      <c r="D9" s="246"/>
      <c r="E9" s="239"/>
      <c r="F9" s="169"/>
      <c r="G9" s="170"/>
    </row>
    <row r="10" spans="1:7" x14ac:dyDescent="0.3">
      <c r="A10" s="169" t="s">
        <v>205</v>
      </c>
      <c r="B10" s="171"/>
      <c r="C10" s="171"/>
      <c r="D10" s="239">
        <v>4500</v>
      </c>
      <c r="E10" s="239"/>
      <c r="F10" s="169"/>
      <c r="G10" s="170"/>
    </row>
    <row r="11" spans="1:7" x14ac:dyDescent="0.3">
      <c r="A11" s="169" t="s">
        <v>122</v>
      </c>
      <c r="B11" s="171"/>
      <c r="C11" s="171"/>
      <c r="D11" s="247">
        <f>B4*B5</f>
        <v>36500</v>
      </c>
      <c r="E11" s="239"/>
      <c r="F11" s="169"/>
      <c r="G11" s="170"/>
    </row>
    <row r="12" spans="1:7" x14ac:dyDescent="0.3">
      <c r="A12" s="169" t="s">
        <v>111</v>
      </c>
      <c r="B12" s="171"/>
      <c r="C12" s="171"/>
      <c r="D12" s="248">
        <f>D11*1.75</f>
        <v>63875</v>
      </c>
      <c r="E12" s="239"/>
      <c r="F12" s="169"/>
      <c r="G12" s="170"/>
    </row>
    <row r="13" spans="1:7" x14ac:dyDescent="0.3">
      <c r="A13" s="169" t="s">
        <v>73</v>
      </c>
      <c r="B13" s="171"/>
      <c r="C13" s="171"/>
      <c r="D13" s="239">
        <v>1500</v>
      </c>
      <c r="E13" s="239"/>
      <c r="F13" s="169"/>
      <c r="G13" s="170"/>
    </row>
    <row r="14" spans="1:7" x14ac:dyDescent="0.3">
      <c r="A14" s="211" t="s">
        <v>172</v>
      </c>
      <c r="B14" s="171"/>
      <c r="C14" s="171"/>
      <c r="D14" s="239">
        <v>350</v>
      </c>
      <c r="E14" s="240"/>
      <c r="F14" s="169"/>
      <c r="G14" s="173"/>
    </row>
    <row r="15" spans="1:7" x14ac:dyDescent="0.3">
      <c r="A15" s="249" t="s">
        <v>15</v>
      </c>
      <c r="B15" s="174"/>
      <c r="C15" s="171"/>
      <c r="D15" s="239"/>
      <c r="E15" s="241"/>
      <c r="F15" s="169"/>
      <c r="G15" s="170"/>
    </row>
    <row r="16" spans="1:7" x14ac:dyDescent="0.3">
      <c r="A16" s="169" t="s">
        <v>70</v>
      </c>
      <c r="B16" s="171"/>
      <c r="C16" s="171"/>
      <c r="D16" s="239">
        <f>ROUND((B4*D10*B5*D8)/100000,2)</f>
        <v>657</v>
      </c>
      <c r="E16" s="239"/>
      <c r="F16" s="169"/>
      <c r="G16" s="170"/>
    </row>
    <row r="17" spans="1:8" x14ac:dyDescent="0.3">
      <c r="A17" s="169" t="s">
        <v>5</v>
      </c>
      <c r="B17" s="171"/>
      <c r="C17" s="171"/>
      <c r="D17" s="240">
        <f>ROUND((D12*D13)*D8/100000,2)</f>
        <v>383.25</v>
      </c>
      <c r="E17" s="240">
        <f>ROUND(75*365*2*500*35%/100000,2)</f>
        <v>95.81</v>
      </c>
      <c r="F17" s="169"/>
      <c r="G17" s="173"/>
    </row>
    <row r="18" spans="1:8" x14ac:dyDescent="0.3">
      <c r="A18" s="169" t="s">
        <v>171</v>
      </c>
      <c r="B18" s="171"/>
      <c r="C18" s="171"/>
      <c r="D18" s="240">
        <f>ROUND((D14*D12)*D8/100000,2)</f>
        <v>89.43</v>
      </c>
      <c r="E18" s="239"/>
      <c r="F18" s="169"/>
      <c r="G18" s="173"/>
    </row>
    <row r="19" spans="1:8" x14ac:dyDescent="0.3">
      <c r="A19" s="169" t="s">
        <v>231</v>
      </c>
      <c r="B19" s="171"/>
      <c r="C19" s="171"/>
      <c r="D19" s="240">
        <f>10*750*1100/100000</f>
        <v>82.5</v>
      </c>
      <c r="E19" s="239"/>
      <c r="F19" s="169"/>
      <c r="G19" s="173"/>
    </row>
    <row r="20" spans="1:8" x14ac:dyDescent="0.3">
      <c r="A20" s="169" t="s">
        <v>50</v>
      </c>
      <c r="B20" s="175" t="s">
        <v>106</v>
      </c>
      <c r="C20" s="171"/>
      <c r="D20" s="240">
        <v>12</v>
      </c>
      <c r="E20" s="280">
        <f>ROUND(SUM(E14:E17),2)</f>
        <v>95.81</v>
      </c>
      <c r="F20" s="192"/>
      <c r="G20" s="195">
        <f>SUM(D16:D20)</f>
        <v>1224.18</v>
      </c>
    </row>
    <row r="21" spans="1:8" x14ac:dyDescent="0.3">
      <c r="A21" s="285" t="s">
        <v>6</v>
      </c>
      <c r="B21" s="286"/>
      <c r="C21" s="286"/>
      <c r="D21" s="287"/>
      <c r="E21" s="288"/>
      <c r="F21" s="289"/>
      <c r="G21" s="163"/>
    </row>
    <row r="22" spans="1:8" ht="17.25" customHeight="1" thickBot="1" x14ac:dyDescent="0.35">
      <c r="A22" s="281" t="s">
        <v>43</v>
      </c>
      <c r="B22" s="282" t="s">
        <v>0</v>
      </c>
      <c r="C22" s="283" t="s">
        <v>0</v>
      </c>
      <c r="D22" s="284"/>
      <c r="E22" s="284" t="s">
        <v>11</v>
      </c>
      <c r="F22" s="169"/>
      <c r="G22" s="177"/>
    </row>
    <row r="23" spans="1:8" ht="19.5" thickTop="1" x14ac:dyDescent="0.3">
      <c r="A23" s="250" t="s">
        <v>112</v>
      </c>
      <c r="B23" s="179">
        <v>0.08</v>
      </c>
      <c r="C23" s="180"/>
      <c r="D23" s="242"/>
      <c r="E23" s="242" t="e">
        <f>ROUND(#REF!*15%,2)</f>
        <v>#REF!</v>
      </c>
      <c r="F23" s="169"/>
      <c r="G23" s="173">
        <f>D16*B23</f>
        <v>52.56</v>
      </c>
    </row>
    <row r="24" spans="1:8" ht="33" customHeight="1" x14ac:dyDescent="0.3">
      <c r="A24" s="251" t="s">
        <v>192</v>
      </c>
      <c r="B24" s="179">
        <v>0.25</v>
      </c>
      <c r="C24" s="180"/>
      <c r="D24" s="242"/>
      <c r="E24" s="239">
        <f>ROUND(E17*40%,2)</f>
        <v>38.32</v>
      </c>
      <c r="F24" s="169"/>
      <c r="G24" s="173">
        <f>(D17+D18)*B24</f>
        <v>118.17</v>
      </c>
    </row>
    <row r="25" spans="1:8" ht="17.25" customHeight="1" x14ac:dyDescent="0.3">
      <c r="A25" s="169" t="s">
        <v>206</v>
      </c>
      <c r="B25" s="179">
        <v>0.25</v>
      </c>
      <c r="C25" s="180"/>
      <c r="D25" s="242"/>
      <c r="E25" s="239"/>
      <c r="F25" s="169"/>
      <c r="G25" s="173">
        <f>D19*0.25</f>
        <v>20.625</v>
      </c>
    </row>
    <row r="26" spans="1:8" ht="18" customHeight="1" x14ac:dyDescent="0.3">
      <c r="A26" s="169" t="s">
        <v>113</v>
      </c>
      <c r="B26" s="179">
        <v>0.02</v>
      </c>
      <c r="C26" s="180"/>
      <c r="D26" s="242"/>
      <c r="E26" s="239">
        <f>2%*E20</f>
        <v>1.9162000000000001</v>
      </c>
      <c r="F26" s="169"/>
      <c r="G26" s="173">
        <f>G20*B26</f>
        <v>24.483600000000003</v>
      </c>
    </row>
    <row r="27" spans="1:8" ht="18" customHeight="1" x14ac:dyDescent="0.3">
      <c r="A27" s="169" t="s">
        <v>82</v>
      </c>
      <c r="B27" s="178"/>
      <c r="C27" s="180"/>
      <c r="D27" s="242"/>
      <c r="E27" s="239"/>
      <c r="F27" s="169"/>
      <c r="G27" s="169"/>
      <c r="H27" s="169"/>
    </row>
    <row r="28" spans="1:8" ht="38.25" thickBot="1" x14ac:dyDescent="0.35">
      <c r="A28" s="181" t="s">
        <v>7</v>
      </c>
      <c r="B28" s="181" t="s">
        <v>8</v>
      </c>
      <c r="C28" s="176" t="s">
        <v>83</v>
      </c>
      <c r="D28" s="182" t="s">
        <v>91</v>
      </c>
      <c r="E28" s="243"/>
      <c r="F28" s="183"/>
      <c r="G28" s="170"/>
    </row>
    <row r="29" spans="1:8" ht="19.5" customHeight="1" thickTop="1" x14ac:dyDescent="0.3">
      <c r="A29" s="169" t="s">
        <v>209</v>
      </c>
      <c r="B29" s="184">
        <v>1</v>
      </c>
      <c r="C29" s="168">
        <v>75000</v>
      </c>
      <c r="D29" s="168">
        <f>B29*C29</f>
        <v>75000</v>
      </c>
      <c r="E29" s="239"/>
      <c r="F29" s="169"/>
      <c r="G29" s="170"/>
    </row>
    <row r="30" spans="1:8" ht="20.25" customHeight="1" x14ac:dyDescent="0.3">
      <c r="A30" s="169" t="s">
        <v>219</v>
      </c>
      <c r="B30" s="184">
        <v>1</v>
      </c>
      <c r="C30" s="168">
        <v>35000</v>
      </c>
      <c r="D30" s="168">
        <f t="shared" ref="D30:D48" si="0">B30*C30</f>
        <v>35000</v>
      </c>
      <c r="E30" s="239"/>
      <c r="F30" s="169"/>
      <c r="G30" s="170"/>
    </row>
    <row r="31" spans="1:8" x14ac:dyDescent="0.3">
      <c r="A31" s="169" t="s">
        <v>97</v>
      </c>
      <c r="B31" s="184">
        <v>1</v>
      </c>
      <c r="C31" s="168">
        <v>35000</v>
      </c>
      <c r="D31" s="168">
        <f t="shared" si="0"/>
        <v>35000</v>
      </c>
      <c r="E31" s="239"/>
      <c r="F31" s="169"/>
      <c r="G31" s="170"/>
    </row>
    <row r="32" spans="1:8" x14ac:dyDescent="0.3">
      <c r="A32" s="169" t="s">
        <v>177</v>
      </c>
      <c r="B32" s="184">
        <v>2</v>
      </c>
      <c r="C32" s="168">
        <v>20000</v>
      </c>
      <c r="D32" s="168">
        <f t="shared" si="0"/>
        <v>40000</v>
      </c>
      <c r="E32" s="239"/>
      <c r="F32" s="169"/>
      <c r="G32" s="170"/>
    </row>
    <row r="33" spans="1:7" x14ac:dyDescent="0.3">
      <c r="A33" s="169" t="s">
        <v>76</v>
      </c>
      <c r="B33" s="184">
        <v>5</v>
      </c>
      <c r="C33" s="168">
        <v>12000</v>
      </c>
      <c r="D33" s="168">
        <f t="shared" si="0"/>
        <v>60000</v>
      </c>
      <c r="E33" s="239"/>
      <c r="F33" s="169"/>
      <c r="G33" s="170"/>
    </row>
    <row r="34" spans="1:7" x14ac:dyDescent="0.3">
      <c r="A34" s="169" t="s">
        <v>101</v>
      </c>
      <c r="B34" s="184">
        <v>3</v>
      </c>
      <c r="C34" s="168">
        <v>12000</v>
      </c>
      <c r="D34" s="168">
        <f t="shared" si="0"/>
        <v>36000</v>
      </c>
      <c r="E34" s="239"/>
      <c r="F34" s="169"/>
      <c r="G34" s="170"/>
    </row>
    <row r="35" spans="1:7" x14ac:dyDescent="0.3">
      <c r="A35" s="169" t="s">
        <v>167</v>
      </c>
      <c r="B35" s="184">
        <v>3</v>
      </c>
      <c r="C35" s="168">
        <v>10000</v>
      </c>
      <c r="D35" s="168">
        <f t="shared" si="0"/>
        <v>30000</v>
      </c>
      <c r="E35" s="239"/>
      <c r="F35" s="169"/>
      <c r="G35" s="170"/>
    </row>
    <row r="36" spans="1:7" x14ac:dyDescent="0.3">
      <c r="A36" s="169" t="s">
        <v>40</v>
      </c>
      <c r="B36" s="184">
        <v>4</v>
      </c>
      <c r="C36" s="168">
        <v>8000</v>
      </c>
      <c r="D36" s="168">
        <f t="shared" si="0"/>
        <v>32000</v>
      </c>
      <c r="E36" s="239"/>
      <c r="F36" s="169"/>
      <c r="G36" s="170"/>
    </row>
    <row r="37" spans="1:7" x14ac:dyDescent="0.3">
      <c r="A37" s="169" t="s">
        <v>207</v>
      </c>
      <c r="B37" s="184">
        <v>1</v>
      </c>
      <c r="C37" s="168">
        <v>40000</v>
      </c>
      <c r="D37" s="168">
        <f t="shared" si="0"/>
        <v>40000</v>
      </c>
      <c r="E37" s="239"/>
      <c r="F37" s="169"/>
      <c r="G37" s="170"/>
    </row>
    <row r="38" spans="1:7" x14ac:dyDescent="0.3">
      <c r="A38" s="169" t="s">
        <v>77</v>
      </c>
      <c r="B38" s="184">
        <v>2</v>
      </c>
      <c r="C38" s="185">
        <v>20000</v>
      </c>
      <c r="D38" s="168">
        <f t="shared" si="0"/>
        <v>40000</v>
      </c>
      <c r="E38" s="239"/>
      <c r="F38" s="169"/>
      <c r="G38" s="170"/>
    </row>
    <row r="39" spans="1:7" x14ac:dyDescent="0.3">
      <c r="A39" s="169" t="s">
        <v>208</v>
      </c>
      <c r="B39" s="184">
        <v>2</v>
      </c>
      <c r="C39" s="185">
        <v>40000</v>
      </c>
      <c r="D39" s="168">
        <f t="shared" si="0"/>
        <v>80000</v>
      </c>
      <c r="E39" s="239"/>
      <c r="F39" s="169"/>
      <c r="G39" s="170"/>
    </row>
    <row r="40" spans="1:7" x14ac:dyDescent="0.3">
      <c r="A40" s="169" t="s">
        <v>78</v>
      </c>
      <c r="B40" s="184">
        <v>1</v>
      </c>
      <c r="C40" s="168">
        <v>50000</v>
      </c>
      <c r="D40" s="168">
        <f t="shared" si="0"/>
        <v>50000</v>
      </c>
      <c r="E40" s="239"/>
      <c r="F40" s="169"/>
      <c r="G40" s="170"/>
    </row>
    <row r="41" spans="1:7" x14ac:dyDescent="0.3">
      <c r="A41" s="169" t="s">
        <v>178</v>
      </c>
      <c r="B41" s="184">
        <v>4</v>
      </c>
      <c r="C41" s="168">
        <v>25000</v>
      </c>
      <c r="D41" s="168">
        <f t="shared" si="0"/>
        <v>100000</v>
      </c>
      <c r="E41" s="239"/>
      <c r="F41" s="169"/>
      <c r="G41" s="170"/>
    </row>
    <row r="42" spans="1:7" x14ac:dyDescent="0.3">
      <c r="A42" s="169" t="s">
        <v>212</v>
      </c>
      <c r="B42" s="184">
        <v>6</v>
      </c>
      <c r="C42" s="168">
        <v>12000</v>
      </c>
      <c r="D42" s="168">
        <f t="shared" si="0"/>
        <v>72000</v>
      </c>
      <c r="E42" s="239"/>
      <c r="F42" s="169"/>
      <c r="G42" s="170"/>
    </row>
    <row r="43" spans="1:7" x14ac:dyDescent="0.3">
      <c r="A43" s="169" t="s">
        <v>79</v>
      </c>
      <c r="B43" s="184">
        <v>15</v>
      </c>
      <c r="C43" s="168">
        <v>10000</v>
      </c>
      <c r="D43" s="168">
        <f t="shared" si="0"/>
        <v>150000</v>
      </c>
      <c r="E43" s="239"/>
      <c r="F43" s="169"/>
      <c r="G43" s="170"/>
    </row>
    <row r="44" spans="1:7" x14ac:dyDescent="0.3">
      <c r="A44" s="169" t="s">
        <v>211</v>
      </c>
      <c r="B44" s="184">
        <v>1</v>
      </c>
      <c r="C44" s="168">
        <v>50000</v>
      </c>
      <c r="D44" s="168">
        <f t="shared" si="0"/>
        <v>50000</v>
      </c>
      <c r="E44" s="239"/>
      <c r="F44" s="169"/>
      <c r="G44" s="170"/>
    </row>
    <row r="45" spans="1:7" x14ac:dyDescent="0.3">
      <c r="A45" s="169" t="s">
        <v>42</v>
      </c>
      <c r="B45" s="184">
        <v>1</v>
      </c>
      <c r="C45" s="168">
        <v>75000</v>
      </c>
      <c r="D45" s="168">
        <f t="shared" si="0"/>
        <v>75000</v>
      </c>
      <c r="E45" s="239"/>
      <c r="F45" s="169"/>
      <c r="G45" s="170"/>
    </row>
    <row r="46" spans="1:7" x14ac:dyDescent="0.3">
      <c r="A46" s="169" t="s">
        <v>210</v>
      </c>
      <c r="B46" s="184">
        <v>4</v>
      </c>
      <c r="C46" s="168">
        <v>40000</v>
      </c>
      <c r="D46" s="168">
        <f t="shared" si="0"/>
        <v>160000</v>
      </c>
      <c r="E46" s="239"/>
      <c r="F46" s="169"/>
      <c r="G46" s="170"/>
    </row>
    <row r="47" spans="1:7" x14ac:dyDescent="0.3">
      <c r="A47" s="169" t="s">
        <v>80</v>
      </c>
      <c r="B47" s="184">
        <v>8</v>
      </c>
      <c r="C47" s="168">
        <v>10000</v>
      </c>
      <c r="D47" s="168">
        <f t="shared" si="0"/>
        <v>80000</v>
      </c>
      <c r="E47" s="239"/>
      <c r="F47" s="169"/>
      <c r="G47" s="170"/>
    </row>
    <row r="48" spans="1:7" x14ac:dyDescent="0.3">
      <c r="A48" s="169" t="s">
        <v>98</v>
      </c>
      <c r="B48" s="186">
        <v>15</v>
      </c>
      <c r="C48" s="168">
        <v>12000</v>
      </c>
      <c r="D48" s="223">
        <f t="shared" si="0"/>
        <v>180000</v>
      </c>
      <c r="E48" s="239"/>
      <c r="F48" s="169"/>
      <c r="G48" s="170"/>
    </row>
    <row r="49" spans="1:8" x14ac:dyDescent="0.3">
      <c r="A49" s="169" t="s">
        <v>81</v>
      </c>
      <c r="B49" s="184">
        <f>SUM(B29:B48)</f>
        <v>80</v>
      </c>
      <c r="C49" s="187"/>
      <c r="D49" s="239">
        <f>SUM(D29:D48)</f>
        <v>1420000</v>
      </c>
      <c r="E49" s="239"/>
      <c r="F49" s="169"/>
      <c r="G49" s="188">
        <f>ROUND(D49*12/100000,2)</f>
        <v>170.4</v>
      </c>
    </row>
    <row r="50" spans="1:8" x14ac:dyDescent="0.3">
      <c r="A50" s="169" t="s">
        <v>114</v>
      </c>
      <c r="B50" s="169"/>
      <c r="C50" s="173">
        <v>1</v>
      </c>
      <c r="D50" s="241"/>
      <c r="E50" s="189">
        <v>6</v>
      </c>
      <c r="F50" s="171"/>
      <c r="G50" s="173">
        <f>C50*12</f>
        <v>12</v>
      </c>
    </row>
    <row r="51" spans="1:8" x14ac:dyDescent="0.3">
      <c r="A51" s="211" t="s">
        <v>115</v>
      </c>
      <c r="B51" s="169"/>
      <c r="C51" s="173">
        <v>4</v>
      </c>
      <c r="D51" s="241"/>
      <c r="E51" s="172">
        <v>24</v>
      </c>
      <c r="F51" s="169"/>
      <c r="G51" s="173">
        <f>C51*12</f>
        <v>48</v>
      </c>
    </row>
    <row r="52" spans="1:8" ht="37.5" customHeight="1" x14ac:dyDescent="0.3">
      <c r="A52" s="311" t="s">
        <v>261</v>
      </c>
      <c r="B52" s="313">
        <v>0.08</v>
      </c>
      <c r="C52" s="312"/>
      <c r="D52" s="241"/>
      <c r="E52" s="172"/>
      <c r="F52" s="169"/>
      <c r="G52" s="173">
        <f>ROUND($B52*D16,2)</f>
        <v>52.56</v>
      </c>
    </row>
    <row r="53" spans="1:8" ht="38.25" customHeight="1" x14ac:dyDescent="0.3">
      <c r="A53" s="311" t="s">
        <v>262</v>
      </c>
      <c r="B53" s="250"/>
      <c r="C53" s="312"/>
      <c r="D53" s="241"/>
      <c r="E53" s="172"/>
      <c r="F53" s="169"/>
      <c r="G53" s="173">
        <v>5</v>
      </c>
    </row>
    <row r="54" spans="1:8" x14ac:dyDescent="0.3">
      <c r="A54" s="211" t="s">
        <v>144</v>
      </c>
      <c r="B54" s="169"/>
      <c r="C54" s="170"/>
      <c r="D54" s="241"/>
      <c r="E54" s="171"/>
      <c r="F54" s="169"/>
      <c r="G54" s="170"/>
    </row>
    <row r="55" spans="1:8" x14ac:dyDescent="0.3">
      <c r="A55" s="211" t="s">
        <v>84</v>
      </c>
      <c r="B55" s="169"/>
      <c r="C55" s="170"/>
      <c r="D55" s="173">
        <v>0.5</v>
      </c>
      <c r="E55" s="171"/>
      <c r="F55" s="169"/>
      <c r="G55" s="170"/>
    </row>
    <row r="56" spans="1:8" x14ac:dyDescent="0.3">
      <c r="A56" s="211" t="s">
        <v>85</v>
      </c>
      <c r="B56" s="169"/>
      <c r="C56" s="170"/>
      <c r="D56" s="173">
        <v>2</v>
      </c>
      <c r="E56" s="171"/>
      <c r="F56" s="169"/>
      <c r="G56" s="170"/>
    </row>
    <row r="57" spans="1:8" x14ac:dyDescent="0.3">
      <c r="A57" s="211" t="s">
        <v>86</v>
      </c>
      <c r="B57" s="169"/>
      <c r="C57" s="170"/>
      <c r="D57" s="173">
        <v>2</v>
      </c>
      <c r="E57" s="171"/>
      <c r="F57" s="169"/>
      <c r="G57" s="170"/>
    </row>
    <row r="58" spans="1:8" x14ac:dyDescent="0.3">
      <c r="A58" s="211" t="s">
        <v>87</v>
      </c>
      <c r="B58" s="169"/>
      <c r="C58" s="170"/>
      <c r="D58" s="173">
        <v>1.5</v>
      </c>
      <c r="E58" s="171"/>
      <c r="F58" s="169"/>
      <c r="G58" s="170"/>
    </row>
    <row r="59" spans="1:8" x14ac:dyDescent="0.3">
      <c r="A59" s="211" t="s">
        <v>88</v>
      </c>
      <c r="B59" s="169"/>
      <c r="C59" s="170"/>
      <c r="D59" s="173">
        <v>1</v>
      </c>
      <c r="E59" s="171"/>
      <c r="F59" s="169"/>
      <c r="G59" s="170"/>
    </row>
    <row r="60" spans="1:8" x14ac:dyDescent="0.3">
      <c r="A60" s="211" t="s">
        <v>89</v>
      </c>
      <c r="B60" s="169"/>
      <c r="C60" s="170"/>
      <c r="D60" s="190">
        <v>2.5</v>
      </c>
      <c r="E60" s="189">
        <f>SUM(D55:D60)</f>
        <v>9.5</v>
      </c>
      <c r="F60" s="169"/>
      <c r="G60" s="173">
        <f>SUM(D55:D60)</f>
        <v>9.5</v>
      </c>
    </row>
    <row r="61" spans="1:8" x14ac:dyDescent="0.3">
      <c r="A61" s="211" t="s">
        <v>36</v>
      </c>
      <c r="B61" s="169"/>
      <c r="C61" s="173"/>
      <c r="D61" s="252"/>
      <c r="E61" s="189"/>
      <c r="F61" s="169"/>
      <c r="G61" s="173">
        <f>'Intt &amp; Depreciation'!G8</f>
        <v>263.25</v>
      </c>
    </row>
    <row r="62" spans="1:8" x14ac:dyDescent="0.3">
      <c r="A62" s="211" t="s">
        <v>93</v>
      </c>
      <c r="B62" s="169"/>
      <c r="C62" s="191"/>
      <c r="D62" s="253"/>
      <c r="E62" s="171">
        <v>88.41</v>
      </c>
      <c r="F62" s="169"/>
      <c r="G62" s="173">
        <f>'Intt &amp; Depreciation'!G30</f>
        <v>394.6853899508381</v>
      </c>
    </row>
    <row r="63" spans="1:8" x14ac:dyDescent="0.3">
      <c r="A63" s="254" t="s">
        <v>92</v>
      </c>
      <c r="B63" s="192"/>
      <c r="C63" s="193"/>
      <c r="D63" s="255"/>
      <c r="E63" s="194" t="e">
        <f>SUM(E23:E62)</f>
        <v>#REF!</v>
      </c>
      <c r="F63" s="192"/>
      <c r="G63" s="195">
        <f>SUM(G23:G62)</f>
        <v>1171.2339899508381</v>
      </c>
      <c r="H63" s="196" t="s">
        <v>0</v>
      </c>
    </row>
    <row r="64" spans="1:8" x14ac:dyDescent="0.3">
      <c r="A64" s="222" t="s">
        <v>146</v>
      </c>
      <c r="B64" s="162"/>
      <c r="C64" s="162"/>
      <c r="D64" s="162"/>
      <c r="E64" s="244"/>
      <c r="F64" s="162"/>
      <c r="G64" s="197">
        <f>G20-G63</f>
        <v>52.946010049161941</v>
      </c>
    </row>
    <row r="66" spans="1:7" x14ac:dyDescent="0.3">
      <c r="A66" s="290">
        <f>Cost!B36</f>
        <v>0</v>
      </c>
      <c r="B66" s="290"/>
      <c r="C66" s="290"/>
      <c r="D66" s="290"/>
      <c r="E66" s="290"/>
      <c r="F66" s="290"/>
      <c r="G66" s="290"/>
    </row>
  </sheetData>
  <mergeCells count="4">
    <mergeCell ref="A1:G1"/>
    <mergeCell ref="A2:G2"/>
    <mergeCell ref="A3:G3"/>
    <mergeCell ref="A6:D6"/>
  </mergeCells>
  <phoneticPr fontId="0" type="noConversion"/>
  <pageMargins left="0.70866141732283472" right="0.70866141732283472" top="0.74803149606299213" bottom="0.74803149606299213" header="0.31496062992125984" footer="0.31496062992125984"/>
  <pageSetup scale="5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view="pageBreakPreview" topLeftCell="A13" zoomScale="90" zoomScaleNormal="90" zoomScaleSheetLayoutView="90" workbookViewId="0">
      <selection activeCell="A29" sqref="A29:XFD29"/>
    </sheetView>
  </sheetViews>
  <sheetFormatPr defaultRowHeight="15" x14ac:dyDescent="0.25"/>
  <cols>
    <col min="1" max="1" width="70" style="10" customWidth="1"/>
    <col min="2" max="2" width="9.140625" style="10" customWidth="1"/>
    <col min="3" max="3" width="10.42578125" style="10" customWidth="1"/>
    <col min="4" max="4" width="10.28515625" style="10" customWidth="1"/>
    <col min="5" max="5" width="10.7109375" style="10" customWidth="1"/>
    <col min="6" max="6" width="10.140625" style="10" customWidth="1"/>
    <col min="7" max="7" width="10.5703125" style="10" customWidth="1"/>
    <col min="8" max="8" width="10.85546875" style="10" customWidth="1"/>
    <col min="9" max="9" width="11.140625" style="10" customWidth="1"/>
    <col min="10" max="10" width="10.140625" style="10" customWidth="1"/>
    <col min="11" max="11" width="11.7109375" style="10" customWidth="1"/>
    <col min="12" max="13" width="9.140625" style="10"/>
    <col min="14" max="14" width="10.28515625" style="10" customWidth="1"/>
    <col min="15" max="16384" width="9.140625" style="10"/>
  </cols>
  <sheetData>
    <row r="1" spans="1:14" x14ac:dyDescent="0.25">
      <c r="A1" s="333" t="str">
        <f>Estimation!A1</f>
        <v>Mahecha Boutique Hotels Private Limited</v>
      </c>
      <c r="B1" s="333"/>
      <c r="C1" s="333"/>
      <c r="D1" s="333"/>
      <c r="E1" s="333"/>
      <c r="F1" s="333"/>
      <c r="G1" s="333"/>
      <c r="H1" s="333"/>
      <c r="I1" s="333"/>
      <c r="J1" s="317" t="s">
        <v>269</v>
      </c>
      <c r="K1" s="320">
        <v>45931</v>
      </c>
    </row>
    <row r="2" spans="1:14" x14ac:dyDescent="0.25">
      <c r="A2" s="333" t="s">
        <v>148</v>
      </c>
      <c r="B2" s="333"/>
      <c r="C2" s="333"/>
      <c r="D2" s="333"/>
      <c r="E2" s="333"/>
      <c r="F2" s="333"/>
      <c r="G2" s="333"/>
      <c r="H2" s="333"/>
      <c r="I2" s="333"/>
      <c r="J2" s="237" t="s">
        <v>133</v>
      </c>
      <c r="K2" s="237"/>
      <c r="L2" s="10">
        <f>Cost!D1</f>
        <v>0</v>
      </c>
    </row>
    <row r="3" spans="1:14" ht="30" customHeight="1" x14ac:dyDescent="0.25">
      <c r="A3" s="74" t="s">
        <v>14</v>
      </c>
      <c r="B3" s="16"/>
      <c r="C3" s="331" t="s">
        <v>281</v>
      </c>
      <c r="D3" s="75" t="s">
        <v>272</v>
      </c>
      <c r="E3" s="75" t="s">
        <v>273</v>
      </c>
      <c r="F3" s="75" t="s">
        <v>274</v>
      </c>
      <c r="G3" s="75" t="s">
        <v>275</v>
      </c>
      <c r="H3" s="75" t="s">
        <v>276</v>
      </c>
      <c r="I3" s="75" t="s">
        <v>277</v>
      </c>
      <c r="J3" s="75" t="s">
        <v>278</v>
      </c>
      <c r="K3" s="75" t="s">
        <v>279</v>
      </c>
      <c r="L3" s="76"/>
      <c r="M3" s="76"/>
      <c r="N3" s="76"/>
    </row>
    <row r="4" spans="1:14" ht="27" customHeight="1" x14ac:dyDescent="0.25">
      <c r="A4" s="77" t="s">
        <v>203</v>
      </c>
      <c r="B4" s="78" t="s">
        <v>163</v>
      </c>
      <c r="C4" s="79" t="s">
        <v>58</v>
      </c>
      <c r="D4" s="79" t="s">
        <v>58</v>
      </c>
      <c r="E4" s="79" t="s">
        <v>58</v>
      </c>
      <c r="F4" s="79" t="s">
        <v>58</v>
      </c>
      <c r="G4" s="79" t="s">
        <v>58</v>
      </c>
      <c r="H4" s="79" t="s">
        <v>58</v>
      </c>
      <c r="I4" s="79" t="s">
        <v>58</v>
      </c>
      <c r="J4" s="80" t="s">
        <v>58</v>
      </c>
      <c r="K4" s="79" t="s">
        <v>58</v>
      </c>
      <c r="L4" s="81"/>
      <c r="M4" s="81"/>
      <c r="N4" s="81"/>
    </row>
    <row r="5" spans="1:14" ht="15.75" customHeight="1" x14ac:dyDescent="0.25">
      <c r="A5" s="82" t="s">
        <v>204</v>
      </c>
      <c r="B5" s="218"/>
      <c r="C5" s="328">
        <v>100</v>
      </c>
      <c r="D5" s="219">
        <f>Estimation!B4</f>
        <v>100</v>
      </c>
      <c r="E5" s="220">
        <f>D5</f>
        <v>100</v>
      </c>
      <c r="F5" s="219">
        <v>100</v>
      </c>
      <c r="G5" s="220">
        <v>100</v>
      </c>
      <c r="H5" s="219">
        <v>100</v>
      </c>
      <c r="I5" s="220">
        <v>100</v>
      </c>
      <c r="J5" s="219">
        <v>100</v>
      </c>
      <c r="K5" s="219">
        <v>100</v>
      </c>
      <c r="L5" s="81"/>
      <c r="M5" s="81"/>
      <c r="N5" s="81"/>
    </row>
    <row r="6" spans="1:14" x14ac:dyDescent="0.25">
      <c r="A6" s="59" t="s">
        <v>90</v>
      </c>
      <c r="B6" s="60"/>
      <c r="C6" s="60">
        <f>C5*182</f>
        <v>18200</v>
      </c>
      <c r="D6" s="87">
        <f>D5*365</f>
        <v>36500</v>
      </c>
      <c r="E6" s="87">
        <f t="shared" ref="E6:K6" si="0">E5*365</f>
        <v>36500</v>
      </c>
      <c r="F6" s="87">
        <f t="shared" si="0"/>
        <v>36500</v>
      </c>
      <c r="G6" s="87">
        <f t="shared" si="0"/>
        <v>36500</v>
      </c>
      <c r="H6" s="87">
        <f t="shared" si="0"/>
        <v>36500</v>
      </c>
      <c r="I6" s="87">
        <f t="shared" si="0"/>
        <v>36500</v>
      </c>
      <c r="J6" s="87">
        <f t="shared" si="0"/>
        <v>36500</v>
      </c>
      <c r="K6" s="87">
        <f t="shared" si="0"/>
        <v>36500</v>
      </c>
      <c r="L6" s="83"/>
      <c r="M6" s="83"/>
      <c r="N6" s="83"/>
    </row>
    <row r="7" spans="1:14" x14ac:dyDescent="0.25">
      <c r="A7" s="59" t="s">
        <v>111</v>
      </c>
      <c r="B7" s="60"/>
      <c r="C7" s="60">
        <f>C6*(1.75)</f>
        <v>31850</v>
      </c>
      <c r="D7" s="60">
        <f t="shared" ref="D7:K7" si="1">D6*(1.75)</f>
        <v>63875</v>
      </c>
      <c r="E7" s="60">
        <f t="shared" si="1"/>
        <v>63875</v>
      </c>
      <c r="F7" s="60">
        <f t="shared" si="1"/>
        <v>63875</v>
      </c>
      <c r="G7" s="60">
        <f t="shared" si="1"/>
        <v>63875</v>
      </c>
      <c r="H7" s="60">
        <f t="shared" si="1"/>
        <v>63875</v>
      </c>
      <c r="I7" s="60">
        <f t="shared" si="1"/>
        <v>63875</v>
      </c>
      <c r="J7" s="60">
        <f t="shared" si="1"/>
        <v>63875</v>
      </c>
      <c r="K7" s="60">
        <f t="shared" si="1"/>
        <v>63875</v>
      </c>
      <c r="L7" s="83"/>
      <c r="M7" s="83"/>
      <c r="N7" s="83"/>
    </row>
    <row r="8" spans="1:14" x14ac:dyDescent="0.25">
      <c r="A8" s="82" t="s">
        <v>116</v>
      </c>
      <c r="B8" s="60"/>
      <c r="C8" s="97">
        <v>0.4</v>
      </c>
      <c r="D8" s="84">
        <f>Estimation!D8</f>
        <v>0.4</v>
      </c>
      <c r="E8" s="84">
        <v>0.45</v>
      </c>
      <c r="F8" s="83">
        <v>0.45</v>
      </c>
      <c r="G8" s="84">
        <v>0.5</v>
      </c>
      <c r="H8" s="84">
        <v>0.5</v>
      </c>
      <c r="I8" s="83">
        <v>0.55000000000000004</v>
      </c>
      <c r="J8" s="84">
        <v>0.55000000000000004</v>
      </c>
      <c r="K8" s="84">
        <v>0.6</v>
      </c>
      <c r="L8" s="85"/>
      <c r="M8" s="85"/>
      <c r="N8" s="85"/>
    </row>
    <row r="9" spans="1:14" x14ac:dyDescent="0.25">
      <c r="A9" s="86" t="s">
        <v>109</v>
      </c>
      <c r="B9" s="60"/>
      <c r="C9" s="60"/>
      <c r="D9" s="87"/>
      <c r="E9" s="87"/>
      <c r="F9" s="88"/>
      <c r="G9" s="87"/>
      <c r="H9" s="87"/>
      <c r="I9" s="88"/>
      <c r="J9" s="87"/>
      <c r="K9" s="87"/>
      <c r="L9" s="85"/>
      <c r="M9" s="85"/>
      <c r="N9" s="85"/>
    </row>
    <row r="10" spans="1:14" x14ac:dyDescent="0.25">
      <c r="A10" s="59" t="s">
        <v>204</v>
      </c>
      <c r="B10" s="60"/>
      <c r="C10" s="87">
        <f>Estimation!D10</f>
        <v>4500</v>
      </c>
      <c r="D10" s="87">
        <f>Estimation!D10</f>
        <v>4500</v>
      </c>
      <c r="E10" s="87">
        <f>D10*1.1</f>
        <v>4950</v>
      </c>
      <c r="F10" s="87">
        <f t="shared" ref="F10:K10" si="2">E10*1.1</f>
        <v>5445</v>
      </c>
      <c r="G10" s="87">
        <f t="shared" si="2"/>
        <v>5989.5000000000009</v>
      </c>
      <c r="H10" s="87">
        <f t="shared" si="2"/>
        <v>6588.4500000000016</v>
      </c>
      <c r="I10" s="87">
        <f t="shared" si="2"/>
        <v>7247.2950000000028</v>
      </c>
      <c r="J10" s="87">
        <f t="shared" si="2"/>
        <v>7972.0245000000041</v>
      </c>
      <c r="K10" s="87">
        <f t="shared" si="2"/>
        <v>8769.2269500000057</v>
      </c>
      <c r="L10" s="85"/>
      <c r="M10" s="85"/>
      <c r="N10" s="85"/>
    </row>
    <row r="11" spans="1:14" x14ac:dyDescent="0.25">
      <c r="A11" s="59" t="s">
        <v>73</v>
      </c>
      <c r="B11" s="60"/>
      <c r="C11" s="87">
        <f>Estimation!D13</f>
        <v>1500</v>
      </c>
      <c r="D11" s="87">
        <f>Estimation!D13</f>
        <v>1500</v>
      </c>
      <c r="E11" s="87">
        <f>D11*1.1</f>
        <v>1650.0000000000002</v>
      </c>
      <c r="F11" s="87">
        <f t="shared" ref="F11:K11" si="3">E11*1.1</f>
        <v>1815.0000000000005</v>
      </c>
      <c r="G11" s="87">
        <f t="shared" si="3"/>
        <v>1996.5000000000007</v>
      </c>
      <c r="H11" s="87">
        <f t="shared" si="3"/>
        <v>2196.150000000001</v>
      </c>
      <c r="I11" s="87">
        <f t="shared" si="3"/>
        <v>2415.7650000000012</v>
      </c>
      <c r="J11" s="87">
        <f t="shared" si="3"/>
        <v>2657.3415000000014</v>
      </c>
      <c r="K11" s="87">
        <f t="shared" si="3"/>
        <v>2923.0756500000016</v>
      </c>
      <c r="L11" s="85"/>
      <c r="M11" s="85"/>
      <c r="N11" s="85"/>
    </row>
    <row r="12" spans="1:14" x14ac:dyDescent="0.25">
      <c r="A12" s="68" t="s">
        <v>172</v>
      </c>
      <c r="B12" s="60"/>
      <c r="C12" s="87">
        <f>Estimation!D14</f>
        <v>350</v>
      </c>
      <c r="D12" s="87">
        <f>Estimation!D14</f>
        <v>350</v>
      </c>
      <c r="E12" s="87">
        <f>D12*1.1</f>
        <v>385.00000000000006</v>
      </c>
      <c r="F12" s="87">
        <f t="shared" ref="F12:K12" si="4">E12*1.1</f>
        <v>423.50000000000011</v>
      </c>
      <c r="G12" s="87">
        <f t="shared" si="4"/>
        <v>465.85000000000014</v>
      </c>
      <c r="H12" s="87">
        <f t="shared" si="4"/>
        <v>512.43500000000017</v>
      </c>
      <c r="I12" s="87">
        <f t="shared" si="4"/>
        <v>563.67850000000021</v>
      </c>
      <c r="J12" s="87">
        <f t="shared" si="4"/>
        <v>620.0463500000003</v>
      </c>
      <c r="K12" s="87">
        <f t="shared" si="4"/>
        <v>682.05098500000042</v>
      </c>
      <c r="L12" s="85"/>
      <c r="M12" s="85"/>
      <c r="N12" s="85"/>
    </row>
    <row r="13" spans="1:14" x14ac:dyDescent="0.25">
      <c r="A13" s="86" t="s">
        <v>15</v>
      </c>
      <c r="B13" s="89"/>
      <c r="C13" s="89"/>
      <c r="D13" s="90"/>
      <c r="E13" s="92"/>
      <c r="F13" s="93"/>
      <c r="G13" s="90"/>
      <c r="H13" s="90"/>
      <c r="I13" s="93"/>
      <c r="J13" s="90"/>
      <c r="K13" s="90"/>
      <c r="L13" s="67"/>
      <c r="M13" s="67"/>
      <c r="N13" s="67"/>
    </row>
    <row r="14" spans="1:14" x14ac:dyDescent="0.25">
      <c r="A14" s="59" t="s">
        <v>70</v>
      </c>
      <c r="B14" s="60"/>
      <c r="C14" s="92">
        <f>ROUND((C5*C10)*C8*182/100000,2)</f>
        <v>327.60000000000002</v>
      </c>
      <c r="D14" s="92">
        <f>ROUND((D5*D10)*D8*365/100000,2)</f>
        <v>657</v>
      </c>
      <c r="E14" s="92">
        <f>ROUND((E5*E10)*E8*365/100000,2)</f>
        <v>813.04</v>
      </c>
      <c r="F14" s="92">
        <f t="shared" ref="F14:K14" si="5">ROUND((F5*F10)*F8*365/100000,2)</f>
        <v>894.34</v>
      </c>
      <c r="G14" s="92">
        <f t="shared" si="5"/>
        <v>1093.08</v>
      </c>
      <c r="H14" s="92">
        <f t="shared" si="5"/>
        <v>1202.3900000000001</v>
      </c>
      <c r="I14" s="92">
        <f t="shared" si="5"/>
        <v>1454.89</v>
      </c>
      <c r="J14" s="92">
        <f t="shared" si="5"/>
        <v>1600.38</v>
      </c>
      <c r="K14" s="92">
        <f t="shared" si="5"/>
        <v>1920.46</v>
      </c>
      <c r="L14" s="93"/>
      <c r="M14" s="93"/>
      <c r="N14" s="93"/>
    </row>
    <row r="15" spans="1:14" x14ac:dyDescent="0.25">
      <c r="A15" s="59" t="s">
        <v>5</v>
      </c>
      <c r="B15" s="60"/>
      <c r="C15" s="92">
        <f>ROUND((C7*C11)*C8/100000,2)</f>
        <v>191.1</v>
      </c>
      <c r="D15" s="92">
        <f t="shared" ref="D15:K15" si="6">ROUND((D7*D11)*D8/100000,2)</f>
        <v>383.25</v>
      </c>
      <c r="E15" s="92">
        <f t="shared" si="6"/>
        <v>474.27</v>
      </c>
      <c r="F15" s="92">
        <f t="shared" si="6"/>
        <v>521.70000000000005</v>
      </c>
      <c r="G15" s="92">
        <f t="shared" si="6"/>
        <v>637.63</v>
      </c>
      <c r="H15" s="92">
        <f t="shared" si="6"/>
        <v>701.4</v>
      </c>
      <c r="I15" s="92">
        <f t="shared" si="6"/>
        <v>848.69</v>
      </c>
      <c r="J15" s="92">
        <f t="shared" si="6"/>
        <v>933.56</v>
      </c>
      <c r="K15" s="92">
        <f t="shared" si="6"/>
        <v>1120.27</v>
      </c>
      <c r="L15" s="93"/>
      <c r="M15" s="93"/>
      <c r="N15" s="93"/>
    </row>
    <row r="16" spans="1:14" x14ac:dyDescent="0.25">
      <c r="A16" s="59" t="s">
        <v>171</v>
      </c>
      <c r="B16" s="60"/>
      <c r="C16" s="92">
        <f>(C7*C8*C12)/100000</f>
        <v>44.59</v>
      </c>
      <c r="D16" s="92">
        <f t="shared" ref="D16:K16" si="7">(D7*D8*D12)/100000</f>
        <v>89.424999999999997</v>
      </c>
      <c r="E16" s="92">
        <f t="shared" si="7"/>
        <v>110.66343750000001</v>
      </c>
      <c r="F16" s="92">
        <f t="shared" si="7"/>
        <v>121.72978125000003</v>
      </c>
      <c r="G16" s="92">
        <f t="shared" si="7"/>
        <v>148.78084375000003</v>
      </c>
      <c r="H16" s="92">
        <f t="shared" si="7"/>
        <v>163.65892812500005</v>
      </c>
      <c r="I16" s="92">
        <f t="shared" si="7"/>
        <v>198.02730303125009</v>
      </c>
      <c r="J16" s="92">
        <f t="shared" si="7"/>
        <v>217.83003333437509</v>
      </c>
      <c r="K16" s="92">
        <f t="shared" si="7"/>
        <v>261.39604000125019</v>
      </c>
      <c r="L16" s="93"/>
      <c r="M16" s="93"/>
      <c r="N16" s="93"/>
    </row>
    <row r="17" spans="1:14" ht="15.75" x14ac:dyDescent="0.25">
      <c r="A17" s="221" t="s">
        <v>213</v>
      </c>
      <c r="B17" s="60"/>
      <c r="C17" s="92">
        <f>5*750*1000/100000</f>
        <v>37.5</v>
      </c>
      <c r="D17" s="92">
        <f>Estimation!D19</f>
        <v>82.5</v>
      </c>
      <c r="E17" s="92">
        <f>D17*1.05</f>
        <v>86.625</v>
      </c>
      <c r="F17" s="92">
        <f t="shared" ref="F17:K17" si="8">E17*1.05</f>
        <v>90.956249999999997</v>
      </c>
      <c r="G17" s="92">
        <f t="shared" si="8"/>
        <v>95.504062500000003</v>
      </c>
      <c r="H17" s="92">
        <f t="shared" si="8"/>
        <v>100.27926562500001</v>
      </c>
      <c r="I17" s="92">
        <f t="shared" si="8"/>
        <v>105.29322890625001</v>
      </c>
      <c r="J17" s="92">
        <f t="shared" si="8"/>
        <v>110.55789035156251</v>
      </c>
      <c r="K17" s="92">
        <f t="shared" si="8"/>
        <v>116.08578486914064</v>
      </c>
      <c r="L17" s="93"/>
      <c r="M17" s="93"/>
      <c r="N17" s="93"/>
    </row>
    <row r="18" spans="1:14" x14ac:dyDescent="0.25">
      <c r="A18" s="59" t="s">
        <v>50</v>
      </c>
      <c r="B18" s="60"/>
      <c r="C18" s="92">
        <v>6</v>
      </c>
      <c r="D18" s="92">
        <f>Estimation!D20</f>
        <v>12</v>
      </c>
      <c r="E18" s="212">
        <f>D18*1.05</f>
        <v>12.600000000000001</v>
      </c>
      <c r="F18" s="212">
        <f t="shared" ref="F18:K18" si="9">E18*1.05</f>
        <v>13.230000000000002</v>
      </c>
      <c r="G18" s="212">
        <f t="shared" si="9"/>
        <v>13.891500000000002</v>
      </c>
      <c r="H18" s="212">
        <f t="shared" si="9"/>
        <v>14.586075000000003</v>
      </c>
      <c r="I18" s="212">
        <f t="shared" si="9"/>
        <v>15.315378750000004</v>
      </c>
      <c r="J18" s="212">
        <f t="shared" si="9"/>
        <v>16.081147687500007</v>
      </c>
      <c r="K18" s="212">
        <f t="shared" si="9"/>
        <v>16.885205071875006</v>
      </c>
      <c r="L18" s="93"/>
      <c r="M18" s="93"/>
      <c r="N18" s="93"/>
    </row>
    <row r="19" spans="1:14" x14ac:dyDescent="0.25">
      <c r="A19" s="56" t="s">
        <v>53</v>
      </c>
      <c r="B19" s="69"/>
      <c r="C19" s="69">
        <f t="shared" ref="C19:K19" si="10">ROUND(SUM(C14:C18),2)</f>
        <v>606.79</v>
      </c>
      <c r="D19" s="95">
        <f t="shared" si="10"/>
        <v>1224.18</v>
      </c>
      <c r="E19" s="95">
        <f t="shared" si="10"/>
        <v>1497.2</v>
      </c>
      <c r="F19" s="95">
        <f t="shared" si="10"/>
        <v>1641.96</v>
      </c>
      <c r="G19" s="95">
        <f t="shared" si="10"/>
        <v>1988.89</v>
      </c>
      <c r="H19" s="95">
        <f t="shared" si="10"/>
        <v>2182.31</v>
      </c>
      <c r="I19" s="95">
        <f t="shared" si="10"/>
        <v>2622.22</v>
      </c>
      <c r="J19" s="95">
        <f t="shared" si="10"/>
        <v>2878.41</v>
      </c>
      <c r="K19" s="95">
        <f t="shared" si="10"/>
        <v>3435.1</v>
      </c>
      <c r="L19" s="93"/>
      <c r="M19" s="93"/>
      <c r="N19" s="93"/>
    </row>
    <row r="20" spans="1:14" x14ac:dyDescent="0.25">
      <c r="A20" s="86" t="s">
        <v>16</v>
      </c>
      <c r="B20" s="96"/>
      <c r="C20" s="82"/>
      <c r="D20" s="224"/>
      <c r="E20" s="213"/>
      <c r="F20" s="225"/>
      <c r="G20" s="213"/>
      <c r="H20" s="225"/>
      <c r="I20" s="213"/>
      <c r="J20" s="225"/>
      <c r="K20" s="213"/>
      <c r="L20" s="93"/>
      <c r="M20" s="93"/>
      <c r="N20" s="93"/>
    </row>
    <row r="21" spans="1:14" x14ac:dyDescent="0.25">
      <c r="A21" s="59" t="s">
        <v>117</v>
      </c>
      <c r="B21" s="97">
        <f>Estimation!B23</f>
        <v>0.08</v>
      </c>
      <c r="C21" s="94">
        <f>ROUND(C14*$B21,2)</f>
        <v>26.21</v>
      </c>
      <c r="D21" s="94">
        <f t="shared" ref="D21:K21" si="11">ROUND(D14*$B21,2)</f>
        <v>52.56</v>
      </c>
      <c r="E21" s="94">
        <f t="shared" si="11"/>
        <v>65.040000000000006</v>
      </c>
      <c r="F21" s="94">
        <f t="shared" si="11"/>
        <v>71.55</v>
      </c>
      <c r="G21" s="94">
        <f t="shared" si="11"/>
        <v>87.45</v>
      </c>
      <c r="H21" s="94">
        <f t="shared" si="11"/>
        <v>96.19</v>
      </c>
      <c r="I21" s="94">
        <f t="shared" si="11"/>
        <v>116.39</v>
      </c>
      <c r="J21" s="94">
        <f t="shared" si="11"/>
        <v>128.03</v>
      </c>
      <c r="K21" s="94">
        <f t="shared" si="11"/>
        <v>153.63999999999999</v>
      </c>
      <c r="L21" s="93"/>
      <c r="M21" s="93"/>
      <c r="N21" s="93"/>
    </row>
    <row r="22" spans="1:14" x14ac:dyDescent="0.25">
      <c r="A22" s="98" t="s">
        <v>173</v>
      </c>
      <c r="B22" s="97">
        <f>Estimation!B24</f>
        <v>0.25</v>
      </c>
      <c r="C22" s="94">
        <f>ROUND((C15+C16)*$B22,2)</f>
        <v>58.92</v>
      </c>
      <c r="D22" s="94">
        <f t="shared" ref="D22:K22" si="12">ROUND((D15+D16)*$B22,2)</f>
        <v>118.17</v>
      </c>
      <c r="E22" s="94">
        <f t="shared" si="12"/>
        <v>146.22999999999999</v>
      </c>
      <c r="F22" s="94">
        <f t="shared" si="12"/>
        <v>160.86000000000001</v>
      </c>
      <c r="G22" s="94">
        <f t="shared" si="12"/>
        <v>196.6</v>
      </c>
      <c r="H22" s="94">
        <f t="shared" si="12"/>
        <v>216.26</v>
      </c>
      <c r="I22" s="94">
        <f t="shared" si="12"/>
        <v>261.68</v>
      </c>
      <c r="J22" s="94">
        <f t="shared" si="12"/>
        <v>287.85000000000002</v>
      </c>
      <c r="K22" s="94">
        <f t="shared" si="12"/>
        <v>345.42</v>
      </c>
      <c r="L22" s="91"/>
      <c r="M22" s="91"/>
      <c r="N22" s="91"/>
    </row>
    <row r="23" spans="1:14" x14ac:dyDescent="0.25">
      <c r="A23" s="98" t="s">
        <v>118</v>
      </c>
      <c r="B23" s="97">
        <f>Estimation!B26</f>
        <v>0.02</v>
      </c>
      <c r="C23" s="94">
        <f>ROUND($B23*C19,2)</f>
        <v>12.14</v>
      </c>
      <c r="D23" s="94">
        <f t="shared" ref="D23:K23" si="13">ROUND($B23*D19,2)</f>
        <v>24.48</v>
      </c>
      <c r="E23" s="94">
        <f t="shared" si="13"/>
        <v>29.94</v>
      </c>
      <c r="F23" s="94">
        <f t="shared" si="13"/>
        <v>32.840000000000003</v>
      </c>
      <c r="G23" s="94">
        <f t="shared" si="13"/>
        <v>39.78</v>
      </c>
      <c r="H23" s="94">
        <f t="shared" si="13"/>
        <v>43.65</v>
      </c>
      <c r="I23" s="94">
        <f t="shared" si="13"/>
        <v>52.44</v>
      </c>
      <c r="J23" s="94">
        <f t="shared" si="13"/>
        <v>57.57</v>
      </c>
      <c r="K23" s="94">
        <f t="shared" si="13"/>
        <v>68.7</v>
      </c>
      <c r="L23" s="91"/>
      <c r="M23" s="91"/>
      <c r="N23" s="91"/>
    </row>
    <row r="24" spans="1:14" ht="15.75" x14ac:dyDescent="0.25">
      <c r="A24" s="221" t="s">
        <v>214</v>
      </c>
      <c r="B24" s="97">
        <v>0.25</v>
      </c>
      <c r="C24" s="94">
        <f>ROUND($B24*C17,2)</f>
        <v>9.3800000000000008</v>
      </c>
      <c r="D24" s="94">
        <f t="shared" ref="D24:K24" si="14">ROUND($B24*D17,2)</f>
        <v>20.63</v>
      </c>
      <c r="E24" s="94">
        <f t="shared" si="14"/>
        <v>21.66</v>
      </c>
      <c r="F24" s="94">
        <f t="shared" si="14"/>
        <v>22.74</v>
      </c>
      <c r="G24" s="94">
        <f t="shared" si="14"/>
        <v>23.88</v>
      </c>
      <c r="H24" s="94">
        <f t="shared" si="14"/>
        <v>25.07</v>
      </c>
      <c r="I24" s="94">
        <f t="shared" si="14"/>
        <v>26.32</v>
      </c>
      <c r="J24" s="94">
        <f t="shared" si="14"/>
        <v>27.64</v>
      </c>
      <c r="K24" s="94">
        <f t="shared" si="14"/>
        <v>29.02</v>
      </c>
      <c r="L24" s="91"/>
      <c r="M24" s="91"/>
      <c r="N24" s="91"/>
    </row>
    <row r="25" spans="1:14" ht="17.25" customHeight="1" x14ac:dyDescent="0.25">
      <c r="A25" s="314" t="s">
        <v>261</v>
      </c>
      <c r="B25" s="97">
        <v>0.08</v>
      </c>
      <c r="C25" s="94">
        <f>ROUND($B25*C14,2)</f>
        <v>26.21</v>
      </c>
      <c r="D25" s="94">
        <f>ROUND($B25*D14,2)</f>
        <v>52.56</v>
      </c>
      <c r="E25" s="94">
        <f>ROUND($B25*E14,2)</f>
        <v>65.040000000000006</v>
      </c>
      <c r="F25" s="94">
        <f>ROUND($B25*F14,2)</f>
        <v>71.55</v>
      </c>
      <c r="G25" s="94">
        <f>ROUND($B25*G14,2)</f>
        <v>87.45</v>
      </c>
      <c r="H25" s="94">
        <f>ROUND($B25*H14,2)</f>
        <v>96.19</v>
      </c>
      <c r="I25" s="94">
        <f>ROUND($B25*I14,2)</f>
        <v>116.39</v>
      </c>
      <c r="J25" s="94">
        <f>ROUND($B25*J14,2)</f>
        <v>128.03</v>
      </c>
      <c r="K25" s="94">
        <f>ROUND($B25*K14,2)</f>
        <v>153.63999999999999</v>
      </c>
      <c r="L25" s="91"/>
      <c r="M25" s="91"/>
      <c r="N25" s="91"/>
    </row>
    <row r="26" spans="1:14" x14ac:dyDescent="0.25">
      <c r="A26" s="98" t="s">
        <v>9</v>
      </c>
      <c r="B26" s="60"/>
      <c r="C26" s="92">
        <f>Estimation!G49/2</f>
        <v>85.2</v>
      </c>
      <c r="D26" s="91">
        <f>Estimation!G49</f>
        <v>170.4</v>
      </c>
      <c r="E26" s="92">
        <f>ROUND(D26*110%,2)</f>
        <v>187.44</v>
      </c>
      <c r="F26" s="92">
        <f t="shared" ref="F26:K26" si="15">ROUND(E26*110%,2)</f>
        <v>206.18</v>
      </c>
      <c r="G26" s="92">
        <f t="shared" si="15"/>
        <v>226.8</v>
      </c>
      <c r="H26" s="92">
        <f t="shared" si="15"/>
        <v>249.48</v>
      </c>
      <c r="I26" s="92">
        <f t="shared" si="15"/>
        <v>274.43</v>
      </c>
      <c r="J26" s="92">
        <f t="shared" si="15"/>
        <v>301.87</v>
      </c>
      <c r="K26" s="92">
        <f t="shared" si="15"/>
        <v>332.06</v>
      </c>
      <c r="L26" s="91"/>
      <c r="M26" s="91"/>
      <c r="N26" s="91"/>
    </row>
    <row r="27" spans="1:14" x14ac:dyDescent="0.25">
      <c r="A27" s="98" t="s">
        <v>17</v>
      </c>
      <c r="B27" s="60"/>
      <c r="C27" s="94">
        <f>Estimation!G50/2</f>
        <v>6</v>
      </c>
      <c r="D27" s="94">
        <f>Estimation!G50</f>
        <v>12</v>
      </c>
      <c r="E27" s="92">
        <f>ROUND(D27*110%,2)</f>
        <v>13.2</v>
      </c>
      <c r="F27" s="92">
        <f t="shared" ref="F27:K27" si="16">ROUND(E27*110%,2)</f>
        <v>14.52</v>
      </c>
      <c r="G27" s="92">
        <f t="shared" si="16"/>
        <v>15.97</v>
      </c>
      <c r="H27" s="92">
        <f t="shared" si="16"/>
        <v>17.57</v>
      </c>
      <c r="I27" s="92">
        <f t="shared" si="16"/>
        <v>19.329999999999998</v>
      </c>
      <c r="J27" s="92">
        <f t="shared" si="16"/>
        <v>21.26</v>
      </c>
      <c r="K27" s="92">
        <f t="shared" si="16"/>
        <v>23.39</v>
      </c>
      <c r="L27" s="91"/>
      <c r="M27" s="91"/>
      <c r="N27" s="91"/>
    </row>
    <row r="28" spans="1:14" x14ac:dyDescent="0.25">
      <c r="A28" s="98" t="s">
        <v>10</v>
      </c>
      <c r="B28" s="60"/>
      <c r="C28" s="94">
        <f>Estimation!G51/2</f>
        <v>24</v>
      </c>
      <c r="D28" s="94">
        <f>Estimation!G51</f>
        <v>48</v>
      </c>
      <c r="E28" s="92">
        <f>ROUND(D28*110%,2)</f>
        <v>52.8</v>
      </c>
      <c r="F28" s="92">
        <f t="shared" ref="F28:K28" si="17">ROUND(E28*110%,2)</f>
        <v>58.08</v>
      </c>
      <c r="G28" s="92">
        <f t="shared" si="17"/>
        <v>63.89</v>
      </c>
      <c r="H28" s="92">
        <f t="shared" si="17"/>
        <v>70.28</v>
      </c>
      <c r="I28" s="92">
        <f t="shared" si="17"/>
        <v>77.31</v>
      </c>
      <c r="J28" s="92">
        <f t="shared" si="17"/>
        <v>85.04</v>
      </c>
      <c r="K28" s="92">
        <f t="shared" si="17"/>
        <v>93.54</v>
      </c>
      <c r="L28" s="91"/>
      <c r="M28" s="91"/>
      <c r="N28" s="91"/>
    </row>
    <row r="29" spans="1:14" ht="14.25" customHeight="1" x14ac:dyDescent="0.25">
      <c r="A29" s="314" t="s">
        <v>262</v>
      </c>
      <c r="B29" s="60"/>
      <c r="C29" s="94">
        <v>2.5</v>
      </c>
      <c r="D29" s="94">
        <v>5</v>
      </c>
      <c r="E29" s="92">
        <f>D29*1.05</f>
        <v>5.25</v>
      </c>
      <c r="F29" s="92">
        <f t="shared" ref="F29:K29" si="18">E29*1.05</f>
        <v>5.5125000000000002</v>
      </c>
      <c r="G29" s="92">
        <f t="shared" si="18"/>
        <v>5.7881250000000009</v>
      </c>
      <c r="H29" s="92">
        <f t="shared" si="18"/>
        <v>6.0775312500000007</v>
      </c>
      <c r="I29" s="92">
        <f t="shared" si="18"/>
        <v>6.3814078125000009</v>
      </c>
      <c r="J29" s="92">
        <f t="shared" si="18"/>
        <v>6.7004782031250016</v>
      </c>
      <c r="K29" s="92">
        <f t="shared" si="18"/>
        <v>7.0355021132812521</v>
      </c>
      <c r="L29" s="91"/>
      <c r="M29" s="91"/>
      <c r="N29" s="91"/>
    </row>
    <row r="30" spans="1:14" x14ac:dyDescent="0.25">
      <c r="A30" s="59" t="s">
        <v>18</v>
      </c>
      <c r="B30" s="60"/>
      <c r="C30" s="94">
        <f>Estimation!G60/2</f>
        <v>4.75</v>
      </c>
      <c r="D30" s="94">
        <f>Estimation!G60</f>
        <v>9.5</v>
      </c>
      <c r="E30" s="92">
        <f>ROUND(D30*110%,2)</f>
        <v>10.45</v>
      </c>
      <c r="F30" s="92">
        <f t="shared" ref="F30:K30" si="19">ROUND(E30*110%,2)</f>
        <v>11.5</v>
      </c>
      <c r="G30" s="92">
        <f t="shared" si="19"/>
        <v>12.65</v>
      </c>
      <c r="H30" s="92">
        <f t="shared" si="19"/>
        <v>13.92</v>
      </c>
      <c r="I30" s="92">
        <f t="shared" si="19"/>
        <v>15.31</v>
      </c>
      <c r="J30" s="92">
        <f t="shared" si="19"/>
        <v>16.84</v>
      </c>
      <c r="K30" s="92">
        <f t="shared" si="19"/>
        <v>18.52</v>
      </c>
      <c r="L30" s="91"/>
      <c r="M30" s="91"/>
      <c r="N30" s="91"/>
    </row>
    <row r="31" spans="1:14" x14ac:dyDescent="0.25">
      <c r="A31" s="59" t="s">
        <v>38</v>
      </c>
      <c r="B31" s="60"/>
      <c r="C31" s="94">
        <f>'Intt &amp; Depreciation'!G26</f>
        <v>208.58292282905035</v>
      </c>
      <c r="D31" s="94">
        <f>'Intt &amp; Depreciation'!G30</f>
        <v>394.6853899508381</v>
      </c>
      <c r="E31" s="92">
        <f>'Intt &amp; Depreciation'!G34</f>
        <v>352.21584862069284</v>
      </c>
      <c r="F31" s="226">
        <f>'Intt &amp; Depreciation'!G38</f>
        <v>314.44341177382125</v>
      </c>
      <c r="G31" s="92">
        <f>'Intt &amp; Depreciation'!G42</f>
        <v>280.83084640935726</v>
      </c>
      <c r="H31" s="91">
        <f>'Intt &amp; Depreciation'!G46</f>
        <v>250.90477120940193</v>
      </c>
      <c r="I31" s="92">
        <f>'Intt &amp; Depreciation'!G50</f>
        <v>224.24775211329506</v>
      </c>
      <c r="J31" s="91">
        <f>'Intt &amp; Depreciation'!G54</f>
        <v>200.49141622307388</v>
      </c>
      <c r="K31" s="92">
        <f>'Intt &amp; Depreciation'!G58</f>
        <v>179.31044802370855</v>
      </c>
      <c r="L31" s="91"/>
      <c r="M31" s="91"/>
      <c r="N31" s="91"/>
    </row>
    <row r="32" spans="1:14" x14ac:dyDescent="0.25">
      <c r="A32" s="59" t="s">
        <v>59</v>
      </c>
      <c r="B32" s="60"/>
      <c r="C32" s="94">
        <f>'Intt &amp; Depreciation'!G7</f>
        <v>135</v>
      </c>
      <c r="D32" s="94">
        <f>'Intt &amp; Depreciation'!G8</f>
        <v>263.25</v>
      </c>
      <c r="E32" s="94">
        <f>'Intt &amp; Depreciation'!G9</f>
        <v>243</v>
      </c>
      <c r="F32" s="94">
        <f>'Intt &amp; Depreciation'!G10</f>
        <v>211.5</v>
      </c>
      <c r="G32" s="94">
        <f>'Intt &amp; Depreciation'!G11</f>
        <v>175.5</v>
      </c>
      <c r="H32" s="94">
        <f>'Intt &amp; Depreciation'!G12</f>
        <v>135</v>
      </c>
      <c r="I32" s="94">
        <f>'Intt &amp; Depreciation'!G13</f>
        <v>90</v>
      </c>
      <c r="J32" s="94">
        <f>'Intt &amp; Depreciation'!G14</f>
        <v>33.75</v>
      </c>
      <c r="K32" s="94">
        <f>'Intt &amp; Depreciation'!G15</f>
        <v>11.25</v>
      </c>
      <c r="L32" s="91"/>
      <c r="M32" s="91"/>
      <c r="N32" s="91"/>
    </row>
    <row r="33" spans="1:14" x14ac:dyDescent="0.25">
      <c r="A33" s="56" t="s">
        <v>54</v>
      </c>
      <c r="B33" s="69"/>
      <c r="C33" s="69">
        <f>ROUND(SUM(C21:C32),2)</f>
        <v>598.89</v>
      </c>
      <c r="D33" s="99">
        <f>ROUND(SUM(D21:D32),2)</f>
        <v>1171.24</v>
      </c>
      <c r="E33" s="99">
        <f>ROUND(SUM(E21:E32),2)</f>
        <v>1192.27</v>
      </c>
      <c r="F33" s="99">
        <f>ROUND(SUM(F21:F32),2)</f>
        <v>1181.28</v>
      </c>
      <c r="G33" s="99">
        <f>ROUND(SUM(G21:G32),2)</f>
        <v>1216.5899999999999</v>
      </c>
      <c r="H33" s="99">
        <f>ROUND(SUM(H21:H32),2)</f>
        <v>1220.5899999999999</v>
      </c>
      <c r="I33" s="99">
        <f>ROUND(SUM(I21:I32),2)</f>
        <v>1280.23</v>
      </c>
      <c r="J33" s="99">
        <f>ROUND(SUM(J21:J32),2)</f>
        <v>1295.07</v>
      </c>
      <c r="K33" s="99">
        <f>ROUND(SUM(K21:K32),2)</f>
        <v>1415.53</v>
      </c>
      <c r="L33" s="91"/>
      <c r="M33" s="91"/>
      <c r="N33" s="91"/>
    </row>
    <row r="34" spans="1:14" x14ac:dyDescent="0.25">
      <c r="A34" s="100" t="s">
        <v>147</v>
      </c>
      <c r="B34" s="96"/>
      <c r="C34" s="152">
        <f>C19-C33</f>
        <v>7.8999999999999773</v>
      </c>
      <c r="D34" s="152">
        <f>D19-D33</f>
        <v>52.940000000000055</v>
      </c>
      <c r="E34" s="152">
        <f>E19-E33</f>
        <v>304.93000000000006</v>
      </c>
      <c r="F34" s="152">
        <f>F19-F33</f>
        <v>460.68000000000006</v>
      </c>
      <c r="G34" s="152">
        <f>G19-G33</f>
        <v>772.30000000000018</v>
      </c>
      <c r="H34" s="152">
        <f>H19-H33</f>
        <v>961.72</v>
      </c>
      <c r="I34" s="152">
        <f>I19-I33</f>
        <v>1341.9899999999998</v>
      </c>
      <c r="J34" s="152">
        <f>J19-J33</f>
        <v>1583.34</v>
      </c>
      <c r="K34" s="152">
        <f>K19-K33</f>
        <v>2019.57</v>
      </c>
      <c r="L34" s="101"/>
      <c r="M34" s="101"/>
      <c r="N34" s="101"/>
    </row>
    <row r="35" spans="1:14" x14ac:dyDescent="0.25">
      <c r="A35" s="59" t="s">
        <v>60</v>
      </c>
      <c r="B35" s="60"/>
      <c r="C35" s="102">
        <f>C34*30.9%</f>
        <v>2.4410999999999929</v>
      </c>
      <c r="D35" s="102">
        <f>D34*30.9%</f>
        <v>16.358460000000015</v>
      </c>
      <c r="E35" s="102">
        <f t="shared" ref="E35:K35" si="20">E34*30.9%</f>
        <v>94.223370000000017</v>
      </c>
      <c r="F35" s="102">
        <f t="shared" si="20"/>
        <v>142.35012000000003</v>
      </c>
      <c r="G35" s="102">
        <f t="shared" si="20"/>
        <v>238.64070000000007</v>
      </c>
      <c r="H35" s="102">
        <f t="shared" si="20"/>
        <v>297.17148000000003</v>
      </c>
      <c r="I35" s="102">
        <f t="shared" si="20"/>
        <v>414.67490999999995</v>
      </c>
      <c r="J35" s="102">
        <f t="shared" si="20"/>
        <v>489.25205999999997</v>
      </c>
      <c r="K35" s="102">
        <f t="shared" si="20"/>
        <v>624.04712999999992</v>
      </c>
      <c r="L35" s="71"/>
      <c r="M35" s="71"/>
      <c r="N35" s="71"/>
    </row>
    <row r="36" spans="1:14" x14ac:dyDescent="0.25">
      <c r="A36" s="56" t="s">
        <v>20</v>
      </c>
      <c r="B36" s="69"/>
      <c r="C36" s="63">
        <f>C34-C35</f>
        <v>5.4588999999999839</v>
      </c>
      <c r="D36" s="103">
        <f>D34-D35</f>
        <v>36.581540000000039</v>
      </c>
      <c r="E36" s="103">
        <f t="shared" ref="E36:K36" si="21">E34-E35</f>
        <v>210.70663000000005</v>
      </c>
      <c r="F36" s="103">
        <f t="shared" si="21"/>
        <v>318.32988</v>
      </c>
      <c r="G36" s="103">
        <f t="shared" si="21"/>
        <v>533.65930000000014</v>
      </c>
      <c r="H36" s="103">
        <f t="shared" si="21"/>
        <v>664.54852000000005</v>
      </c>
      <c r="I36" s="103">
        <f t="shared" si="21"/>
        <v>927.31508999999983</v>
      </c>
      <c r="J36" s="103">
        <f t="shared" si="21"/>
        <v>1094.0879399999999</v>
      </c>
      <c r="K36" s="103">
        <f t="shared" si="21"/>
        <v>1395.52287</v>
      </c>
      <c r="L36" s="91"/>
      <c r="M36" s="91"/>
      <c r="N36" s="91"/>
    </row>
    <row r="37" spans="1:14" x14ac:dyDescent="0.25">
      <c r="A37" s="52" t="s">
        <v>297</v>
      </c>
      <c r="B37" s="52"/>
      <c r="C37" s="151">
        <f>(C34+C32+C31)/C32</f>
        <v>2.6035772061411135</v>
      </c>
      <c r="D37" s="151">
        <f t="shared" ref="D37:K37" si="22">(D34+D32+D31)/D32</f>
        <v>2.7003813483412653</v>
      </c>
      <c r="E37" s="151">
        <f t="shared" si="22"/>
        <v>3.7043039037888601</v>
      </c>
      <c r="F37" s="151">
        <f t="shared" si="22"/>
        <v>4.664886107677642</v>
      </c>
      <c r="G37" s="151">
        <f t="shared" si="22"/>
        <v>7.000745563586082</v>
      </c>
      <c r="H37" s="151">
        <f t="shared" si="22"/>
        <v>9.9824057126622368</v>
      </c>
      <c r="I37" s="151">
        <f t="shared" si="22"/>
        <v>18.402641690147721</v>
      </c>
      <c r="J37" s="151">
        <f t="shared" si="22"/>
        <v>53.854264184387375</v>
      </c>
      <c r="K37" s="151">
        <f t="shared" si="22"/>
        <v>196.45603982432965</v>
      </c>
    </row>
    <row r="38" spans="1:14" x14ac:dyDescent="0.25">
      <c r="A38" s="52" t="s">
        <v>265</v>
      </c>
      <c r="B38" s="52"/>
      <c r="C38" s="52"/>
      <c r="D38" s="138">
        <f>SUM(C37:K37)/8</f>
        <v>37.421155692632745</v>
      </c>
      <c r="E38" s="138"/>
      <c r="F38" s="138"/>
      <c r="G38" s="138"/>
      <c r="H38" s="138"/>
      <c r="I38" s="138"/>
      <c r="J38" s="138"/>
      <c r="K38" s="138"/>
    </row>
    <row r="39" spans="1:14" hidden="1" x14ac:dyDescent="0.25">
      <c r="A39" s="53"/>
      <c r="B39" s="53"/>
      <c r="C39" s="53"/>
      <c r="D39" s="105"/>
      <c r="E39" s="106"/>
      <c r="F39" s="105"/>
      <c r="G39" s="105"/>
      <c r="H39" s="105"/>
    </row>
    <row r="40" spans="1:14" hidden="1" x14ac:dyDescent="0.25">
      <c r="A40" s="53"/>
      <c r="B40" s="53"/>
      <c r="C40" s="53"/>
      <c r="D40" s="105" t="s">
        <v>0</v>
      </c>
      <c r="E40" s="106"/>
      <c r="F40" s="105"/>
      <c r="G40" s="105"/>
      <c r="H40" s="105"/>
    </row>
    <row r="41" spans="1:14" hidden="1" x14ac:dyDescent="0.25">
      <c r="A41" s="53"/>
      <c r="B41" s="53"/>
      <c r="C41" s="53"/>
      <c r="D41" s="105"/>
      <c r="E41" s="106"/>
      <c r="F41" s="105"/>
      <c r="G41" s="105"/>
      <c r="H41" s="105"/>
    </row>
    <row r="42" spans="1:14" hidden="1" x14ac:dyDescent="0.25">
      <c r="A42" s="53"/>
      <c r="B42" s="53"/>
      <c r="C42" s="53"/>
      <c r="D42" s="105"/>
      <c r="E42" s="105"/>
      <c r="F42" s="105"/>
      <c r="G42" s="105"/>
      <c r="H42" s="105"/>
    </row>
    <row r="43" spans="1:14" hidden="1" x14ac:dyDescent="0.25">
      <c r="A43" s="53"/>
      <c r="B43" s="53"/>
      <c r="C43" s="53"/>
      <c r="D43" s="105"/>
      <c r="E43" s="105"/>
      <c r="F43" s="105"/>
      <c r="G43" s="105"/>
      <c r="H43" s="105"/>
    </row>
    <row r="45" spans="1:14" x14ac:dyDescent="0.25">
      <c r="D45" s="107"/>
      <c r="E45" s="107"/>
      <c r="F45" s="107"/>
      <c r="G45" s="107"/>
      <c r="H45" s="107"/>
    </row>
  </sheetData>
  <mergeCells count="2">
    <mergeCell ref="A2:I2"/>
    <mergeCell ref="A1:I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6" orientation="landscape" r:id="rId1"/>
  <headerFooter alignWithMargins="0"/>
  <rowBreaks count="2" manualBreakCount="2">
    <brk id="34" max="9" man="1"/>
    <brk id="3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opLeftCell="A20" zoomScale="110" zoomScaleNormal="110" zoomScaleSheetLayoutView="85" workbookViewId="0">
      <selection activeCell="C38" sqref="C38"/>
    </sheetView>
  </sheetViews>
  <sheetFormatPr defaultRowHeight="13.5" customHeight="1" x14ac:dyDescent="0.2"/>
  <cols>
    <col min="1" max="1" width="40.5703125" customWidth="1"/>
    <col min="2" max="3" width="10.5703125" customWidth="1"/>
    <col min="4" max="4" width="9.85546875" customWidth="1"/>
    <col min="5" max="5" width="9.7109375" customWidth="1"/>
    <col min="6" max="6" width="9.28515625" customWidth="1"/>
    <col min="7" max="7" width="10.140625" customWidth="1"/>
    <col min="8" max="8" width="10" customWidth="1"/>
    <col min="9" max="9" width="9.42578125" customWidth="1"/>
    <col min="10" max="10" width="10" customWidth="1"/>
    <col min="11" max="11" width="10.28515625" customWidth="1"/>
    <col min="12" max="12" width="11.5703125" bestFit="1" customWidth="1"/>
  </cols>
  <sheetData>
    <row r="1" spans="1:14" ht="13.5" customHeight="1" x14ac:dyDescent="0.25">
      <c r="A1" s="333" t="str">
        <f>Cost!A1</f>
        <v>Mahecha Boutique Hotels Private Limited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10"/>
    </row>
    <row r="2" spans="1:14" ht="13.5" customHeight="1" x14ac:dyDescent="0.25">
      <c r="A2" s="382"/>
      <c r="B2" s="382"/>
      <c r="C2" s="382"/>
      <c r="D2" s="382"/>
      <c r="E2" s="382"/>
      <c r="F2" s="382"/>
      <c r="G2" s="382"/>
      <c r="H2" s="382"/>
      <c r="I2" s="382"/>
      <c r="J2" s="10"/>
      <c r="K2" s="10">
        <f>Cost!D1</f>
        <v>0</v>
      </c>
      <c r="L2" s="10"/>
    </row>
    <row r="3" spans="1:14" ht="13.5" customHeight="1" x14ac:dyDescent="0.25">
      <c r="A3" s="383" t="s">
        <v>132</v>
      </c>
      <c r="B3" s="383"/>
      <c r="C3" s="383"/>
      <c r="D3" s="383"/>
      <c r="E3" s="383"/>
      <c r="F3" s="383"/>
      <c r="G3" s="383"/>
      <c r="H3" s="383"/>
      <c r="I3" s="383"/>
      <c r="J3" s="384" t="s">
        <v>131</v>
      </c>
      <c r="K3" s="384"/>
      <c r="L3" s="10"/>
    </row>
    <row r="4" spans="1:14" s="1" customFormat="1" ht="34.5" customHeight="1" x14ac:dyDescent="0.25">
      <c r="A4" s="74" t="s">
        <v>99</v>
      </c>
      <c r="B4" s="16"/>
      <c r="C4" s="327" t="s">
        <v>294</v>
      </c>
      <c r="D4" s="75" t="s">
        <v>295</v>
      </c>
      <c r="E4" s="75" t="s">
        <v>273</v>
      </c>
      <c r="F4" s="75" t="s">
        <v>274</v>
      </c>
      <c r="G4" s="75" t="s">
        <v>275</v>
      </c>
      <c r="H4" s="75" t="s">
        <v>276</v>
      </c>
      <c r="I4" s="75" t="s">
        <v>277</v>
      </c>
      <c r="J4" s="75" t="s">
        <v>278</v>
      </c>
      <c r="K4" s="75" t="s">
        <v>279</v>
      </c>
      <c r="L4" s="76"/>
      <c r="M4" s="2"/>
    </row>
    <row r="5" spans="1:14" ht="29.25" customHeight="1" x14ac:dyDescent="0.25">
      <c r="A5" s="108"/>
      <c r="B5" s="78" t="s">
        <v>163</v>
      </c>
      <c r="C5" s="78" t="s">
        <v>58</v>
      </c>
      <c r="D5" s="79" t="s">
        <v>58</v>
      </c>
      <c r="E5" s="79" t="s">
        <v>58</v>
      </c>
      <c r="F5" s="79" t="s">
        <v>58</v>
      </c>
      <c r="G5" s="79" t="s">
        <v>58</v>
      </c>
      <c r="H5" s="79" t="s">
        <v>58</v>
      </c>
      <c r="I5" s="79" t="s">
        <v>58</v>
      </c>
      <c r="J5" s="80" t="s">
        <v>58</v>
      </c>
      <c r="K5" s="79" t="s">
        <v>58</v>
      </c>
      <c r="L5" s="109"/>
      <c r="M5" s="9"/>
      <c r="N5" s="1"/>
    </row>
    <row r="6" spans="1:14" ht="13.5" customHeight="1" x14ac:dyDescent="0.25">
      <c r="A6" s="89" t="s">
        <v>21</v>
      </c>
      <c r="B6" s="89"/>
      <c r="C6" s="89"/>
      <c r="D6" s="110"/>
      <c r="E6" s="111"/>
      <c r="F6" s="112"/>
      <c r="G6" s="112"/>
      <c r="H6" s="113"/>
      <c r="I6" s="113"/>
      <c r="J6" s="114"/>
      <c r="K6" s="113"/>
      <c r="L6" s="93"/>
      <c r="M6" s="4"/>
      <c r="N6" s="1"/>
    </row>
    <row r="7" spans="1:14" ht="13.5" customHeight="1" x14ac:dyDescent="0.25">
      <c r="A7" s="60" t="s">
        <v>217</v>
      </c>
      <c r="B7" s="60">
        <v>0</v>
      </c>
      <c r="C7" s="62">
        <f>B12</f>
        <v>500</v>
      </c>
      <c r="D7" s="110">
        <f>C12</f>
        <v>505.45889999999997</v>
      </c>
      <c r="E7" s="110">
        <f>D12</f>
        <v>527.04043999999999</v>
      </c>
      <c r="F7" s="110">
        <f t="shared" ref="F7:K7" si="0">E12</f>
        <v>587.75</v>
      </c>
      <c r="G7" s="110">
        <f t="shared" si="0"/>
        <v>706.08</v>
      </c>
      <c r="H7" s="110">
        <f t="shared" si="0"/>
        <v>889.74</v>
      </c>
      <c r="I7" s="110">
        <f t="shared" si="0"/>
        <v>1154.29</v>
      </c>
      <c r="J7" s="112">
        <f t="shared" si="0"/>
        <v>1481.6100000000001</v>
      </c>
      <c r="K7" s="110">
        <f t="shared" si="0"/>
        <v>1875.6999999999998</v>
      </c>
      <c r="L7" s="93"/>
      <c r="M7" s="4"/>
      <c r="N7" s="1"/>
    </row>
    <row r="8" spans="1:14" ht="13.5" customHeight="1" x14ac:dyDescent="0.25">
      <c r="A8" s="60" t="s">
        <v>100</v>
      </c>
      <c r="B8" s="62">
        <f>Cost!C29</f>
        <v>500</v>
      </c>
      <c r="C8" s="62">
        <v>0</v>
      </c>
      <c r="D8" s="110">
        <v>0</v>
      </c>
      <c r="E8" s="110">
        <v>0</v>
      </c>
      <c r="F8" s="110">
        <v>0</v>
      </c>
      <c r="G8" s="110">
        <v>0</v>
      </c>
      <c r="H8" s="110">
        <v>0</v>
      </c>
      <c r="I8" s="110">
        <v>0</v>
      </c>
      <c r="J8" s="112">
        <v>0</v>
      </c>
      <c r="K8" s="110">
        <v>0</v>
      </c>
      <c r="L8" s="93"/>
      <c r="M8" s="4"/>
      <c r="N8" s="1"/>
    </row>
    <row r="9" spans="1:14" ht="13.5" customHeight="1" x14ac:dyDescent="0.25">
      <c r="A9" s="60" t="s">
        <v>149</v>
      </c>
      <c r="B9" s="60">
        <v>0</v>
      </c>
      <c r="C9" s="62">
        <f>Profitability!C36</f>
        <v>5.4588999999999839</v>
      </c>
      <c r="D9" s="110">
        <f>Profitability!D36</f>
        <v>36.581540000000039</v>
      </c>
      <c r="E9" s="110">
        <f>Profitability!E36</f>
        <v>210.70663000000005</v>
      </c>
      <c r="F9" s="110">
        <f>Profitability!F36</f>
        <v>318.32988</v>
      </c>
      <c r="G9" s="110">
        <f>Profitability!G36</f>
        <v>533.65930000000014</v>
      </c>
      <c r="H9" s="110">
        <f>Profitability!H36</f>
        <v>664.54852000000005</v>
      </c>
      <c r="I9" s="110">
        <f>Profitability!I36</f>
        <v>927.31508999999983</v>
      </c>
      <c r="J9" s="110">
        <f>Profitability!J36</f>
        <v>1094.0879399999999</v>
      </c>
      <c r="K9" s="110">
        <f>Profitability!K36</f>
        <v>1395.52287</v>
      </c>
      <c r="L9" s="93"/>
      <c r="M9" s="4"/>
      <c r="N9" s="1"/>
    </row>
    <row r="10" spans="1:14" ht="13.5" customHeight="1" x14ac:dyDescent="0.25">
      <c r="A10" s="16" t="s">
        <v>12</v>
      </c>
      <c r="B10" s="48">
        <f>SUM(B7:B9)</f>
        <v>500</v>
      </c>
      <c r="C10" s="48">
        <f>SUM(C7:C9)</f>
        <v>505.45889999999997</v>
      </c>
      <c r="D10" s="48">
        <f>SUM(D7:D9)</f>
        <v>542.04043999999999</v>
      </c>
      <c r="E10" s="48">
        <f t="shared" ref="E10:K10" si="1">ROUND(SUM(E7:E9),2)</f>
        <v>737.75</v>
      </c>
      <c r="F10" s="48">
        <f t="shared" si="1"/>
        <v>906.08</v>
      </c>
      <c r="G10" s="48">
        <f t="shared" si="1"/>
        <v>1239.74</v>
      </c>
      <c r="H10" s="48">
        <f t="shared" si="1"/>
        <v>1554.29</v>
      </c>
      <c r="I10" s="48">
        <f t="shared" si="1"/>
        <v>2081.61</v>
      </c>
      <c r="J10" s="115">
        <f t="shared" si="1"/>
        <v>2575.6999999999998</v>
      </c>
      <c r="K10" s="48">
        <f t="shared" si="1"/>
        <v>3271.22</v>
      </c>
      <c r="L10" s="93"/>
      <c r="M10" s="4"/>
      <c r="N10" s="1"/>
    </row>
    <row r="11" spans="1:14" ht="13.5" customHeight="1" x14ac:dyDescent="0.25">
      <c r="A11" s="60" t="s">
        <v>260</v>
      </c>
      <c r="B11" s="60"/>
      <c r="C11" s="62">
        <v>0</v>
      </c>
      <c r="D11" s="110">
        <v>15</v>
      </c>
      <c r="E11" s="110">
        <v>150</v>
      </c>
      <c r="F11" s="110">
        <v>200</v>
      </c>
      <c r="G11" s="110">
        <v>350</v>
      </c>
      <c r="H11" s="110">
        <v>400</v>
      </c>
      <c r="I11" s="110">
        <v>600</v>
      </c>
      <c r="J11" s="112">
        <v>700</v>
      </c>
      <c r="K11" s="110">
        <v>850</v>
      </c>
      <c r="L11" s="93"/>
      <c r="M11" s="4"/>
      <c r="N11" s="1"/>
    </row>
    <row r="12" spans="1:14" ht="13.5" customHeight="1" x14ac:dyDescent="0.25">
      <c r="A12" s="69" t="s">
        <v>216</v>
      </c>
      <c r="B12" s="63">
        <f>B10-B11</f>
        <v>500</v>
      </c>
      <c r="C12" s="63">
        <f>C10-C11</f>
        <v>505.45889999999997</v>
      </c>
      <c r="D12" s="63">
        <f>D10-D11</f>
        <v>527.04043999999999</v>
      </c>
      <c r="E12" s="63">
        <f t="shared" ref="E12:J12" si="2">E10-E11</f>
        <v>587.75</v>
      </c>
      <c r="F12" s="63">
        <f t="shared" si="2"/>
        <v>706.08</v>
      </c>
      <c r="G12" s="63">
        <f t="shared" si="2"/>
        <v>889.74</v>
      </c>
      <c r="H12" s="63">
        <f t="shared" si="2"/>
        <v>1154.29</v>
      </c>
      <c r="I12" s="63">
        <f t="shared" si="2"/>
        <v>1481.6100000000001</v>
      </c>
      <c r="J12" s="116">
        <f t="shared" si="2"/>
        <v>1875.6999999999998</v>
      </c>
      <c r="K12" s="63">
        <f>K10-K11</f>
        <v>2421.2199999999998</v>
      </c>
      <c r="L12" s="93">
        <f>SUM(D12:K12)</f>
        <v>9643.4304400000001</v>
      </c>
      <c r="M12" s="4"/>
      <c r="N12" s="1"/>
    </row>
    <row r="13" spans="1:14" ht="13.5" customHeight="1" x14ac:dyDescent="0.25">
      <c r="A13" s="60" t="s">
        <v>55</v>
      </c>
      <c r="B13" s="62">
        <f>'Intt &amp; Depreciation'!F6</f>
        <v>3000</v>
      </c>
      <c r="C13" s="62">
        <f>'Intt &amp; Depreciation'!F7</f>
        <v>3000</v>
      </c>
      <c r="D13" s="62">
        <f>'Intt &amp; Depreciation'!F8</f>
        <v>2850</v>
      </c>
      <c r="E13" s="62">
        <f>'Intt &amp; Depreciation'!F9</f>
        <v>2550</v>
      </c>
      <c r="F13" s="62">
        <f>'Intt &amp; Depreciation'!F10</f>
        <v>2150</v>
      </c>
      <c r="G13" s="62">
        <f>'Intt &amp; Depreciation'!F11</f>
        <v>1750</v>
      </c>
      <c r="H13" s="62">
        <f>'Intt &amp; Depreciation'!F12</f>
        <v>1250</v>
      </c>
      <c r="I13" s="62">
        <f>'Intt &amp; Depreciation'!F13</f>
        <v>750</v>
      </c>
      <c r="J13" s="117">
        <f>'Intt &amp; Depreciation'!F14</f>
        <v>250</v>
      </c>
      <c r="K13" s="62">
        <f>'Intt &amp; Depreciation'!F15</f>
        <v>0</v>
      </c>
      <c r="L13" s="93"/>
      <c r="M13" s="4"/>
      <c r="N13" s="1"/>
    </row>
    <row r="14" spans="1:14" ht="13.5" customHeight="1" x14ac:dyDescent="0.25">
      <c r="A14" s="60" t="s">
        <v>299</v>
      </c>
      <c r="B14" s="62">
        <f>Cost!C27</f>
        <v>500</v>
      </c>
      <c r="C14" s="62">
        <f>B14</f>
        <v>500</v>
      </c>
      <c r="D14" s="62">
        <f>C14</f>
        <v>500</v>
      </c>
      <c r="E14" s="62">
        <f t="shared" ref="E14:K14" si="3">D14</f>
        <v>500</v>
      </c>
      <c r="F14" s="62">
        <f t="shared" si="3"/>
        <v>500</v>
      </c>
      <c r="G14" s="62">
        <f t="shared" si="3"/>
        <v>500</v>
      </c>
      <c r="H14" s="62">
        <f t="shared" si="3"/>
        <v>500</v>
      </c>
      <c r="I14" s="62">
        <f t="shared" si="3"/>
        <v>500</v>
      </c>
      <c r="J14" s="62">
        <f t="shared" si="3"/>
        <v>500</v>
      </c>
      <c r="K14" s="62">
        <f t="shared" si="3"/>
        <v>500</v>
      </c>
      <c r="L14" s="93"/>
      <c r="M14" s="4"/>
      <c r="N14" s="1"/>
    </row>
    <row r="15" spans="1:14" ht="27" customHeight="1" x14ac:dyDescent="0.25">
      <c r="A15" s="118" t="s">
        <v>130</v>
      </c>
      <c r="B15" s="119">
        <v>0</v>
      </c>
      <c r="C15" s="120">
        <f>(Profitability!C33-Profitability!C32-Profitability!C31)*30/360</f>
        <v>21.275589764245805</v>
      </c>
      <c r="D15" s="120">
        <f>(Profitability!D33-Profitability!D32-Profitability!D31)*30/360</f>
        <v>42.775384170763495</v>
      </c>
      <c r="E15" s="120">
        <f>(Profitability!E33-Profitability!E32-Profitability!E31)*30/360</f>
        <v>49.754512614942257</v>
      </c>
      <c r="F15" s="120">
        <f>(Profitability!F33-Profitability!F32-Profitability!F31)*30/360</f>
        <v>54.611382352181558</v>
      </c>
      <c r="G15" s="120">
        <f>(Profitability!G33-Profitability!G32-Profitability!G31)*30/360</f>
        <v>63.354929465886883</v>
      </c>
      <c r="H15" s="120">
        <f>(Profitability!H33-Profitability!H32-Profitability!H31)*30/360</f>
        <v>69.55710239921649</v>
      </c>
      <c r="I15" s="120">
        <f>(Profitability!I33-Profitability!I32-Profitability!I31)*30/360</f>
        <v>80.498520657225413</v>
      </c>
      <c r="J15" s="120">
        <f>(Profitability!J33-Profitability!J32-Profitability!J31)*30/360</f>
        <v>88.402381981410514</v>
      </c>
      <c r="K15" s="120">
        <f>(Profitability!K33-Profitability!K32-Profitability!K31)*30/360</f>
        <v>102.08079599802429</v>
      </c>
      <c r="L15" s="93"/>
      <c r="M15" s="3"/>
      <c r="N15" s="1"/>
    </row>
    <row r="16" spans="1:14" ht="13.5" customHeight="1" x14ac:dyDescent="0.2">
      <c r="A16" s="69" t="s">
        <v>12</v>
      </c>
      <c r="B16" s="63">
        <f t="shared" ref="B16:K16" si="4">SUM(B12:B15)</f>
        <v>4000</v>
      </c>
      <c r="C16" s="63">
        <f t="shared" si="4"/>
        <v>4026.7344897642461</v>
      </c>
      <c r="D16" s="63">
        <f t="shared" si="4"/>
        <v>3919.8158241707633</v>
      </c>
      <c r="E16" s="63">
        <f t="shared" si="4"/>
        <v>3687.5045126149421</v>
      </c>
      <c r="F16" s="63">
        <f t="shared" si="4"/>
        <v>3410.6913823521813</v>
      </c>
      <c r="G16" s="63">
        <f t="shared" si="4"/>
        <v>3203.0949294658867</v>
      </c>
      <c r="H16" s="63">
        <f t="shared" si="4"/>
        <v>2973.8471023992165</v>
      </c>
      <c r="I16" s="63">
        <f t="shared" si="4"/>
        <v>2812.1085206572257</v>
      </c>
      <c r="J16" s="63">
        <f t="shared" si="4"/>
        <v>2714.1023819814104</v>
      </c>
      <c r="K16" s="63">
        <f t="shared" si="4"/>
        <v>3023.3007959980241</v>
      </c>
      <c r="L16" s="101"/>
      <c r="M16" s="6"/>
      <c r="N16" s="1"/>
    </row>
    <row r="17" spans="1:14" ht="13.5" customHeight="1" x14ac:dyDescent="0.25">
      <c r="A17" s="89" t="s">
        <v>22</v>
      </c>
      <c r="B17" s="231">
        <f t="shared" ref="B17:K17" si="5">B16-B23</f>
        <v>0</v>
      </c>
      <c r="C17" s="231">
        <f t="shared" si="5"/>
        <v>-2.5874067036966153E-3</v>
      </c>
      <c r="D17" s="121">
        <f t="shared" si="5"/>
        <v>1.6369506520277355E-3</v>
      </c>
      <c r="E17" s="234">
        <f t="shared" si="5"/>
        <v>-2.5759844766071183E-3</v>
      </c>
      <c r="F17" s="121">
        <f t="shared" si="5"/>
        <v>4.2680265837589104E-3</v>
      </c>
      <c r="G17" s="234">
        <f t="shared" si="5"/>
        <v>-1.1561586866264406E-3</v>
      </c>
      <c r="H17" s="121">
        <f t="shared" si="5"/>
        <v>3.6877236279906356E-3</v>
      </c>
      <c r="I17" s="234">
        <f t="shared" si="5"/>
        <v>8.6115482827153755E-4</v>
      </c>
      <c r="J17" s="121">
        <f t="shared" si="5"/>
        <v>4.9169149774570542E-3</v>
      </c>
      <c r="K17" s="236">
        <f t="shared" si="5"/>
        <v>3.954412168241106E-3</v>
      </c>
      <c r="L17" s="93">
        <f>L16/L12</f>
        <v>0</v>
      </c>
      <c r="M17" s="5" t="s">
        <v>255</v>
      </c>
      <c r="N17" s="1"/>
    </row>
    <row r="18" spans="1:14" ht="13.5" customHeight="1" x14ac:dyDescent="0.25">
      <c r="A18" s="122" t="s">
        <v>57</v>
      </c>
      <c r="B18" s="117">
        <f>'Intt &amp; Depreciation'!G22</f>
        <v>4000</v>
      </c>
      <c r="C18" s="117">
        <f>'Intt &amp; Depreciation'!G27</f>
        <v>3791.4170771709496</v>
      </c>
      <c r="D18" s="62">
        <f>'Intt &amp; Depreciation'!G31</f>
        <v>3396.7316872201113</v>
      </c>
      <c r="E18" s="111">
        <f>'Intt &amp; Depreciation'!G35</f>
        <v>3044.5158385994187</v>
      </c>
      <c r="F18" s="110">
        <f>'Intt &amp; Depreciation'!G39</f>
        <v>2730.0724268255972</v>
      </c>
      <c r="G18" s="147">
        <f>'Intt &amp; Depreciation'!G43</f>
        <v>2449.2415804162401</v>
      </c>
      <c r="H18" s="62">
        <f>'Intt &amp; Depreciation'!G47</f>
        <v>2198.3368092068381</v>
      </c>
      <c r="I18" s="147">
        <f>'Intt &amp; Depreciation'!G51</f>
        <v>1974.089057093543</v>
      </c>
      <c r="J18" s="62">
        <f>'Intt &amp; Depreciation'!G55</f>
        <v>1773.5976408704691</v>
      </c>
      <c r="K18" s="227">
        <f>'Intt &amp; Depreciation'!G59</f>
        <v>1594.2871928467607</v>
      </c>
      <c r="L18" s="91"/>
      <c r="M18" s="8"/>
      <c r="N18" s="1"/>
    </row>
    <row r="19" spans="1:14" ht="13.5" customHeight="1" x14ac:dyDescent="0.25">
      <c r="A19" s="60" t="s">
        <v>215</v>
      </c>
      <c r="B19" s="112">
        <f>ROUND((Profitability!B14+Profitability!B15)/12*2,2)</f>
        <v>0</v>
      </c>
      <c r="C19" s="112">
        <f>ROUND((Profitability!C14+Profitability!C15)/12*2,2)</f>
        <v>86.45</v>
      </c>
      <c r="D19" s="110">
        <f>ROUND((Profitability!D14+Profitability!D15)/12*2,2)</f>
        <v>173.38</v>
      </c>
      <c r="E19" s="110">
        <f>ROUND((Profitability!E14+Profitability!E15)/12*2,2)</f>
        <v>214.55</v>
      </c>
      <c r="F19" s="110">
        <f>ROUND((Profitability!F14+Profitability!F15)/12*2,2)</f>
        <v>236.01</v>
      </c>
      <c r="G19" s="110">
        <f>ROUND((Profitability!G14+Profitability!G15)/12*2,2)</f>
        <v>288.45</v>
      </c>
      <c r="H19" s="110">
        <f>ROUND((Profitability!H14+Profitability!H15)/12*2,2)</f>
        <v>317.3</v>
      </c>
      <c r="I19" s="110">
        <f>ROUND((Profitability!I14+Profitability!I15)/12*2,2)</f>
        <v>383.93</v>
      </c>
      <c r="J19" s="110">
        <f>ROUND((Profitability!J14+Profitability!J15)/12*2,2)</f>
        <v>422.32</v>
      </c>
      <c r="K19" s="110">
        <f>ROUND((Profitability!K14+Profitability!K15)/12*2,2)</f>
        <v>506.79</v>
      </c>
      <c r="L19" s="93"/>
      <c r="M19" s="4"/>
      <c r="N19" s="1"/>
    </row>
    <row r="20" spans="1:14" ht="13.5" customHeight="1" x14ac:dyDescent="0.25">
      <c r="A20" s="60" t="s">
        <v>161</v>
      </c>
      <c r="B20" s="112">
        <v>0</v>
      </c>
      <c r="C20" s="112">
        <f>(Profitability!C15+Profitability!C17)*1/12</f>
        <v>19.05</v>
      </c>
      <c r="D20" s="110">
        <f>(Profitability!D15+Profitability!D17)*1/12</f>
        <v>38.8125</v>
      </c>
      <c r="E20" s="110">
        <f>(Profitability!E15+Profitability!E17)*1/12</f>
        <v>46.741250000000001</v>
      </c>
      <c r="F20" s="110">
        <f>(Profitability!F15+Profitability!F17)*1/12</f>
        <v>51.0546875</v>
      </c>
      <c r="G20" s="110">
        <f>(Profitability!G15+Profitability!G17)*1/12</f>
        <v>61.094505208333338</v>
      </c>
      <c r="H20" s="110">
        <f>(Profitability!H15+Profitability!H17)*1/12</f>
        <v>66.806605468749993</v>
      </c>
      <c r="I20" s="110">
        <f>(Profitability!I15+Profitability!I17)*1/12</f>
        <v>79.498602408854168</v>
      </c>
      <c r="J20" s="110">
        <f>(Profitability!J15+Profitability!J17)*1/12</f>
        <v>87.009824195963532</v>
      </c>
      <c r="K20" s="110">
        <f>(Profitability!K15+Profitability!K17)*1/12</f>
        <v>103.02964873909507</v>
      </c>
      <c r="L20" s="93"/>
      <c r="M20" s="5"/>
      <c r="N20" s="1"/>
    </row>
    <row r="21" spans="1:14" ht="13.5" customHeight="1" x14ac:dyDescent="0.25">
      <c r="A21" s="60" t="s">
        <v>160</v>
      </c>
      <c r="B21" s="112">
        <v>0</v>
      </c>
      <c r="C21" s="112">
        <v>45</v>
      </c>
      <c r="D21" s="110">
        <v>45</v>
      </c>
      <c r="E21" s="111">
        <v>45</v>
      </c>
      <c r="F21" s="110">
        <v>45</v>
      </c>
      <c r="G21" s="111">
        <v>45</v>
      </c>
      <c r="H21" s="110">
        <v>45</v>
      </c>
      <c r="I21" s="111">
        <v>45</v>
      </c>
      <c r="J21" s="110">
        <v>45</v>
      </c>
      <c r="K21" s="128">
        <v>45</v>
      </c>
      <c r="L21" s="93"/>
      <c r="M21" s="4"/>
      <c r="N21" s="1"/>
    </row>
    <row r="22" spans="1:14" ht="13.5" customHeight="1" x14ac:dyDescent="0.25">
      <c r="A22" s="60" t="s">
        <v>23</v>
      </c>
      <c r="B22" s="124">
        <v>0</v>
      </c>
      <c r="C22" s="124">
        <v>84.82</v>
      </c>
      <c r="D22" s="123">
        <v>265.89</v>
      </c>
      <c r="E22" s="235">
        <v>336.7</v>
      </c>
      <c r="F22" s="123">
        <v>348.55</v>
      </c>
      <c r="G22" s="235">
        <v>359.31</v>
      </c>
      <c r="H22" s="123">
        <v>346.4</v>
      </c>
      <c r="I22" s="235">
        <v>329.59</v>
      </c>
      <c r="J22" s="123">
        <v>386.17</v>
      </c>
      <c r="K22" s="233">
        <v>774.19</v>
      </c>
      <c r="L22" s="91"/>
      <c r="M22" s="8"/>
      <c r="N22" s="1"/>
    </row>
    <row r="23" spans="1:14" ht="13.5" customHeight="1" x14ac:dyDescent="0.2">
      <c r="A23" s="69" t="s">
        <v>12</v>
      </c>
      <c r="B23" s="127">
        <f t="shared" ref="B23:K23" si="6">SUM(B18:B22)</f>
        <v>4000</v>
      </c>
      <c r="C23" s="127">
        <f t="shared" si="6"/>
        <v>4026.7370771709498</v>
      </c>
      <c r="D23" s="127">
        <f t="shared" si="6"/>
        <v>3919.8141872201113</v>
      </c>
      <c r="E23" s="127">
        <f t="shared" si="6"/>
        <v>3687.5070885994187</v>
      </c>
      <c r="F23" s="127">
        <f t="shared" si="6"/>
        <v>3410.6871143255976</v>
      </c>
      <c r="G23" s="127">
        <f t="shared" si="6"/>
        <v>3203.0960856245733</v>
      </c>
      <c r="H23" s="127">
        <f t="shared" si="6"/>
        <v>2973.8434146755885</v>
      </c>
      <c r="I23" s="127">
        <f t="shared" si="6"/>
        <v>2812.1076595023974</v>
      </c>
      <c r="J23" s="127">
        <f t="shared" si="6"/>
        <v>2714.097465066433</v>
      </c>
      <c r="K23" s="127">
        <f t="shared" si="6"/>
        <v>3023.2968415858559</v>
      </c>
      <c r="L23" s="101"/>
      <c r="M23" s="6"/>
      <c r="N23" s="1"/>
    </row>
    <row r="24" spans="1:14" ht="13.5" customHeight="1" x14ac:dyDescent="0.25">
      <c r="A24" s="60" t="s">
        <v>51</v>
      </c>
      <c r="B24" s="112">
        <f>B19+B20+B21</f>
        <v>0</v>
      </c>
      <c r="C24" s="112">
        <f>C19+C20+C21</f>
        <v>150.5</v>
      </c>
      <c r="D24" s="112">
        <f t="shared" ref="D24:K24" si="7">D19+D20+D21</f>
        <v>257.1925</v>
      </c>
      <c r="E24" s="112">
        <f t="shared" si="7"/>
        <v>306.29124999999999</v>
      </c>
      <c r="F24" s="112">
        <f t="shared" si="7"/>
        <v>332.06468749999999</v>
      </c>
      <c r="G24" s="112">
        <f t="shared" si="7"/>
        <v>394.54450520833331</v>
      </c>
      <c r="H24" s="112">
        <f t="shared" si="7"/>
        <v>429.10660546874999</v>
      </c>
      <c r="I24" s="112">
        <f t="shared" si="7"/>
        <v>508.4286024088542</v>
      </c>
      <c r="J24" s="112">
        <f t="shared" si="7"/>
        <v>554.32982419596351</v>
      </c>
      <c r="K24" s="112">
        <f t="shared" si="7"/>
        <v>654.8196487390951</v>
      </c>
      <c r="L24" s="101"/>
      <c r="M24" s="6"/>
      <c r="N24" s="1"/>
    </row>
    <row r="25" spans="1:14" ht="13.5" customHeight="1" x14ac:dyDescent="0.25">
      <c r="A25" s="60" t="s">
        <v>61</v>
      </c>
      <c r="B25" s="112">
        <f>SUM(B19:B22)</f>
        <v>0</v>
      </c>
      <c r="C25" s="112">
        <f>SUM(C19:C22)</f>
        <v>235.32</v>
      </c>
      <c r="D25" s="112">
        <f t="shared" ref="D25:K25" si="8">SUM(D19:D22)</f>
        <v>523.08249999999998</v>
      </c>
      <c r="E25" s="112">
        <f t="shared" si="8"/>
        <v>642.99125000000004</v>
      </c>
      <c r="F25" s="112">
        <f t="shared" si="8"/>
        <v>680.61468749999995</v>
      </c>
      <c r="G25" s="112">
        <f t="shared" si="8"/>
        <v>753.85450520833331</v>
      </c>
      <c r="H25" s="112">
        <f t="shared" si="8"/>
        <v>775.50660546874997</v>
      </c>
      <c r="I25" s="112">
        <f t="shared" si="8"/>
        <v>838.01860240885412</v>
      </c>
      <c r="J25" s="112">
        <f t="shared" si="8"/>
        <v>940.49982419596358</v>
      </c>
      <c r="K25" s="112">
        <f t="shared" si="8"/>
        <v>1429.0096487390952</v>
      </c>
      <c r="L25" s="101">
        <f>SUM(B25:K25)</f>
        <v>6818.8976235209957</v>
      </c>
      <c r="M25" s="6"/>
      <c r="N25" s="1"/>
    </row>
    <row r="26" spans="1:14" ht="13.5" customHeight="1" x14ac:dyDescent="0.25">
      <c r="A26" s="60" t="s">
        <v>62</v>
      </c>
      <c r="B26" s="123">
        <f t="shared" ref="B26:K26" si="9">B15</f>
        <v>0</v>
      </c>
      <c r="C26" s="123">
        <f t="shared" si="9"/>
        <v>21.275589764245805</v>
      </c>
      <c r="D26" s="123">
        <f t="shared" si="9"/>
        <v>42.775384170763495</v>
      </c>
      <c r="E26" s="123">
        <f t="shared" si="9"/>
        <v>49.754512614942257</v>
      </c>
      <c r="F26" s="123">
        <f t="shared" si="9"/>
        <v>54.611382352181558</v>
      </c>
      <c r="G26" s="123">
        <f t="shared" si="9"/>
        <v>63.354929465886883</v>
      </c>
      <c r="H26" s="123">
        <f t="shared" si="9"/>
        <v>69.55710239921649</v>
      </c>
      <c r="I26" s="123">
        <f t="shared" si="9"/>
        <v>80.498520657225413</v>
      </c>
      <c r="J26" s="123">
        <f t="shared" si="9"/>
        <v>88.402381981410514</v>
      </c>
      <c r="K26" s="123">
        <f t="shared" si="9"/>
        <v>102.08079599802429</v>
      </c>
      <c r="L26" s="129">
        <f>SUM(B26:K26)</f>
        <v>572.31059940389673</v>
      </c>
      <c r="M26" s="7"/>
      <c r="N26" s="1"/>
    </row>
    <row r="27" spans="1:14" ht="13.5" customHeight="1" x14ac:dyDescent="0.2">
      <c r="A27" s="69" t="s">
        <v>63</v>
      </c>
      <c r="B27" s="116">
        <f>B25-B26</f>
        <v>0</v>
      </c>
      <c r="C27" s="116">
        <f t="shared" ref="C27:K27" si="10">C25-C26</f>
        <v>214.04441023575419</v>
      </c>
      <c r="D27" s="116">
        <f t="shared" si="10"/>
        <v>480.30711582923647</v>
      </c>
      <c r="E27" s="116">
        <f t="shared" si="10"/>
        <v>593.23673738505772</v>
      </c>
      <c r="F27" s="116">
        <f t="shared" si="10"/>
        <v>626.00330514781842</v>
      </c>
      <c r="G27" s="116">
        <f t="shared" si="10"/>
        <v>690.49957574244638</v>
      </c>
      <c r="H27" s="116">
        <f t="shared" si="10"/>
        <v>705.94950306953342</v>
      </c>
      <c r="I27" s="116">
        <f t="shared" si="10"/>
        <v>757.52008175162871</v>
      </c>
      <c r="J27" s="116">
        <f t="shared" si="10"/>
        <v>852.0974422145531</v>
      </c>
      <c r="K27" s="116">
        <f t="shared" si="10"/>
        <v>1326.9288527410708</v>
      </c>
      <c r="L27" s="101">
        <f>L25-L26</f>
        <v>6246.5870241170987</v>
      </c>
      <c r="M27" s="6"/>
      <c r="N27" s="1"/>
    </row>
    <row r="28" spans="1:14" ht="13.5" customHeight="1" x14ac:dyDescent="0.25">
      <c r="A28" s="60" t="s">
        <v>64</v>
      </c>
      <c r="B28" s="232">
        <v>0</v>
      </c>
      <c r="C28" s="232">
        <f>C25/C26</f>
        <v>11.060562955366883</v>
      </c>
      <c r="D28" s="232">
        <f t="shared" ref="D28:K28" si="11">D25/D26</f>
        <v>12.228586841249719</v>
      </c>
      <c r="E28" s="232">
        <f t="shared" si="11"/>
        <v>12.923275019819954</v>
      </c>
      <c r="F28" s="232">
        <f t="shared" si="11"/>
        <v>12.46287235709959</v>
      </c>
      <c r="G28" s="232">
        <f t="shared" si="11"/>
        <v>11.898908444278865</v>
      </c>
      <c r="H28" s="232">
        <f t="shared" si="11"/>
        <v>11.149208042304613</v>
      </c>
      <c r="I28" s="232">
        <f t="shared" si="11"/>
        <v>10.410360284473564</v>
      </c>
      <c r="J28" s="232">
        <f t="shared" si="11"/>
        <v>10.638851613678627</v>
      </c>
      <c r="K28" s="232">
        <f t="shared" si="11"/>
        <v>13.998809813030384</v>
      </c>
      <c r="L28" s="101">
        <f>L25/L26</f>
        <v>11.914679949355079</v>
      </c>
      <c r="M28" s="6"/>
      <c r="N28" s="1"/>
    </row>
    <row r="29" spans="1:14" ht="13.5" customHeight="1" x14ac:dyDescent="0.25">
      <c r="A29" s="60" t="s">
        <v>102</v>
      </c>
      <c r="B29" s="112">
        <f t="shared" ref="B29:K29" si="12">B13</f>
        <v>3000</v>
      </c>
      <c r="C29" s="112">
        <f t="shared" ref="C29" si="13">C13</f>
        <v>3000</v>
      </c>
      <c r="D29" s="112">
        <f t="shared" si="12"/>
        <v>2850</v>
      </c>
      <c r="E29" s="112">
        <f t="shared" si="12"/>
        <v>2550</v>
      </c>
      <c r="F29" s="112">
        <f t="shared" si="12"/>
        <v>2150</v>
      </c>
      <c r="G29" s="112">
        <f t="shared" si="12"/>
        <v>1750</v>
      </c>
      <c r="H29" s="112">
        <f t="shared" si="12"/>
        <v>1250</v>
      </c>
      <c r="I29" s="112">
        <f t="shared" si="12"/>
        <v>750</v>
      </c>
      <c r="J29" s="112">
        <f t="shared" si="12"/>
        <v>250</v>
      </c>
      <c r="K29" s="110">
        <f t="shared" si="12"/>
        <v>0</v>
      </c>
      <c r="L29" s="101">
        <f>D29+E29+F29+G29+H29+I29+J29+K29+C29</f>
        <v>14550</v>
      </c>
      <c r="M29" s="6"/>
      <c r="N29" s="1"/>
    </row>
    <row r="30" spans="1:14" ht="13.5" customHeight="1" x14ac:dyDescent="0.25">
      <c r="A30" s="60" t="s">
        <v>298</v>
      </c>
      <c r="B30" s="112">
        <f>B12+B14</f>
        <v>1000</v>
      </c>
      <c r="C30" s="112">
        <f t="shared" ref="C30:K30" si="14">C12+C14</f>
        <v>1005.4589</v>
      </c>
      <c r="D30" s="112">
        <f t="shared" si="14"/>
        <v>1027.04044</v>
      </c>
      <c r="E30" s="112">
        <f t="shared" si="14"/>
        <v>1087.75</v>
      </c>
      <c r="F30" s="112">
        <f t="shared" si="14"/>
        <v>1206.08</v>
      </c>
      <c r="G30" s="112">
        <f t="shared" si="14"/>
        <v>1389.74</v>
      </c>
      <c r="H30" s="112">
        <f t="shared" si="14"/>
        <v>1654.29</v>
      </c>
      <c r="I30" s="112">
        <f t="shared" si="14"/>
        <v>1981.6100000000001</v>
      </c>
      <c r="J30" s="112">
        <f t="shared" si="14"/>
        <v>2375.6999999999998</v>
      </c>
      <c r="K30" s="112">
        <f t="shared" si="14"/>
        <v>2921.22</v>
      </c>
      <c r="L30" s="101">
        <f>D30+E30+F30+G30+H30+I30+J30+K30+C30</f>
        <v>14648.889339999998</v>
      </c>
      <c r="M30" s="6"/>
      <c r="N30" s="1"/>
    </row>
    <row r="31" spans="1:14" ht="13.5" customHeight="1" x14ac:dyDescent="0.25">
      <c r="A31" s="77" t="s">
        <v>65</v>
      </c>
      <c r="B31" s="124">
        <f>B29/B30</f>
        <v>3</v>
      </c>
      <c r="C31" s="124">
        <f t="shared" ref="C31" si="15">C29/C30</f>
        <v>2.9837122133982801</v>
      </c>
      <c r="D31" s="124">
        <f t="shared" ref="D31:K31" si="16">D29/D30</f>
        <v>2.7749637589733078</v>
      </c>
      <c r="E31" s="124">
        <f t="shared" si="16"/>
        <v>2.3442886692714318</v>
      </c>
      <c r="F31" s="124">
        <f t="shared" si="16"/>
        <v>1.782634651101088</v>
      </c>
      <c r="G31" s="124">
        <f t="shared" si="16"/>
        <v>1.2592283448702635</v>
      </c>
      <c r="H31" s="124">
        <f t="shared" si="16"/>
        <v>0.75561116853755994</v>
      </c>
      <c r="I31" s="124">
        <f t="shared" si="16"/>
        <v>0.37848012474704912</v>
      </c>
      <c r="J31" s="124">
        <f t="shared" si="16"/>
        <v>0.10523214210548471</v>
      </c>
      <c r="K31" s="123">
        <f t="shared" si="16"/>
        <v>0</v>
      </c>
      <c r="L31" s="93">
        <f>L29/L30</f>
        <v>0.99324936261686592</v>
      </c>
      <c r="M31" s="5"/>
      <c r="N31" s="1"/>
    </row>
    <row r="32" spans="1:14" ht="13.5" customHeight="1" x14ac:dyDescent="0.25">
      <c r="A32" s="10" t="s">
        <v>69</v>
      </c>
      <c r="B32" s="10"/>
      <c r="C32" s="10"/>
      <c r="D32" s="131"/>
      <c r="E32" s="104">
        <f>(C31+D31+E31+F31+G31+H31+I31+J31+K31)/9</f>
        <v>1.3760167858893853</v>
      </c>
      <c r="F32" s="131"/>
      <c r="G32" s="131" t="s">
        <v>0</v>
      </c>
      <c r="H32" s="10"/>
      <c r="I32" s="10"/>
      <c r="J32" s="10"/>
      <c r="K32" s="10"/>
      <c r="L32" s="10"/>
    </row>
    <row r="33" spans="1:12" ht="13.5" customHeight="1" x14ac:dyDescent="0.25">
      <c r="A33" s="68" t="s">
        <v>266</v>
      </c>
      <c r="B33" s="315">
        <f>B13</f>
        <v>3000</v>
      </c>
      <c r="C33" s="315">
        <f t="shared" ref="C33:K33" si="17">C13</f>
        <v>3000</v>
      </c>
      <c r="D33" s="315">
        <f t="shared" si="17"/>
        <v>2850</v>
      </c>
      <c r="E33" s="315">
        <f t="shared" si="17"/>
        <v>2550</v>
      </c>
      <c r="F33" s="315">
        <f t="shared" si="17"/>
        <v>2150</v>
      </c>
      <c r="G33" s="315">
        <f t="shared" si="17"/>
        <v>1750</v>
      </c>
      <c r="H33" s="315">
        <f t="shared" si="17"/>
        <v>1250</v>
      </c>
      <c r="I33" s="315">
        <f t="shared" si="17"/>
        <v>750</v>
      </c>
      <c r="J33" s="315">
        <f t="shared" si="17"/>
        <v>250</v>
      </c>
      <c r="K33" s="315">
        <f t="shared" si="17"/>
        <v>0</v>
      </c>
    </row>
    <row r="34" spans="1:12" ht="13.5" customHeight="1" x14ac:dyDescent="0.25">
      <c r="A34" s="68" t="s">
        <v>296</v>
      </c>
      <c r="B34" s="315">
        <f>B12+B14</f>
        <v>1000</v>
      </c>
      <c r="C34" s="315">
        <f t="shared" ref="C34:K34" si="18">C12+C14</f>
        <v>1005.4589</v>
      </c>
      <c r="D34" s="315">
        <f t="shared" si="18"/>
        <v>1027.04044</v>
      </c>
      <c r="E34" s="315">
        <f t="shared" si="18"/>
        <v>1087.75</v>
      </c>
      <c r="F34" s="315">
        <f t="shared" si="18"/>
        <v>1206.08</v>
      </c>
      <c r="G34" s="315">
        <f t="shared" si="18"/>
        <v>1389.74</v>
      </c>
      <c r="H34" s="315">
        <f t="shared" si="18"/>
        <v>1654.29</v>
      </c>
      <c r="I34" s="315">
        <f t="shared" si="18"/>
        <v>1981.6100000000001</v>
      </c>
      <c r="J34" s="315">
        <f t="shared" si="18"/>
        <v>2375.6999999999998</v>
      </c>
      <c r="K34" s="315">
        <f t="shared" si="18"/>
        <v>2921.22</v>
      </c>
    </row>
    <row r="35" spans="1:12" ht="13.5" customHeight="1" x14ac:dyDescent="0.25">
      <c r="A35" s="68" t="s">
        <v>268</v>
      </c>
      <c r="B35" s="315">
        <f>B33/B34</f>
        <v>3</v>
      </c>
      <c r="C35" s="315">
        <f t="shared" ref="C35:K35" si="19">C33/C34</f>
        <v>2.9837122133982801</v>
      </c>
      <c r="D35" s="315">
        <f t="shared" si="19"/>
        <v>2.7749637589733078</v>
      </c>
      <c r="E35" s="315">
        <f t="shared" si="19"/>
        <v>2.3442886692714318</v>
      </c>
      <c r="F35" s="315">
        <f t="shared" si="19"/>
        <v>1.782634651101088</v>
      </c>
      <c r="G35" s="315">
        <f t="shared" si="19"/>
        <v>1.2592283448702635</v>
      </c>
      <c r="H35" s="315">
        <f t="shared" si="19"/>
        <v>0.75561116853755994</v>
      </c>
      <c r="I35" s="315">
        <f t="shared" si="19"/>
        <v>0.37848012474704912</v>
      </c>
      <c r="J35" s="315">
        <f t="shared" si="19"/>
        <v>0.10523214210548471</v>
      </c>
      <c r="K35" s="315">
        <f t="shared" si="19"/>
        <v>0</v>
      </c>
      <c r="L35" s="315">
        <f>SUM(B35:K35)/9</f>
        <v>1.7093501192227185</v>
      </c>
    </row>
    <row r="36" spans="1:12" ht="31.5" customHeight="1" x14ac:dyDescent="0.2">
      <c r="A36" s="332" t="s">
        <v>300</v>
      </c>
      <c r="B36" s="316">
        <f>SUM(800+B23)/B13</f>
        <v>1.6</v>
      </c>
      <c r="C36" s="316">
        <f t="shared" ref="C36:K36" si="20">SUM(800+C23)/C13</f>
        <v>1.6089123590569834</v>
      </c>
      <c r="D36" s="316">
        <f t="shared" si="20"/>
        <v>1.6560751534105653</v>
      </c>
      <c r="E36" s="316">
        <f t="shared" si="20"/>
        <v>1.7598067014115368</v>
      </c>
      <c r="F36" s="316">
        <f t="shared" si="20"/>
        <v>1.9584591229421384</v>
      </c>
      <c r="G36" s="316">
        <f t="shared" si="20"/>
        <v>2.2874834774997561</v>
      </c>
      <c r="H36" s="316">
        <f t="shared" si="20"/>
        <v>3.0190747317404707</v>
      </c>
      <c r="I36" s="316">
        <f t="shared" si="20"/>
        <v>4.8161435460031967</v>
      </c>
      <c r="J36" s="316">
        <f t="shared" si="20"/>
        <v>14.056389860265732</v>
      </c>
      <c r="K36" s="316" t="e">
        <f t="shared" si="20"/>
        <v>#DIV/0!</v>
      </c>
    </row>
    <row r="37" spans="1:12" ht="13.5" customHeight="1" x14ac:dyDescent="0.25">
      <c r="A37" s="68" t="s">
        <v>267</v>
      </c>
      <c r="B37" s="385">
        <f>SUM(B36:J36)/8</f>
        <v>4.0952931190412976</v>
      </c>
      <c r="C37" s="385"/>
      <c r="D37" s="385"/>
      <c r="E37" s="385"/>
      <c r="F37" s="385"/>
      <c r="G37" s="385"/>
      <c r="H37" s="385"/>
      <c r="I37" s="385"/>
      <c r="J37" s="385"/>
      <c r="K37" s="385"/>
      <c r="L37" s="385"/>
    </row>
  </sheetData>
  <mergeCells count="5">
    <mergeCell ref="A2:I2"/>
    <mergeCell ref="A3:I3"/>
    <mergeCell ref="J3:K3"/>
    <mergeCell ref="A1:K1"/>
    <mergeCell ref="B37:L37"/>
  </mergeCells>
  <phoneticPr fontId="0" type="noConversion"/>
  <pageMargins left="0.7" right="0.7" top="0.75" bottom="0.75" header="0.3" footer="0.3"/>
  <pageSetup paperSize="9" scale="8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33"/>
  <sheetViews>
    <sheetView topLeftCell="A10" zoomScaleNormal="100" zoomScaleSheetLayoutView="100" workbookViewId="0">
      <selection activeCell="C34" sqref="C34"/>
    </sheetView>
  </sheetViews>
  <sheetFormatPr defaultRowHeight="15" x14ac:dyDescent="0.25"/>
  <cols>
    <col min="1" max="1" width="43.5703125" style="10" customWidth="1"/>
    <col min="2" max="2" width="11.42578125" style="10" customWidth="1"/>
    <col min="3" max="3" width="9.85546875" style="10" customWidth="1"/>
    <col min="4" max="8" width="8.5703125" style="10" bestFit="1" customWidth="1"/>
    <col min="9" max="9" width="9.140625" style="10"/>
    <col min="10" max="10" width="9.42578125" style="10" customWidth="1"/>
    <col min="11" max="11" width="10.28515625" style="10" customWidth="1"/>
    <col min="12" max="12" width="11.5703125" style="10" bestFit="1" customWidth="1"/>
    <col min="13" max="16384" width="9.140625" style="10"/>
  </cols>
  <sheetData>
    <row r="1" spans="1:78" x14ac:dyDescent="0.25">
      <c r="A1" s="333" t="str">
        <f>Estimation!A1</f>
        <v>Mahecha Boutique Hotels Private Limited</v>
      </c>
      <c r="B1" s="333"/>
      <c r="C1" s="333"/>
      <c r="D1" s="333"/>
      <c r="E1" s="333"/>
      <c r="F1" s="333"/>
      <c r="G1" s="333"/>
      <c r="H1" s="333"/>
      <c r="I1" s="333"/>
      <c r="J1" s="333"/>
      <c r="K1" s="51">
        <f>Cost!D1</f>
        <v>0</v>
      </c>
    </row>
    <row r="2" spans="1:78" x14ac:dyDescent="0.25">
      <c r="A2" s="382">
        <f>'Balance Sheet'!A2:I2</f>
        <v>0</v>
      </c>
      <c r="B2" s="382"/>
      <c r="C2" s="382"/>
      <c r="D2" s="382"/>
      <c r="E2" s="382"/>
      <c r="F2" s="382"/>
      <c r="G2" s="382"/>
      <c r="H2" s="382"/>
      <c r="I2" s="382"/>
      <c r="J2" s="382"/>
      <c r="K2" s="10" t="s">
        <v>131</v>
      </c>
    </row>
    <row r="3" spans="1:78" x14ac:dyDescent="0.25">
      <c r="A3" s="383" t="s">
        <v>150</v>
      </c>
      <c r="B3" s="383"/>
      <c r="C3" s="383"/>
      <c r="D3" s="383"/>
      <c r="E3" s="383"/>
      <c r="F3" s="383"/>
      <c r="G3" s="383"/>
      <c r="H3" s="383"/>
      <c r="I3" s="383"/>
      <c r="J3" s="383"/>
    </row>
    <row r="4" spans="1:78" ht="43.5" x14ac:dyDescent="0.25">
      <c r="A4" s="386" t="s">
        <v>52</v>
      </c>
      <c r="B4" s="389" t="s">
        <v>163</v>
      </c>
      <c r="C4" s="322" t="s">
        <v>281</v>
      </c>
      <c r="D4" s="75" t="s">
        <v>272</v>
      </c>
      <c r="E4" s="75" t="s">
        <v>273</v>
      </c>
      <c r="F4" s="75" t="s">
        <v>274</v>
      </c>
      <c r="G4" s="75" t="s">
        <v>275</v>
      </c>
      <c r="H4" s="75" t="s">
        <v>276</v>
      </c>
      <c r="I4" s="75" t="s">
        <v>277</v>
      </c>
      <c r="J4" s="75" t="s">
        <v>278</v>
      </c>
      <c r="K4" s="75" t="s">
        <v>279</v>
      </c>
      <c r="L4" s="76"/>
      <c r="M4" s="76"/>
      <c r="N4" s="76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67"/>
      <c r="BX4" s="67"/>
      <c r="BY4" s="67"/>
      <c r="BZ4" s="67"/>
    </row>
    <row r="5" spans="1:78" ht="15" customHeight="1" x14ac:dyDescent="0.25">
      <c r="A5" s="387"/>
      <c r="B5" s="390"/>
      <c r="C5" s="319"/>
      <c r="D5" s="79" t="s">
        <v>58</v>
      </c>
      <c r="E5" s="79" t="s">
        <v>58</v>
      </c>
      <c r="F5" s="79" t="s">
        <v>58</v>
      </c>
      <c r="G5" s="79" t="s">
        <v>58</v>
      </c>
      <c r="H5" s="79" t="s">
        <v>58</v>
      </c>
      <c r="I5" s="79" t="s">
        <v>58</v>
      </c>
      <c r="J5" s="80" t="s">
        <v>58</v>
      </c>
      <c r="K5" s="79" t="s">
        <v>58</v>
      </c>
      <c r="L5" s="93"/>
      <c r="M5" s="93"/>
      <c r="N5" s="93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  <c r="BM5" s="67"/>
      <c r="BN5" s="67"/>
      <c r="BO5" s="67"/>
      <c r="BP5" s="67"/>
      <c r="BQ5" s="67"/>
      <c r="BR5" s="67"/>
      <c r="BS5" s="67"/>
      <c r="BT5" s="67"/>
      <c r="BU5" s="67"/>
      <c r="BV5" s="67"/>
      <c r="BW5" s="67"/>
      <c r="BX5" s="67"/>
      <c r="BY5" s="67"/>
      <c r="BZ5" s="67"/>
    </row>
    <row r="6" spans="1:78" x14ac:dyDescent="0.25">
      <c r="A6" s="82" t="s">
        <v>24</v>
      </c>
      <c r="B6" s="132"/>
      <c r="C6" s="132"/>
      <c r="D6" s="133"/>
      <c r="E6" s="90"/>
      <c r="F6" s="93"/>
      <c r="G6" s="90"/>
      <c r="H6" s="90"/>
      <c r="I6" s="90"/>
      <c r="J6" s="90"/>
      <c r="K6" s="90"/>
      <c r="L6" s="93"/>
      <c r="M6" s="93"/>
      <c r="N6" s="93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  <c r="BM6" s="67"/>
      <c r="BN6" s="67"/>
      <c r="BO6" s="67"/>
      <c r="BP6" s="67"/>
      <c r="BQ6" s="67"/>
      <c r="BR6" s="67"/>
      <c r="BS6" s="67"/>
      <c r="BT6" s="67"/>
      <c r="BU6" s="67"/>
      <c r="BV6" s="67"/>
      <c r="BW6" s="67"/>
      <c r="BX6" s="67"/>
      <c r="BY6" s="67"/>
      <c r="BZ6" s="67"/>
    </row>
    <row r="7" spans="1:78" x14ac:dyDescent="0.25">
      <c r="A7" s="59" t="s">
        <v>217</v>
      </c>
      <c r="B7" s="117">
        <f>'Balance Sheet'!B8</f>
        <v>500</v>
      </c>
      <c r="C7" s="117">
        <v>0</v>
      </c>
      <c r="D7" s="110">
        <v>0</v>
      </c>
      <c r="E7" s="110">
        <v>0</v>
      </c>
      <c r="F7" s="111">
        <v>0</v>
      </c>
      <c r="G7" s="110">
        <v>0</v>
      </c>
      <c r="H7" s="110">
        <v>0</v>
      </c>
      <c r="I7" s="110">
        <v>0</v>
      </c>
      <c r="J7" s="110">
        <v>0</v>
      </c>
      <c r="K7" s="110">
        <v>0</v>
      </c>
      <c r="L7" s="93"/>
      <c r="M7" s="93"/>
      <c r="N7" s="93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  <c r="BM7" s="67"/>
      <c r="BN7" s="67"/>
      <c r="BO7" s="67"/>
      <c r="BP7" s="67"/>
      <c r="BQ7" s="67"/>
      <c r="BR7" s="67"/>
      <c r="BS7" s="67"/>
      <c r="BT7" s="67"/>
      <c r="BU7" s="67"/>
      <c r="BV7" s="67"/>
      <c r="BW7" s="67"/>
      <c r="BX7" s="67"/>
      <c r="BY7" s="67"/>
      <c r="BZ7" s="67"/>
    </row>
    <row r="8" spans="1:78" x14ac:dyDescent="0.25">
      <c r="A8" s="59" t="s">
        <v>301</v>
      </c>
      <c r="B8" s="117">
        <v>0</v>
      </c>
      <c r="C8" s="117">
        <f>Profitability!C34</f>
        <v>7.8999999999999773</v>
      </c>
      <c r="D8" s="110">
        <f>Profitability!D34</f>
        <v>52.940000000000055</v>
      </c>
      <c r="E8" s="110">
        <f>Profitability!E34</f>
        <v>304.93000000000006</v>
      </c>
      <c r="F8" s="110">
        <f>Profitability!F34</f>
        <v>460.68000000000006</v>
      </c>
      <c r="G8" s="110">
        <f>Profitability!G34</f>
        <v>772.30000000000018</v>
      </c>
      <c r="H8" s="110">
        <f>Profitability!H34</f>
        <v>961.72</v>
      </c>
      <c r="I8" s="110">
        <f>Profitability!I34</f>
        <v>1341.9899999999998</v>
      </c>
      <c r="J8" s="110">
        <f>Profitability!J34</f>
        <v>1583.34</v>
      </c>
      <c r="K8" s="110">
        <f>Profitability!K34</f>
        <v>2019.57</v>
      </c>
      <c r="L8" s="93"/>
      <c r="M8" s="93"/>
      <c r="N8" s="93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  <c r="BM8" s="67"/>
      <c r="BN8" s="67"/>
      <c r="BO8" s="67"/>
      <c r="BP8" s="67"/>
      <c r="BQ8" s="67"/>
      <c r="BR8" s="67"/>
      <c r="BS8" s="67"/>
      <c r="BT8" s="67"/>
      <c r="BU8" s="67"/>
      <c r="BV8" s="67"/>
      <c r="BW8" s="67"/>
      <c r="BX8" s="67"/>
      <c r="BY8" s="67"/>
      <c r="BZ8" s="67"/>
    </row>
    <row r="9" spans="1:78" x14ac:dyDescent="0.25">
      <c r="A9" s="59" t="s">
        <v>71</v>
      </c>
      <c r="B9" s="117">
        <f>'Balance Sheet'!B13</f>
        <v>3000</v>
      </c>
      <c r="C9" s="117">
        <v>0</v>
      </c>
      <c r="D9" s="110">
        <v>0</v>
      </c>
      <c r="E9" s="110">
        <v>0</v>
      </c>
      <c r="F9" s="111">
        <v>0</v>
      </c>
      <c r="G9" s="110">
        <v>0</v>
      </c>
      <c r="H9" s="110">
        <v>0</v>
      </c>
      <c r="I9" s="110">
        <v>0</v>
      </c>
      <c r="J9" s="110">
        <v>0</v>
      </c>
      <c r="K9" s="110">
        <v>0</v>
      </c>
      <c r="L9" s="93"/>
      <c r="M9" s="93"/>
      <c r="N9" s="93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  <c r="AS9" s="67"/>
      <c r="AT9" s="67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  <c r="BM9" s="67"/>
      <c r="BN9" s="67"/>
      <c r="BO9" s="67"/>
      <c r="BP9" s="67"/>
      <c r="BQ9" s="67"/>
      <c r="BR9" s="67"/>
      <c r="BS9" s="67"/>
      <c r="BT9" s="67"/>
      <c r="BU9" s="67"/>
      <c r="BV9" s="67"/>
      <c r="BW9" s="67"/>
      <c r="BX9" s="67"/>
      <c r="BY9" s="67"/>
      <c r="BZ9" s="67"/>
    </row>
    <row r="10" spans="1:78" x14ac:dyDescent="0.25">
      <c r="A10" s="59" t="s">
        <v>302</v>
      </c>
      <c r="B10" s="117">
        <f>Cost!C27</f>
        <v>500</v>
      </c>
      <c r="C10" s="117">
        <v>0</v>
      </c>
      <c r="D10" s="110">
        <v>0</v>
      </c>
      <c r="E10" s="110">
        <v>0</v>
      </c>
      <c r="F10" s="111">
        <v>0</v>
      </c>
      <c r="G10" s="110">
        <v>0</v>
      </c>
      <c r="H10" s="110">
        <v>0</v>
      </c>
      <c r="I10" s="110">
        <v>0</v>
      </c>
      <c r="J10" s="110">
        <v>0</v>
      </c>
      <c r="K10" s="110">
        <v>0</v>
      </c>
      <c r="L10" s="93"/>
      <c r="M10" s="93"/>
      <c r="N10" s="93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  <c r="BN10" s="67"/>
      <c r="BO10" s="67"/>
      <c r="BP10" s="67"/>
      <c r="BQ10" s="67"/>
      <c r="BR10" s="67"/>
      <c r="BS10" s="67"/>
      <c r="BT10" s="67"/>
      <c r="BU10" s="67"/>
      <c r="BV10" s="67"/>
      <c r="BW10" s="67"/>
      <c r="BX10" s="67"/>
      <c r="BY10" s="67"/>
      <c r="BZ10" s="67"/>
    </row>
    <row r="11" spans="1:78" x14ac:dyDescent="0.25">
      <c r="A11" s="59" t="s">
        <v>19</v>
      </c>
      <c r="B11" s="117">
        <v>0</v>
      </c>
      <c r="C11" s="117">
        <f>'Intt &amp; Depreciation'!G26</f>
        <v>208.58292282905035</v>
      </c>
      <c r="D11" s="110">
        <f>'Intt &amp; Depreciation'!G30</f>
        <v>394.6853899508381</v>
      </c>
      <c r="E11" s="110">
        <f>'Intt &amp; Depreciation'!G34</f>
        <v>352.21584862069284</v>
      </c>
      <c r="F11" s="110">
        <f>'Intt &amp; Depreciation'!G38</f>
        <v>314.44341177382125</v>
      </c>
      <c r="G11" s="110">
        <f>'Intt &amp; Depreciation'!G42</f>
        <v>280.83084640935726</v>
      </c>
      <c r="H11" s="110">
        <f>'Intt &amp; Depreciation'!G46</f>
        <v>250.90477120940193</v>
      </c>
      <c r="I11" s="110">
        <f>'Intt &amp; Depreciation'!G50</f>
        <v>224.24775211329506</v>
      </c>
      <c r="J11" s="110">
        <f>'Intt &amp; Depreciation'!G54</f>
        <v>200.49141622307388</v>
      </c>
      <c r="K11" s="110">
        <f>'Intt &amp; Depreciation'!G58</f>
        <v>179.31044802370855</v>
      </c>
      <c r="L11" s="91"/>
      <c r="M11" s="91"/>
      <c r="N11" s="91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7"/>
      <c r="BC11" s="67"/>
      <c r="BD11" s="67"/>
      <c r="BE11" s="67"/>
      <c r="BF11" s="67"/>
      <c r="BG11" s="67"/>
      <c r="BH11" s="67"/>
      <c r="BI11" s="67"/>
      <c r="BJ11" s="67"/>
      <c r="BK11" s="67"/>
      <c r="BL11" s="67"/>
      <c r="BM11" s="67"/>
      <c r="BN11" s="67"/>
      <c r="BO11" s="67"/>
      <c r="BP11" s="67"/>
      <c r="BQ11" s="67"/>
      <c r="BR11" s="67"/>
      <c r="BS11" s="67"/>
      <c r="BT11" s="67"/>
      <c r="BU11" s="67"/>
      <c r="BV11" s="67"/>
      <c r="BW11" s="67"/>
      <c r="BX11" s="67"/>
      <c r="BY11" s="67"/>
      <c r="BZ11" s="67"/>
    </row>
    <row r="12" spans="1:78" x14ac:dyDescent="0.25">
      <c r="A12" s="59" t="s">
        <v>25</v>
      </c>
      <c r="B12" s="117">
        <v>0</v>
      </c>
      <c r="C12" s="117">
        <f>'Balance Sheet'!C15</f>
        <v>21.275589764245805</v>
      </c>
      <c r="D12" s="123">
        <f>'Balance Sheet'!D15-'Balance Sheet'!C15</f>
        <v>21.49979440651769</v>
      </c>
      <c r="E12" s="112">
        <f>'Balance Sheet'!E15-'Balance Sheet'!D15</f>
        <v>6.9791284441787624</v>
      </c>
      <c r="F12" s="112">
        <f>'Balance Sheet'!F15-'Balance Sheet'!E15</f>
        <v>4.8568697372393004</v>
      </c>
      <c r="G12" s="112">
        <f>'Balance Sheet'!G15-'Balance Sheet'!F15</f>
        <v>8.7435471137053256</v>
      </c>
      <c r="H12" s="112">
        <f>'Balance Sheet'!H15-'Balance Sheet'!G15</f>
        <v>6.2021729333296065</v>
      </c>
      <c r="I12" s="112">
        <f>'Balance Sheet'!I15-'Balance Sheet'!H15</f>
        <v>10.941418258008923</v>
      </c>
      <c r="J12" s="112">
        <f>'Balance Sheet'!J15-'Balance Sheet'!I15</f>
        <v>7.903861324185101</v>
      </c>
      <c r="K12" s="123">
        <f>'Balance Sheet'!K15-'Balance Sheet'!J15</f>
        <v>13.678414016613772</v>
      </c>
      <c r="L12" s="91"/>
      <c r="M12" s="91"/>
      <c r="N12" s="91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7"/>
      <c r="BB12" s="67"/>
      <c r="BC12" s="67"/>
      <c r="BD12" s="67"/>
      <c r="BE12" s="67"/>
      <c r="BF12" s="67"/>
      <c r="BG12" s="67"/>
      <c r="BH12" s="67"/>
      <c r="BI12" s="67"/>
      <c r="BJ12" s="67"/>
      <c r="BK12" s="67"/>
      <c r="BL12" s="67"/>
      <c r="BM12" s="67"/>
      <c r="BN12" s="67"/>
      <c r="BO12" s="67"/>
      <c r="BP12" s="67"/>
      <c r="BQ12" s="67"/>
      <c r="BR12" s="67"/>
      <c r="BS12" s="67"/>
      <c r="BT12" s="67"/>
      <c r="BU12" s="67"/>
      <c r="BV12" s="67"/>
      <c r="BW12" s="67"/>
      <c r="BX12" s="67"/>
      <c r="BY12" s="67"/>
      <c r="BZ12" s="67"/>
    </row>
    <row r="13" spans="1:78" x14ac:dyDescent="0.25">
      <c r="A13" s="56" t="s">
        <v>12</v>
      </c>
      <c r="B13" s="125">
        <f t="shared" ref="B13:K13" si="0">SUM(B7:B12)</f>
        <v>4000</v>
      </c>
      <c r="C13" s="125">
        <f t="shared" si="0"/>
        <v>237.75851259329613</v>
      </c>
      <c r="D13" s="125">
        <f t="shared" si="0"/>
        <v>469.12518435735586</v>
      </c>
      <c r="E13" s="125">
        <f t="shared" si="0"/>
        <v>664.1249770648717</v>
      </c>
      <c r="F13" s="125">
        <f t="shared" si="0"/>
        <v>779.98028151106064</v>
      </c>
      <c r="G13" s="125">
        <f t="shared" si="0"/>
        <v>1061.8743935230627</v>
      </c>
      <c r="H13" s="125">
        <f t="shared" si="0"/>
        <v>1218.8269441427315</v>
      </c>
      <c r="I13" s="125">
        <f t="shared" si="0"/>
        <v>1577.1791703713038</v>
      </c>
      <c r="J13" s="125">
        <f t="shared" si="0"/>
        <v>1791.7352775472589</v>
      </c>
      <c r="K13" s="125">
        <f t="shared" si="0"/>
        <v>2212.5588620403223</v>
      </c>
      <c r="L13" s="101"/>
      <c r="M13" s="101"/>
      <c r="N13" s="101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</row>
    <row r="14" spans="1:78" x14ac:dyDescent="0.25">
      <c r="A14" s="82" t="s">
        <v>22</v>
      </c>
      <c r="B14" s="132"/>
      <c r="C14" s="132"/>
      <c r="D14" s="113"/>
      <c r="E14" s="113"/>
      <c r="F14" s="113"/>
      <c r="G14" s="113"/>
      <c r="H14" s="113"/>
      <c r="I14" s="113"/>
      <c r="J14" s="128"/>
      <c r="K14" s="128"/>
      <c r="L14" s="93"/>
      <c r="M14" s="93"/>
      <c r="N14" s="93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</row>
    <row r="15" spans="1:78" x14ac:dyDescent="0.25">
      <c r="A15" s="59" t="s">
        <v>26</v>
      </c>
      <c r="B15" s="117">
        <f>'Balance Sheet'!B18</f>
        <v>4000</v>
      </c>
      <c r="C15" s="117">
        <v>0</v>
      </c>
      <c r="D15" s="110">
        <v>0</v>
      </c>
      <c r="E15" s="110">
        <v>0</v>
      </c>
      <c r="F15" s="110">
        <v>0</v>
      </c>
      <c r="G15" s="110">
        <v>0</v>
      </c>
      <c r="H15" s="110">
        <v>0</v>
      </c>
      <c r="I15" s="110">
        <v>0</v>
      </c>
      <c r="J15" s="128">
        <v>0</v>
      </c>
      <c r="K15" s="128">
        <v>0</v>
      </c>
      <c r="L15" s="93"/>
      <c r="M15" s="93"/>
      <c r="N15" s="93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  <c r="AN15" s="67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7"/>
      <c r="BB15" s="67"/>
      <c r="BC15" s="67"/>
      <c r="BD15" s="67"/>
      <c r="BE15" s="67"/>
      <c r="BF15" s="67"/>
      <c r="BG15" s="67"/>
      <c r="BH15" s="67"/>
      <c r="BI15" s="67"/>
      <c r="BJ15" s="67"/>
      <c r="BK15" s="67"/>
      <c r="BL15" s="67"/>
      <c r="BM15" s="67"/>
      <c r="BN15" s="67"/>
      <c r="BO15" s="67"/>
      <c r="BP15" s="67"/>
      <c r="BQ15" s="67"/>
      <c r="BR15" s="67"/>
      <c r="BS15" s="67"/>
      <c r="BT15" s="67"/>
      <c r="BU15" s="67"/>
      <c r="BV15" s="67"/>
      <c r="BW15" s="67"/>
      <c r="BX15" s="67"/>
      <c r="BY15" s="67"/>
      <c r="BZ15" s="67"/>
    </row>
    <row r="16" spans="1:78" x14ac:dyDescent="0.25">
      <c r="A16" s="59" t="s">
        <v>27</v>
      </c>
      <c r="B16" s="117">
        <v>0</v>
      </c>
      <c r="C16" s="117">
        <f>'Balance Sheet'!C24</f>
        <v>150.5</v>
      </c>
      <c r="D16" s="110">
        <f>'Balance Sheet'!D24-'Balance Sheet'!C24</f>
        <v>106.6925</v>
      </c>
      <c r="E16" s="110">
        <f>'Balance Sheet'!E24-'Balance Sheet'!D24</f>
        <v>49.098749999999995</v>
      </c>
      <c r="F16" s="110">
        <f>'Balance Sheet'!F24-'Balance Sheet'!E24</f>
        <v>25.7734375</v>
      </c>
      <c r="G16" s="110">
        <f>'Balance Sheet'!G24-'Balance Sheet'!F24</f>
        <v>62.479817708333314</v>
      </c>
      <c r="H16" s="110">
        <f>'Balance Sheet'!H24-'Balance Sheet'!G24</f>
        <v>34.562100260416685</v>
      </c>
      <c r="I16" s="110">
        <f>'Balance Sheet'!I24-'Balance Sheet'!H24</f>
        <v>79.321996940104214</v>
      </c>
      <c r="J16" s="110">
        <f>'Balance Sheet'!J24-'Balance Sheet'!I24</f>
        <v>45.901221787109307</v>
      </c>
      <c r="K16" s="110">
        <f>'Balance Sheet'!K24-'Balance Sheet'!J24</f>
        <v>100.48982454313159</v>
      </c>
      <c r="L16" s="93"/>
      <c r="M16" s="93"/>
      <c r="N16" s="93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7"/>
      <c r="BB16" s="67"/>
      <c r="BC16" s="67"/>
      <c r="BD16" s="67"/>
      <c r="BE16" s="67"/>
      <c r="BF16" s="67"/>
      <c r="BG16" s="67"/>
      <c r="BH16" s="67"/>
      <c r="BI16" s="67"/>
      <c r="BJ16" s="67"/>
      <c r="BK16" s="67"/>
      <c r="BL16" s="67"/>
      <c r="BM16" s="67"/>
      <c r="BN16" s="67"/>
      <c r="BO16" s="67"/>
      <c r="BP16" s="67"/>
      <c r="BQ16" s="67"/>
      <c r="BR16" s="67"/>
      <c r="BS16" s="67"/>
      <c r="BT16" s="67"/>
      <c r="BU16" s="67"/>
      <c r="BV16" s="67"/>
      <c r="BW16" s="67"/>
      <c r="BX16" s="67"/>
      <c r="BY16" s="67"/>
      <c r="BZ16" s="67"/>
    </row>
    <row r="17" spans="1:78" x14ac:dyDescent="0.25">
      <c r="A17" s="59" t="s">
        <v>48</v>
      </c>
      <c r="B17" s="117">
        <v>0</v>
      </c>
      <c r="C17" s="117">
        <f>'Intt &amp; Depreciation'!E7</f>
        <v>0</v>
      </c>
      <c r="D17" s="110">
        <f>'Intt &amp; Depreciation'!E8</f>
        <v>150</v>
      </c>
      <c r="E17" s="110">
        <f>'Intt &amp; Depreciation'!E9</f>
        <v>300</v>
      </c>
      <c r="F17" s="110">
        <f>'Intt &amp; Depreciation'!E10</f>
        <v>400</v>
      </c>
      <c r="G17" s="110">
        <f>'Intt &amp; Depreciation'!E11</f>
        <v>400</v>
      </c>
      <c r="H17" s="110">
        <f>'Intt &amp; Depreciation'!E12</f>
        <v>500</v>
      </c>
      <c r="I17" s="110">
        <f>'Intt &amp; Depreciation'!E13</f>
        <v>500</v>
      </c>
      <c r="J17" s="128">
        <f>'Intt &amp; Depreciation'!E14</f>
        <v>500</v>
      </c>
      <c r="K17" s="128">
        <f>'Intt &amp; Depreciation'!E15</f>
        <v>250</v>
      </c>
      <c r="L17" s="91"/>
      <c r="M17" s="91"/>
      <c r="N17" s="91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7"/>
      <c r="BB17" s="67"/>
      <c r="BC17" s="67"/>
      <c r="BD17" s="67"/>
      <c r="BE17" s="67"/>
      <c r="BF17" s="67"/>
      <c r="BG17" s="67"/>
      <c r="BH17" s="67"/>
      <c r="BI17" s="67"/>
      <c r="BJ17" s="67"/>
      <c r="BK17" s="67"/>
      <c r="BL17" s="67"/>
      <c r="BM17" s="67"/>
      <c r="BN17" s="67"/>
      <c r="BO17" s="67"/>
      <c r="BP17" s="67"/>
      <c r="BQ17" s="67"/>
      <c r="BR17" s="67"/>
      <c r="BS17" s="67"/>
      <c r="BT17" s="67"/>
      <c r="BU17" s="67"/>
      <c r="BV17" s="67"/>
      <c r="BW17" s="67"/>
      <c r="BX17" s="67"/>
      <c r="BY17" s="67"/>
      <c r="BZ17" s="67"/>
    </row>
    <row r="18" spans="1:78" x14ac:dyDescent="0.25">
      <c r="A18" s="59" t="s">
        <v>28</v>
      </c>
      <c r="B18" s="117">
        <v>0</v>
      </c>
      <c r="C18" s="117">
        <f>Profitability!C35</f>
        <v>2.4410999999999929</v>
      </c>
      <c r="D18" s="110">
        <f>Profitability!D35</f>
        <v>16.358460000000015</v>
      </c>
      <c r="E18" s="110">
        <f>Profitability!E35</f>
        <v>94.223370000000017</v>
      </c>
      <c r="F18" s="110">
        <f>Profitability!F35</f>
        <v>142.35012000000003</v>
      </c>
      <c r="G18" s="110">
        <f>Profitability!G35</f>
        <v>238.64070000000007</v>
      </c>
      <c r="H18" s="110">
        <f>Profitability!H35</f>
        <v>297.17148000000003</v>
      </c>
      <c r="I18" s="110">
        <f>Profitability!I35</f>
        <v>414.67490999999995</v>
      </c>
      <c r="J18" s="110">
        <f>Profitability!J35</f>
        <v>489.25205999999997</v>
      </c>
      <c r="K18" s="110">
        <f>Profitability!K35</f>
        <v>624.04712999999992</v>
      </c>
      <c r="L18" s="93"/>
      <c r="M18" s="93"/>
      <c r="N18" s="93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  <c r="AN18" s="67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7"/>
      <c r="BB18" s="67"/>
      <c r="BC18" s="67"/>
      <c r="BD18" s="67"/>
      <c r="BE18" s="67"/>
      <c r="BF18" s="67"/>
      <c r="BG18" s="67"/>
      <c r="BH18" s="67"/>
      <c r="BI18" s="67"/>
      <c r="BJ18" s="67"/>
      <c r="BK18" s="67"/>
      <c r="BL18" s="67"/>
      <c r="BM18" s="67"/>
      <c r="BN18" s="67"/>
      <c r="BO18" s="67"/>
      <c r="BP18" s="67"/>
      <c r="BQ18" s="67"/>
      <c r="BR18" s="67"/>
      <c r="BS18" s="67"/>
      <c r="BT18" s="67"/>
      <c r="BU18" s="67"/>
      <c r="BV18" s="67"/>
      <c r="BW18" s="67"/>
      <c r="BX18" s="67"/>
      <c r="BY18" s="67"/>
      <c r="BZ18" s="67"/>
    </row>
    <row r="19" spans="1:78" x14ac:dyDescent="0.25">
      <c r="A19" s="59" t="s">
        <v>263</v>
      </c>
      <c r="B19" s="117">
        <v>0</v>
      </c>
      <c r="C19" s="117">
        <f>'Balance Sheet'!C11</f>
        <v>0</v>
      </c>
      <c r="D19" s="123">
        <f>'Balance Sheet'!D11</f>
        <v>15</v>
      </c>
      <c r="E19" s="123">
        <f>'Balance Sheet'!E11</f>
        <v>150</v>
      </c>
      <c r="F19" s="123">
        <f>'Balance Sheet'!F11</f>
        <v>200</v>
      </c>
      <c r="G19" s="123">
        <f>'Balance Sheet'!G11</f>
        <v>350</v>
      </c>
      <c r="H19" s="123">
        <f>'Balance Sheet'!H11</f>
        <v>400</v>
      </c>
      <c r="I19" s="123">
        <f>'Balance Sheet'!I11</f>
        <v>600</v>
      </c>
      <c r="J19" s="128">
        <f>'Balance Sheet'!J11</f>
        <v>700</v>
      </c>
      <c r="K19" s="128">
        <f>'Balance Sheet'!K11</f>
        <v>850</v>
      </c>
      <c r="L19" s="93"/>
      <c r="M19" s="93"/>
      <c r="N19" s="93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67"/>
      <c r="BE19" s="67"/>
      <c r="BF19" s="67"/>
      <c r="BG19" s="67"/>
      <c r="BH19" s="67"/>
      <c r="BI19" s="67"/>
      <c r="BJ19" s="67"/>
      <c r="BK19" s="67"/>
      <c r="BL19" s="67"/>
      <c r="BM19" s="67"/>
      <c r="BN19" s="67"/>
      <c r="BO19" s="67"/>
      <c r="BP19" s="67"/>
      <c r="BQ19" s="67"/>
      <c r="BR19" s="67"/>
      <c r="BS19" s="67"/>
      <c r="BT19" s="67"/>
      <c r="BU19" s="67"/>
      <c r="BV19" s="67"/>
      <c r="BW19" s="67"/>
      <c r="BX19" s="67"/>
      <c r="BY19" s="67"/>
      <c r="BZ19" s="67"/>
    </row>
    <row r="20" spans="1:78" x14ac:dyDescent="0.25">
      <c r="A20" s="56" t="s">
        <v>12</v>
      </c>
      <c r="B20" s="125">
        <f t="shared" ref="B20:K20" si="1">ROUND(SUM(B15:B19),2)</f>
        <v>4000</v>
      </c>
      <c r="C20" s="125">
        <f t="shared" si="1"/>
        <v>152.94</v>
      </c>
      <c r="D20" s="125">
        <f t="shared" si="1"/>
        <v>288.05</v>
      </c>
      <c r="E20" s="125">
        <f t="shared" si="1"/>
        <v>593.32000000000005</v>
      </c>
      <c r="F20" s="125">
        <f t="shared" si="1"/>
        <v>768.12</v>
      </c>
      <c r="G20" s="125">
        <f t="shared" si="1"/>
        <v>1051.1199999999999</v>
      </c>
      <c r="H20" s="125">
        <f t="shared" si="1"/>
        <v>1231.73</v>
      </c>
      <c r="I20" s="125">
        <f t="shared" si="1"/>
        <v>1594</v>
      </c>
      <c r="J20" s="125">
        <f t="shared" si="1"/>
        <v>1735.15</v>
      </c>
      <c r="K20" s="125">
        <f t="shared" si="1"/>
        <v>1824.54</v>
      </c>
      <c r="L20" s="101"/>
      <c r="M20" s="101"/>
      <c r="N20" s="101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67"/>
      <c r="BE20" s="67"/>
      <c r="BF20" s="67"/>
      <c r="BG20" s="67"/>
      <c r="BH20" s="67"/>
      <c r="BI20" s="67"/>
      <c r="BJ20" s="67"/>
      <c r="BK20" s="67"/>
      <c r="BL20" s="67"/>
      <c r="BM20" s="67"/>
      <c r="BN20" s="67"/>
      <c r="BO20" s="67"/>
      <c r="BP20" s="67"/>
      <c r="BQ20" s="67"/>
      <c r="BR20" s="67"/>
      <c r="BS20" s="67"/>
      <c r="BT20" s="67"/>
      <c r="BU20" s="67"/>
      <c r="BV20" s="67"/>
      <c r="BW20" s="67"/>
      <c r="BX20" s="67"/>
      <c r="BY20" s="67"/>
      <c r="BZ20" s="67"/>
    </row>
    <row r="21" spans="1:78" x14ac:dyDescent="0.25">
      <c r="A21" s="59" t="s">
        <v>29</v>
      </c>
      <c r="B21" s="117">
        <v>0</v>
      </c>
      <c r="C21" s="117">
        <f>B23</f>
        <v>0</v>
      </c>
      <c r="D21" s="113">
        <f>C23</f>
        <v>84.82</v>
      </c>
      <c r="E21" s="113">
        <f>D23</f>
        <v>265.89999999999998</v>
      </c>
      <c r="F21" s="113">
        <f t="shared" ref="F21:K21" si="2">E23</f>
        <v>336.7</v>
      </c>
      <c r="G21" s="113">
        <f t="shared" si="2"/>
        <v>348.56</v>
      </c>
      <c r="H21" s="113">
        <f t="shared" si="2"/>
        <v>359.31</v>
      </c>
      <c r="I21" s="113">
        <f t="shared" si="2"/>
        <v>346.41</v>
      </c>
      <c r="J21" s="128">
        <f t="shared" si="2"/>
        <v>329.59</v>
      </c>
      <c r="K21" s="128">
        <f t="shared" si="2"/>
        <v>386.18</v>
      </c>
      <c r="L21" s="93"/>
      <c r="M21" s="93"/>
      <c r="N21" s="93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7"/>
      <c r="BB21" s="67"/>
      <c r="BC21" s="67"/>
      <c r="BD21" s="67"/>
      <c r="BE21" s="67"/>
      <c r="BF21" s="67"/>
      <c r="BG21" s="67"/>
      <c r="BH21" s="67"/>
      <c r="BI21" s="67"/>
      <c r="BJ21" s="67"/>
      <c r="BK21" s="67"/>
      <c r="BL21" s="67"/>
      <c r="BM21" s="67"/>
      <c r="BN21" s="67"/>
      <c r="BO21" s="67"/>
      <c r="BP21" s="67"/>
      <c r="BQ21" s="67"/>
      <c r="BR21" s="67"/>
      <c r="BS21" s="67"/>
      <c r="BT21" s="67"/>
      <c r="BU21" s="67"/>
      <c r="BV21" s="67"/>
      <c r="BW21" s="67"/>
      <c r="BX21" s="67"/>
      <c r="BY21" s="67"/>
      <c r="BZ21" s="67"/>
    </row>
    <row r="22" spans="1:78" x14ac:dyDescent="0.25">
      <c r="A22" s="59" t="s">
        <v>30</v>
      </c>
      <c r="B22" s="117">
        <v>0</v>
      </c>
      <c r="C22" s="117">
        <f t="shared" ref="C22:K22" si="3">C13-C20</f>
        <v>84.818512593296134</v>
      </c>
      <c r="D22" s="110">
        <f t="shared" si="3"/>
        <v>181.07518435735585</v>
      </c>
      <c r="E22" s="110">
        <f t="shared" si="3"/>
        <v>70.80497706487165</v>
      </c>
      <c r="F22" s="110">
        <f t="shared" si="3"/>
        <v>11.860281511060634</v>
      </c>
      <c r="G22" s="110">
        <f t="shared" si="3"/>
        <v>10.754393523062845</v>
      </c>
      <c r="H22" s="110">
        <f t="shared" si="3"/>
        <v>-12.903055857268555</v>
      </c>
      <c r="I22" s="110">
        <f t="shared" si="3"/>
        <v>-16.820829628696174</v>
      </c>
      <c r="J22" s="110">
        <f t="shared" si="3"/>
        <v>56.585277547258784</v>
      </c>
      <c r="K22" s="110">
        <f t="shared" si="3"/>
        <v>388.01886204032235</v>
      </c>
      <c r="L22" s="93"/>
      <c r="M22" s="93"/>
      <c r="N22" s="93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67"/>
      <c r="BE22" s="67"/>
      <c r="BF22" s="67"/>
      <c r="BG22" s="67"/>
      <c r="BH22" s="67"/>
      <c r="BI22" s="67"/>
      <c r="BJ22" s="67"/>
      <c r="BK22" s="67"/>
      <c r="BL22" s="67"/>
      <c r="BM22" s="67"/>
      <c r="BN22" s="67"/>
      <c r="BO22" s="67"/>
      <c r="BP22" s="67"/>
      <c r="BQ22" s="67"/>
      <c r="BR22" s="67"/>
      <c r="BS22" s="67"/>
      <c r="BT22" s="67"/>
      <c r="BU22" s="67"/>
      <c r="BV22" s="67"/>
      <c r="BW22" s="67"/>
      <c r="BX22" s="67"/>
      <c r="BY22" s="67"/>
      <c r="BZ22" s="67"/>
    </row>
    <row r="23" spans="1:78" x14ac:dyDescent="0.25">
      <c r="A23" s="134" t="s">
        <v>31</v>
      </c>
      <c r="B23" s="123">
        <f>ROUND(SUM(B21:B22),2)</f>
        <v>0</v>
      </c>
      <c r="C23" s="123">
        <f>ROUND(SUM(C21:C22),2)</f>
        <v>84.82</v>
      </c>
      <c r="D23" s="123">
        <f>ROUND(SUM(D21:D22),2)</f>
        <v>265.89999999999998</v>
      </c>
      <c r="E23" s="123">
        <f t="shared" ref="E23:K23" si="4">ROUND(SUM(E21:E22),2)</f>
        <v>336.7</v>
      </c>
      <c r="F23" s="123">
        <f t="shared" si="4"/>
        <v>348.56</v>
      </c>
      <c r="G23" s="123">
        <f t="shared" si="4"/>
        <v>359.31</v>
      </c>
      <c r="H23" s="123">
        <f t="shared" si="4"/>
        <v>346.41</v>
      </c>
      <c r="I23" s="123">
        <f t="shared" si="4"/>
        <v>329.59</v>
      </c>
      <c r="J23" s="123">
        <f t="shared" si="4"/>
        <v>386.18</v>
      </c>
      <c r="K23" s="123">
        <f t="shared" si="4"/>
        <v>774.2</v>
      </c>
      <c r="L23" s="135"/>
      <c r="M23" s="135"/>
      <c r="N23" s="135"/>
      <c r="O23" s="135"/>
      <c r="P23" s="135"/>
      <c r="Q23" s="135"/>
      <c r="R23" s="135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  <c r="BM23" s="67"/>
      <c r="BN23" s="67"/>
      <c r="BO23" s="67"/>
      <c r="BP23" s="67"/>
      <c r="BQ23" s="67"/>
      <c r="BR23" s="67"/>
      <c r="BS23" s="67"/>
      <c r="BT23" s="67"/>
      <c r="BU23" s="67"/>
      <c r="BV23" s="67"/>
      <c r="BW23" s="67"/>
      <c r="BX23" s="67"/>
      <c r="BY23" s="67"/>
      <c r="BZ23" s="67"/>
    </row>
    <row r="24" spans="1:78" x14ac:dyDescent="0.25">
      <c r="A24" s="59" t="s">
        <v>56</v>
      </c>
      <c r="B24" s="59"/>
      <c r="C24" s="59"/>
      <c r="D24" s="130"/>
      <c r="E24" s="130"/>
      <c r="F24" s="130"/>
      <c r="G24" s="130"/>
      <c r="H24" s="130"/>
      <c r="I24" s="130"/>
      <c r="J24" s="136"/>
      <c r="K24" s="136"/>
      <c r="L24" s="137"/>
      <c r="M24" s="137"/>
      <c r="N24" s="137"/>
      <c r="O24" s="137"/>
      <c r="P24" s="137"/>
      <c r="Q24" s="137"/>
      <c r="R24" s="13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7"/>
    </row>
    <row r="25" spans="1:78" x14ac:dyDescent="0.25">
      <c r="A25" s="59" t="s">
        <v>44</v>
      </c>
      <c r="B25" s="117">
        <v>0</v>
      </c>
      <c r="C25" s="117">
        <f>Profitability!C36</f>
        <v>5.4588999999999839</v>
      </c>
      <c r="D25" s="110">
        <f>Profitability!D36</f>
        <v>36.581540000000039</v>
      </c>
      <c r="E25" s="110">
        <f>Profitability!E36</f>
        <v>210.70663000000005</v>
      </c>
      <c r="F25" s="110">
        <f>Profitability!F36</f>
        <v>318.32988</v>
      </c>
      <c r="G25" s="110">
        <f>Profitability!G36</f>
        <v>533.65930000000014</v>
      </c>
      <c r="H25" s="110">
        <f>Profitability!H36</f>
        <v>664.54852000000005</v>
      </c>
      <c r="I25" s="110">
        <f>Profitability!I36</f>
        <v>927.31508999999983</v>
      </c>
      <c r="J25" s="128">
        <f>Profitability!J36</f>
        <v>1094.0879399999999</v>
      </c>
      <c r="K25" s="128">
        <f>Profitability!K36</f>
        <v>1395.52287</v>
      </c>
      <c r="L25" s="93"/>
      <c r="M25" s="93"/>
      <c r="N25" s="93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  <c r="BM25" s="67"/>
      <c r="BN25" s="67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67"/>
      <c r="BZ25" s="67"/>
    </row>
    <row r="26" spans="1:78" x14ac:dyDescent="0.25">
      <c r="A26" s="59" t="s">
        <v>45</v>
      </c>
      <c r="B26" s="117">
        <v>0</v>
      </c>
      <c r="C26" s="117">
        <f t="shared" ref="C26" si="5">C11</f>
        <v>208.58292282905035</v>
      </c>
      <c r="D26" s="110">
        <f t="shared" ref="D26:K26" si="6">D11</f>
        <v>394.6853899508381</v>
      </c>
      <c r="E26" s="110">
        <f t="shared" si="6"/>
        <v>352.21584862069284</v>
      </c>
      <c r="F26" s="110">
        <f t="shared" si="6"/>
        <v>314.44341177382125</v>
      </c>
      <c r="G26" s="110">
        <f t="shared" si="6"/>
        <v>280.83084640935726</v>
      </c>
      <c r="H26" s="110">
        <f t="shared" si="6"/>
        <v>250.90477120940193</v>
      </c>
      <c r="I26" s="110">
        <f t="shared" si="6"/>
        <v>224.24775211329506</v>
      </c>
      <c r="J26" s="128">
        <f t="shared" si="6"/>
        <v>200.49141622307388</v>
      </c>
      <c r="K26" s="128">
        <f t="shared" si="6"/>
        <v>179.31044802370855</v>
      </c>
      <c r="L26" s="93"/>
      <c r="M26" s="93"/>
      <c r="N26" s="93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  <c r="BM26" s="67"/>
      <c r="BN26" s="67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67"/>
      <c r="BZ26" s="67"/>
    </row>
    <row r="27" spans="1:78" x14ac:dyDescent="0.25">
      <c r="A27" s="59" t="s">
        <v>46</v>
      </c>
      <c r="B27" s="117">
        <v>0</v>
      </c>
      <c r="C27" s="117">
        <f>Profitability!C32</f>
        <v>135</v>
      </c>
      <c r="D27" s="123">
        <f>Profitability!D32</f>
        <v>263.25</v>
      </c>
      <c r="E27" s="123">
        <f>Profitability!E32</f>
        <v>243</v>
      </c>
      <c r="F27" s="123">
        <f>Profitability!F32</f>
        <v>211.5</v>
      </c>
      <c r="G27" s="123">
        <f>Profitability!G32</f>
        <v>175.5</v>
      </c>
      <c r="H27" s="123">
        <f>Profitability!H32</f>
        <v>135</v>
      </c>
      <c r="I27" s="123">
        <f>Profitability!I32</f>
        <v>90</v>
      </c>
      <c r="J27" s="128">
        <f>Profitability!J32</f>
        <v>33.75</v>
      </c>
      <c r="K27" s="128">
        <f>Profitability!K32</f>
        <v>11.25</v>
      </c>
      <c r="L27" s="93"/>
      <c r="M27" s="93"/>
      <c r="N27" s="93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7"/>
      <c r="BB27" s="67"/>
      <c r="BC27" s="67"/>
      <c r="BD27" s="67"/>
      <c r="BE27" s="67"/>
      <c r="BF27" s="67"/>
      <c r="BG27" s="67"/>
      <c r="BH27" s="67"/>
      <c r="BI27" s="67"/>
      <c r="BJ27" s="67"/>
      <c r="BK27" s="67"/>
      <c r="BL27" s="67"/>
      <c r="BM27" s="67"/>
      <c r="BN27" s="67"/>
      <c r="BO27" s="67"/>
      <c r="BP27" s="67"/>
      <c r="BQ27" s="67"/>
      <c r="BR27" s="67"/>
      <c r="BS27" s="67"/>
      <c r="BT27" s="67"/>
      <c r="BU27" s="67"/>
      <c r="BV27" s="67"/>
      <c r="BW27" s="67"/>
      <c r="BX27" s="67"/>
      <c r="BY27" s="67"/>
      <c r="BZ27" s="67"/>
    </row>
    <row r="28" spans="1:78" x14ac:dyDescent="0.25">
      <c r="A28" s="56" t="s">
        <v>47</v>
      </c>
      <c r="B28" s="127">
        <f t="shared" ref="B28:K28" si="7">SUM(B25:B27)</f>
        <v>0</v>
      </c>
      <c r="C28" s="127">
        <f t="shared" si="7"/>
        <v>349.04182282905032</v>
      </c>
      <c r="D28" s="127">
        <f t="shared" si="7"/>
        <v>694.51692995083818</v>
      </c>
      <c r="E28" s="127">
        <f t="shared" si="7"/>
        <v>805.92247862069291</v>
      </c>
      <c r="F28" s="127">
        <f t="shared" si="7"/>
        <v>844.27329177382126</v>
      </c>
      <c r="G28" s="127">
        <f t="shared" si="7"/>
        <v>989.99014640935741</v>
      </c>
      <c r="H28" s="127">
        <f t="shared" si="7"/>
        <v>1050.4532912094019</v>
      </c>
      <c r="I28" s="127">
        <f t="shared" si="7"/>
        <v>1241.5628421132949</v>
      </c>
      <c r="J28" s="127">
        <f t="shared" si="7"/>
        <v>1328.3293562230738</v>
      </c>
      <c r="K28" s="127">
        <f t="shared" si="7"/>
        <v>1586.0833180237087</v>
      </c>
      <c r="L28" s="101">
        <f>SUM(C28:K28)</f>
        <v>8890.1734771532392</v>
      </c>
      <c r="M28" s="101"/>
      <c r="N28" s="101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7"/>
    </row>
    <row r="29" spans="1:78" x14ac:dyDescent="0.25">
      <c r="A29" s="59" t="s">
        <v>48</v>
      </c>
      <c r="B29" s="117">
        <v>0</v>
      </c>
      <c r="C29" s="117">
        <f t="shared" ref="C29" si="8">C17</f>
        <v>0</v>
      </c>
      <c r="D29" s="113">
        <f t="shared" ref="D29:K29" si="9">D17</f>
        <v>150</v>
      </c>
      <c r="E29" s="113">
        <f t="shared" si="9"/>
        <v>300</v>
      </c>
      <c r="F29" s="113">
        <f t="shared" si="9"/>
        <v>400</v>
      </c>
      <c r="G29" s="113">
        <f t="shared" si="9"/>
        <v>400</v>
      </c>
      <c r="H29" s="113">
        <f t="shared" si="9"/>
        <v>500</v>
      </c>
      <c r="I29" s="113">
        <f t="shared" si="9"/>
        <v>500</v>
      </c>
      <c r="J29" s="113">
        <f t="shared" si="9"/>
        <v>500</v>
      </c>
      <c r="K29" s="113">
        <f t="shared" si="9"/>
        <v>250</v>
      </c>
      <c r="L29" s="93"/>
      <c r="M29" s="93"/>
      <c r="N29" s="93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7"/>
    </row>
    <row r="30" spans="1:78" x14ac:dyDescent="0.25">
      <c r="A30" s="59" t="s">
        <v>36</v>
      </c>
      <c r="B30" s="117">
        <v>0</v>
      </c>
      <c r="C30" s="117">
        <f>Profitability!C32</f>
        <v>135</v>
      </c>
      <c r="D30" s="123">
        <f>Profitability!D32</f>
        <v>263.25</v>
      </c>
      <c r="E30" s="123">
        <f>Profitability!E32</f>
        <v>243</v>
      </c>
      <c r="F30" s="123">
        <f>Profitability!F32</f>
        <v>211.5</v>
      </c>
      <c r="G30" s="123">
        <f>Profitability!G32</f>
        <v>175.5</v>
      </c>
      <c r="H30" s="123">
        <f>Profitability!H32</f>
        <v>135</v>
      </c>
      <c r="I30" s="123">
        <f>Profitability!I32</f>
        <v>90</v>
      </c>
      <c r="J30" s="128">
        <f>Profitability!J32</f>
        <v>33.75</v>
      </c>
      <c r="K30" s="128">
        <f>Profitability!K32</f>
        <v>11.25</v>
      </c>
      <c r="L30" s="93"/>
      <c r="M30" s="93"/>
      <c r="N30" s="93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67"/>
      <c r="BM30" s="67"/>
      <c r="BN30" s="67"/>
      <c r="BO30" s="67"/>
      <c r="BP30" s="67"/>
      <c r="BQ30" s="67"/>
      <c r="BR30" s="67"/>
      <c r="BS30" s="67"/>
      <c r="BT30" s="67"/>
      <c r="BU30" s="67"/>
      <c r="BV30" s="67"/>
      <c r="BW30" s="67"/>
      <c r="BX30" s="67"/>
      <c r="BY30" s="67"/>
      <c r="BZ30" s="67"/>
    </row>
    <row r="31" spans="1:78" x14ac:dyDescent="0.25">
      <c r="A31" s="56" t="s">
        <v>49</v>
      </c>
      <c r="B31" s="126">
        <f>SUM(B29:B30)</f>
        <v>0</v>
      </c>
      <c r="C31" s="126">
        <f>SUM(C29:C30)</f>
        <v>135</v>
      </c>
      <c r="D31" s="126">
        <f t="shared" ref="D31:J31" si="10">SUM(D29:D30)</f>
        <v>413.25</v>
      </c>
      <c r="E31" s="126">
        <f t="shared" si="10"/>
        <v>543</v>
      </c>
      <c r="F31" s="126">
        <f t="shared" si="10"/>
        <v>611.5</v>
      </c>
      <c r="G31" s="126">
        <f t="shared" si="10"/>
        <v>575.5</v>
      </c>
      <c r="H31" s="126">
        <f t="shared" si="10"/>
        <v>635</v>
      </c>
      <c r="I31" s="126">
        <f t="shared" si="10"/>
        <v>590</v>
      </c>
      <c r="J31" s="126">
        <f t="shared" si="10"/>
        <v>533.75</v>
      </c>
      <c r="K31" s="126">
        <f t="shared" ref="K31" si="11">SUM(K29:K30)</f>
        <v>261.25</v>
      </c>
      <c r="L31" s="101">
        <f>SUM(C31:K31)</f>
        <v>4298.25</v>
      </c>
      <c r="M31" s="101"/>
      <c r="N31" s="101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7"/>
      <c r="BM31" s="67"/>
      <c r="BN31" s="67"/>
      <c r="BO31" s="67"/>
      <c r="BP31" s="67"/>
      <c r="BQ31" s="67"/>
      <c r="BR31" s="67"/>
      <c r="BS31" s="67"/>
      <c r="BT31" s="67"/>
      <c r="BU31" s="67"/>
      <c r="BV31" s="67"/>
      <c r="BW31" s="67"/>
      <c r="BX31" s="67"/>
      <c r="BY31" s="67"/>
      <c r="BZ31" s="67"/>
    </row>
    <row r="32" spans="1:78" x14ac:dyDescent="0.25">
      <c r="A32" s="52" t="s">
        <v>264</v>
      </c>
      <c r="D32" s="388">
        <f>L28/L31</f>
        <v>2.0683239637418112</v>
      </c>
      <c r="E32" s="388"/>
      <c r="F32" s="388"/>
      <c r="G32" s="388"/>
      <c r="H32" s="388"/>
      <c r="I32" s="388"/>
      <c r="J32" s="388"/>
      <c r="K32" s="388"/>
      <c r="O32" s="67"/>
    </row>
    <row r="33" spans="7:7" x14ac:dyDescent="0.25">
      <c r="G33" s="67"/>
    </row>
  </sheetData>
  <mergeCells count="6">
    <mergeCell ref="A4:A5"/>
    <mergeCell ref="A2:J2"/>
    <mergeCell ref="A1:J1"/>
    <mergeCell ref="A3:J3"/>
    <mergeCell ref="D32:K32"/>
    <mergeCell ref="B4:B5"/>
  </mergeCells>
  <phoneticPr fontId="0" type="noConversion"/>
  <pageMargins left="0.7" right="0.7" top="0.75" bottom="0.75" header="0.3" footer="0.3"/>
  <pageSetup paperSize="9" scale="8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2"/>
  <sheetViews>
    <sheetView view="pageBreakPreview" zoomScaleNormal="100" zoomScaleSheetLayoutView="100" workbookViewId="0">
      <selection activeCell="K17" sqref="K17"/>
    </sheetView>
  </sheetViews>
  <sheetFormatPr defaultRowHeight="15" x14ac:dyDescent="0.25"/>
  <cols>
    <col min="1" max="1" width="12" style="10" customWidth="1"/>
    <col min="2" max="2" width="12.140625" style="10" customWidth="1"/>
    <col min="3" max="3" width="9.140625" style="10" customWidth="1"/>
    <col min="4" max="4" width="8.140625" style="10" customWidth="1"/>
    <col min="5" max="5" width="12" style="10" customWidth="1"/>
    <col min="6" max="6" width="11.85546875" style="10" customWidth="1"/>
    <col min="7" max="7" width="10.7109375" style="10" customWidth="1"/>
    <col min="8" max="8" width="7.28515625" style="10" customWidth="1"/>
    <col min="9" max="16384" width="9.140625" style="10"/>
  </cols>
  <sheetData>
    <row r="1" spans="1:9" x14ac:dyDescent="0.25">
      <c r="A1" s="333" t="str">
        <f>'Cost Break Up'!A1:D1</f>
        <v>Mahecha Boutique Hotels Private Limited</v>
      </c>
      <c r="B1" s="333"/>
      <c r="C1" s="333"/>
      <c r="D1" s="333"/>
      <c r="E1" s="333"/>
      <c r="F1" s="333"/>
      <c r="G1" s="333"/>
    </row>
    <row r="2" spans="1:9" x14ac:dyDescent="0.25">
      <c r="A2" s="382">
        <f>'Cash Flow'!A2:J2</f>
        <v>0</v>
      </c>
      <c r="B2" s="382"/>
      <c r="C2" s="382"/>
      <c r="D2" s="382"/>
      <c r="E2" s="382"/>
      <c r="F2" s="382"/>
      <c r="G2" s="382"/>
      <c r="H2" s="138">
        <f>Cost!D1</f>
        <v>0</v>
      </c>
      <c r="I2" s="138"/>
    </row>
    <row r="3" spans="1:9" x14ac:dyDescent="0.25">
      <c r="A3" s="396" t="s">
        <v>119</v>
      </c>
      <c r="B3" s="396"/>
      <c r="C3" s="396"/>
      <c r="D3" s="396"/>
      <c r="E3" s="396"/>
      <c r="F3" s="396"/>
      <c r="G3" s="139">
        <v>0.09</v>
      </c>
      <c r="H3" s="20"/>
    </row>
    <row r="4" spans="1:9" x14ac:dyDescent="0.25">
      <c r="D4" s="64"/>
      <c r="G4" s="18" t="s">
        <v>13</v>
      </c>
      <c r="H4" s="140"/>
    </row>
    <row r="5" spans="1:9" ht="43.5" customHeight="1" x14ac:dyDescent="0.25">
      <c r="A5" s="141" t="s">
        <v>14</v>
      </c>
      <c r="B5" s="397" t="s">
        <v>32</v>
      </c>
      <c r="C5" s="398"/>
      <c r="D5" s="142" t="s">
        <v>33</v>
      </c>
      <c r="E5" s="143" t="s">
        <v>34</v>
      </c>
      <c r="F5" s="144" t="s">
        <v>35</v>
      </c>
      <c r="G5" s="143" t="s">
        <v>36</v>
      </c>
      <c r="H5" s="145"/>
    </row>
    <row r="6" spans="1:9" x14ac:dyDescent="0.25">
      <c r="A6" s="16" t="s">
        <v>174</v>
      </c>
      <c r="B6" s="391">
        <v>0</v>
      </c>
      <c r="C6" s="392"/>
      <c r="D6" s="214">
        <f>Cost!C25</f>
        <v>3000</v>
      </c>
      <c r="E6" s="215">
        <v>0</v>
      </c>
      <c r="F6" s="214">
        <f>D6</f>
        <v>3000</v>
      </c>
      <c r="G6" s="215">
        <v>0</v>
      </c>
      <c r="H6" s="145"/>
    </row>
    <row r="7" spans="1:9" ht="28.5" x14ac:dyDescent="0.25">
      <c r="A7" s="216" t="s">
        <v>271</v>
      </c>
      <c r="B7" s="391">
        <f>F6</f>
        <v>3000</v>
      </c>
      <c r="C7" s="392"/>
      <c r="D7" s="48">
        <v>0</v>
      </c>
      <c r="E7" s="48">
        <v>0</v>
      </c>
      <c r="F7" s="48">
        <f t="shared" ref="F7:F14" si="0">B7+D7-E7</f>
        <v>3000</v>
      </c>
      <c r="G7" s="48">
        <f>SUM((B7+F7)/2)*$G3/2</f>
        <v>135</v>
      </c>
      <c r="H7" s="67"/>
    </row>
    <row r="8" spans="1:9" x14ac:dyDescent="0.25">
      <c r="A8" s="217" t="s">
        <v>272</v>
      </c>
      <c r="B8" s="391">
        <f>F7</f>
        <v>3000</v>
      </c>
      <c r="C8" s="392"/>
      <c r="D8" s="48">
        <v>0</v>
      </c>
      <c r="E8" s="48">
        <v>150</v>
      </c>
      <c r="F8" s="48">
        <f t="shared" si="0"/>
        <v>2850</v>
      </c>
      <c r="G8" s="48">
        <f>SUM((B8+F8)/2)*$G3</f>
        <v>263.25</v>
      </c>
      <c r="H8" s="67"/>
    </row>
    <row r="9" spans="1:9" x14ac:dyDescent="0.25">
      <c r="A9" s="217" t="s">
        <v>273</v>
      </c>
      <c r="B9" s="391">
        <f>F8</f>
        <v>2850</v>
      </c>
      <c r="C9" s="392"/>
      <c r="D9" s="48">
        <v>0</v>
      </c>
      <c r="E9" s="48">
        <v>300</v>
      </c>
      <c r="F9" s="48">
        <f t="shared" si="0"/>
        <v>2550</v>
      </c>
      <c r="G9" s="48">
        <f>SUM((B9+F9)/2)*$G3</f>
        <v>243</v>
      </c>
      <c r="H9" s="67"/>
    </row>
    <row r="10" spans="1:9" x14ac:dyDescent="0.25">
      <c r="A10" s="217" t="s">
        <v>274</v>
      </c>
      <c r="B10" s="391">
        <f t="shared" ref="B10:B11" si="1">F9</f>
        <v>2550</v>
      </c>
      <c r="C10" s="392"/>
      <c r="D10" s="48">
        <v>0</v>
      </c>
      <c r="E10" s="48">
        <v>400</v>
      </c>
      <c r="F10" s="48">
        <f t="shared" si="0"/>
        <v>2150</v>
      </c>
      <c r="G10" s="48">
        <f>SUM((B10+F10)/2)*$G3</f>
        <v>211.5</v>
      </c>
      <c r="H10" s="67"/>
    </row>
    <row r="11" spans="1:9" x14ac:dyDescent="0.25">
      <c r="A11" s="217" t="s">
        <v>275</v>
      </c>
      <c r="B11" s="391">
        <f t="shared" si="1"/>
        <v>2150</v>
      </c>
      <c r="C11" s="392"/>
      <c r="D11" s="48">
        <v>0</v>
      </c>
      <c r="E11" s="48">
        <v>400</v>
      </c>
      <c r="F11" s="48">
        <f t="shared" si="0"/>
        <v>1750</v>
      </c>
      <c r="G11" s="48">
        <f>SUM((B11+F11)/2)*$G3</f>
        <v>175.5</v>
      </c>
      <c r="H11" s="67"/>
    </row>
    <row r="12" spans="1:9" x14ac:dyDescent="0.25">
      <c r="A12" s="217" t="s">
        <v>276</v>
      </c>
      <c r="B12" s="391">
        <f t="shared" ref="B12" si="2">F11</f>
        <v>1750</v>
      </c>
      <c r="C12" s="392"/>
      <c r="D12" s="48">
        <v>0</v>
      </c>
      <c r="E12" s="48">
        <v>500</v>
      </c>
      <c r="F12" s="48">
        <f t="shared" si="0"/>
        <v>1250</v>
      </c>
      <c r="G12" s="48">
        <f>SUM((B12+F12)/2)*$G3</f>
        <v>135</v>
      </c>
      <c r="H12" s="67"/>
    </row>
    <row r="13" spans="1:9" x14ac:dyDescent="0.25">
      <c r="A13" s="217" t="s">
        <v>277</v>
      </c>
      <c r="B13" s="391">
        <f>F12</f>
        <v>1250</v>
      </c>
      <c r="C13" s="392"/>
      <c r="D13" s="48">
        <v>0</v>
      </c>
      <c r="E13" s="48">
        <v>500</v>
      </c>
      <c r="F13" s="48">
        <f t="shared" si="0"/>
        <v>750</v>
      </c>
      <c r="G13" s="48">
        <f>SUM((B13+F13)/2)*$G3</f>
        <v>90</v>
      </c>
      <c r="H13" s="67"/>
    </row>
    <row r="14" spans="1:9" x14ac:dyDescent="0.25">
      <c r="A14" s="217" t="s">
        <v>278</v>
      </c>
      <c r="B14" s="391">
        <f>F13</f>
        <v>750</v>
      </c>
      <c r="C14" s="392"/>
      <c r="D14" s="48">
        <v>0</v>
      </c>
      <c r="E14" s="48">
        <v>500</v>
      </c>
      <c r="F14" s="48">
        <f t="shared" si="0"/>
        <v>250</v>
      </c>
      <c r="G14" s="48">
        <f>SUM((B14)/2)*$G3</f>
        <v>33.75</v>
      </c>
      <c r="H14" s="67"/>
    </row>
    <row r="15" spans="1:9" x14ac:dyDescent="0.25">
      <c r="A15" s="217" t="s">
        <v>279</v>
      </c>
      <c r="B15" s="391">
        <f>F14</f>
        <v>250</v>
      </c>
      <c r="C15" s="392"/>
      <c r="D15" s="48">
        <v>0</v>
      </c>
      <c r="E15" s="48">
        <v>250</v>
      </c>
      <c r="F15" s="48">
        <f t="shared" ref="F15" si="3">B15+D15-E15</f>
        <v>0</v>
      </c>
      <c r="G15" s="48">
        <f>SUM((B15)/2)*$G3</f>
        <v>11.25</v>
      </c>
      <c r="H15" s="67"/>
    </row>
    <row r="16" spans="1:9" x14ac:dyDescent="0.25">
      <c r="A16" s="333" t="s">
        <v>39</v>
      </c>
      <c r="B16" s="333"/>
      <c r="C16" s="333"/>
      <c r="D16" s="333"/>
      <c r="E16" s="333"/>
      <c r="F16" s="333"/>
      <c r="G16" s="333"/>
      <c r="H16" s="51"/>
    </row>
    <row r="17" spans="1:10" x14ac:dyDescent="0.25">
      <c r="A17" s="333" t="s">
        <v>96</v>
      </c>
      <c r="B17" s="333"/>
      <c r="C17" s="333"/>
      <c r="D17" s="333"/>
      <c r="E17" s="333"/>
      <c r="F17" s="333"/>
      <c r="G17" s="333"/>
      <c r="H17" s="51"/>
    </row>
    <row r="18" spans="1:10" x14ac:dyDescent="0.25">
      <c r="D18" s="64"/>
      <c r="G18" s="18" t="s">
        <v>13</v>
      </c>
      <c r="I18" s="67"/>
    </row>
    <row r="19" spans="1:10" ht="75" x14ac:dyDescent="0.25">
      <c r="A19" s="156" t="s">
        <v>14</v>
      </c>
      <c r="B19" s="148" t="s">
        <v>3</v>
      </c>
      <c r="C19" s="156" t="s">
        <v>218</v>
      </c>
      <c r="D19" s="215" t="s">
        <v>95</v>
      </c>
      <c r="E19" s="13" t="s">
        <v>128</v>
      </c>
      <c r="F19" s="149" t="s">
        <v>94</v>
      </c>
      <c r="G19" s="13" t="s">
        <v>12</v>
      </c>
      <c r="H19" s="59"/>
      <c r="I19" s="67"/>
    </row>
    <row r="20" spans="1:10" ht="28.5" x14ac:dyDescent="0.25">
      <c r="A20" s="153" t="s">
        <v>175</v>
      </c>
      <c r="B20" s="150" t="s">
        <v>33</v>
      </c>
      <c r="C20" s="152">
        <f>Cost!C11</f>
        <v>44.63</v>
      </c>
      <c r="D20" s="152">
        <f>Cost!C13</f>
        <v>3070.37</v>
      </c>
      <c r="E20" s="100">
        <f>Cost!C15</f>
        <v>420</v>
      </c>
      <c r="F20" s="152">
        <f>Cost!C17</f>
        <v>350</v>
      </c>
      <c r="G20" s="152">
        <f>D20+E20+F20+C20</f>
        <v>3885</v>
      </c>
      <c r="H20" s="64">
        <f>D20+E20+F20</f>
        <v>3840.37</v>
      </c>
      <c r="I20" s="67"/>
    </row>
    <row r="21" spans="1:10" ht="30" x14ac:dyDescent="0.25">
      <c r="A21" s="154" t="s">
        <v>176</v>
      </c>
      <c r="B21" s="155" t="s">
        <v>287</v>
      </c>
      <c r="C21" s="259">
        <v>0</v>
      </c>
      <c r="D21" s="62">
        <f>H21*D20/H20</f>
        <v>91.942325869642772</v>
      </c>
      <c r="E21" s="117">
        <f>H21*E20/H20</f>
        <v>12.576913162013035</v>
      </c>
      <c r="F21" s="117">
        <f>H21*F20/H20</f>
        <v>10.480760968344196</v>
      </c>
      <c r="G21" s="152">
        <f>SUM(D21:F21)</f>
        <v>115.00000000000001</v>
      </c>
      <c r="H21" s="117">
        <f>Cost!C19</f>
        <v>115</v>
      </c>
      <c r="I21" s="67"/>
    </row>
    <row r="22" spans="1:10" x14ac:dyDescent="0.25">
      <c r="A22" s="156"/>
      <c r="B22" s="69" t="s">
        <v>12</v>
      </c>
      <c r="C22" s="63">
        <f>C20+C21</f>
        <v>44.63</v>
      </c>
      <c r="D22" s="157">
        <f>SUM(D20:D21)</f>
        <v>3162.3123258696428</v>
      </c>
      <c r="E22" s="157">
        <f t="shared" ref="E22:F22" si="4">SUM(E20:E21)</f>
        <v>432.57691316201306</v>
      </c>
      <c r="F22" s="157">
        <f t="shared" si="4"/>
        <v>360.48076096834421</v>
      </c>
      <c r="G22" s="157">
        <f>SUM(G20:G21)</f>
        <v>4000</v>
      </c>
      <c r="H22" s="59"/>
      <c r="I22" s="67"/>
    </row>
    <row r="23" spans="1:10" x14ac:dyDescent="0.25">
      <c r="A23" s="393" t="s">
        <v>288</v>
      </c>
      <c r="B23" s="60" t="s">
        <v>121</v>
      </c>
      <c r="C23" s="152">
        <f>C22</f>
        <v>44.63</v>
      </c>
      <c r="D23" s="152">
        <f>D22</f>
        <v>3162.3123258696428</v>
      </c>
      <c r="E23" s="228">
        <f t="shared" ref="E23:F23" si="5">E22</f>
        <v>432.57691316201306</v>
      </c>
      <c r="F23" s="151">
        <f t="shared" si="5"/>
        <v>360.48076096834421</v>
      </c>
      <c r="G23" s="228">
        <f>G22</f>
        <v>4000</v>
      </c>
      <c r="H23" s="59"/>
      <c r="I23" s="67"/>
    </row>
    <row r="24" spans="1:10" x14ac:dyDescent="0.25">
      <c r="A24" s="394"/>
      <c r="B24" s="59" t="s">
        <v>33</v>
      </c>
      <c r="C24" s="117">
        <v>0</v>
      </c>
      <c r="D24" s="62">
        <v>0</v>
      </c>
      <c r="E24" s="62">
        <v>0</v>
      </c>
      <c r="F24" s="147">
        <v>0</v>
      </c>
      <c r="G24" s="152">
        <f>SUM(D24:F24)</f>
        <v>0</v>
      </c>
      <c r="H24" s="59"/>
      <c r="I24" s="67"/>
    </row>
    <row r="25" spans="1:10" x14ac:dyDescent="0.25">
      <c r="A25" s="394"/>
      <c r="B25" s="69" t="s">
        <v>12</v>
      </c>
      <c r="C25" s="63">
        <f>C23+C24</f>
        <v>44.63</v>
      </c>
      <c r="D25" s="48">
        <f>D23+D24</f>
        <v>3162.3123258696428</v>
      </c>
      <c r="E25" s="48">
        <f t="shared" ref="E25:F25" si="6">E23+E24</f>
        <v>432.57691316201306</v>
      </c>
      <c r="F25" s="229">
        <f t="shared" si="6"/>
        <v>360.48076096834421</v>
      </c>
      <c r="G25" s="48">
        <f>G23+G24</f>
        <v>4000</v>
      </c>
      <c r="H25" s="117"/>
      <c r="I25" s="67"/>
    </row>
    <row r="26" spans="1:10" x14ac:dyDescent="0.25">
      <c r="A26" s="395"/>
      <c r="B26" s="59" t="s">
        <v>129</v>
      </c>
      <c r="C26" s="117">
        <v>0</v>
      </c>
      <c r="D26" s="62">
        <f>(D25)*10%/2</f>
        <v>158.11561629348216</v>
      </c>
      <c r="E26" s="146">
        <f>(E25)*15%/2</f>
        <v>32.443268487150981</v>
      </c>
      <c r="F26" s="147">
        <f>(F25)*10%/2</f>
        <v>18.024038048417211</v>
      </c>
      <c r="G26" s="146">
        <f>SUM(D26:F26)</f>
        <v>208.58292282905035</v>
      </c>
      <c r="H26" s="117" t="s">
        <v>0</v>
      </c>
      <c r="I26" s="67"/>
    </row>
    <row r="27" spans="1:10" x14ac:dyDescent="0.25">
      <c r="A27" s="16"/>
      <c r="B27" s="69" t="s">
        <v>280</v>
      </c>
      <c r="C27" s="63">
        <f>C25-C26</f>
        <v>44.63</v>
      </c>
      <c r="D27" s="63">
        <f>D25-D26</f>
        <v>3004.1967095761606</v>
      </c>
      <c r="E27" s="116">
        <f t="shared" ref="E27:F27" si="7">E25-E26</f>
        <v>400.13364467486207</v>
      </c>
      <c r="F27" s="116">
        <f t="shared" si="7"/>
        <v>342.45672291992702</v>
      </c>
      <c r="G27" s="116">
        <f>G25-G26</f>
        <v>3791.4170771709496</v>
      </c>
      <c r="H27" s="117"/>
      <c r="I27" s="67"/>
    </row>
    <row r="28" spans="1:10" x14ac:dyDescent="0.25">
      <c r="A28" s="158"/>
      <c r="B28" s="60" t="s">
        <v>121</v>
      </c>
      <c r="C28" s="152">
        <f>C27</f>
        <v>44.63</v>
      </c>
      <c r="D28" s="152">
        <f>D27</f>
        <v>3004.1967095761606</v>
      </c>
      <c r="E28" s="152">
        <f>E27</f>
        <v>400.13364467486207</v>
      </c>
      <c r="F28" s="151">
        <f>F27</f>
        <v>342.45672291992702</v>
      </c>
      <c r="G28" s="152">
        <f>G27</f>
        <v>3791.4170771709496</v>
      </c>
      <c r="H28" s="59"/>
      <c r="I28" s="67"/>
    </row>
    <row r="29" spans="1:10" x14ac:dyDescent="0.25">
      <c r="A29" s="159" t="s">
        <v>272</v>
      </c>
      <c r="B29" s="59" t="s">
        <v>33</v>
      </c>
      <c r="C29" s="117">
        <v>0</v>
      </c>
      <c r="D29" s="62">
        <v>0</v>
      </c>
      <c r="E29" s="62">
        <v>0</v>
      </c>
      <c r="F29" s="147">
        <v>0</v>
      </c>
      <c r="G29" s="62">
        <f>D29+E29+F29</f>
        <v>0</v>
      </c>
      <c r="H29" s="59"/>
      <c r="I29" s="67"/>
    </row>
    <row r="30" spans="1:10" x14ac:dyDescent="0.25">
      <c r="A30" s="60"/>
      <c r="B30" s="59" t="s">
        <v>38</v>
      </c>
      <c r="C30" s="117">
        <v>0</v>
      </c>
      <c r="D30" s="62">
        <f>(D28+D29)*10%</f>
        <v>300.41967095761606</v>
      </c>
      <c r="E30" s="62">
        <f>(E28+E29)*15%</f>
        <v>60.020046701229305</v>
      </c>
      <c r="F30" s="147">
        <f>(F28+F29)*10%</f>
        <v>34.245672291992705</v>
      </c>
      <c r="G30" s="62">
        <f>SUM(D30:F30)</f>
        <v>394.6853899508381</v>
      </c>
      <c r="H30" s="59" t="s">
        <v>0</v>
      </c>
      <c r="I30" s="67"/>
    </row>
    <row r="31" spans="1:10" x14ac:dyDescent="0.25">
      <c r="A31" s="16"/>
      <c r="B31" s="69" t="s">
        <v>280</v>
      </c>
      <c r="C31" s="63">
        <f>C28+C29-C30</f>
        <v>44.63</v>
      </c>
      <c r="D31" s="63">
        <f>D28+D29-D30</f>
        <v>2703.7770386185448</v>
      </c>
      <c r="E31" s="116">
        <f>E28+E29-E30</f>
        <v>340.11359797363275</v>
      </c>
      <c r="F31" s="116">
        <f>F28+F29-F30</f>
        <v>308.2110506279343</v>
      </c>
      <c r="G31" s="116">
        <f>G28+G29-G30</f>
        <v>3396.7316872201113</v>
      </c>
      <c r="H31" s="59"/>
      <c r="I31" s="67"/>
      <c r="J31" s="64"/>
    </row>
    <row r="32" spans="1:10" x14ac:dyDescent="0.25">
      <c r="A32" s="96" t="s">
        <v>0</v>
      </c>
      <c r="B32" s="230" t="s">
        <v>121</v>
      </c>
      <c r="C32" s="100">
        <f>C31</f>
        <v>44.63</v>
      </c>
      <c r="D32" s="152">
        <f>D31</f>
        <v>2703.7770386185448</v>
      </c>
      <c r="E32" s="152">
        <f>E31</f>
        <v>340.11359797363275</v>
      </c>
      <c r="F32" s="151">
        <f>F31</f>
        <v>308.2110506279343</v>
      </c>
      <c r="G32" s="152">
        <f>G31</f>
        <v>3396.7316872201113</v>
      </c>
      <c r="H32" s="59"/>
      <c r="I32" s="67"/>
      <c r="J32" s="10" t="s">
        <v>0</v>
      </c>
    </row>
    <row r="33" spans="1:9" x14ac:dyDescent="0.25">
      <c r="A33" s="159" t="s">
        <v>273</v>
      </c>
      <c r="B33" s="59" t="s">
        <v>33</v>
      </c>
      <c r="C33" s="117">
        <v>0</v>
      </c>
      <c r="D33" s="62">
        <v>0</v>
      </c>
      <c r="E33" s="62">
        <v>0</v>
      </c>
      <c r="F33" s="147">
        <v>0</v>
      </c>
      <c r="G33" s="62">
        <f>D33+E33+F33</f>
        <v>0</v>
      </c>
      <c r="H33" s="59"/>
      <c r="I33" s="67"/>
    </row>
    <row r="34" spans="1:9" x14ac:dyDescent="0.25">
      <c r="A34" s="60"/>
      <c r="B34" s="59" t="s">
        <v>38</v>
      </c>
      <c r="C34" s="117">
        <v>0</v>
      </c>
      <c r="D34" s="62">
        <f>(D32+D33)*10%</f>
        <v>270.37770386185451</v>
      </c>
      <c r="E34" s="62">
        <f>(E32+E33)*15%</f>
        <v>51.017039696044911</v>
      </c>
      <c r="F34" s="147">
        <f>(F32+F33)*10%</f>
        <v>30.821105062793432</v>
      </c>
      <c r="G34" s="62">
        <f>SUM(D34:F34)</f>
        <v>352.21584862069284</v>
      </c>
      <c r="H34" s="117" t="s">
        <v>0</v>
      </c>
      <c r="I34" s="67"/>
    </row>
    <row r="35" spans="1:9" x14ac:dyDescent="0.25">
      <c r="A35" s="69" t="s">
        <v>0</v>
      </c>
      <c r="B35" s="69" t="s">
        <v>280</v>
      </c>
      <c r="C35" s="116">
        <f>C32+C33-C34</f>
        <v>44.63</v>
      </c>
      <c r="D35" s="63">
        <f>SUM(D32:D33)-D34</f>
        <v>2433.3993347566902</v>
      </c>
      <c r="E35" s="63">
        <f>SUM(E32:E33)-E34</f>
        <v>289.09655827758786</v>
      </c>
      <c r="F35" s="160">
        <f>SUM(F32:F33)-F34</f>
        <v>277.38994556514086</v>
      </c>
      <c r="G35" s="63">
        <f>SUM(G32:G33)-G34</f>
        <v>3044.5158385994187</v>
      </c>
      <c r="H35" s="117" t="s">
        <v>0</v>
      </c>
      <c r="I35" s="67"/>
    </row>
    <row r="36" spans="1:9" x14ac:dyDescent="0.25">
      <c r="A36" s="60" t="s">
        <v>0</v>
      </c>
      <c r="B36" s="59" t="s">
        <v>121</v>
      </c>
      <c r="C36" s="100">
        <f>C35</f>
        <v>44.63</v>
      </c>
      <c r="D36" s="152">
        <f>D35</f>
        <v>2433.3993347566902</v>
      </c>
      <c r="E36" s="152">
        <f>E35</f>
        <v>289.09655827758786</v>
      </c>
      <c r="F36" s="151">
        <f>F35</f>
        <v>277.38994556514086</v>
      </c>
      <c r="G36" s="152">
        <f>G35</f>
        <v>3044.5158385994187</v>
      </c>
      <c r="H36" s="59"/>
      <c r="I36" s="67"/>
    </row>
    <row r="37" spans="1:9" x14ac:dyDescent="0.25">
      <c r="A37" s="96" t="s">
        <v>274</v>
      </c>
      <c r="B37" s="59" t="s">
        <v>33</v>
      </c>
      <c r="C37" s="117">
        <v>0</v>
      </c>
      <c r="D37" s="62">
        <v>0</v>
      </c>
      <c r="E37" s="62">
        <v>0</v>
      </c>
      <c r="F37" s="64">
        <v>0</v>
      </c>
      <c r="G37" s="62">
        <f>SUM(D37:F37)</f>
        <v>0</v>
      </c>
      <c r="H37" s="59"/>
      <c r="I37" s="67"/>
    </row>
    <row r="38" spans="1:9" x14ac:dyDescent="0.25">
      <c r="A38" s="96"/>
      <c r="B38" s="59" t="s">
        <v>38</v>
      </c>
      <c r="C38" s="117">
        <v>0</v>
      </c>
      <c r="D38" s="62">
        <f>(D36+D37)*10%</f>
        <v>243.33993347566903</v>
      </c>
      <c r="E38" s="62">
        <f>(E36+E37)*15%</f>
        <v>43.364483741638175</v>
      </c>
      <c r="F38" s="147">
        <f>(F36+F37)*10%</f>
        <v>27.738994556514086</v>
      </c>
      <c r="G38" s="62">
        <f>SUM(D38:F38)</f>
        <v>314.44341177382125</v>
      </c>
      <c r="H38" s="59"/>
      <c r="I38" s="67"/>
    </row>
    <row r="39" spans="1:9" x14ac:dyDescent="0.25">
      <c r="A39" s="69" t="s">
        <v>0</v>
      </c>
      <c r="B39" s="69" t="s">
        <v>280</v>
      </c>
      <c r="C39" s="116">
        <f>C36+C37-C38</f>
        <v>44.63</v>
      </c>
      <c r="D39" s="63">
        <f>SUM(D36:D37)-D38</f>
        <v>2190.0594012810211</v>
      </c>
      <c r="E39" s="63">
        <f>SUM(E36:E37)-E38</f>
        <v>245.73207453594969</v>
      </c>
      <c r="F39" s="160">
        <f>SUM(F36:F37)-F38</f>
        <v>249.65095100862678</v>
      </c>
      <c r="G39" s="63">
        <f>SUM(G36:G37)-G38</f>
        <v>2730.0724268255972</v>
      </c>
      <c r="H39" s="59"/>
      <c r="I39" s="67"/>
    </row>
    <row r="40" spans="1:9" x14ac:dyDescent="0.25">
      <c r="A40" s="60" t="s">
        <v>0</v>
      </c>
      <c r="B40" s="59" t="s">
        <v>37</v>
      </c>
      <c r="C40" s="100">
        <f>C39</f>
        <v>44.63</v>
      </c>
      <c r="D40" s="152">
        <f>D39</f>
        <v>2190.0594012810211</v>
      </c>
      <c r="E40" s="152">
        <f>E39</f>
        <v>245.73207453594969</v>
      </c>
      <c r="F40" s="151">
        <f>F39</f>
        <v>249.65095100862678</v>
      </c>
      <c r="G40" s="152">
        <f>G39</f>
        <v>2730.0724268255972</v>
      </c>
      <c r="H40" s="59"/>
      <c r="I40" s="67"/>
    </row>
    <row r="41" spans="1:9" x14ac:dyDescent="0.25">
      <c r="A41" s="96" t="s">
        <v>275</v>
      </c>
      <c r="B41" s="59" t="s">
        <v>33</v>
      </c>
      <c r="C41" s="117">
        <v>0</v>
      </c>
      <c r="D41" s="62">
        <v>0</v>
      </c>
      <c r="E41" s="62">
        <v>0</v>
      </c>
      <c r="F41" s="64">
        <v>0</v>
      </c>
      <c r="G41" s="62">
        <f>D41+E41+F41</f>
        <v>0</v>
      </c>
      <c r="H41" s="59"/>
      <c r="I41" s="67"/>
    </row>
    <row r="42" spans="1:9" x14ac:dyDescent="0.25">
      <c r="A42" s="60"/>
      <c r="B42" s="59" t="s">
        <v>38</v>
      </c>
      <c r="C42" s="117">
        <v>0</v>
      </c>
      <c r="D42" s="62">
        <f>(D40+D41)*10%</f>
        <v>219.00594012810211</v>
      </c>
      <c r="E42" s="62">
        <f>(E40+E41)*15%</f>
        <v>36.859811180392455</v>
      </c>
      <c r="F42" s="147">
        <f>(F40+F41)*10%</f>
        <v>24.96509510086268</v>
      </c>
      <c r="G42" s="62">
        <f>SUM(D42:F42)</f>
        <v>280.83084640935726</v>
      </c>
      <c r="H42" s="59"/>
      <c r="I42" s="67"/>
    </row>
    <row r="43" spans="1:9" x14ac:dyDescent="0.25">
      <c r="A43" s="69" t="s">
        <v>0</v>
      </c>
      <c r="B43" s="69" t="s">
        <v>280</v>
      </c>
      <c r="C43" s="116">
        <f>C40+C41-C42</f>
        <v>44.63</v>
      </c>
      <c r="D43" s="63">
        <f>D40+D41-D42</f>
        <v>1971.053461152919</v>
      </c>
      <c r="E43" s="63">
        <f>E40+E41-E42</f>
        <v>208.87226335555724</v>
      </c>
      <c r="F43" s="160">
        <f>F40+F41-F42</f>
        <v>224.68585590776411</v>
      </c>
      <c r="G43" s="63">
        <f>SUM(G40:G41)-G42</f>
        <v>2449.2415804162401</v>
      </c>
      <c r="H43" s="59"/>
      <c r="I43" s="67"/>
    </row>
    <row r="44" spans="1:9" x14ac:dyDescent="0.25">
      <c r="A44" s="60" t="s">
        <v>0</v>
      </c>
      <c r="B44" s="60" t="s">
        <v>37</v>
      </c>
      <c r="C44" s="152">
        <f>C43</f>
        <v>44.63</v>
      </c>
      <c r="D44" s="152">
        <f>D43</f>
        <v>1971.053461152919</v>
      </c>
      <c r="E44" s="152">
        <f>E43</f>
        <v>208.87226335555724</v>
      </c>
      <c r="F44" s="151">
        <f>F43</f>
        <v>224.68585590776411</v>
      </c>
      <c r="G44" s="152">
        <f>G43</f>
        <v>2449.2415804162401</v>
      </c>
      <c r="H44" s="59"/>
      <c r="I44" s="67"/>
    </row>
    <row r="45" spans="1:9" x14ac:dyDescent="0.25">
      <c r="A45" s="96" t="s">
        <v>276</v>
      </c>
      <c r="B45" s="60" t="s">
        <v>33</v>
      </c>
      <c r="C45" s="62">
        <v>0</v>
      </c>
      <c r="D45" s="48">
        <v>0</v>
      </c>
      <c r="E45" s="62">
        <v>0</v>
      </c>
      <c r="F45" s="64">
        <v>0</v>
      </c>
      <c r="G45" s="62">
        <v>0</v>
      </c>
      <c r="H45" s="59"/>
    </row>
    <row r="46" spans="1:9" x14ac:dyDescent="0.25">
      <c r="A46" s="60"/>
      <c r="B46" s="60" t="s">
        <v>38</v>
      </c>
      <c r="C46" s="62">
        <v>0</v>
      </c>
      <c r="D46" s="62">
        <f>(D44+D45)*10%</f>
        <v>197.10534611529192</v>
      </c>
      <c r="E46" s="62">
        <f>(E44+E45)*15%</f>
        <v>31.330839503333586</v>
      </c>
      <c r="F46" s="147">
        <f>(F44+F45)*10%</f>
        <v>22.468585590776414</v>
      </c>
      <c r="G46" s="62">
        <f>SUM(D46:F46)</f>
        <v>250.90477120940193</v>
      </c>
      <c r="H46" s="59"/>
    </row>
    <row r="47" spans="1:9" x14ac:dyDescent="0.25">
      <c r="A47" s="69" t="s">
        <v>0</v>
      </c>
      <c r="B47" s="69" t="s">
        <v>280</v>
      </c>
      <c r="C47" s="63">
        <f>C44+C45-C46</f>
        <v>44.63</v>
      </c>
      <c r="D47" s="63">
        <f>D44+D45-D46</f>
        <v>1773.9481150376271</v>
      </c>
      <c r="E47" s="63">
        <f>E44+E45-E46</f>
        <v>177.54142385222366</v>
      </c>
      <c r="F47" s="160">
        <f>F44+F45-F46</f>
        <v>202.21727031698771</v>
      </c>
      <c r="G47" s="63">
        <f>SUM(G44:G45)-G46</f>
        <v>2198.3368092068381</v>
      </c>
      <c r="H47" s="59"/>
    </row>
    <row r="48" spans="1:9" x14ac:dyDescent="0.25">
      <c r="A48" s="60" t="s">
        <v>0</v>
      </c>
      <c r="B48" s="60" t="s">
        <v>37</v>
      </c>
      <c r="C48" s="152">
        <f>C47</f>
        <v>44.63</v>
      </c>
      <c r="D48" s="152">
        <f>D47</f>
        <v>1773.9481150376271</v>
      </c>
      <c r="E48" s="152">
        <f>E47</f>
        <v>177.54142385222366</v>
      </c>
      <c r="F48" s="151">
        <f>F47</f>
        <v>202.21727031698771</v>
      </c>
      <c r="G48" s="152">
        <f>G47</f>
        <v>2198.3368092068381</v>
      </c>
      <c r="H48" s="59"/>
    </row>
    <row r="49" spans="1:10" x14ac:dyDescent="0.25">
      <c r="A49" s="96" t="s">
        <v>277</v>
      </c>
      <c r="B49" s="60" t="s">
        <v>33</v>
      </c>
      <c r="C49" s="62">
        <v>0</v>
      </c>
      <c r="D49" s="62">
        <v>0</v>
      </c>
      <c r="E49" s="62">
        <v>0</v>
      </c>
      <c r="F49" s="64">
        <v>0</v>
      </c>
      <c r="G49" s="62">
        <v>0</v>
      </c>
    </row>
    <row r="50" spans="1:10" x14ac:dyDescent="0.25">
      <c r="A50" s="60"/>
      <c r="B50" s="60" t="s">
        <v>38</v>
      </c>
      <c r="C50" s="62">
        <v>0</v>
      </c>
      <c r="D50" s="62">
        <f>(D48+D49)*10%</f>
        <v>177.39481150376272</v>
      </c>
      <c r="E50" s="62">
        <f>(E48+E49)*15%</f>
        <v>26.631213577833549</v>
      </c>
      <c r="F50" s="147">
        <f>(F48+F49)*10%</f>
        <v>20.221727031698773</v>
      </c>
      <c r="G50" s="146">
        <f>SUM(D50:F50)</f>
        <v>224.24775211329506</v>
      </c>
    </row>
    <row r="51" spans="1:10" x14ac:dyDescent="0.25">
      <c r="A51" s="69" t="s">
        <v>0</v>
      </c>
      <c r="B51" s="69" t="s">
        <v>280</v>
      </c>
      <c r="C51" s="63">
        <f>C48+C49-C50</f>
        <v>44.63</v>
      </c>
      <c r="D51" s="63">
        <f>D48+D49-D50</f>
        <v>1596.5533035338644</v>
      </c>
      <c r="E51" s="63">
        <f>E48+E49-E50</f>
        <v>150.91021027439012</v>
      </c>
      <c r="F51" s="160">
        <f>F48+F49-F50</f>
        <v>181.99554328528893</v>
      </c>
      <c r="G51" s="63">
        <f>SUM(G48:G49)-G50</f>
        <v>1974.089057093543</v>
      </c>
    </row>
    <row r="52" spans="1:10" x14ac:dyDescent="0.25">
      <c r="A52" s="60" t="s">
        <v>0</v>
      </c>
      <c r="B52" s="60" t="s">
        <v>37</v>
      </c>
      <c r="C52" s="152">
        <f>C51</f>
        <v>44.63</v>
      </c>
      <c r="D52" s="152">
        <f>D51</f>
        <v>1596.5533035338644</v>
      </c>
      <c r="E52" s="152">
        <f>E51</f>
        <v>150.91021027439012</v>
      </c>
      <c r="F52" s="151">
        <f>F51</f>
        <v>181.99554328528893</v>
      </c>
      <c r="G52" s="152">
        <f>G51</f>
        <v>1974.089057093543</v>
      </c>
    </row>
    <row r="53" spans="1:10" x14ac:dyDescent="0.25">
      <c r="A53" s="96" t="s">
        <v>278</v>
      </c>
      <c r="B53" s="60" t="s">
        <v>33</v>
      </c>
      <c r="C53" s="62">
        <v>0</v>
      </c>
      <c r="D53" s="62">
        <v>0</v>
      </c>
      <c r="E53" s="62">
        <v>0</v>
      </c>
      <c r="F53" s="64">
        <v>0</v>
      </c>
      <c r="G53" s="62">
        <v>0</v>
      </c>
    </row>
    <row r="54" spans="1:10" x14ac:dyDescent="0.25">
      <c r="A54" s="60"/>
      <c r="B54" s="60" t="s">
        <v>38</v>
      </c>
      <c r="C54" s="62">
        <v>0</v>
      </c>
      <c r="D54" s="62">
        <f>(D52+D53)*10%</f>
        <v>159.65533035338646</v>
      </c>
      <c r="E54" s="62">
        <f>(E52+E53)*15%</f>
        <v>22.636531541158519</v>
      </c>
      <c r="F54" s="147">
        <f>(F52+F53)*10%</f>
        <v>18.199554328528894</v>
      </c>
      <c r="G54" s="146">
        <f>SUM(D54:F54)</f>
        <v>200.49141622307388</v>
      </c>
    </row>
    <row r="55" spans="1:10" x14ac:dyDescent="0.25">
      <c r="A55" s="69" t="s">
        <v>0</v>
      </c>
      <c r="B55" s="69" t="s">
        <v>280</v>
      </c>
      <c r="C55" s="63">
        <f>C52+C53-C54</f>
        <v>44.63</v>
      </c>
      <c r="D55" s="63">
        <f>D52+D53-D54</f>
        <v>1436.8979731804779</v>
      </c>
      <c r="E55" s="63">
        <f>E52+E53-E54</f>
        <v>128.27367873323161</v>
      </c>
      <c r="F55" s="160">
        <f>F52+F53-F54</f>
        <v>163.79598895676003</v>
      </c>
      <c r="G55" s="63">
        <f>SUM(G52:G53)-G54</f>
        <v>1773.5976408704691</v>
      </c>
    </row>
    <row r="56" spans="1:10" x14ac:dyDescent="0.25">
      <c r="A56" s="16" t="s">
        <v>0</v>
      </c>
      <c r="B56" s="321" t="s">
        <v>37</v>
      </c>
      <c r="C56" s="63">
        <f>C55</f>
        <v>44.63</v>
      </c>
      <c r="D56" s="63">
        <f>D55</f>
        <v>1436.8979731804779</v>
      </c>
      <c r="E56" s="63">
        <f>E55</f>
        <v>128.27367873323161</v>
      </c>
      <c r="F56" s="63">
        <f>F55</f>
        <v>163.79598895676003</v>
      </c>
      <c r="G56" s="63">
        <f>G55</f>
        <v>1773.5976408704691</v>
      </c>
      <c r="H56" s="20"/>
      <c r="I56" s="20"/>
      <c r="J56" s="20"/>
    </row>
    <row r="57" spans="1:10" x14ac:dyDescent="0.25">
      <c r="A57" s="69" t="s">
        <v>279</v>
      </c>
      <c r="B57" s="16" t="s">
        <v>33</v>
      </c>
      <c r="C57" s="16">
        <v>0</v>
      </c>
      <c r="D57" s="16">
        <v>0</v>
      </c>
      <c r="E57" s="16">
        <v>0</v>
      </c>
      <c r="F57" s="16">
        <v>0</v>
      </c>
      <c r="G57" s="16">
        <v>0</v>
      </c>
    </row>
    <row r="58" spans="1:10" x14ac:dyDescent="0.25">
      <c r="A58" s="16"/>
      <c r="B58" s="16" t="s">
        <v>38</v>
      </c>
      <c r="C58" s="48">
        <v>0</v>
      </c>
      <c r="D58" s="48">
        <f>(D56+D57)*10%</f>
        <v>143.68979731804779</v>
      </c>
      <c r="E58" s="48">
        <f>(E56+E57)*15%</f>
        <v>19.241051809984739</v>
      </c>
      <c r="F58" s="48">
        <f>(F56+F57)*10%</f>
        <v>16.379598895676004</v>
      </c>
      <c r="G58" s="48">
        <f>SUM(D58:F58)</f>
        <v>179.31044802370855</v>
      </c>
    </row>
    <row r="59" spans="1:10" x14ac:dyDescent="0.25">
      <c r="A59" s="16" t="s">
        <v>0</v>
      </c>
      <c r="B59" s="69" t="s">
        <v>280</v>
      </c>
      <c r="C59" s="69">
        <f>C56+C57-C58</f>
        <v>44.63</v>
      </c>
      <c r="D59" s="69">
        <f>D56+D57-D58</f>
        <v>1293.2081758624302</v>
      </c>
      <c r="E59" s="69">
        <f>E56+E57-E58</f>
        <v>109.03262692324687</v>
      </c>
      <c r="F59" s="69">
        <f>F56+F57-F58</f>
        <v>147.41639006108403</v>
      </c>
      <c r="G59" s="69">
        <f>SUM(G56:G57)-G58</f>
        <v>1594.2871928467607</v>
      </c>
    </row>
    <row r="74" spans="1:8" x14ac:dyDescent="0.25">
      <c r="A74" s="67"/>
      <c r="B74" s="67"/>
      <c r="C74" s="67"/>
      <c r="D74" s="71"/>
      <c r="E74" s="71"/>
      <c r="F74" s="71"/>
      <c r="G74" s="71"/>
      <c r="H74" s="71"/>
    </row>
    <row r="75" spans="1:8" x14ac:dyDescent="0.25">
      <c r="A75" s="67"/>
      <c r="B75" s="67"/>
      <c r="C75" s="67"/>
      <c r="D75" s="147"/>
      <c r="E75" s="147"/>
      <c r="F75" s="147"/>
      <c r="G75" s="147"/>
      <c r="H75" s="147"/>
    </row>
    <row r="76" spans="1:8" x14ac:dyDescent="0.25">
      <c r="A76" s="67"/>
      <c r="B76" s="67"/>
      <c r="C76" s="67"/>
      <c r="D76" s="147"/>
      <c r="E76" s="147"/>
      <c r="F76" s="147"/>
      <c r="G76" s="147"/>
      <c r="H76" s="147"/>
    </row>
    <row r="77" spans="1:8" x14ac:dyDescent="0.25">
      <c r="A77" s="53"/>
      <c r="B77" s="53"/>
      <c r="C77" s="53"/>
      <c r="D77" s="71"/>
      <c r="E77" s="71"/>
      <c r="F77" s="71"/>
      <c r="G77" s="71"/>
      <c r="H77" s="71"/>
    </row>
    <row r="78" spans="1:8" x14ac:dyDescent="0.25">
      <c r="A78" s="67"/>
      <c r="B78" s="67"/>
      <c r="C78" s="67"/>
      <c r="D78" s="71"/>
      <c r="E78" s="71"/>
      <c r="F78" s="71"/>
      <c r="G78" s="71"/>
      <c r="H78" s="71"/>
    </row>
    <row r="79" spans="1:8" x14ac:dyDescent="0.25">
      <c r="A79" s="67"/>
      <c r="B79" s="67"/>
      <c r="C79" s="67"/>
      <c r="D79" s="147"/>
      <c r="E79" s="147"/>
      <c r="F79" s="147"/>
      <c r="G79" s="147"/>
      <c r="H79" s="147"/>
    </row>
    <row r="80" spans="1:8" x14ac:dyDescent="0.25">
      <c r="A80" s="67"/>
      <c r="B80" s="67"/>
      <c r="C80" s="67"/>
      <c r="D80" s="147"/>
      <c r="E80" s="147"/>
      <c r="F80" s="147"/>
      <c r="G80" s="147"/>
      <c r="H80" s="147"/>
    </row>
    <row r="81" spans="1:8" x14ac:dyDescent="0.25">
      <c r="A81" s="53"/>
      <c r="B81" s="53"/>
      <c r="C81" s="53"/>
      <c r="D81" s="71"/>
      <c r="E81" s="71"/>
      <c r="F81" s="71"/>
      <c r="G81" s="71"/>
      <c r="H81" s="71"/>
    </row>
    <row r="82" spans="1:8" x14ac:dyDescent="0.25">
      <c r="A82" s="67"/>
      <c r="B82" s="67"/>
      <c r="C82" s="67"/>
      <c r="D82" s="71"/>
      <c r="E82" s="71"/>
      <c r="F82" s="71"/>
      <c r="G82" s="71"/>
      <c r="H82" s="71"/>
    </row>
    <row r="83" spans="1:8" x14ac:dyDescent="0.25">
      <c r="A83" s="67"/>
      <c r="B83" s="67"/>
      <c r="C83" s="67"/>
      <c r="D83" s="147"/>
      <c r="E83" s="147"/>
      <c r="F83" s="147"/>
      <c r="G83" s="147"/>
      <c r="H83" s="147"/>
    </row>
    <row r="84" spans="1:8" x14ac:dyDescent="0.25">
      <c r="A84" s="67"/>
      <c r="B84" s="67"/>
      <c r="C84" s="67"/>
      <c r="D84" s="147"/>
      <c r="E84" s="147"/>
      <c r="F84" s="147"/>
      <c r="G84" s="147"/>
      <c r="H84" s="147"/>
    </row>
    <row r="85" spans="1:8" x14ac:dyDescent="0.25">
      <c r="A85" s="53"/>
      <c r="B85" s="53"/>
      <c r="C85" s="53"/>
      <c r="D85" s="71"/>
      <c r="E85" s="71"/>
      <c r="F85" s="71"/>
      <c r="G85" s="71"/>
      <c r="H85" s="71"/>
    </row>
    <row r="86" spans="1:8" x14ac:dyDescent="0.25">
      <c r="A86" s="67"/>
      <c r="B86" s="67"/>
      <c r="C86" s="67"/>
      <c r="D86" s="71"/>
      <c r="E86" s="71"/>
      <c r="F86" s="71"/>
      <c r="G86" s="71"/>
      <c r="H86" s="71"/>
    </row>
    <row r="87" spans="1:8" x14ac:dyDescent="0.25">
      <c r="A87" s="67"/>
      <c r="B87" s="67"/>
      <c r="C87" s="67"/>
      <c r="D87" s="147"/>
      <c r="E87" s="147"/>
      <c r="F87" s="147"/>
      <c r="G87" s="147"/>
      <c r="H87" s="147"/>
    </row>
    <row r="88" spans="1:8" x14ac:dyDescent="0.25">
      <c r="A88" s="67"/>
      <c r="B88" s="67"/>
      <c r="C88" s="67"/>
      <c r="D88" s="147"/>
      <c r="E88" s="147"/>
      <c r="F88" s="147"/>
      <c r="G88" s="147"/>
      <c r="H88" s="147"/>
    </row>
    <row r="89" spans="1:8" x14ac:dyDescent="0.25">
      <c r="A89" s="53"/>
      <c r="B89" s="53"/>
      <c r="C89" s="53"/>
      <c r="D89" s="71"/>
      <c r="E89" s="71"/>
      <c r="F89" s="71"/>
      <c r="G89" s="71"/>
      <c r="H89" s="71"/>
    </row>
    <row r="90" spans="1:8" x14ac:dyDescent="0.25">
      <c r="A90" s="67"/>
      <c r="B90" s="67"/>
      <c r="C90" s="67"/>
      <c r="D90" s="71"/>
      <c r="E90" s="71"/>
      <c r="F90" s="71"/>
      <c r="G90" s="71"/>
      <c r="H90" s="71"/>
    </row>
    <row r="91" spans="1:8" x14ac:dyDescent="0.25">
      <c r="A91" s="67"/>
      <c r="B91" s="67"/>
      <c r="C91" s="67"/>
      <c r="D91" s="147"/>
      <c r="E91" s="147"/>
      <c r="F91" s="147"/>
      <c r="G91" s="147"/>
      <c r="H91" s="147"/>
    </row>
    <row r="92" spans="1:8" x14ac:dyDescent="0.25">
      <c r="A92" s="67"/>
      <c r="B92" s="67"/>
      <c r="C92" s="67"/>
      <c r="D92" s="147"/>
      <c r="E92" s="147"/>
      <c r="F92" s="147"/>
      <c r="G92" s="147"/>
      <c r="H92" s="147"/>
    </row>
    <row r="93" spans="1:8" x14ac:dyDescent="0.25">
      <c r="A93" s="53"/>
      <c r="B93" s="53"/>
      <c r="C93" s="53"/>
      <c r="D93" s="71"/>
      <c r="E93" s="71"/>
      <c r="F93" s="71"/>
      <c r="G93" s="71"/>
      <c r="H93" s="71"/>
    </row>
    <row r="94" spans="1:8" x14ac:dyDescent="0.25">
      <c r="A94" s="67"/>
      <c r="B94" s="67"/>
      <c r="C94" s="67"/>
      <c r="D94" s="71"/>
      <c r="E94" s="71"/>
      <c r="F94" s="71"/>
      <c r="G94" s="71"/>
      <c r="H94" s="71"/>
    </row>
    <row r="95" spans="1:8" x14ac:dyDescent="0.25">
      <c r="A95" s="67"/>
      <c r="B95" s="67"/>
      <c r="C95" s="67"/>
      <c r="D95" s="147"/>
      <c r="E95" s="147"/>
      <c r="F95" s="147"/>
      <c r="G95" s="147"/>
      <c r="H95" s="147"/>
    </row>
    <row r="96" spans="1:8" x14ac:dyDescent="0.25">
      <c r="A96" s="67"/>
      <c r="B96" s="67"/>
      <c r="C96" s="67"/>
      <c r="D96" s="147"/>
      <c r="E96" s="147"/>
      <c r="F96" s="147"/>
      <c r="G96" s="147"/>
      <c r="H96" s="147"/>
    </row>
    <row r="97" spans="1:8" x14ac:dyDescent="0.25">
      <c r="A97" s="53"/>
      <c r="B97" s="53"/>
      <c r="C97" s="53"/>
      <c r="D97" s="71"/>
      <c r="E97" s="71"/>
      <c r="F97" s="71"/>
      <c r="G97" s="71"/>
      <c r="H97" s="71"/>
    </row>
    <row r="98" spans="1:8" x14ac:dyDescent="0.25">
      <c r="A98" s="67"/>
      <c r="B98" s="67"/>
      <c r="C98" s="67"/>
      <c r="D98" s="71"/>
      <c r="E98" s="71"/>
      <c r="F98" s="71"/>
      <c r="G98" s="71"/>
      <c r="H98" s="71"/>
    </row>
    <row r="99" spans="1:8" x14ac:dyDescent="0.25">
      <c r="A99" s="67"/>
      <c r="B99" s="67"/>
      <c r="C99" s="67"/>
      <c r="D99" s="147"/>
      <c r="E99" s="147"/>
      <c r="F99" s="147"/>
      <c r="G99" s="147"/>
      <c r="H99" s="147"/>
    </row>
    <row r="100" spans="1:8" x14ac:dyDescent="0.25">
      <c r="A100" s="67"/>
      <c r="B100" s="67"/>
      <c r="C100" s="67"/>
      <c r="D100" s="147"/>
      <c r="E100" s="147"/>
      <c r="F100" s="147"/>
      <c r="G100" s="147"/>
      <c r="H100" s="147"/>
    </row>
    <row r="101" spans="1:8" x14ac:dyDescent="0.25">
      <c r="A101" s="53"/>
      <c r="B101" s="53"/>
      <c r="C101" s="53"/>
      <c r="D101" s="71"/>
      <c r="E101" s="71"/>
      <c r="F101" s="71"/>
      <c r="G101" s="71"/>
      <c r="H101" s="71"/>
    </row>
    <row r="102" spans="1:8" x14ac:dyDescent="0.25">
      <c r="A102" s="67"/>
      <c r="B102" s="67"/>
      <c r="C102" s="67"/>
      <c r="D102" s="71"/>
      <c r="E102" s="71"/>
      <c r="F102" s="71"/>
      <c r="G102" s="71"/>
      <c r="H102" s="71"/>
    </row>
    <row r="103" spans="1:8" x14ac:dyDescent="0.25">
      <c r="A103" s="67"/>
      <c r="B103" s="67"/>
      <c r="C103" s="67"/>
      <c r="D103" s="147"/>
      <c r="E103" s="147"/>
      <c r="F103" s="147"/>
      <c r="G103" s="147"/>
      <c r="H103" s="147"/>
    </row>
    <row r="104" spans="1:8" x14ac:dyDescent="0.25">
      <c r="A104" s="67"/>
      <c r="B104" s="67"/>
      <c r="C104" s="67"/>
      <c r="D104" s="147"/>
      <c r="E104" s="147"/>
      <c r="F104" s="147"/>
      <c r="G104" s="147"/>
      <c r="H104" s="147"/>
    </row>
    <row r="105" spans="1:8" x14ac:dyDescent="0.25">
      <c r="A105" s="53"/>
      <c r="B105" s="53"/>
      <c r="C105" s="53"/>
      <c r="D105" s="71"/>
      <c r="E105" s="71"/>
      <c r="F105" s="71"/>
      <c r="G105" s="71"/>
      <c r="H105" s="71"/>
    </row>
    <row r="106" spans="1:8" x14ac:dyDescent="0.25">
      <c r="A106" s="67"/>
      <c r="B106" s="67"/>
      <c r="C106" s="67"/>
      <c r="D106" s="71"/>
      <c r="E106" s="71"/>
      <c r="F106" s="71"/>
      <c r="G106" s="71"/>
      <c r="H106" s="71"/>
    </row>
    <row r="107" spans="1:8" x14ac:dyDescent="0.25">
      <c r="A107" s="67"/>
      <c r="B107" s="67"/>
      <c r="C107" s="67"/>
      <c r="D107" s="147"/>
      <c r="E107" s="147"/>
      <c r="F107" s="147"/>
      <c r="G107" s="147"/>
      <c r="H107" s="147"/>
    </row>
    <row r="108" spans="1:8" x14ac:dyDescent="0.25">
      <c r="A108" s="67"/>
      <c r="B108" s="67"/>
      <c r="C108" s="67"/>
      <c r="D108" s="147"/>
      <c r="E108" s="147"/>
      <c r="F108" s="147"/>
      <c r="G108" s="147"/>
      <c r="H108" s="147"/>
    </row>
    <row r="109" spans="1:8" x14ac:dyDescent="0.25">
      <c r="A109" s="53"/>
      <c r="B109" s="53"/>
      <c r="C109" s="53"/>
      <c r="D109" s="71"/>
      <c r="E109" s="71"/>
      <c r="F109" s="71"/>
      <c r="G109" s="71"/>
      <c r="H109" s="71"/>
    </row>
    <row r="110" spans="1:8" x14ac:dyDescent="0.25">
      <c r="A110" s="67"/>
      <c r="B110" s="67"/>
      <c r="C110" s="67"/>
      <c r="D110" s="67"/>
      <c r="E110" s="67"/>
      <c r="F110" s="67"/>
      <c r="G110" s="67"/>
      <c r="H110" s="67"/>
    </row>
    <row r="111" spans="1:8" x14ac:dyDescent="0.25">
      <c r="A111" s="67"/>
      <c r="B111" s="67"/>
      <c r="C111" s="67"/>
      <c r="D111" s="67"/>
      <c r="E111" s="67"/>
      <c r="F111" s="67"/>
      <c r="G111" s="67"/>
      <c r="H111" s="67"/>
    </row>
    <row r="112" spans="1:8" x14ac:dyDescent="0.25">
      <c r="A112" s="67"/>
      <c r="B112" s="67"/>
      <c r="C112" s="67"/>
      <c r="D112" s="67"/>
      <c r="E112" s="67"/>
      <c r="F112" s="67"/>
      <c r="G112" s="67"/>
      <c r="H112" s="67"/>
    </row>
  </sheetData>
  <mergeCells count="17">
    <mergeCell ref="B14:C14"/>
    <mergeCell ref="B15:C15"/>
    <mergeCell ref="A23:A26"/>
    <mergeCell ref="A1:G1"/>
    <mergeCell ref="A3:F3"/>
    <mergeCell ref="A2:G2"/>
    <mergeCell ref="A16:G16"/>
    <mergeCell ref="A17:G17"/>
    <mergeCell ref="B5:C5"/>
    <mergeCell ref="B6:C6"/>
    <mergeCell ref="B7:C7"/>
    <mergeCell ref="B8:C8"/>
    <mergeCell ref="B9:C9"/>
    <mergeCell ref="B10:C10"/>
    <mergeCell ref="B11:C11"/>
    <mergeCell ref="B12:C12"/>
    <mergeCell ref="B13:C13"/>
  </mergeCells>
  <phoneticPr fontId="0" type="noConversion"/>
  <pageMargins left="0.74803149606299213" right="0.74803149606299213" top="0" bottom="0" header="0.51181102362204722" footer="0.51181102362204722"/>
  <pageSetup paperSize="9" scale="79" orientation="portrait" r:id="rId1"/>
  <headerFooter alignWithMargins="0"/>
  <colBreaks count="1" manualBreakCount="1">
    <brk id="7" max="56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24"/>
  <sheetViews>
    <sheetView tabSelected="1" topLeftCell="A13" workbookViewId="0">
      <selection activeCell="D24" sqref="D24"/>
    </sheetView>
  </sheetViews>
  <sheetFormatPr defaultRowHeight="14.25" x14ac:dyDescent="0.2"/>
  <cols>
    <col min="1" max="1" width="21.140625" style="294" bestFit="1" customWidth="1"/>
    <col min="2" max="2" width="21.140625" style="294" customWidth="1"/>
    <col min="3" max="3" width="11.28515625" style="294" customWidth="1"/>
    <col min="4" max="4" width="13.5703125" style="294" bestFit="1" customWidth="1"/>
    <col min="5" max="11" width="11.42578125" style="294" bestFit="1" customWidth="1"/>
    <col min="12" max="16384" width="9.140625" style="294"/>
  </cols>
  <sheetData>
    <row r="3" spans="1:12" ht="28.5" x14ac:dyDescent="0.2">
      <c r="C3" s="17" t="s">
        <v>281</v>
      </c>
      <c r="D3" s="75" t="s">
        <v>272</v>
      </c>
      <c r="E3" s="75" t="s">
        <v>273</v>
      </c>
      <c r="F3" s="75" t="s">
        <v>274</v>
      </c>
      <c r="G3" s="75" t="s">
        <v>275</v>
      </c>
      <c r="H3" s="75" t="s">
        <v>276</v>
      </c>
      <c r="I3" s="75" t="s">
        <v>277</v>
      </c>
      <c r="J3" s="75" t="s">
        <v>278</v>
      </c>
      <c r="K3" s="75" t="s">
        <v>279</v>
      </c>
    </row>
    <row r="4" spans="1:12" x14ac:dyDescent="0.2">
      <c r="A4" s="293" t="s">
        <v>238</v>
      </c>
      <c r="B4" s="293"/>
      <c r="D4" s="291" t="s">
        <v>58</v>
      </c>
      <c r="E4" s="291" t="s">
        <v>58</v>
      </c>
      <c r="F4" s="291" t="s">
        <v>58</v>
      </c>
      <c r="G4" s="291" t="s">
        <v>58</v>
      </c>
      <c r="H4" s="291" t="s">
        <v>58</v>
      </c>
      <c r="I4" s="291" t="s">
        <v>58</v>
      </c>
      <c r="J4" s="292" t="s">
        <v>58</v>
      </c>
      <c r="K4" s="291" t="s">
        <v>58</v>
      </c>
    </row>
    <row r="5" spans="1:12" x14ac:dyDescent="0.2">
      <c r="A5" s="294" t="s">
        <v>239</v>
      </c>
      <c r="C5" s="295">
        <f>0.6*(Profitability!C26+Profitability!C27+Profitability!C28+Profitability!C30)+Profitability!C31+Profitability!C32+Profitability!C29</f>
        <v>418.05292282905032</v>
      </c>
      <c r="D5" s="295">
        <f>0.6*(Profitability!D26+Profitability!D27+Profitability!D28+Profitability!D30)+Profitability!D31+Profitability!D32+Profitability!D29</f>
        <v>806.8753899508381</v>
      </c>
      <c r="E5" s="295">
        <f>0.6*(Profitability!E26+Profitability!E27+Profitability!E28+Profitability!E30)+Profitability!E31+Profitability!E32+Profitability!E29</f>
        <v>758.79984862069284</v>
      </c>
      <c r="F5" s="295">
        <f>0.6*(Profitability!F26+Profitability!F27+Profitability!F28+Profitability!F30)+Profitability!F31+Profitability!F32+Profitability!F29</f>
        <v>705.62391177382131</v>
      </c>
      <c r="G5" s="295">
        <f>0.6*(Profitability!G26+Profitability!G27+Profitability!G28+Profitability!G30)+Profitability!G31+Profitability!G32+Profitability!G29</f>
        <v>653.70497140935731</v>
      </c>
      <c r="H5" s="295">
        <f>0.6*(Profitability!H26+Profitability!H27+Profitability!H28+Profitability!H30)+Profitability!H31+Profitability!H32+Profitability!H29</f>
        <v>602.73230245940192</v>
      </c>
      <c r="I5" s="295">
        <f>0.6*(Profitability!I26+Profitability!I27+Profitability!I28+Profitability!I30)+Profitability!I31+Profitability!I32+Profitability!I29</f>
        <v>552.45715992579505</v>
      </c>
      <c r="J5" s="295">
        <f>0.6*(Profitability!J26+Profitability!J27+Profitability!J28+Profitability!J30)+Profitability!J31+Profitability!J32+Profitability!J29</f>
        <v>495.94789442619884</v>
      </c>
      <c r="K5" s="295">
        <f>0.6*(Profitability!K26+Profitability!K27+Profitability!K28+Profitability!K30)+Profitability!K31+Profitability!K32+Profitability!K29</f>
        <v>478.10195013698979</v>
      </c>
    </row>
    <row r="6" spans="1:12" x14ac:dyDescent="0.2">
      <c r="A6" s="294" t="s">
        <v>19</v>
      </c>
      <c r="C6" s="295">
        <f>Profitability!C31</f>
        <v>208.58292282905035</v>
      </c>
      <c r="D6" s="295">
        <f>Profitability!D31</f>
        <v>394.6853899508381</v>
      </c>
      <c r="E6" s="295">
        <f>Profitability!E31</f>
        <v>352.21584862069284</v>
      </c>
      <c r="F6" s="295">
        <f>Profitability!F31</f>
        <v>314.44341177382125</v>
      </c>
      <c r="G6" s="295">
        <f>Profitability!G31</f>
        <v>280.83084640935726</v>
      </c>
      <c r="H6" s="295">
        <f>Profitability!H31</f>
        <v>250.90477120940193</v>
      </c>
      <c r="I6" s="295">
        <f>Profitability!I31</f>
        <v>224.24775211329506</v>
      </c>
      <c r="J6" s="295">
        <f>Profitability!J31</f>
        <v>200.49141622307388</v>
      </c>
      <c r="K6" s="295">
        <f>Profitability!K31</f>
        <v>179.31044802370855</v>
      </c>
    </row>
    <row r="7" spans="1:12" x14ac:dyDescent="0.2">
      <c r="A7" s="294" t="s">
        <v>240</v>
      </c>
      <c r="C7" s="295">
        <f>(SUM(Profitability!C14:C18)/100)</f>
        <v>6.0679000000000007</v>
      </c>
      <c r="D7" s="295">
        <f>(SUM(Profitability!D14:D18)/100)</f>
        <v>12.24175</v>
      </c>
      <c r="E7" s="295">
        <f>(SUM(Profitability!E14:E18)/100)</f>
        <v>14.971984375</v>
      </c>
      <c r="F7" s="295">
        <f>(SUM(Profitability!F14:F18)/100)</f>
        <v>16.4195603125</v>
      </c>
      <c r="G7" s="295">
        <f>(SUM(Profitability!G14:G18)/100)</f>
        <v>19.888864062499998</v>
      </c>
      <c r="H7" s="295">
        <f>(SUM(Profitability!H14:H18)/100)</f>
        <v>21.823142687499999</v>
      </c>
      <c r="I7" s="295">
        <f>(SUM(Profitability!I14:I18)/100)</f>
        <v>26.222159106875001</v>
      </c>
      <c r="J7" s="295">
        <f>(SUM(Profitability!J14:J18)/100)</f>
        <v>28.784090713734376</v>
      </c>
      <c r="K7" s="295">
        <f>(SUM(Profitability!K14:K18)/100)</f>
        <v>34.350970299422663</v>
      </c>
    </row>
    <row r="8" spans="1:12" x14ac:dyDescent="0.2">
      <c r="A8" s="294" t="s">
        <v>241</v>
      </c>
      <c r="C8" s="295">
        <f>(SUM(Profitability!C21:C25)/100)+0.4*(Profitability!C26+Profitability!C27+Profitability!C28+Profitability!C30)/100</f>
        <v>1.8083999999999998</v>
      </c>
      <c r="D8" s="295">
        <f>(SUM(Profitability!D21:D25)/100)+0.4*(Profitability!D26+Profitability!D27+Profitability!D28+Profitability!D30)/100</f>
        <v>3.6435999999999997</v>
      </c>
      <c r="E8" s="295">
        <f>(SUM(Profitability!E21:E25)/100)+0.4*(Profitability!E26+Profitability!E27+Profitability!E28+Profitability!E30)/100</f>
        <v>4.3346600000000004</v>
      </c>
      <c r="F8" s="295">
        <f>(SUM(Profitability!F21:F25)/100)+0.4*(Profitability!F26+Profitability!F27+Profitability!F28+Profitability!F30)/100</f>
        <v>4.7565200000000001</v>
      </c>
      <c r="G8" s="295">
        <f>(SUM(Profitability!G21:G25)/100)+0.4*(Profitability!G26+Profitability!G27+Profitability!G28+Profitability!G30)/100</f>
        <v>5.6288400000000003</v>
      </c>
      <c r="H8" s="295">
        <f>(SUM(Profitability!H21:H25)/100)+0.4*(Profitability!H26+Profitability!H27+Profitability!H28+Profitability!H30)/100</f>
        <v>6.1785999999999994</v>
      </c>
      <c r="I8" s="295">
        <f>(SUM(Profitability!I21:I25)/100)+0.4*(Profitability!I26+Profitability!I27+Profitability!I28+Profitability!I30)/100</f>
        <v>7.2777200000000004</v>
      </c>
      <c r="J8" s="295">
        <f>(SUM(Profitability!J21:J25)/100)+0.4*(Profitability!J26+Profitability!J27+Profitability!J28+Profitability!J30)/100</f>
        <v>7.9912400000000003</v>
      </c>
      <c r="K8" s="295">
        <f>(SUM(Profitability!K21:K25)/100)+0.4*(Profitability!K26+Profitability!K27+Profitability!K28+Profitability!K30)/100</f>
        <v>9.3742400000000004</v>
      </c>
    </row>
    <row r="9" spans="1:12" s="298" customFormat="1" ht="15.75" x14ac:dyDescent="0.25">
      <c r="A9" s="298" t="s">
        <v>252</v>
      </c>
      <c r="C9" s="299">
        <f>C5/(C7-C8)</f>
        <v>98.146008411562448</v>
      </c>
      <c r="D9" s="299">
        <f t="shared" ref="D9:K9" si="0">D5/(D7-D8)</f>
        <v>93.842906898674485</v>
      </c>
      <c r="E9" s="299">
        <f t="shared" si="0"/>
        <v>71.333713429293908</v>
      </c>
      <c r="F9" s="299">
        <f t="shared" si="0"/>
        <v>60.500855083006158</v>
      </c>
      <c r="G9" s="299">
        <f t="shared" si="0"/>
        <v>45.841785998694377</v>
      </c>
      <c r="H9" s="299">
        <f t="shared" si="0"/>
        <v>38.526680804865293</v>
      </c>
      <c r="I9" s="299">
        <f t="shared" si="0"/>
        <v>29.161969737351921</v>
      </c>
      <c r="J9" s="299">
        <f t="shared" si="0"/>
        <v>23.851847024449064</v>
      </c>
      <c r="K9" s="299">
        <f t="shared" si="0"/>
        <v>19.141895052133432</v>
      </c>
      <c r="L9" s="304">
        <f>SUM(D9:K9)/8</f>
        <v>47.775206753558578</v>
      </c>
    </row>
    <row r="10" spans="1:12" x14ac:dyDescent="0.2">
      <c r="A10" s="294" t="s">
        <v>242</v>
      </c>
      <c r="C10" s="301">
        <v>1</v>
      </c>
      <c r="D10" s="301">
        <v>1</v>
      </c>
      <c r="E10" s="301">
        <v>1</v>
      </c>
      <c r="F10" s="301">
        <v>1</v>
      </c>
      <c r="G10" s="301">
        <v>1</v>
      </c>
      <c r="H10" s="301">
        <v>1</v>
      </c>
      <c r="I10" s="301">
        <v>1</v>
      </c>
      <c r="J10" s="301">
        <v>1</v>
      </c>
      <c r="K10" s="301">
        <v>1</v>
      </c>
    </row>
    <row r="11" spans="1:12" s="298" customFormat="1" ht="15.75" x14ac:dyDescent="0.25">
      <c r="A11" s="298" t="s">
        <v>243</v>
      </c>
      <c r="C11" s="299">
        <f>C9/C10</f>
        <v>98.146008411562448</v>
      </c>
      <c r="D11" s="299">
        <f>D9/D10</f>
        <v>93.842906898674485</v>
      </c>
      <c r="E11" s="299">
        <f t="shared" ref="E11:K11" si="1">E9/E10</f>
        <v>71.333713429293908</v>
      </c>
      <c r="F11" s="299">
        <f t="shared" si="1"/>
        <v>60.500855083006158</v>
      </c>
      <c r="G11" s="299">
        <f t="shared" si="1"/>
        <v>45.841785998694377</v>
      </c>
      <c r="H11" s="299">
        <f t="shared" si="1"/>
        <v>38.526680804865293</v>
      </c>
      <c r="I11" s="299">
        <f t="shared" si="1"/>
        <v>29.161969737351921</v>
      </c>
      <c r="J11" s="299">
        <f t="shared" si="1"/>
        <v>23.851847024449064</v>
      </c>
      <c r="K11" s="299">
        <f t="shared" si="1"/>
        <v>19.141895052133432</v>
      </c>
    </row>
    <row r="13" spans="1:12" s="296" customFormat="1" x14ac:dyDescent="0.2">
      <c r="A13" s="296" t="s">
        <v>244</v>
      </c>
      <c r="C13" s="300">
        <f>(C5-C6)/(C7-C8)</f>
        <v>49.177133466369277</v>
      </c>
      <c r="D13" s="300">
        <f t="shared" ref="D13:K13" si="2">(D5-D6)/(D7-D8)</f>
        <v>47.939382308985067</v>
      </c>
      <c r="E13" s="300">
        <f t="shared" si="2"/>
        <v>38.222393683467985</v>
      </c>
      <c r="F13" s="300">
        <f t="shared" si="2"/>
        <v>33.540182449746638</v>
      </c>
      <c r="G13" s="300">
        <f t="shared" si="2"/>
        <v>26.148211487283394</v>
      </c>
      <c r="H13" s="300">
        <f t="shared" si="2"/>
        <v>22.488834495054331</v>
      </c>
      <c r="I13" s="300">
        <f t="shared" si="2"/>
        <v>17.324841657275126</v>
      </c>
      <c r="J13" s="300">
        <f t="shared" si="2"/>
        <v>14.209522410891262</v>
      </c>
      <c r="K13" s="300">
        <f t="shared" si="2"/>
        <v>11.962794910756905</v>
      </c>
    </row>
    <row r="14" spans="1:12" s="296" customFormat="1" x14ac:dyDescent="0.2">
      <c r="A14" s="296" t="s">
        <v>245</v>
      </c>
      <c r="C14" s="297">
        <f>C13/C10</f>
        <v>49.177133466369277</v>
      </c>
      <c r="D14" s="297">
        <f>D13/D10</f>
        <v>47.939382308985067</v>
      </c>
      <c r="E14" s="297">
        <f t="shared" ref="E14:K14" si="3">E13/E10</f>
        <v>38.222393683467985</v>
      </c>
      <c r="F14" s="297">
        <f t="shared" si="3"/>
        <v>33.540182449746638</v>
      </c>
      <c r="G14" s="297">
        <f t="shared" si="3"/>
        <v>26.148211487283394</v>
      </c>
      <c r="H14" s="297">
        <f t="shared" si="3"/>
        <v>22.488834495054331</v>
      </c>
      <c r="I14" s="297">
        <f t="shared" si="3"/>
        <v>17.324841657275126</v>
      </c>
      <c r="J14" s="297">
        <f t="shared" si="3"/>
        <v>14.209522410891262</v>
      </c>
      <c r="K14" s="297">
        <f t="shared" si="3"/>
        <v>11.962794910756905</v>
      </c>
    </row>
    <row r="17" spans="1:4" x14ac:dyDescent="0.2">
      <c r="A17" s="293" t="s">
        <v>246</v>
      </c>
      <c r="B17" s="293"/>
    </row>
    <row r="18" spans="1:4" x14ac:dyDescent="0.2">
      <c r="A18" s="294" t="s">
        <v>248</v>
      </c>
      <c r="D18" s="295">
        <f>SUM(Profitability!C34:K34)</f>
        <v>7505.37</v>
      </c>
    </row>
    <row r="19" spans="1:4" x14ac:dyDescent="0.2">
      <c r="A19" s="294" t="s">
        <v>247</v>
      </c>
      <c r="D19" s="400">
        <v>8.5</v>
      </c>
    </row>
    <row r="20" spans="1:4" x14ac:dyDescent="0.2">
      <c r="A20" s="294" t="s">
        <v>249</v>
      </c>
      <c r="D20" s="295">
        <f>D18/D19</f>
        <v>882.98470588235296</v>
      </c>
    </row>
    <row r="21" spans="1:4" x14ac:dyDescent="0.2">
      <c r="D21" s="295"/>
    </row>
    <row r="22" spans="1:4" x14ac:dyDescent="0.2">
      <c r="A22" s="294" t="s">
        <v>250</v>
      </c>
      <c r="D22" s="295">
        <f>Cost!C21</f>
        <v>4000</v>
      </c>
    </row>
    <row r="24" spans="1:4" x14ac:dyDescent="0.2">
      <c r="A24" s="294" t="s">
        <v>251</v>
      </c>
      <c r="D24" s="302">
        <f>D20/D22</f>
        <v>0.22074617647058825</v>
      </c>
    </row>
  </sheetData>
  <pageMargins left="0.7" right="0.7" top="0.75" bottom="0.75" header="0.3" footer="0.3"/>
  <pageSetup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15" baseType="lpstr">
      <vt:lpstr>Cost</vt:lpstr>
      <vt:lpstr>Cost Break Up</vt:lpstr>
      <vt:lpstr>Estimation</vt:lpstr>
      <vt:lpstr>Profitability</vt:lpstr>
      <vt:lpstr>Balance Sheet</vt:lpstr>
      <vt:lpstr>Cash Flow</vt:lpstr>
      <vt:lpstr>Intt &amp; Depreciation</vt:lpstr>
      <vt:lpstr>Sheet1</vt:lpstr>
      <vt:lpstr>'Balance Sheet'!Print_Area</vt:lpstr>
      <vt:lpstr>'Cash Flow'!Print_Area</vt:lpstr>
      <vt:lpstr>Cost!Print_Area</vt:lpstr>
      <vt:lpstr>'Cost Break Up'!Print_Area</vt:lpstr>
      <vt:lpstr>Estimation!Print_Area</vt:lpstr>
      <vt:lpstr>'Intt &amp; Depreciation'!Print_Area</vt:lpstr>
      <vt:lpstr>Profitability!Print_Area</vt:lpstr>
    </vt:vector>
  </TitlesOfParts>
  <Company>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SAMSUNG</cp:lastModifiedBy>
  <cp:lastPrinted>2023-10-24T11:43:42Z</cp:lastPrinted>
  <dcterms:created xsi:type="dcterms:W3CDTF">2006-05-12T13:05:55Z</dcterms:created>
  <dcterms:modified xsi:type="dcterms:W3CDTF">2023-10-24T12:55:54Z</dcterms:modified>
</cp:coreProperties>
</file>