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Vishal Singh\WIP\VIS(2023-24)-PL605-513-798_Devbhoomi\Report and working\"/>
    </mc:Choice>
  </mc:AlternateContent>
  <bookViews>
    <workbookView xWindow="0" yWindow="0" windowWidth="24000" windowHeight="9135" firstSheet="1" activeTab="3"/>
  </bookViews>
  <sheets>
    <sheet name="Building sheet" sheetId="5" r:id="rId1"/>
    <sheet name="Belting" sheetId="6" r:id="rId2"/>
    <sheet name="Guidline value" sheetId="3" r:id="rId3"/>
    <sheet name="Sheet1" sheetId="9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6" l="1"/>
  <c r="D6" i="6"/>
  <c r="D12" i="6"/>
  <c r="E13" i="6"/>
  <c r="C12" i="6"/>
  <c r="C13" i="6"/>
  <c r="Q6" i="5" l="1"/>
  <c r="Q7" i="5"/>
  <c r="Q8" i="5"/>
  <c r="Q9" i="5"/>
  <c r="Q5" i="5"/>
  <c r="H10" i="5"/>
  <c r="H6" i="5"/>
  <c r="H7" i="5"/>
  <c r="H8" i="5"/>
  <c r="H9" i="5"/>
  <c r="H5" i="5"/>
  <c r="B7" i="9"/>
  <c r="B10" i="9" s="1"/>
  <c r="L26" i="9"/>
  <c r="M26" i="9" s="1"/>
  <c r="E23" i="9"/>
  <c r="A22" i="9"/>
  <c r="G21" i="9"/>
  <c r="B20" i="9"/>
  <c r="F19" i="9"/>
  <c r="B19" i="9"/>
  <c r="I17" i="9"/>
  <c r="E16" i="9"/>
  <c r="K15" i="9"/>
  <c r="R11" i="9"/>
  <c r="R12" i="9" s="1"/>
  <c r="K6" i="9"/>
  <c r="K8" i="9" s="1"/>
  <c r="M5" i="9"/>
  <c r="N4" i="9"/>
  <c r="N3" i="9"/>
  <c r="N5" i="9" s="1"/>
  <c r="M3" i="9"/>
  <c r="I3" i="9"/>
  <c r="G3" i="9"/>
  <c r="C3" i="9"/>
  <c r="B6" i="9" s="1"/>
  <c r="B3" i="9"/>
  <c r="L5" i="5"/>
  <c r="M5" i="5"/>
  <c r="L6" i="5"/>
  <c r="M6" i="5"/>
  <c r="L7" i="5"/>
  <c r="M7" i="5"/>
  <c r="L8" i="5"/>
  <c r="M8" i="5"/>
  <c r="L9" i="5"/>
  <c r="M9" i="5"/>
  <c r="K29" i="5"/>
  <c r="J17" i="6"/>
  <c r="J15" i="6"/>
  <c r="I15" i="6"/>
  <c r="K15" i="6"/>
  <c r="K14" i="6"/>
  <c r="J14" i="6"/>
  <c r="I14" i="6"/>
  <c r="C5" i="6"/>
  <c r="C6" i="6"/>
  <c r="C4" i="6"/>
  <c r="B17" i="9" l="1"/>
  <c r="B11" i="9"/>
  <c r="B13" i="9" s="1"/>
  <c r="H4" i="9"/>
  <c r="G5" i="9"/>
  <c r="F26" i="5"/>
  <c r="F25" i="5"/>
  <c r="E21" i="5"/>
  <c r="E30" i="5"/>
  <c r="F30" i="5" s="1"/>
  <c r="F37" i="5"/>
  <c r="F36" i="5"/>
  <c r="B12" i="9" l="1"/>
  <c r="F28" i="5"/>
  <c r="F27" i="5"/>
  <c r="F21" i="5"/>
  <c r="D8" i="6"/>
  <c r="G21" i="5" l="1"/>
  <c r="E6" i="6"/>
  <c r="E5" i="6"/>
  <c r="E4" i="6"/>
  <c r="Y9" i="5"/>
  <c r="M7" i="3"/>
  <c r="O5" i="5"/>
  <c r="O6" i="5"/>
  <c r="O7" i="5"/>
  <c r="O8" i="5"/>
  <c r="O9" i="5"/>
  <c r="Z14" i="5"/>
  <c r="Z13" i="5"/>
  <c r="Z12" i="5"/>
  <c r="T10" i="5"/>
  <c r="H6" i="3"/>
  <c r="H7" i="3" s="1"/>
  <c r="R6" i="5" l="1"/>
  <c r="R9" i="5"/>
  <c r="R5" i="5"/>
  <c r="S5" i="5" s="1"/>
  <c r="U5" i="5" s="1"/>
  <c r="H9" i="3"/>
  <c r="S6" i="5"/>
  <c r="U6" i="5" s="1"/>
  <c r="R8" i="5"/>
  <c r="E7" i="6"/>
  <c r="F6" i="9" s="1"/>
  <c r="F10" i="9" s="1"/>
  <c r="S9" i="5"/>
  <c r="U9" i="5" s="1"/>
  <c r="R7" i="5"/>
  <c r="G10" i="5"/>
  <c r="S8" i="5" l="1"/>
  <c r="U8" i="5" s="1"/>
  <c r="S7" i="5"/>
  <c r="U7" i="5" s="1"/>
  <c r="Q10" i="5"/>
  <c r="Q18" i="5" l="1"/>
  <c r="F14" i="9"/>
  <c r="U10" i="5"/>
  <c r="F22" i="5" l="1"/>
  <c r="F31" i="5" s="1"/>
  <c r="F33" i="5" s="1"/>
  <c r="F34" i="5" s="1"/>
  <c r="F7" i="9"/>
  <c r="F11" i="9" s="1"/>
  <c r="X11" i="5"/>
  <c r="W10" i="5"/>
  <c r="F24" i="5" l="1"/>
  <c r="F12" i="9"/>
  <c r="F13" i="9"/>
</calcChain>
</file>

<file path=xl/sharedStrings.xml><?xml version="1.0" encoding="utf-8"?>
<sst xmlns="http://schemas.openxmlformats.org/spreadsheetml/2006/main" count="90" uniqueCount="72">
  <si>
    <t>SR. No.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</si>
  <si>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</si>
  <si>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</si>
  <si>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</si>
  <si>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</si>
  <si>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</si>
  <si>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</si>
  <si>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</si>
  <si>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</si>
  <si>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</si>
  <si>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</si>
  <si>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>Depreciated Value
(INR)</t>
  </si>
  <si>
    <t>Discounting Factor</t>
  </si>
  <si>
    <t>Depreciated Replacement Market Value
(INR)</t>
  </si>
  <si>
    <t>TOTAL</t>
  </si>
  <si>
    <t>Remarks:</t>
  </si>
  <si>
    <r>
      <t>Area</t>
    </r>
    <r>
      <rPr>
        <b/>
        <sz val="10"/>
        <rFont val="Calibri"/>
        <family val="2"/>
        <scheme val="minor"/>
      </rPr>
      <t xml:space="preserve"> (in sq. mtr.)</t>
    </r>
  </si>
  <si>
    <t>2. Construction year of the plant has been taken from the information provided by the client during site survey.</t>
  </si>
  <si>
    <t>Depriciation Factor</t>
  </si>
  <si>
    <t>Particular</t>
  </si>
  <si>
    <t>Govt guidline rate for construction(Per SQM)</t>
  </si>
  <si>
    <t>Guidline Value</t>
  </si>
  <si>
    <t>R.C.C</t>
  </si>
  <si>
    <t>L</t>
  </si>
  <si>
    <t>B</t>
  </si>
  <si>
    <r>
      <t xml:space="preserve">Height </t>
    </r>
    <r>
      <rPr>
        <b/>
        <i/>
        <sz val="10"/>
        <rFont val="Calibri"/>
        <family val="2"/>
        <scheme val="minor"/>
      </rPr>
      <t>(in metre.)</t>
    </r>
  </si>
  <si>
    <t>Depreciation</t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</si>
  <si>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pertaing to the building area statement such as area, floor, etc has been taken from the building sheet provided by the company only.</t>
    </r>
  </si>
  <si>
    <r>
      <t>4.</t>
    </r>
    <r>
      <rPr>
        <b/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</si>
  <si>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Rate calculation by Belting method</t>
  </si>
  <si>
    <t>Belt No.</t>
  </si>
  <si>
    <t>Belt 1(Road abuting part)</t>
  </si>
  <si>
    <t>Belt 2(Middle part)</t>
  </si>
  <si>
    <t>Belt 3(Rear part)</t>
  </si>
  <si>
    <t>Total</t>
  </si>
  <si>
    <t>Belting rate</t>
  </si>
  <si>
    <t xml:space="preserve"> Amount</t>
  </si>
  <si>
    <t xml:space="preserve">Calculated Average Rate </t>
  </si>
  <si>
    <t>Land</t>
  </si>
  <si>
    <t>Building</t>
  </si>
  <si>
    <t>Boundary</t>
  </si>
  <si>
    <t>Rate</t>
  </si>
  <si>
    <t>Splitted Plot Area(SQ. MT.)</t>
  </si>
  <si>
    <t>Amit</t>
  </si>
  <si>
    <t>Vishal</t>
  </si>
  <si>
    <t>Hostel</t>
  </si>
  <si>
    <t>Basement</t>
  </si>
  <si>
    <t>Ground</t>
  </si>
  <si>
    <t>First</t>
  </si>
  <si>
    <t>Second</t>
  </si>
  <si>
    <t>Third</t>
  </si>
  <si>
    <t>Floor</t>
  </si>
  <si>
    <r>
      <t xml:space="preserve">3. </t>
    </r>
    <r>
      <rPr>
        <b/>
        <i/>
        <sz val="10"/>
        <color theme="1"/>
        <rFont val="Calibri"/>
        <family val="2"/>
        <scheme val="minor"/>
      </rPr>
      <t>All the structure that has been taken in the area statemnet belonging to Arihant Homes(Boys Hostel)</t>
    </r>
  </si>
  <si>
    <t>Building Sheet For Arihant Homes(Boys Hostel), Dehradun</t>
  </si>
  <si>
    <t>Govt.</t>
  </si>
  <si>
    <t>FMV</t>
  </si>
  <si>
    <t>Value</t>
  </si>
  <si>
    <t xml:space="preserve"> -   </t>
  </si>
  <si>
    <t>land</t>
  </si>
  <si>
    <t>Rs.8,00,000</t>
  </si>
  <si>
    <t>Aesthetic</t>
  </si>
  <si>
    <t>P&amp;M</t>
  </si>
  <si>
    <t>Fair market</t>
  </si>
  <si>
    <t>Round off</t>
  </si>
  <si>
    <t>Realizable</t>
  </si>
  <si>
    <t>Distress</t>
  </si>
  <si>
    <t>Insurance</t>
  </si>
  <si>
    <t>Govt Land</t>
  </si>
  <si>
    <t>Area</t>
  </si>
  <si>
    <r>
      <t xml:space="preserve">Area 
</t>
    </r>
    <r>
      <rPr>
        <b/>
        <i/>
        <sz val="10"/>
        <rFont val="Calibri"/>
        <family val="2"/>
        <scheme val="minor"/>
      </rPr>
      <t>(in sq.mt)</t>
    </r>
  </si>
  <si>
    <t>Sq. Mt</t>
  </si>
  <si>
    <t>Sq. Yrds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</si>
</sst>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_ * #,##0.0000_ ;_ * \-#,##0.0000_ ;_ * &quot;-&quot;??_ ;_ @_ "/>
    <numFmt numFmtId="168" formatCode="_ * #,##0.0_ ;_ * \-#,##0.0_ ;_ * &quot;-&quot;?_ ;_ @_ "/>
    <numFmt numFmtId="169" formatCode="&quot;₹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1" applyNumberFormat="1" applyFont="1"/>
    <xf numFmtId="164" fontId="0" fillId="0" borderId="0" xfId="0" applyNumberFormat="1"/>
    <xf numFmtId="164" fontId="0" fillId="0" borderId="0" xfId="1" applyFont="1"/>
    <xf numFmtId="0" fontId="0" fillId="4" borderId="0" xfId="0" applyFill="1"/>
    <xf numFmtId="0" fontId="4" fillId="4" borderId="5" xfId="0" applyFont="1" applyFill="1" applyBorder="1" applyAlignment="1">
      <alignment horizontal="center" vertical="center" wrapText="1"/>
    </xf>
    <xf numFmtId="164" fontId="4" fillId="4" borderId="5" xfId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9" fontId="10" fillId="4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4" fontId="4" fillId="3" borderId="15" xfId="1" applyFont="1" applyFill="1" applyBorder="1" applyAlignment="1">
      <alignment horizontal="center" vertical="center" wrapText="1"/>
    </xf>
    <xf numFmtId="165" fontId="4" fillId="3" borderId="16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4" fontId="0" fillId="0" borderId="10" xfId="1" applyFont="1" applyBorder="1" applyAlignment="1">
      <alignment horizontal="center" vertical="center"/>
    </xf>
    <xf numFmtId="164" fontId="1" fillId="0" borderId="10" xfId="1" applyFill="1" applyBorder="1" applyAlignment="1">
      <alignment horizontal="center" vertical="center" wrapText="1"/>
    </xf>
    <xf numFmtId="165" fontId="0" fillId="0" borderId="10" xfId="1" applyNumberFormat="1" applyFont="1" applyBorder="1" applyAlignment="1">
      <alignment horizontal="center" vertical="center" wrapText="1"/>
    </xf>
    <xf numFmtId="166" fontId="0" fillId="0" borderId="10" xfId="1" applyNumberFormat="1" applyFont="1" applyBorder="1" applyAlignment="1">
      <alignment horizontal="center" vertical="center" wrapText="1"/>
    </xf>
    <xf numFmtId="165" fontId="1" fillId="0" borderId="11" xfId="1" applyNumberFormat="1" applyFill="1" applyBorder="1" applyAlignment="1">
      <alignment horizontal="center" vertical="center" wrapText="1"/>
    </xf>
    <xf numFmtId="167" fontId="0" fillId="0" borderId="0" xfId="0" applyNumberFormat="1"/>
    <xf numFmtId="165" fontId="2" fillId="0" borderId="20" xfId="1" applyNumberFormat="1" applyFont="1" applyBorder="1"/>
    <xf numFmtId="0" fontId="2" fillId="0" borderId="4" xfId="0" applyFont="1" applyBorder="1" applyAlignment="1">
      <alignment horizontal="center" vertical="center"/>
    </xf>
    <xf numFmtId="165" fontId="4" fillId="4" borderId="5" xfId="1" applyNumberFormat="1" applyFont="1" applyFill="1" applyBorder="1" applyAlignment="1">
      <alignment horizontal="center" vertical="center" wrapText="1"/>
    </xf>
    <xf numFmtId="2" fontId="10" fillId="4" borderId="4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center" vertical="center" wrapText="1"/>
    </xf>
    <xf numFmtId="164" fontId="4" fillId="0" borderId="4" xfId="1" applyFont="1" applyFill="1" applyBorder="1" applyAlignment="1">
      <alignment horizontal="center" vertical="center" wrapText="1"/>
    </xf>
    <xf numFmtId="3" fontId="11" fillId="0" borderId="0" xfId="0" applyNumberFormat="1" applyFont="1"/>
    <xf numFmtId="165" fontId="0" fillId="0" borderId="0" xfId="0" applyNumberFormat="1"/>
    <xf numFmtId="168" fontId="0" fillId="0" borderId="0" xfId="0" applyNumberFormat="1"/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9" fontId="2" fillId="0" borderId="4" xfId="0" applyNumberFormat="1" applyFont="1" applyBorder="1" applyAlignment="1">
      <alignment horizontal="center" vertical="center"/>
    </xf>
    <xf numFmtId="0" fontId="0" fillId="0" borderId="4" xfId="0" applyBorder="1"/>
    <xf numFmtId="169" fontId="2" fillId="0" borderId="4" xfId="0" applyNumberFormat="1" applyFont="1" applyBorder="1" applyAlignment="1">
      <alignment horizontal="center"/>
    </xf>
    <xf numFmtId="165" fontId="0" fillId="0" borderId="0" xfId="0" applyNumberFormat="1" applyAlignment="1">
      <alignment wrapText="1"/>
    </xf>
    <xf numFmtId="2" fontId="0" fillId="0" borderId="4" xfId="0" applyNumberFormat="1" applyBorder="1" applyAlignment="1">
      <alignment horizontal="center" vertical="center"/>
    </xf>
    <xf numFmtId="2" fontId="0" fillId="0" borderId="0" xfId="0" applyNumberFormat="1"/>
    <xf numFmtId="2" fontId="0" fillId="0" borderId="23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2" fontId="0" fillId="0" borderId="18" xfId="0" applyNumberFormat="1" applyBorder="1"/>
    <xf numFmtId="164" fontId="0" fillId="0" borderId="26" xfId="1" applyFont="1" applyBorder="1"/>
    <xf numFmtId="2" fontId="11" fillId="0" borderId="0" xfId="0" applyNumberFormat="1" applyFont="1"/>
    <xf numFmtId="1" fontId="0" fillId="0" borderId="9" xfId="0" applyNumberFormat="1" applyBorder="1"/>
    <xf numFmtId="165" fontId="11" fillId="0" borderId="11" xfId="1" applyNumberFormat="1" applyFont="1" applyBorder="1"/>
    <xf numFmtId="2" fontId="0" fillId="0" borderId="27" xfId="0" applyNumberFormat="1" applyBorder="1"/>
    <xf numFmtId="1" fontId="0" fillId="0" borderId="21" xfId="0" applyNumberFormat="1" applyBorder="1"/>
    <xf numFmtId="165" fontId="11" fillId="0" borderId="22" xfId="1" applyNumberFormat="1" applyFont="1" applyBorder="1"/>
    <xf numFmtId="2" fontId="0" fillId="0" borderId="28" xfId="0" applyNumberFormat="1" applyBorder="1"/>
    <xf numFmtId="165" fontId="0" fillId="0" borderId="22" xfId="1" applyNumberFormat="1" applyFont="1" applyBorder="1"/>
    <xf numFmtId="0" fontId="11" fillId="0" borderId="0" xfId="0" applyFont="1"/>
    <xf numFmtId="9" fontId="0" fillId="0" borderId="0" xfId="2" applyFont="1"/>
    <xf numFmtId="2" fontId="0" fillId="0" borderId="17" xfId="0" applyNumberFormat="1" applyBorder="1"/>
    <xf numFmtId="2" fontId="0" fillId="0" borderId="26" xfId="0" applyNumberFormat="1" applyBorder="1"/>
    <xf numFmtId="1" fontId="0" fillId="0" borderId="12" xfId="0" applyNumberFormat="1" applyBorder="1"/>
    <xf numFmtId="165" fontId="0" fillId="0" borderId="13" xfId="1" applyNumberFormat="1" applyFont="1" applyBorder="1"/>
    <xf numFmtId="2" fontId="0" fillId="0" borderId="0" xfId="1" applyNumberFormat="1" applyFont="1"/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I39"/>
  <sheetViews>
    <sheetView topLeftCell="I4" workbookViewId="0">
      <selection activeCell="U5" sqref="U5:U10"/>
    </sheetView>
  </sheetViews>
  <sheetFormatPr defaultRowHeight="15" x14ac:dyDescent="0.25"/>
  <cols>
    <col min="1" max="1" width="7.42578125" customWidth="1"/>
    <col min="2" max="2" width="9" bestFit="1" customWidth="1"/>
    <col min="3" max="3" width="9.85546875" bestFit="1" customWidth="1"/>
    <col min="4" max="4" width="8.85546875" style="2" customWidth="1"/>
    <col min="5" max="5" width="8.85546875" style="2" hidden="1" customWidth="1"/>
    <col min="6" max="6" width="15.42578125" style="2" hidden="1" customWidth="1"/>
    <col min="7" max="8" width="13.7109375" customWidth="1"/>
    <col min="9" max="9" width="6.5703125" style="6" customWidth="1"/>
    <col min="10" max="10" width="8.28515625" customWidth="1"/>
    <col min="11" max="11" width="9.5703125" hidden="1" customWidth="1"/>
    <col min="12" max="12" width="10.42578125" hidden="1" customWidth="1"/>
    <col min="13" max="13" width="11" hidden="1" customWidth="1"/>
    <col min="14" max="14" width="7.85546875" hidden="1" customWidth="1"/>
    <col min="15" max="15" width="8.140625" hidden="1" customWidth="1"/>
    <col min="16" max="16" width="10.85546875" bestFit="1" customWidth="1"/>
    <col min="17" max="17" width="15.42578125" bestFit="1" customWidth="1"/>
    <col min="18" max="18" width="12.42578125" customWidth="1"/>
    <col min="19" max="19" width="13.42578125" customWidth="1"/>
    <col min="20" max="20" width="11.7109375" customWidth="1"/>
    <col min="21" max="21" width="15.28515625" customWidth="1"/>
    <col min="22" max="22" width="11.7109375" bestFit="1" customWidth="1"/>
    <col min="23" max="23" width="15.28515625" style="3" bestFit="1" customWidth="1"/>
    <col min="24" max="24" width="15.42578125" bestFit="1" customWidth="1"/>
    <col min="25" max="25" width="15.28515625" bestFit="1" customWidth="1"/>
    <col min="26" max="27" width="15.42578125" bestFit="1" customWidth="1"/>
    <col min="28" max="28" width="14.42578125" bestFit="1" customWidth="1"/>
    <col min="29" max="29" width="10.28515625" bestFit="1" customWidth="1"/>
    <col min="32" max="32" width="14.42578125" bestFit="1" customWidth="1"/>
  </cols>
  <sheetData>
    <row r="3" spans="2:35" ht="29.25" customHeight="1" x14ac:dyDescent="0.25">
      <c r="B3" s="71" t="s">
        <v>53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/>
    </row>
    <row r="4" spans="2:35" ht="60" x14ac:dyDescent="0.25">
      <c r="B4" s="1" t="s">
        <v>0</v>
      </c>
      <c r="C4" s="1" t="s">
        <v>51</v>
      </c>
      <c r="D4" s="1" t="s">
        <v>1</v>
      </c>
      <c r="E4" s="1" t="s">
        <v>23</v>
      </c>
      <c r="F4" s="1" t="s">
        <v>24</v>
      </c>
      <c r="G4" s="1" t="s">
        <v>69</v>
      </c>
      <c r="H4" s="1" t="s">
        <v>2</v>
      </c>
      <c r="I4" s="1" t="s">
        <v>25</v>
      </c>
      <c r="J4" s="1" t="s">
        <v>3</v>
      </c>
      <c r="K4" s="1" t="s">
        <v>4</v>
      </c>
      <c r="L4" s="1" t="s">
        <v>5</v>
      </c>
      <c r="M4" s="1" t="s">
        <v>6</v>
      </c>
      <c r="N4" s="1" t="s">
        <v>7</v>
      </c>
      <c r="O4" s="1" t="s">
        <v>8</v>
      </c>
      <c r="P4" s="1" t="s">
        <v>9</v>
      </c>
      <c r="Q4" s="1" t="s">
        <v>10</v>
      </c>
      <c r="R4" s="1" t="s">
        <v>26</v>
      </c>
      <c r="S4" s="1" t="s">
        <v>11</v>
      </c>
      <c r="T4" s="1" t="s">
        <v>12</v>
      </c>
      <c r="U4" s="1" t="s">
        <v>13</v>
      </c>
      <c r="W4"/>
    </row>
    <row r="5" spans="2:35" x14ac:dyDescent="0.25">
      <c r="B5" s="9"/>
      <c r="C5" s="9" t="s">
        <v>46</v>
      </c>
      <c r="D5" s="9" t="s">
        <v>22</v>
      </c>
      <c r="E5" s="9">
        <v>30</v>
      </c>
      <c r="F5" s="9">
        <v>71</v>
      </c>
      <c r="G5" s="9">
        <v>755.57</v>
      </c>
      <c r="H5" s="9">
        <f>G5*10.7639</f>
        <v>8132.8799230000004</v>
      </c>
      <c r="I5" s="11">
        <v>15</v>
      </c>
      <c r="J5" s="9">
        <v>2016</v>
      </c>
      <c r="K5" s="9">
        <v>2023</v>
      </c>
      <c r="L5" s="9">
        <f t="shared" ref="L5:L9" si="0">K5-J5</f>
        <v>7</v>
      </c>
      <c r="M5" s="9" t="str">
        <f>IF(D5="R.C.C","65","45")</f>
        <v>65</v>
      </c>
      <c r="N5" s="10">
        <v>0.1</v>
      </c>
      <c r="O5" s="27">
        <f>(1-N5)/M5</f>
        <v>1.3846153846153847E-2</v>
      </c>
      <c r="P5" s="27">
        <v>1800</v>
      </c>
      <c r="Q5" s="27">
        <f>P5*H5</f>
        <v>14639183.861400001</v>
      </c>
      <c r="R5" s="27">
        <f>O5*L5</f>
        <v>9.6923076923076931E-2</v>
      </c>
      <c r="S5" s="27">
        <f t="shared" ref="S5:S9" si="1">Q5*R5</f>
        <v>1418874.7434895386</v>
      </c>
      <c r="T5" s="28"/>
      <c r="U5" s="29">
        <f t="shared" ref="U5:U9" si="2">Q5-S5</f>
        <v>13220309.117910462</v>
      </c>
      <c r="W5"/>
    </row>
    <row r="6" spans="2:35" x14ac:dyDescent="0.25">
      <c r="B6" s="9"/>
      <c r="C6" s="9" t="s">
        <v>47</v>
      </c>
      <c r="D6" s="9" t="s">
        <v>22</v>
      </c>
      <c r="E6" s="9">
        <v>42</v>
      </c>
      <c r="F6" s="9">
        <v>100</v>
      </c>
      <c r="G6" s="9">
        <v>749.47</v>
      </c>
      <c r="H6" s="9">
        <f t="shared" ref="H6:H9" si="3">G6*10.7639</f>
        <v>8067.2201329999998</v>
      </c>
      <c r="I6" s="11">
        <v>10</v>
      </c>
      <c r="J6" s="9">
        <v>2016</v>
      </c>
      <c r="K6" s="9">
        <v>2023</v>
      </c>
      <c r="L6" s="9">
        <f t="shared" si="0"/>
        <v>7</v>
      </c>
      <c r="M6" s="9" t="str">
        <f>IF(D6="R.C.C","65","45")</f>
        <v>65</v>
      </c>
      <c r="N6" s="10">
        <v>0.1</v>
      </c>
      <c r="O6" s="27">
        <f>(1-N6)/M6</f>
        <v>1.3846153846153847E-2</v>
      </c>
      <c r="P6" s="27">
        <v>1800</v>
      </c>
      <c r="Q6" s="27">
        <f t="shared" ref="Q6:Q9" si="4">P6*H6</f>
        <v>14520996.239399999</v>
      </c>
      <c r="R6" s="27">
        <f>O6*L6</f>
        <v>9.6923076923076931E-2</v>
      </c>
      <c r="S6" s="27">
        <f t="shared" si="1"/>
        <v>1407419.635511077</v>
      </c>
      <c r="T6" s="28"/>
      <c r="U6" s="29">
        <f t="shared" si="2"/>
        <v>13113576.603888921</v>
      </c>
      <c r="W6"/>
    </row>
    <row r="7" spans="2:35" x14ac:dyDescent="0.25">
      <c r="B7" s="9"/>
      <c r="C7" s="9" t="s">
        <v>48</v>
      </c>
      <c r="D7" s="9" t="s">
        <v>22</v>
      </c>
      <c r="E7" s="9">
        <v>116</v>
      </c>
      <c r="F7" s="9">
        <v>80</v>
      </c>
      <c r="G7" s="9">
        <v>720.29</v>
      </c>
      <c r="H7" s="9">
        <f t="shared" si="3"/>
        <v>7753.1295309999996</v>
      </c>
      <c r="I7" s="11">
        <v>10</v>
      </c>
      <c r="J7" s="9">
        <v>2016</v>
      </c>
      <c r="K7" s="9">
        <v>2023</v>
      </c>
      <c r="L7" s="9">
        <f t="shared" si="0"/>
        <v>7</v>
      </c>
      <c r="M7" s="9" t="str">
        <f>IF(D7="R.C.C","65","45")</f>
        <v>65</v>
      </c>
      <c r="N7" s="10">
        <v>0.1</v>
      </c>
      <c r="O7" s="27">
        <f>(1-N7)/M7</f>
        <v>1.3846153846153847E-2</v>
      </c>
      <c r="P7" s="27">
        <v>1800</v>
      </c>
      <c r="Q7" s="27">
        <f t="shared" si="4"/>
        <v>13955633.1558</v>
      </c>
      <c r="R7" s="27">
        <f>O7*L7</f>
        <v>9.6923076923076931E-2</v>
      </c>
      <c r="S7" s="27">
        <f t="shared" si="1"/>
        <v>1352622.9058698462</v>
      </c>
      <c r="T7" s="28"/>
      <c r="U7" s="29">
        <f t="shared" si="2"/>
        <v>12603010.249930155</v>
      </c>
      <c r="W7"/>
    </row>
    <row r="8" spans="2:35" x14ac:dyDescent="0.25">
      <c r="B8" s="9"/>
      <c r="C8" s="9" t="s">
        <v>49</v>
      </c>
      <c r="D8" s="9" t="s">
        <v>22</v>
      </c>
      <c r="E8" s="9">
        <v>15</v>
      </c>
      <c r="F8" s="9">
        <v>10</v>
      </c>
      <c r="G8" s="9">
        <v>720.29</v>
      </c>
      <c r="H8" s="9">
        <f t="shared" si="3"/>
        <v>7753.1295309999996</v>
      </c>
      <c r="I8" s="11">
        <v>10</v>
      </c>
      <c r="J8" s="9">
        <v>2016</v>
      </c>
      <c r="K8" s="9">
        <v>2023</v>
      </c>
      <c r="L8" s="9">
        <f t="shared" si="0"/>
        <v>7</v>
      </c>
      <c r="M8" s="9" t="str">
        <f>IF(D8="R.C.C","65","45")</f>
        <v>65</v>
      </c>
      <c r="N8" s="10">
        <v>0.1</v>
      </c>
      <c r="O8" s="27">
        <f>(1-N8)/M8</f>
        <v>1.3846153846153847E-2</v>
      </c>
      <c r="P8" s="27">
        <v>1800</v>
      </c>
      <c r="Q8" s="27">
        <f t="shared" si="4"/>
        <v>13955633.1558</v>
      </c>
      <c r="R8" s="27">
        <f>O8*L8</f>
        <v>9.6923076923076931E-2</v>
      </c>
      <c r="S8" s="27">
        <f t="shared" si="1"/>
        <v>1352622.9058698462</v>
      </c>
      <c r="T8" s="28"/>
      <c r="U8" s="29">
        <f t="shared" si="2"/>
        <v>12603010.249930155</v>
      </c>
      <c r="W8"/>
    </row>
    <row r="9" spans="2:35" x14ac:dyDescent="0.25">
      <c r="B9" s="9"/>
      <c r="C9" s="11" t="s">
        <v>50</v>
      </c>
      <c r="D9" s="9" t="s">
        <v>22</v>
      </c>
      <c r="E9" s="11">
        <v>90</v>
      </c>
      <c r="F9" s="11">
        <v>106</v>
      </c>
      <c r="G9" s="9">
        <v>720.29</v>
      </c>
      <c r="H9" s="9">
        <f t="shared" si="3"/>
        <v>7753.1295309999996</v>
      </c>
      <c r="I9" s="11">
        <v>10</v>
      </c>
      <c r="J9" s="9">
        <v>2016</v>
      </c>
      <c r="K9" s="9">
        <v>2023</v>
      </c>
      <c r="L9" s="9">
        <f t="shared" si="0"/>
        <v>7</v>
      </c>
      <c r="M9" s="9" t="str">
        <f>IF(D9="R.C.C","65","45")</f>
        <v>65</v>
      </c>
      <c r="N9" s="10">
        <v>0.1</v>
      </c>
      <c r="O9" s="27">
        <f>(1-N9)/M9</f>
        <v>1.3846153846153847E-2</v>
      </c>
      <c r="P9" s="27">
        <v>1800</v>
      </c>
      <c r="Q9" s="27">
        <f t="shared" si="4"/>
        <v>13955633.1558</v>
      </c>
      <c r="R9" s="27">
        <f>O9*L9</f>
        <v>9.6923076923076931E-2</v>
      </c>
      <c r="S9" s="27">
        <f t="shared" si="1"/>
        <v>1352622.9058698462</v>
      </c>
      <c r="T9" s="28"/>
      <c r="U9" s="29">
        <f t="shared" si="2"/>
        <v>12603010.249930155</v>
      </c>
      <c r="W9"/>
      <c r="X9">
        <v>0.75</v>
      </c>
      <c r="Y9" s="34">
        <f>X9*X10</f>
        <v>333075000</v>
      </c>
    </row>
    <row r="10" spans="2:35" x14ac:dyDescent="0.25">
      <c r="B10" s="7"/>
      <c r="C10" s="30"/>
      <c r="D10" s="30"/>
      <c r="E10" s="30"/>
      <c r="F10" s="30"/>
      <c r="G10" s="31">
        <f>SUM(G5:G9)</f>
        <v>3665.91</v>
      </c>
      <c r="H10" s="31">
        <f>SUM(H5:H9)</f>
        <v>39459.488648999999</v>
      </c>
      <c r="I10" s="31"/>
      <c r="J10" s="32"/>
      <c r="K10" s="8"/>
      <c r="L10" s="8"/>
      <c r="M10" s="8"/>
      <c r="N10" s="8"/>
      <c r="O10" s="8"/>
      <c r="P10" s="8"/>
      <c r="Q10" s="26">
        <f>SUM(Q5:Q9)</f>
        <v>71027079.568199992</v>
      </c>
      <c r="R10" s="26"/>
      <c r="S10" s="26"/>
      <c r="T10" s="26">
        <f>SUM(T5:T9)</f>
        <v>0</v>
      </c>
      <c r="U10" s="26">
        <f>SUM(U5:U9)</f>
        <v>64142916.471589848</v>
      </c>
      <c r="V10" s="33">
        <v>329450000</v>
      </c>
      <c r="W10" s="34">
        <f>V10+U10</f>
        <v>393592916.47158986</v>
      </c>
      <c r="X10" s="5">
        <v>444100000</v>
      </c>
    </row>
    <row r="11" spans="2:35" ht="24" customHeight="1" x14ac:dyDescent="0.25">
      <c r="B11" s="68" t="s">
        <v>15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70"/>
      <c r="V11">
        <v>751164260</v>
      </c>
      <c r="W11">
        <v>2800000</v>
      </c>
      <c r="X11" s="4">
        <f>W11+V11+U10</f>
        <v>818107176.4715898</v>
      </c>
    </row>
    <row r="12" spans="2:35" x14ac:dyDescent="0.25">
      <c r="B12" s="68" t="s">
        <v>27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  <c r="W12"/>
      <c r="X12">
        <v>911700000</v>
      </c>
      <c r="Y12">
        <v>0.85</v>
      </c>
      <c r="Z12" s="5">
        <f>Y12*X12</f>
        <v>774945000</v>
      </c>
    </row>
    <row r="13" spans="2:35" x14ac:dyDescent="0.25">
      <c r="B13" s="74" t="s">
        <v>17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6"/>
      <c r="W13"/>
      <c r="X13">
        <v>911700000</v>
      </c>
      <c r="Y13">
        <v>0.75</v>
      </c>
      <c r="Z13" s="5">
        <f>Y13*X13</f>
        <v>683775000</v>
      </c>
      <c r="AA13" s="5"/>
      <c r="AB13" s="5"/>
      <c r="AC13" s="5"/>
      <c r="AD13" s="5"/>
      <c r="AE13" s="5"/>
      <c r="AF13" s="5"/>
      <c r="AG13" s="5"/>
      <c r="AH13" s="5"/>
      <c r="AI13" s="5"/>
    </row>
    <row r="14" spans="2:35" x14ac:dyDescent="0.25">
      <c r="B14" s="77" t="s">
        <v>52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W14"/>
      <c r="X14">
        <v>285992600</v>
      </c>
      <c r="Y14">
        <v>0.75</v>
      </c>
      <c r="Z14" s="5">
        <f>Y14*X14</f>
        <v>214494450</v>
      </c>
      <c r="AA14" s="5"/>
      <c r="AB14" s="5"/>
      <c r="AC14" s="5"/>
      <c r="AD14" s="5"/>
      <c r="AE14" s="5"/>
      <c r="AF14" s="5"/>
      <c r="AG14" s="5"/>
      <c r="AH14" s="5"/>
      <c r="AI14" s="5"/>
    </row>
    <row r="15" spans="2:35" x14ac:dyDescent="0.25">
      <c r="B15" s="68" t="s">
        <v>28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70"/>
      <c r="W15"/>
      <c r="AA15" s="5"/>
      <c r="AB15" s="3"/>
      <c r="AC15" s="5"/>
      <c r="AD15" s="5"/>
      <c r="AE15" s="5"/>
      <c r="AF15" s="5"/>
      <c r="AG15" s="5"/>
      <c r="AH15" s="5"/>
      <c r="AI15" s="5"/>
    </row>
    <row r="16" spans="2:35" x14ac:dyDescent="0.25">
      <c r="W16"/>
      <c r="AA16" s="5"/>
      <c r="AB16" s="5"/>
      <c r="AC16" s="5"/>
      <c r="AD16" s="5"/>
      <c r="AE16" s="5"/>
      <c r="AF16" s="5"/>
      <c r="AG16" s="5"/>
      <c r="AH16" s="5"/>
      <c r="AI16" s="5"/>
    </row>
    <row r="17" spans="3:35" x14ac:dyDescent="0.25">
      <c r="D17"/>
      <c r="E17"/>
      <c r="F17"/>
      <c r="I17"/>
      <c r="W17"/>
      <c r="AA17" s="5"/>
      <c r="AB17" s="5"/>
      <c r="AC17" s="5"/>
      <c r="AD17" s="5"/>
      <c r="AE17" s="5"/>
      <c r="AF17" s="5"/>
      <c r="AG17" s="5"/>
      <c r="AH17" s="5"/>
      <c r="AI17" s="5"/>
    </row>
    <row r="18" spans="3:35" x14ac:dyDescent="0.25">
      <c r="D18"/>
      <c r="E18"/>
      <c r="F18"/>
      <c r="I18"/>
      <c r="Q18" s="35">
        <f>0.8*Q10</f>
        <v>56821663.65456</v>
      </c>
      <c r="W18"/>
      <c r="AA18" s="5"/>
      <c r="AB18" s="5"/>
      <c r="AC18" s="5"/>
      <c r="AD18" s="5"/>
      <c r="AE18" s="5"/>
      <c r="AF18" s="5"/>
      <c r="AG18" s="5"/>
      <c r="AH18" s="5"/>
      <c r="AI18" s="5"/>
    </row>
    <row r="19" spans="3:35" ht="28.5" customHeight="1" x14ac:dyDescent="0.25">
      <c r="C19" s="3"/>
      <c r="D19"/>
      <c r="E19"/>
      <c r="F19"/>
      <c r="I19"/>
      <c r="W19"/>
      <c r="AA19" s="5"/>
      <c r="AB19" s="5"/>
      <c r="AC19" s="5"/>
      <c r="AD19" s="5"/>
      <c r="AE19" s="5"/>
      <c r="AF19" s="5"/>
      <c r="AG19" s="5"/>
      <c r="AH19" s="5"/>
      <c r="AI19" s="5"/>
    </row>
    <row r="20" spans="3:35" x14ac:dyDescent="0.25">
      <c r="D20"/>
      <c r="E20"/>
      <c r="F20"/>
      <c r="I20"/>
      <c r="W20"/>
      <c r="AA20" s="5"/>
      <c r="AB20" s="5"/>
      <c r="AC20" s="5"/>
      <c r="AD20" s="5"/>
      <c r="AE20" s="5"/>
      <c r="AF20" s="5"/>
      <c r="AG20" s="5"/>
      <c r="AH20" s="5"/>
      <c r="AI20" s="5"/>
    </row>
    <row r="21" spans="3:35" x14ac:dyDescent="0.25">
      <c r="C21" t="s">
        <v>38</v>
      </c>
      <c r="D21">
        <v>11.98</v>
      </c>
      <c r="E21">
        <f>(2.26*10^7)</f>
        <v>22599999.999999996</v>
      </c>
      <c r="F21" s="3">
        <f>D21*E21</f>
        <v>270747999.99999994</v>
      </c>
      <c r="G21">
        <f>F21/10^7/11.98</f>
        <v>2.2599999999999993</v>
      </c>
      <c r="I21"/>
      <c r="W21"/>
      <c r="AA21" s="5"/>
      <c r="AB21" s="5"/>
      <c r="AC21" s="5"/>
      <c r="AD21" s="5"/>
      <c r="AE21" s="5"/>
      <c r="AF21" s="5"/>
      <c r="AG21" s="5"/>
      <c r="AH21" s="5"/>
      <c r="AI21" s="5"/>
    </row>
    <row r="22" spans="3:35" ht="15.75" customHeight="1" x14ac:dyDescent="0.25">
      <c r="C22" t="s">
        <v>39</v>
      </c>
      <c r="D22"/>
      <c r="E22"/>
      <c r="F22" s="34">
        <f>U10</f>
        <v>64142916.471589848</v>
      </c>
      <c r="I22"/>
      <c r="W22"/>
    </row>
    <row r="23" spans="3:35" ht="15" customHeight="1" x14ac:dyDescent="0.25">
      <c r="C23" t="s">
        <v>40</v>
      </c>
      <c r="D23"/>
      <c r="E23"/>
      <c r="F23" s="3">
        <v>14500000</v>
      </c>
      <c r="I23"/>
      <c r="W23"/>
    </row>
    <row r="24" spans="3:35" x14ac:dyDescent="0.25">
      <c r="D24"/>
      <c r="E24"/>
      <c r="F24" s="3">
        <f>SUM(F21:F23)</f>
        <v>349390916.4715898</v>
      </c>
      <c r="I24"/>
      <c r="W24"/>
    </row>
    <row r="25" spans="3:35" x14ac:dyDescent="0.25">
      <c r="D25"/>
      <c r="E25"/>
      <c r="F25" s="3">
        <f>40.3*10^7</f>
        <v>403000000</v>
      </c>
      <c r="I25"/>
      <c r="W25"/>
    </row>
    <row r="26" spans="3:35" x14ac:dyDescent="0.25">
      <c r="D26"/>
      <c r="E26"/>
      <c r="F26" s="3">
        <f>40.3*10^7</f>
        <v>403000000</v>
      </c>
      <c r="I26"/>
      <c r="W26"/>
    </row>
    <row r="27" spans="3:35" x14ac:dyDescent="0.25">
      <c r="D27"/>
      <c r="E27">
        <v>0.85</v>
      </c>
      <c r="F27" s="34">
        <f>F26*E27</f>
        <v>342550000</v>
      </c>
      <c r="I27"/>
      <c r="W27"/>
    </row>
    <row r="28" spans="3:35" x14ac:dyDescent="0.25">
      <c r="E28" s="2">
        <v>0.75</v>
      </c>
      <c r="F28" s="45">
        <f>F26*E28</f>
        <v>302250000</v>
      </c>
      <c r="M28">
        <v>516</v>
      </c>
      <c r="W28"/>
    </row>
    <row r="29" spans="3:35" x14ac:dyDescent="0.25">
      <c r="K29">
        <f>11000*0.7</f>
        <v>7699.9999999999991</v>
      </c>
    </row>
    <row r="30" spans="3:35" x14ac:dyDescent="0.25">
      <c r="D30">
        <v>11.98</v>
      </c>
      <c r="E30">
        <f>(1.81*10^7)*1.25</f>
        <v>22625000</v>
      </c>
      <c r="F30">
        <f>D30*E30</f>
        <v>271047500</v>
      </c>
      <c r="K30" s="3"/>
      <c r="L30" s="4"/>
      <c r="M30" s="4"/>
      <c r="Q30" s="4"/>
      <c r="R30" s="4"/>
    </row>
    <row r="31" spans="3:35" x14ac:dyDescent="0.25">
      <c r="D31"/>
      <c r="E31"/>
      <c r="F31" s="34">
        <f>$F$22</f>
        <v>64142916.471589848</v>
      </c>
    </row>
    <row r="32" spans="3:35" x14ac:dyDescent="0.25">
      <c r="D32"/>
      <c r="E32"/>
      <c r="F32">
        <v>14000000</v>
      </c>
    </row>
    <row r="33" spans="4:18" x14ac:dyDescent="0.25">
      <c r="D33"/>
      <c r="E33"/>
      <c r="F33">
        <f>SUM(F30:F32)</f>
        <v>349190416.47158986</v>
      </c>
      <c r="L33" s="4"/>
      <c r="M33" s="4"/>
      <c r="Q33" s="4"/>
      <c r="R33" s="4"/>
    </row>
    <row r="34" spans="4:18" x14ac:dyDescent="0.25">
      <c r="D34"/>
      <c r="E34"/>
      <c r="F34" s="3">
        <f>SUM(F30:F33)</f>
        <v>698380832.94317973</v>
      </c>
    </row>
    <row r="35" spans="4:18" x14ac:dyDescent="0.25">
      <c r="D35"/>
      <c r="E35"/>
      <c r="F35" s="5">
        <v>350000000</v>
      </c>
    </row>
    <row r="36" spans="4:18" x14ac:dyDescent="0.25">
      <c r="D36"/>
      <c r="E36">
        <v>0.85</v>
      </c>
      <c r="F36" s="34">
        <f>F35*E36</f>
        <v>297500000</v>
      </c>
    </row>
    <row r="37" spans="4:18" x14ac:dyDescent="0.25">
      <c r="E37" s="2">
        <v>0.75</v>
      </c>
      <c r="F37" s="45">
        <f>F35*E37</f>
        <v>262500000</v>
      </c>
    </row>
    <row r="38" spans="4:18" x14ac:dyDescent="0.25">
      <c r="L38" s="3"/>
    </row>
    <row r="39" spans="4:18" x14ac:dyDescent="0.25">
      <c r="R39" s="3"/>
    </row>
  </sheetData>
  <mergeCells count="6">
    <mergeCell ref="B15:U15"/>
    <mergeCell ref="B3:U3"/>
    <mergeCell ref="B11:U11"/>
    <mergeCell ref="B12:U12"/>
    <mergeCell ref="B13:U13"/>
    <mergeCell ref="B14:U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workbookViewId="0">
      <selection activeCell="D17" sqref="D17"/>
    </sheetView>
  </sheetViews>
  <sheetFormatPr defaultRowHeight="15" x14ac:dyDescent="0.25"/>
  <cols>
    <col min="2" max="2" width="21.28515625" customWidth="1"/>
    <col min="3" max="3" width="19.28515625" customWidth="1"/>
    <col min="4" max="4" width="20" customWidth="1"/>
    <col min="5" max="5" width="21" customWidth="1"/>
  </cols>
  <sheetData>
    <row r="2" spans="2:11" x14ac:dyDescent="0.25">
      <c r="B2" s="80" t="s">
        <v>29</v>
      </c>
      <c r="C2" s="81"/>
      <c r="D2" s="81"/>
      <c r="E2" s="82"/>
    </row>
    <row r="3" spans="2:11" ht="30" x14ac:dyDescent="0.25">
      <c r="B3" s="36" t="s">
        <v>30</v>
      </c>
      <c r="C3" s="37" t="s">
        <v>42</v>
      </c>
      <c r="D3" s="37" t="s">
        <v>35</v>
      </c>
      <c r="E3" s="36" t="s">
        <v>36</v>
      </c>
    </row>
    <row r="4" spans="2:11" ht="30" x14ac:dyDescent="0.25">
      <c r="B4" s="38" t="s">
        <v>31</v>
      </c>
      <c r="C4" s="46">
        <f>$C$7/3</f>
        <v>776.81333333333339</v>
      </c>
      <c r="D4" s="40">
        <v>36000</v>
      </c>
      <c r="E4" s="40">
        <f>C4*D4</f>
        <v>27965280.000000004</v>
      </c>
    </row>
    <row r="5" spans="2:11" x14ac:dyDescent="0.25">
      <c r="B5" s="39" t="s">
        <v>32</v>
      </c>
      <c r="C5" s="46">
        <f t="shared" ref="C5:C6" si="0">$C$7/3</f>
        <v>776.81333333333339</v>
      </c>
      <c r="D5" s="40">
        <f>D4*0.75</f>
        <v>27000</v>
      </c>
      <c r="E5" s="40">
        <f>D5*C5</f>
        <v>20973960</v>
      </c>
    </row>
    <row r="6" spans="2:11" x14ac:dyDescent="0.25">
      <c r="B6" s="39" t="s">
        <v>33</v>
      </c>
      <c r="C6" s="46">
        <f t="shared" si="0"/>
        <v>776.81333333333339</v>
      </c>
      <c r="D6" s="40">
        <f>D4*0.5</f>
        <v>18000</v>
      </c>
      <c r="E6" s="40">
        <f>D6*C6</f>
        <v>13982640.000000002</v>
      </c>
    </row>
    <row r="7" spans="2:11" x14ac:dyDescent="0.25">
      <c r="B7" s="41" t="s">
        <v>34</v>
      </c>
      <c r="C7" s="25">
        <v>2330.44</v>
      </c>
      <c r="D7" s="42"/>
      <c r="E7" s="42">
        <f>SUM(E4:E6)</f>
        <v>62921880</v>
      </c>
      <c r="I7" t="s">
        <v>43</v>
      </c>
      <c r="J7" t="s">
        <v>44</v>
      </c>
    </row>
    <row r="8" spans="2:11" x14ac:dyDescent="0.25">
      <c r="B8" s="92" t="s">
        <v>37</v>
      </c>
      <c r="C8" s="93"/>
      <c r="D8" s="44">
        <f>(D4+D5+D6)/3</f>
        <v>27000</v>
      </c>
      <c r="E8" s="43"/>
      <c r="I8">
        <v>390</v>
      </c>
      <c r="J8">
        <v>20</v>
      </c>
    </row>
    <row r="9" spans="2:11" x14ac:dyDescent="0.25">
      <c r="I9">
        <v>490</v>
      </c>
      <c r="J9">
        <v>135</v>
      </c>
    </row>
    <row r="10" spans="2:11" x14ac:dyDescent="0.25">
      <c r="I10">
        <v>106</v>
      </c>
      <c r="J10">
        <v>2324</v>
      </c>
    </row>
    <row r="11" spans="2:11" x14ac:dyDescent="0.25">
      <c r="I11">
        <v>100</v>
      </c>
      <c r="J11">
        <v>538</v>
      </c>
    </row>
    <row r="12" spans="2:11" x14ac:dyDescent="0.25">
      <c r="B12" t="s">
        <v>70</v>
      </c>
      <c r="C12">
        <f>C7</f>
        <v>2330.44</v>
      </c>
      <c r="D12">
        <f>E12/C12</f>
        <v>35879.700000858204</v>
      </c>
      <c r="E12">
        <v>83615488.069999993</v>
      </c>
      <c r="J12">
        <v>413</v>
      </c>
    </row>
    <row r="13" spans="2:11" x14ac:dyDescent="0.25">
      <c r="B13" t="s">
        <v>71</v>
      </c>
      <c r="C13">
        <f>C7*1.19599</f>
        <v>2787.1829356000003</v>
      </c>
      <c r="D13">
        <v>30000</v>
      </c>
      <c r="E13">
        <f>D13*C13</f>
        <v>83615488.068000004</v>
      </c>
      <c r="J13">
        <v>2000</v>
      </c>
    </row>
    <row r="14" spans="2:11" x14ac:dyDescent="0.25">
      <c r="H14" t="s">
        <v>34</v>
      </c>
      <c r="I14">
        <f>SUM(I8:I13)</f>
        <v>1086</v>
      </c>
      <c r="J14">
        <f>SUM(J8:J13)</f>
        <v>5430</v>
      </c>
      <c r="K14">
        <f>J14+I14</f>
        <v>6516</v>
      </c>
    </row>
    <row r="15" spans="2:11" x14ac:dyDescent="0.25">
      <c r="I15">
        <f>I14+700</f>
        <v>1786</v>
      </c>
      <c r="J15">
        <f>J14+700</f>
        <v>6130</v>
      </c>
      <c r="K15">
        <f>K14-8000</f>
        <v>-1484</v>
      </c>
    </row>
    <row r="17" spans="10:10" x14ac:dyDescent="0.25">
      <c r="J17">
        <f>2130+400</f>
        <v>2530</v>
      </c>
    </row>
  </sheetData>
  <mergeCells count="2">
    <mergeCell ref="B2:E2"/>
    <mergeCell ref="B8:C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"/>
  <sheetViews>
    <sheetView workbookViewId="0">
      <selection activeCell="H7" sqref="H7"/>
    </sheetView>
  </sheetViews>
  <sheetFormatPr defaultRowHeight="15" x14ac:dyDescent="0.25"/>
  <cols>
    <col min="1" max="1" width="5.85546875" customWidth="1"/>
    <col min="2" max="2" width="11.5703125" bestFit="1" customWidth="1"/>
    <col min="3" max="3" width="12.85546875" bestFit="1" customWidth="1"/>
    <col min="4" max="4" width="10" style="5" bestFit="1" customWidth="1"/>
    <col min="5" max="5" width="11.5703125" style="5" hidden="1" customWidth="1"/>
    <col min="6" max="6" width="17.7109375" style="5" bestFit="1" customWidth="1"/>
    <col min="7" max="7" width="11.85546875" style="5" bestFit="1" customWidth="1"/>
    <col min="8" max="8" width="15.85546875" style="3" customWidth="1"/>
    <col min="11" max="11" width="9.28515625" bestFit="1" customWidth="1"/>
    <col min="12" max="12" width="15.28515625" bestFit="1" customWidth="1"/>
    <col min="13" max="13" width="14.28515625" bestFit="1" customWidth="1"/>
    <col min="17" max="17" width="15.28515625" bestFit="1" customWidth="1"/>
  </cols>
  <sheetData>
    <row r="3" spans="1:17" ht="15.75" thickBot="1" x14ac:dyDescent="0.3"/>
    <row r="4" spans="1:17" ht="16.5" thickBot="1" x14ac:dyDescent="0.3">
      <c r="A4" s="83" t="s">
        <v>21</v>
      </c>
      <c r="B4" s="84"/>
      <c r="C4" s="84"/>
      <c r="D4" s="84"/>
      <c r="E4" s="84"/>
      <c r="F4" s="84"/>
      <c r="G4" s="84"/>
      <c r="H4" s="85"/>
    </row>
    <row r="5" spans="1:17" ht="60.75" thickBot="1" x14ac:dyDescent="0.3">
      <c r="A5" s="12" t="s">
        <v>0</v>
      </c>
      <c r="B5" s="13" t="s">
        <v>19</v>
      </c>
      <c r="C5" s="13" t="s">
        <v>1</v>
      </c>
      <c r="D5" s="14" t="s">
        <v>16</v>
      </c>
      <c r="E5" s="14" t="s">
        <v>2</v>
      </c>
      <c r="F5" s="14" t="s">
        <v>20</v>
      </c>
      <c r="G5" s="14" t="s">
        <v>18</v>
      </c>
      <c r="H5" s="15" t="s">
        <v>21</v>
      </c>
    </row>
    <row r="6" spans="1:17" ht="50.1" customHeight="1" x14ac:dyDescent="0.25">
      <c r="A6" s="16">
        <v>1</v>
      </c>
      <c r="B6" s="17" t="s">
        <v>45</v>
      </c>
      <c r="C6" s="17" t="s">
        <v>22</v>
      </c>
      <c r="D6" s="18">
        <v>3665.91</v>
      </c>
      <c r="E6" s="19"/>
      <c r="F6" s="20">
        <v>12000</v>
      </c>
      <c r="G6" s="21">
        <v>0.93200000000000005</v>
      </c>
      <c r="H6" s="22">
        <f>G6*F6*D6</f>
        <v>40999537.439999998</v>
      </c>
      <c r="P6" s="23"/>
      <c r="Q6" s="5"/>
    </row>
    <row r="7" spans="1:17" ht="15.75" thickBot="1" x14ac:dyDescent="0.3">
      <c r="A7" s="86" t="s">
        <v>14</v>
      </c>
      <c r="B7" s="87"/>
      <c r="C7" s="87"/>
      <c r="D7" s="87"/>
      <c r="E7" s="87"/>
      <c r="F7" s="87"/>
      <c r="G7" s="88"/>
      <c r="H7" s="24">
        <f>SUM(H6)</f>
        <v>40999537.439999998</v>
      </c>
      <c r="K7">
        <v>11.98</v>
      </c>
      <c r="L7" s="5">
        <v>27500000</v>
      </c>
      <c r="M7" s="3">
        <f>L7*K7</f>
        <v>329450000</v>
      </c>
    </row>
    <row r="8" spans="1:17" x14ac:dyDescent="0.25">
      <c r="H8" s="3">
        <v>375582130</v>
      </c>
    </row>
    <row r="9" spans="1:17" x14ac:dyDescent="0.25">
      <c r="H9" s="3">
        <f>H7+H8</f>
        <v>416581667.44</v>
      </c>
    </row>
  </sheetData>
  <mergeCells count="2">
    <mergeCell ref="A4:H4"/>
    <mergeCell ref="A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>
      <selection activeCell="F13" sqref="F13"/>
    </sheetView>
  </sheetViews>
  <sheetFormatPr defaultRowHeight="15" x14ac:dyDescent="0.25"/>
  <cols>
    <col min="1" max="1" width="11.140625" style="47" bestFit="1" customWidth="1"/>
    <col min="2" max="2" width="15.42578125" style="47" bestFit="1" customWidth="1"/>
    <col min="3" max="3" width="13.7109375" style="47" bestFit="1" customWidth="1"/>
    <col min="4" max="4" width="9.140625" style="47"/>
    <col min="5" max="5" width="11.140625" style="47" bestFit="1" customWidth="1"/>
    <col min="6" max="6" width="15.42578125" style="47" bestFit="1" customWidth="1"/>
    <col min="7" max="7" width="13.7109375" style="47" bestFit="1" customWidth="1"/>
    <col min="8" max="8" width="12.5703125" style="47" bestFit="1" customWidth="1"/>
    <col min="9" max="9" width="14.5703125" style="47" bestFit="1" customWidth="1"/>
    <col min="10" max="10" width="9.140625" style="47"/>
    <col min="11" max="11" width="10.5703125" style="47" bestFit="1" customWidth="1"/>
    <col min="12" max="16384" width="9.140625" style="47"/>
  </cols>
  <sheetData>
    <row r="1" spans="1:18" ht="15.75" thickBot="1" x14ac:dyDescent="0.3">
      <c r="A1" s="89" t="s">
        <v>54</v>
      </c>
      <c r="B1" s="90"/>
      <c r="C1" s="91"/>
      <c r="E1" s="89" t="s">
        <v>55</v>
      </c>
      <c r="F1" s="90"/>
      <c r="G1" s="91"/>
    </row>
    <row r="2" spans="1:18" x14ac:dyDescent="0.25">
      <c r="A2" s="48" t="s">
        <v>68</v>
      </c>
      <c r="B2" s="49" t="s">
        <v>41</v>
      </c>
      <c r="C2" s="50" t="s">
        <v>56</v>
      </c>
      <c r="E2" s="48" t="s">
        <v>38</v>
      </c>
      <c r="F2" s="49" t="s">
        <v>41</v>
      </c>
      <c r="G2" s="50" t="s">
        <v>56</v>
      </c>
    </row>
    <row r="3" spans="1:18" ht="15.75" thickBot="1" x14ac:dyDescent="0.3">
      <c r="A3" s="51">
        <v>2330.44</v>
      </c>
      <c r="B3" s="51">
        <f>12000*1.1</f>
        <v>13200.000000000002</v>
      </c>
      <c r="C3" s="52">
        <f>B3*A3</f>
        <v>30761808.000000004</v>
      </c>
      <c r="E3" s="51">
        <v>203.49</v>
      </c>
      <c r="F3" s="51"/>
      <c r="G3" s="52">
        <f>F3*E3</f>
        <v>0</v>
      </c>
      <c r="I3" s="47">
        <f>3084/10.7639</f>
        <v>286.51325263148118</v>
      </c>
      <c r="M3" s="47">
        <f>9.5*10.7639</f>
        <v>102.25704999999999</v>
      </c>
      <c r="N3" s="47">
        <f>M3/10.7639</f>
        <v>9.5</v>
      </c>
    </row>
    <row r="4" spans="1:18" x14ac:dyDescent="0.25">
      <c r="C4" s="47">
        <v>0</v>
      </c>
      <c r="F4" s="47" t="s">
        <v>57</v>
      </c>
      <c r="G4" s="47">
        <v>300000</v>
      </c>
      <c r="H4" s="47">
        <f>G3*0.75</f>
        <v>0</v>
      </c>
      <c r="M4" s="47">
        <v>998.15</v>
      </c>
      <c r="N4" s="47">
        <f>M4/10.7639</f>
        <v>92.731259116119617</v>
      </c>
    </row>
    <row r="5" spans="1:18" ht="15.75" thickBot="1" x14ac:dyDescent="0.3">
      <c r="G5" s="47">
        <f>SUM(G3:G4)</f>
        <v>300000</v>
      </c>
      <c r="M5" s="47">
        <f>SUM(M3:M4)</f>
        <v>1100.40705</v>
      </c>
      <c r="N5" s="47">
        <f>SUM(N3:N4)</f>
        <v>102.23125911611962</v>
      </c>
    </row>
    <row r="6" spans="1:18" x14ac:dyDescent="0.25">
      <c r="A6" s="48" t="s">
        <v>58</v>
      </c>
      <c r="B6" s="53">
        <f>C3</f>
        <v>30761808.000000004</v>
      </c>
      <c r="E6" s="54" t="s">
        <v>58</v>
      </c>
      <c r="F6" s="55">
        <f>Belting!E7</f>
        <v>62921880</v>
      </c>
      <c r="K6" s="47">
        <f>9000*287.82</f>
        <v>2590380</v>
      </c>
    </row>
    <row r="7" spans="1:18" x14ac:dyDescent="0.25">
      <c r="A7" s="56" t="s">
        <v>39</v>
      </c>
      <c r="B7" s="53">
        <f>'Guidline value'!H7</f>
        <v>40999537.439999998</v>
      </c>
      <c r="E7" s="57" t="s">
        <v>39</v>
      </c>
      <c r="F7" s="58">
        <f>'Building sheet'!U10</f>
        <v>64142916.471589848</v>
      </c>
      <c r="H7" s="47" t="s">
        <v>59</v>
      </c>
      <c r="K7" s="47">
        <v>2086646</v>
      </c>
    </row>
    <row r="8" spans="1:18" x14ac:dyDescent="0.25">
      <c r="A8" s="56" t="s">
        <v>60</v>
      </c>
      <c r="B8" s="59"/>
      <c r="E8" s="57" t="s">
        <v>60</v>
      </c>
      <c r="F8" s="60">
        <v>2000000</v>
      </c>
      <c r="K8" s="47">
        <f>SUM(K6:K7)</f>
        <v>4677026</v>
      </c>
    </row>
    <row r="9" spans="1:18" x14ac:dyDescent="0.25">
      <c r="A9" s="56"/>
      <c r="B9" s="59"/>
      <c r="E9" s="57" t="s">
        <v>61</v>
      </c>
      <c r="F9" s="61"/>
    </row>
    <row r="10" spans="1:18" x14ac:dyDescent="0.25">
      <c r="A10" s="56" t="s">
        <v>62</v>
      </c>
      <c r="B10" s="59">
        <f>SUM(B6:B8)</f>
        <v>71761345.439999998</v>
      </c>
      <c r="E10" s="57" t="s">
        <v>62</v>
      </c>
      <c r="F10" s="60">
        <f>SUM(F6:F9)</f>
        <v>129064796.47158985</v>
      </c>
    </row>
    <row r="11" spans="1:18" x14ac:dyDescent="0.25">
      <c r="A11" s="56"/>
      <c r="B11" s="59">
        <f>ROUND(B10,-5)</f>
        <v>71800000</v>
      </c>
      <c r="E11" s="57" t="s">
        <v>63</v>
      </c>
      <c r="F11" s="60">
        <f>ROUND(F10,-5)</f>
        <v>129100000</v>
      </c>
      <c r="I11" s="47">
        <v>700000000</v>
      </c>
      <c r="P11" s="47">
        <v>112</v>
      </c>
      <c r="Q11" s="47">
        <v>105.8</v>
      </c>
      <c r="R11" s="47">
        <f>P11-Q11</f>
        <v>6.2000000000000028</v>
      </c>
    </row>
    <row r="12" spans="1:18" x14ac:dyDescent="0.25">
      <c r="A12" s="56"/>
      <c r="B12" s="59">
        <f>0.85*B11</f>
        <v>61030000</v>
      </c>
      <c r="E12" s="57" t="s">
        <v>64</v>
      </c>
      <c r="F12" s="60">
        <f>0.85*F11</f>
        <v>109735000</v>
      </c>
      <c r="I12" s="47">
        <v>48562</v>
      </c>
      <c r="R12" s="62">
        <f>R11/P11</f>
        <v>5.5357142857142883E-2</v>
      </c>
    </row>
    <row r="13" spans="1:18" ht="15.75" thickBot="1" x14ac:dyDescent="0.3">
      <c r="A13" s="63"/>
      <c r="B13" s="64">
        <f>0.75*B11</f>
        <v>53850000</v>
      </c>
      <c r="E13" s="57" t="s">
        <v>65</v>
      </c>
      <c r="F13" s="60">
        <f>0.75*F11</f>
        <v>96825000</v>
      </c>
      <c r="I13" s="47">
        <v>14414.562830000001</v>
      </c>
    </row>
    <row r="14" spans="1:18" ht="15.75" thickBot="1" x14ac:dyDescent="0.3">
      <c r="E14" s="65" t="s">
        <v>66</v>
      </c>
      <c r="F14" s="66">
        <f>0.8*'Building sheet'!Q10</f>
        <v>56821663.65456</v>
      </c>
      <c r="H14" s="59">
        <v>967600000</v>
      </c>
    </row>
    <row r="15" spans="1:18" x14ac:dyDescent="0.25">
      <c r="K15" s="47">
        <f>3098*300</f>
        <v>929400</v>
      </c>
    </row>
    <row r="16" spans="1:18" x14ac:dyDescent="0.25">
      <c r="B16" s="47">
        <v>0.8</v>
      </c>
      <c r="E16" s="47">
        <f>E3*2000*0.8</f>
        <v>325584</v>
      </c>
    </row>
    <row r="17" spans="1:13" x14ac:dyDescent="0.25">
      <c r="B17" s="67">
        <f>B16*B7</f>
        <v>32799629.952</v>
      </c>
      <c r="I17" s="47">
        <f>15924*10.7639</f>
        <v>171404.34359999999</v>
      </c>
    </row>
    <row r="18" spans="1:13" x14ac:dyDescent="0.25">
      <c r="B18" s="47" t="s">
        <v>67</v>
      </c>
    </row>
    <row r="19" spans="1:13" x14ac:dyDescent="0.25">
      <c r="B19" s="47">
        <f>287.82*9000</f>
        <v>2590380</v>
      </c>
      <c r="F19" s="47">
        <f>287.82*0.6</f>
        <v>172.69199999999998</v>
      </c>
    </row>
    <row r="20" spans="1:13" x14ac:dyDescent="0.25">
      <c r="B20" s="47">
        <f>2590380+2417660</f>
        <v>5008040</v>
      </c>
    </row>
    <row r="21" spans="1:13" x14ac:dyDescent="0.25">
      <c r="F21" s="47">
        <v>8000</v>
      </c>
      <c r="G21" s="47">
        <f>F21*5%</f>
        <v>400</v>
      </c>
    </row>
    <row r="22" spans="1:13" x14ac:dyDescent="0.25">
      <c r="A22" s="47">
        <f>92.73+9.45</f>
        <v>102.18</v>
      </c>
    </row>
    <row r="23" spans="1:13" x14ac:dyDescent="0.25">
      <c r="E23" s="47">
        <f>(998.13+102.26)/10.7639</f>
        <v>102.22967511775472</v>
      </c>
    </row>
    <row r="26" spans="1:13" x14ac:dyDescent="0.25">
      <c r="J26" s="47">
        <v>386</v>
      </c>
      <c r="K26" s="47">
        <v>65</v>
      </c>
      <c r="L26" s="47">
        <f>K26*J26</f>
        <v>25090</v>
      </c>
      <c r="M26" s="47">
        <f>L26/10.7639</f>
        <v>2330.9395293527441</v>
      </c>
    </row>
  </sheetData>
  <mergeCells count="2">
    <mergeCell ref="A1:C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Building sheet</vt:lpstr>
      <vt:lpstr>Belting</vt:lpstr>
      <vt:lpstr>Guidline value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Vishal Singh</cp:lastModifiedBy>
  <dcterms:created xsi:type="dcterms:W3CDTF">2022-11-04T05:05:51Z</dcterms:created>
  <dcterms:modified xsi:type="dcterms:W3CDTF">2024-01-05T06:55:54Z</dcterms:modified>
</cp:coreProperties>
</file>