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In Progress Files\Yash Bhatnagar\WIP\VIS(2023-24)-PL620-524-840\"/>
    </mc:Choice>
  </mc:AlternateContent>
  <xr:revisionPtr revIDLastSave="0" documentId="13_ncr:1_{814F76D1-BC45-4B03-AC78-5A00758E78B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in" sheetId="4" r:id="rId1"/>
    <sheet name="Sheet2" sheetId="3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3" l="1"/>
  <c r="K16" i="3"/>
  <c r="K15" i="3"/>
  <c r="K14" i="3"/>
  <c r="K13" i="3"/>
  <c r="X8" i="4"/>
  <c r="X11" i="4" s="1"/>
  <c r="T7" i="4"/>
  <c r="T6" i="4"/>
  <c r="X22" i="4"/>
  <c r="X29" i="4"/>
  <c r="F8" i="4"/>
  <c r="G7" i="4"/>
  <c r="G6" i="4"/>
  <c r="O6" i="4" s="1"/>
  <c r="M7" i="4"/>
  <c r="J7" i="4"/>
  <c r="M6" i="4"/>
  <c r="J6" i="4"/>
  <c r="T8" i="4" l="1"/>
  <c r="X12" i="4" s="1"/>
  <c r="X13" i="4" s="1"/>
  <c r="P6" i="4"/>
  <c r="R6" i="4" s="1"/>
  <c r="G8" i="4"/>
  <c r="O7" i="4"/>
  <c r="I3" i="3"/>
  <c r="G3" i="3"/>
  <c r="D3" i="3"/>
  <c r="P7" i="4" l="1"/>
  <c r="O8" i="4"/>
  <c r="X35" i="4" s="1"/>
  <c r="J3" i="3"/>
  <c r="K3" i="3" s="1"/>
  <c r="M3" i="3" s="1"/>
  <c r="P8" i="4" l="1"/>
  <c r="R7" i="4"/>
  <c r="R8" i="4" l="1"/>
  <c r="X23" i="4" s="1"/>
  <c r="X25" i="4" s="1"/>
  <c r="X31" i="4" s="1"/>
  <c r="X33" i="4" l="1"/>
  <c r="X32" i="4"/>
</calcChain>
</file>

<file path=xl/sharedStrings.xml><?xml version="1.0" encoding="utf-8"?>
<sst xmlns="http://schemas.openxmlformats.org/spreadsheetml/2006/main" count="59" uniqueCount="48">
  <si>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</si>
  <si>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</si>
  <si>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</si>
  <si>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</si>
  <si>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</si>
  <si>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</si>
  <si>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</si>
  <si>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</si>
  <si>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</si>
  <si>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</si>
  <si>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Remarks:</t>
  </si>
  <si>
    <t>Detoration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</si>
  <si>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</si>
  <si>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</si>
  <si>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</si>
  <si>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</si>
  <si>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</si>
  <si>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</si>
  <si>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</si>
  <si>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</si>
  <si>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RCC</t>
  </si>
  <si>
    <t>Sr. No.</t>
  </si>
  <si>
    <t>3. Age of construction taken from the information as per documents provided to us.</t>
  </si>
  <si>
    <t>building</t>
  </si>
  <si>
    <t>wall</t>
  </si>
  <si>
    <t>FMV</t>
  </si>
  <si>
    <t>round off</t>
  </si>
  <si>
    <t>ins</t>
  </si>
  <si>
    <t>Floor</t>
  </si>
  <si>
    <t>RV</t>
  </si>
  <si>
    <t>DV</t>
  </si>
  <si>
    <t>Built-up area (in sq.mtr)</t>
  </si>
  <si>
    <t>Circle</t>
  </si>
  <si>
    <t>Total</t>
  </si>
  <si>
    <t>Buit-up area 
(in sq ft)</t>
  </si>
  <si>
    <t>Plinth Area  Rate 
(INR per sq feet)</t>
  </si>
  <si>
    <t>land value</t>
  </si>
  <si>
    <t>Area</t>
  </si>
  <si>
    <t>First</t>
  </si>
  <si>
    <t>Height 
(in mtr.)</t>
  </si>
  <si>
    <t>Rate</t>
  </si>
  <si>
    <t>land area</t>
  </si>
  <si>
    <t>Land value</t>
  </si>
  <si>
    <t>Circle Vaue
(INR)</t>
  </si>
  <si>
    <t>Circle Rate
(INR per sq mtr.)</t>
  </si>
  <si>
    <t>Ground</t>
  </si>
  <si>
    <t>M/s. SM Hospitality Pvt. Ltd. |Situated at Khasra No. 390, Old Khasra No. 196, Mauza Sinola, Central Doon District Dehradun, Uttarakhand</t>
  </si>
  <si>
    <t>1. All the details pertaing to the building area statement such as area, floor, etc has been taken from the old valuation report provided by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</si>
</sst>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_ [$₹-4009]\ * #,##0_ ;_ [$₹-4009]\ * \-#,##0_ ;_ [$₹-4009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0" fontId="2" fillId="2" borderId="1" xfId="3" applyFont="1" applyBorder="1" applyAlignment="1">
      <alignment horizontal="center" vertical="center"/>
    </xf>
    <xf numFmtId="9" fontId="2" fillId="5" borderId="1" xfId="3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7" fontId="0" fillId="0" borderId="1" xfId="5" applyNumberFormat="1" applyFont="1" applyBorder="1" applyAlignment="1">
      <alignment vertical="center"/>
    </xf>
    <xf numFmtId="167" fontId="0" fillId="0" borderId="0" xfId="0" applyNumberFormat="1"/>
    <xf numFmtId="44" fontId="0" fillId="0" borderId="0" xfId="0" applyNumberFormat="1"/>
    <xf numFmtId="9" fontId="0" fillId="0" borderId="1" xfId="2" applyFont="1" applyBorder="1" applyAlignment="1">
      <alignment horizontal="right" vertical="center" wrapText="1"/>
    </xf>
    <xf numFmtId="43" fontId="2" fillId="0" borderId="1" xfId="6" applyFont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right" vertical="center" wrapText="1"/>
    </xf>
    <xf numFmtId="166" fontId="0" fillId="0" borderId="0" xfId="6" applyNumberFormat="1" applyFont="1"/>
    <xf numFmtId="166" fontId="0" fillId="0" borderId="1" xfId="6" applyNumberFormat="1" applyFont="1" applyFill="1" applyBorder="1" applyAlignment="1">
      <alignment horizontal="right" vertical="center" wrapText="1"/>
    </xf>
    <xf numFmtId="0" fontId="2" fillId="0" borderId="0" xfId="0" applyFont="1"/>
    <xf numFmtId="43" fontId="2" fillId="0" borderId="0" xfId="0" applyNumberFormat="1" applyFont="1"/>
    <xf numFmtId="43" fontId="0" fillId="0" borderId="1" xfId="0" applyNumberFormat="1" applyBorder="1" applyAlignment="1">
      <alignment horizontal="center" vertical="center"/>
    </xf>
    <xf numFmtId="43" fontId="0" fillId="0" borderId="1" xfId="6" applyFont="1" applyBorder="1" applyAlignment="1">
      <alignment horizontal="center" vertical="center"/>
    </xf>
    <xf numFmtId="0" fontId="0" fillId="0" borderId="1" xfId="0" applyBorder="1"/>
    <xf numFmtId="166" fontId="0" fillId="0" borderId="1" xfId="6" applyNumberFormat="1" applyFont="1" applyBorder="1"/>
    <xf numFmtId="0" fontId="2" fillId="0" borderId="1" xfId="0" applyFont="1" applyBorder="1" applyAlignment="1">
      <alignment horizontal="center" vertical="center" wrapText="1"/>
    </xf>
    <xf numFmtId="166" fontId="2" fillId="0" borderId="3" xfId="6" applyNumberFormat="1" applyFont="1" applyBorder="1" applyAlignment="1">
      <alignment horizontal="center" vertical="center" wrapText="1"/>
    </xf>
    <xf numFmtId="166" fontId="2" fillId="0" borderId="4" xfId="6" applyNumberFormat="1" applyFont="1" applyBorder="1" applyAlignment="1">
      <alignment horizontal="center" vertical="center" wrapText="1"/>
    </xf>
    <xf numFmtId="166" fontId="2" fillId="0" borderId="5" xfId="6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43" fontId="0" fillId="0" borderId="0" xfId="6" applyNumberFormat="1" applyFont="1"/>
    <xf numFmtId="2" fontId="0" fillId="0" borderId="0" xfId="0" applyNumberFormat="1"/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611C-3EBA-4C0E-8F3A-F0BAD5B5C08D}">
  <dimension ref="B4:X35"/>
  <sheetViews>
    <sheetView tabSelected="1" topLeftCell="A10" zoomScale="85" zoomScaleNormal="85" workbookViewId="0">
      <selection activeCell="X25" sqref="X25"/>
    </sheetView>
  </sheetViews>
  <sheetFormatPr defaultRowHeight="15" x14ac:dyDescent="0.25"/>
  <cols>
    <col min="2" max="2" width="7.28515625" customWidth="1"/>
    <col min="3" max="3" width="14.7109375" customWidth="1"/>
    <col min="4" max="4" width="9.28515625" hidden="1" customWidth="1"/>
    <col min="5" max="5" width="11.85546875" customWidth="1"/>
    <col min="6" max="6" width="11.140625" customWidth="1"/>
    <col min="7" max="7" width="10.42578125" customWidth="1"/>
    <col min="8" max="8" width="12.7109375" customWidth="1"/>
    <col min="9" max="9" width="10.5703125" hidden="1" customWidth="1"/>
    <col min="10" max="10" width="10.28515625" customWidth="1"/>
    <col min="11" max="11" width="12.140625" customWidth="1"/>
    <col min="12" max="12" width="9.140625" hidden="1" customWidth="1"/>
    <col min="13" max="13" width="13.140625" hidden="1" customWidth="1"/>
    <col min="14" max="14" width="12.28515625" customWidth="1"/>
    <col min="15" max="15" width="13" customWidth="1"/>
    <col min="16" max="16" width="14" hidden="1" customWidth="1"/>
    <col min="17" max="17" width="11.28515625" hidden="1" customWidth="1"/>
    <col min="18" max="18" width="13" customWidth="1"/>
    <col min="19" max="19" width="11" customWidth="1"/>
    <col min="20" max="20" width="12.140625" customWidth="1"/>
    <col min="23" max="23" width="16.140625" customWidth="1"/>
    <col min="24" max="24" width="21.7109375" customWidth="1"/>
  </cols>
  <sheetData>
    <row r="4" spans="2:24" ht="20.25" customHeight="1" x14ac:dyDescent="0.25">
      <c r="B4" s="40" t="s">
        <v>46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2:24" ht="75" x14ac:dyDescent="0.25">
      <c r="B5" s="16" t="s">
        <v>21</v>
      </c>
      <c r="C5" s="1" t="s">
        <v>28</v>
      </c>
      <c r="D5" s="1" t="s">
        <v>39</v>
      </c>
      <c r="E5" s="1" t="s">
        <v>0</v>
      </c>
      <c r="F5" s="1" t="s">
        <v>31</v>
      </c>
      <c r="G5" s="1" t="s">
        <v>34</v>
      </c>
      <c r="H5" s="1" t="s">
        <v>19</v>
      </c>
      <c r="I5" s="18" t="s">
        <v>1</v>
      </c>
      <c r="J5" s="1" t="s">
        <v>2</v>
      </c>
      <c r="K5" s="1" t="s">
        <v>3</v>
      </c>
      <c r="L5" s="18" t="s">
        <v>4</v>
      </c>
      <c r="M5" s="18" t="s">
        <v>5</v>
      </c>
      <c r="N5" s="1" t="s">
        <v>35</v>
      </c>
      <c r="O5" s="1" t="s">
        <v>6</v>
      </c>
      <c r="P5" s="18" t="s">
        <v>7</v>
      </c>
      <c r="Q5" s="17" t="s">
        <v>11</v>
      </c>
      <c r="R5" s="1" t="s">
        <v>9</v>
      </c>
      <c r="S5" s="1" t="s">
        <v>44</v>
      </c>
      <c r="T5" s="1" t="s">
        <v>43</v>
      </c>
    </row>
    <row r="6" spans="2:24" x14ac:dyDescent="0.25">
      <c r="B6" s="2">
        <v>1</v>
      </c>
      <c r="C6" s="2" t="s">
        <v>45</v>
      </c>
      <c r="D6" s="19"/>
      <c r="E6" s="2" t="s">
        <v>20</v>
      </c>
      <c r="F6" s="30">
        <v>141.5</v>
      </c>
      <c r="G6" s="31">
        <f>F6*10.7639</f>
        <v>1523.09185</v>
      </c>
      <c r="H6" s="19">
        <v>2004</v>
      </c>
      <c r="I6" s="2">
        <v>2024</v>
      </c>
      <c r="J6" s="2">
        <f t="shared" ref="J6:J7" si="0">I6-H6</f>
        <v>20</v>
      </c>
      <c r="K6" s="2">
        <v>70</v>
      </c>
      <c r="L6" s="3">
        <v>0.1</v>
      </c>
      <c r="M6" s="4">
        <f>(1-L6)/K6</f>
        <v>1.2857142857142857E-2</v>
      </c>
      <c r="N6" s="27">
        <v>1400</v>
      </c>
      <c r="O6" s="25">
        <f>N6*G6</f>
        <v>2132328.59</v>
      </c>
      <c r="P6" s="25">
        <f>O6*M6*IF(J6&gt;K6,K6,J6)</f>
        <v>548313.06599999999</v>
      </c>
      <c r="Q6" s="23">
        <v>0</v>
      </c>
      <c r="R6" s="25">
        <f>O6-P6</f>
        <v>1584015.5239999997</v>
      </c>
      <c r="S6" s="33">
        <v>12000</v>
      </c>
      <c r="T6" s="25">
        <f>S6*F6</f>
        <v>1698000</v>
      </c>
    </row>
    <row r="7" spans="2:24" x14ac:dyDescent="0.25">
      <c r="B7" s="2">
        <v>2</v>
      </c>
      <c r="C7" s="2" t="s">
        <v>38</v>
      </c>
      <c r="D7" s="19"/>
      <c r="E7" s="2" t="s">
        <v>20</v>
      </c>
      <c r="F7" s="30">
        <v>141.5</v>
      </c>
      <c r="G7" s="31">
        <f t="shared" ref="G7" si="1">F7*10.7639</f>
        <v>1523.09185</v>
      </c>
      <c r="H7" s="19">
        <v>2004</v>
      </c>
      <c r="I7" s="2">
        <v>2024</v>
      </c>
      <c r="J7" s="2">
        <f t="shared" si="0"/>
        <v>20</v>
      </c>
      <c r="K7" s="2">
        <v>70</v>
      </c>
      <c r="L7" s="3">
        <v>0.1</v>
      </c>
      <c r="M7" s="4">
        <f t="shared" ref="M7" si="2">(1-L7)/K7</f>
        <v>1.2857142857142857E-2</v>
      </c>
      <c r="N7" s="27">
        <v>1400</v>
      </c>
      <c r="O7" s="25">
        <f t="shared" ref="O7" si="3">N7*G7</f>
        <v>2132328.59</v>
      </c>
      <c r="P7" s="25">
        <f t="shared" ref="P7" si="4">O7*M7*IF(J7&gt;K7,K7,J7)</f>
        <v>548313.06599999999</v>
      </c>
      <c r="Q7" s="23">
        <v>0</v>
      </c>
      <c r="R7" s="25">
        <f t="shared" ref="R7" si="5">O7-P7</f>
        <v>1584015.5239999997</v>
      </c>
      <c r="S7" s="33">
        <v>12000</v>
      </c>
      <c r="T7" s="25">
        <f t="shared" ref="T7" si="6">S7*F7</f>
        <v>1698000</v>
      </c>
      <c r="W7" s="28" t="s">
        <v>32</v>
      </c>
    </row>
    <row r="8" spans="2:24" x14ac:dyDescent="0.25">
      <c r="B8" s="34" t="s">
        <v>33</v>
      </c>
      <c r="C8" s="34"/>
      <c r="D8" s="34"/>
      <c r="E8" s="34"/>
      <c r="F8" s="24">
        <f>SUM(F6:F7)</f>
        <v>283</v>
      </c>
      <c r="G8" s="24">
        <f>SUM(G6:G7)</f>
        <v>3046.1837</v>
      </c>
      <c r="H8" s="35"/>
      <c r="I8" s="36"/>
      <c r="J8" s="36"/>
      <c r="K8" s="36"/>
      <c r="L8" s="36"/>
      <c r="M8" s="36"/>
      <c r="N8" s="37"/>
      <c r="O8" s="14">
        <f>SUM(O6:O7)</f>
        <v>4264657.18</v>
      </c>
      <c r="P8" s="14">
        <f>SUM(P6:P7)</f>
        <v>1096626.132</v>
      </c>
      <c r="Q8" s="14">
        <v>0</v>
      </c>
      <c r="R8" s="14">
        <f>SUM(R6:R7)</f>
        <v>3168031.0479999995</v>
      </c>
      <c r="S8" s="32"/>
      <c r="T8" s="14">
        <f>SUM(T6:T7)</f>
        <v>3396000</v>
      </c>
      <c r="W8" t="s">
        <v>40</v>
      </c>
      <c r="X8" s="26">
        <f>13000*1.05</f>
        <v>13650</v>
      </c>
    </row>
    <row r="9" spans="2:24" x14ac:dyDescent="0.25">
      <c r="B9" s="38" t="s">
        <v>10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W9" t="s">
        <v>41</v>
      </c>
      <c r="X9" s="41">
        <v>836.43</v>
      </c>
    </row>
    <row r="10" spans="2:24" x14ac:dyDescent="0.25">
      <c r="B10" s="39" t="s">
        <v>47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2:24" x14ac:dyDescent="0.25">
      <c r="B11" s="39" t="s">
        <v>22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W11" t="s">
        <v>42</v>
      </c>
      <c r="X11" s="26">
        <f>X9*X8</f>
        <v>11417269.5</v>
      </c>
    </row>
    <row r="12" spans="2:24" x14ac:dyDescent="0.25">
      <c r="W12" t="s">
        <v>23</v>
      </c>
      <c r="X12" s="15">
        <f>T8</f>
        <v>3396000</v>
      </c>
    </row>
    <row r="13" spans="2:24" x14ac:dyDescent="0.25">
      <c r="W13" t="s">
        <v>42</v>
      </c>
      <c r="X13" s="15">
        <f>X12+X11</f>
        <v>14813269.5</v>
      </c>
    </row>
    <row r="14" spans="2:24" x14ac:dyDescent="0.25">
      <c r="N14" s="22"/>
    </row>
    <row r="15" spans="2:24" x14ac:dyDescent="0.25">
      <c r="N15" s="26"/>
    </row>
    <row r="19" spans="23:24" ht="14.25" customHeight="1" x14ac:dyDescent="0.25">
      <c r="W19" s="28" t="s">
        <v>25</v>
      </c>
    </row>
    <row r="20" spans="23:24" ht="15" customHeight="1" x14ac:dyDescent="0.25">
      <c r="W20" s="28" t="s">
        <v>40</v>
      </c>
      <c r="X20" s="26">
        <v>25000</v>
      </c>
    </row>
    <row r="21" spans="23:24" ht="15" customHeight="1" x14ac:dyDescent="0.25">
      <c r="W21" s="6" t="s">
        <v>37</v>
      </c>
      <c r="X21">
        <v>1000</v>
      </c>
    </row>
    <row r="22" spans="23:24" x14ac:dyDescent="0.25">
      <c r="W22" s="29" t="s">
        <v>36</v>
      </c>
      <c r="X22" s="26">
        <f>X21*X20</f>
        <v>25000000</v>
      </c>
    </row>
    <row r="23" spans="23:24" x14ac:dyDescent="0.25">
      <c r="W23" s="29" t="s">
        <v>23</v>
      </c>
      <c r="X23" s="5">
        <f>R8</f>
        <v>3168031.0479999995</v>
      </c>
    </row>
    <row r="24" spans="23:24" x14ac:dyDescent="0.25">
      <c r="W24" s="28" t="s">
        <v>24</v>
      </c>
      <c r="X24" s="12"/>
    </row>
    <row r="25" spans="23:24" x14ac:dyDescent="0.25">
      <c r="W25" s="29" t="s">
        <v>25</v>
      </c>
      <c r="X25" s="5">
        <f>X22+X23+X24</f>
        <v>28168031.048</v>
      </c>
    </row>
    <row r="27" spans="23:24" x14ac:dyDescent="0.25">
      <c r="X27" s="20"/>
    </row>
    <row r="29" spans="23:24" x14ac:dyDescent="0.25">
      <c r="X29" s="21">
        <f>X28+X27</f>
        <v>0</v>
      </c>
    </row>
    <row r="31" spans="23:24" x14ac:dyDescent="0.25">
      <c r="W31" s="28" t="s">
        <v>26</v>
      </c>
      <c r="X31" s="5">
        <f>ROUNDUP(X25:X25,(-5))</f>
        <v>28200000</v>
      </c>
    </row>
    <row r="32" spans="23:24" x14ac:dyDescent="0.25">
      <c r="W32" s="28" t="s">
        <v>29</v>
      </c>
      <c r="X32" s="5">
        <f>0.85*X31</f>
        <v>23970000</v>
      </c>
    </row>
    <row r="33" spans="23:24" x14ac:dyDescent="0.25">
      <c r="W33" s="28" t="s">
        <v>30</v>
      </c>
      <c r="X33" s="5">
        <f>X31*0.75</f>
        <v>21150000</v>
      </c>
    </row>
    <row r="34" spans="23:24" x14ac:dyDescent="0.25">
      <c r="W34" s="28"/>
    </row>
    <row r="35" spans="23:24" x14ac:dyDescent="0.25">
      <c r="W35" s="28" t="s">
        <v>27</v>
      </c>
      <c r="X35" s="5">
        <f>0.8*O8</f>
        <v>3411725.7439999999</v>
      </c>
    </row>
  </sheetData>
  <mergeCells count="6">
    <mergeCell ref="B11:T11"/>
    <mergeCell ref="B4:T4"/>
    <mergeCell ref="B8:E8"/>
    <mergeCell ref="H8:N8"/>
    <mergeCell ref="B9:T9"/>
    <mergeCell ref="B10:T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workbookViewId="0">
      <selection activeCell="K18" sqref="K18"/>
    </sheetView>
  </sheetViews>
  <sheetFormatPr defaultRowHeight="15" x14ac:dyDescent="0.25"/>
  <cols>
    <col min="1" max="1" width="8.7109375" bestFit="1" customWidth="1"/>
    <col min="2" max="2" width="13.7109375" customWidth="1"/>
    <col min="3" max="4" width="10.7109375" customWidth="1"/>
    <col min="5" max="5" width="8.5703125" bestFit="1" customWidth="1"/>
    <col min="6" max="6" width="7.7109375" bestFit="1" customWidth="1"/>
    <col min="7" max="7" width="9" customWidth="1"/>
    <col min="8" max="8" width="9.5703125" customWidth="1"/>
    <col min="9" max="9" width="13" customWidth="1"/>
    <col min="10" max="10" width="12.7109375" customWidth="1"/>
    <col min="11" max="11" width="11.5703125" customWidth="1"/>
    <col min="12" max="12" width="11.85546875" customWidth="1"/>
    <col min="13" max="13" width="13" customWidth="1"/>
  </cols>
  <sheetData>
    <row r="1" spans="1:13" ht="15.75" x14ac:dyDescent="0.25">
      <c r="A1" s="40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04.25" x14ac:dyDescent="0.25">
      <c r="A2" s="7" t="s">
        <v>17</v>
      </c>
      <c r="B2" s="7" t="s">
        <v>13</v>
      </c>
      <c r="C2" s="7" t="s">
        <v>1</v>
      </c>
      <c r="D2" s="7" t="s">
        <v>14</v>
      </c>
      <c r="E2" s="7" t="s">
        <v>15</v>
      </c>
      <c r="F2" s="7" t="s">
        <v>4</v>
      </c>
      <c r="G2" s="7" t="s">
        <v>5</v>
      </c>
      <c r="H2" s="7" t="s">
        <v>18</v>
      </c>
      <c r="I2" s="7" t="s">
        <v>6</v>
      </c>
      <c r="J2" s="7" t="s">
        <v>7</v>
      </c>
      <c r="K2" s="7" t="s">
        <v>8</v>
      </c>
      <c r="L2" s="7" t="s">
        <v>16</v>
      </c>
      <c r="M2" s="7" t="s">
        <v>9</v>
      </c>
    </row>
    <row r="3" spans="1:13" x14ac:dyDescent="0.25">
      <c r="A3" s="8">
        <v>130</v>
      </c>
      <c r="B3" s="9">
        <v>2023</v>
      </c>
      <c r="C3" s="9">
        <v>2024</v>
      </c>
      <c r="D3" s="9">
        <f>C3-B3</f>
        <v>1</v>
      </c>
      <c r="E3" s="9">
        <v>60</v>
      </c>
      <c r="F3" s="10">
        <v>0.1</v>
      </c>
      <c r="G3" s="11">
        <f>(1-F3)/E3</f>
        <v>1.5000000000000001E-2</v>
      </c>
      <c r="H3" s="12">
        <v>4000</v>
      </c>
      <c r="I3" s="12">
        <f>H3*A3</f>
        <v>520000</v>
      </c>
      <c r="J3" s="12">
        <f>I3*G3*D3</f>
        <v>7800.0000000000009</v>
      </c>
      <c r="K3" s="12">
        <f>MAX(I3-J3,0)</f>
        <v>512200</v>
      </c>
      <c r="L3" s="13">
        <v>0</v>
      </c>
      <c r="M3" s="12">
        <f>IF(K3&gt;F3*I3,K3*(1-L3),I3*F3)</f>
        <v>512200</v>
      </c>
    </row>
    <row r="13" spans="1:13" x14ac:dyDescent="0.25">
      <c r="K13">
        <f>28*24.5</f>
        <v>686</v>
      </c>
    </row>
    <row r="14" spans="1:13" x14ac:dyDescent="0.25">
      <c r="K14">
        <f>17*24.5</f>
        <v>416.5</v>
      </c>
    </row>
    <row r="15" spans="1:13" x14ac:dyDescent="0.25">
      <c r="K15">
        <f>62*127</f>
        <v>7874</v>
      </c>
    </row>
    <row r="16" spans="1:13" x14ac:dyDescent="0.25">
      <c r="K16">
        <f>SUM(K13:K15)</f>
        <v>8976.5</v>
      </c>
    </row>
    <row r="17" spans="11:11" x14ac:dyDescent="0.25">
      <c r="K17" s="42">
        <f>K16/10.7639</f>
        <v>833.94494560521753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2024-01-16T06:58:26Z</dcterms:modified>
</cp:coreProperties>
</file>