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Nischay gautam\Kedarnath_Nischay\"/>
    </mc:Choice>
  </mc:AlternateContent>
  <bookViews>
    <workbookView xWindow="0" yWindow="0" windowWidth="20490" windowHeight="7755"/>
  </bookViews>
  <sheets>
    <sheet name="Sheet1" sheetId="1" r:id="rId1"/>
    <sheet name="Sheet3" sheetId="3" r:id="rId2"/>
    <sheet name="Calculations" sheetId="4" r:id="rId3"/>
  </sheets>
  <definedNames>
    <definedName name="_xlnm._FilterDatabase" localSheetId="0" hidden="1">Sheet1!$E$3:$E$32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1" i="1" l="1"/>
  <c r="P25" i="1"/>
  <c r="P24" i="1"/>
  <c r="P15" i="1" l="1"/>
  <c r="P23" i="1"/>
  <c r="P21" i="1" l="1"/>
  <c r="E25" i="1"/>
  <c r="F25" i="1"/>
  <c r="F8" i="1" l="1"/>
  <c r="Q6" i="1"/>
  <c r="N6" i="1"/>
  <c r="N7" i="1"/>
  <c r="Q7" i="1" s="1"/>
  <c r="K6" i="1"/>
  <c r="K7" i="1"/>
  <c r="G6" i="1"/>
  <c r="P6" i="1" s="1"/>
  <c r="G7" i="1"/>
  <c r="P7" i="1" s="1"/>
  <c r="G5" i="1"/>
  <c r="G8" i="1" s="1"/>
  <c r="R6" i="1" l="1"/>
  <c r="T6" i="1" s="1"/>
  <c r="R7" i="1"/>
  <c r="T7" i="1" s="1"/>
  <c r="N5" i="1"/>
  <c r="K5" i="1"/>
  <c r="M17" i="4" l="1"/>
  <c r="M15" i="4" l="1"/>
  <c r="M12" i="4" l="1"/>
  <c r="Z35" i="1" l="1"/>
  <c r="K6" i="4"/>
  <c r="K8" i="4" s="1"/>
  <c r="K14" i="4"/>
  <c r="AH30" i="1" l="1"/>
  <c r="AF30" i="1"/>
  <c r="AI30" i="1" s="1"/>
  <c r="AH29" i="1"/>
  <c r="AF29" i="1"/>
  <c r="AC29" i="1"/>
  <c r="B19" i="4"/>
  <c r="I3" i="4"/>
  <c r="B18" i="4"/>
  <c r="F18" i="4"/>
  <c r="AI29" i="1" l="1"/>
  <c r="AJ29" i="1" s="1"/>
  <c r="AL29" i="1" s="1"/>
  <c r="AJ30" i="1"/>
  <c r="AL30" i="1" s="1"/>
  <c r="C3" i="4" l="1"/>
  <c r="B6" i="4" l="1"/>
  <c r="I16" i="4" l="1"/>
  <c r="G3" i="4"/>
  <c r="F6" i="4" s="1"/>
  <c r="B16" i="4" l="1"/>
  <c r="B9" i="4"/>
  <c r="B10" i="4" s="1"/>
  <c r="B12" i="4" s="1"/>
  <c r="P5" i="1"/>
  <c r="P8" i="1" s="1"/>
  <c r="G7" i="3"/>
  <c r="G6" i="3"/>
  <c r="D7" i="3"/>
  <c r="D6" i="3"/>
  <c r="S8" i="1"/>
  <c r="H7" i="3" l="1"/>
  <c r="H6" i="3"/>
  <c r="B11" i="4"/>
  <c r="Q5" i="1"/>
  <c r="R5" i="1" s="1"/>
  <c r="R8" i="1" s="1"/>
  <c r="F13" i="4"/>
  <c r="H8" i="3" l="1"/>
  <c r="H10" i="3" s="1"/>
  <c r="T5" i="1"/>
  <c r="T8" i="1" s="1"/>
  <c r="F7" i="4" l="1"/>
  <c r="F9" i="4" s="1"/>
  <c r="F10" i="4" l="1"/>
  <c r="F12" i="4" l="1"/>
  <c r="F11" i="4"/>
</calcChain>
</file>

<file path=xl/sharedStrings.xml><?xml version="1.0" encoding="utf-8"?>
<sst xmlns="http://schemas.openxmlformats.org/spreadsheetml/2006/main" count="82" uniqueCount="65">
  <si>
    <t>SR. No.</t>
  </si>
  <si>
    <t>Floor</t>
  </si>
  <si>
    <t>Type of Structure</t>
  </si>
  <si>
    <r>
      <t xml:space="preserve">Area 
</t>
    </r>
    <r>
      <rPr>
        <b/>
        <i/>
        <sz val="10"/>
        <rFont val="Calibri"/>
        <family val="2"/>
        <scheme val="minor"/>
      </rPr>
      <t>(in sq.ft)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</si>
  <si>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</si>
  <si>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</si>
  <si>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</si>
  <si>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</si>
  <si>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</si>
  <si>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</si>
  <si>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</si>
  <si>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</si>
  <si>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</si>
  <si>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Discounting Factor</t>
  </si>
  <si>
    <t>Depreciated Replacement Market Value
(INR)</t>
  </si>
  <si>
    <t>TOTAL</t>
  </si>
  <si>
    <t>Remarks:</t>
  </si>
  <si>
    <r>
      <t>Area</t>
    </r>
    <r>
      <rPr>
        <b/>
        <sz val="10"/>
        <rFont val="Calibri"/>
        <family val="2"/>
        <scheme val="minor"/>
      </rPr>
      <t xml:space="preserve"> (in sq. mtr.)</t>
    </r>
  </si>
  <si>
    <t>RCC structure bounded by brick wall</t>
  </si>
  <si>
    <t>Depriciation Factor</t>
  </si>
  <si>
    <t>Particular</t>
  </si>
  <si>
    <t>Govt guidline rate for construction(Per SQM)</t>
  </si>
  <si>
    <t>Guidline Value</t>
  </si>
  <si>
    <t>Particulars</t>
  </si>
  <si>
    <t>R.C.C</t>
  </si>
  <si>
    <t>Tin Shed</t>
  </si>
  <si>
    <t>Tin Shed and Tin Sheet Roof</t>
  </si>
  <si>
    <r>
      <t>4.</t>
    </r>
    <r>
      <rPr>
        <b/>
        <i/>
        <sz val="10"/>
        <color theme="1"/>
        <rFont val="Calibri"/>
        <family val="2"/>
        <scheme val="minor"/>
      </rPr>
      <t xml:space="preserve"> The valuation is done by considering the depreciated replacement cost approach.</t>
    </r>
  </si>
  <si>
    <t>Land</t>
  </si>
  <si>
    <t>Rate</t>
  </si>
  <si>
    <t>Value</t>
  </si>
  <si>
    <t xml:space="preserve"> -   </t>
  </si>
  <si>
    <t>land</t>
  </si>
  <si>
    <t>Building</t>
  </si>
  <si>
    <t>Aesthetic</t>
  </si>
  <si>
    <t>Fair market</t>
  </si>
  <si>
    <t>Round off</t>
  </si>
  <si>
    <t>Realizable</t>
  </si>
  <si>
    <t>Distress</t>
  </si>
  <si>
    <t>FMV</t>
  </si>
  <si>
    <t>Govt.</t>
  </si>
  <si>
    <t>Depreciation amount
(INR)</t>
  </si>
  <si>
    <t xml:space="preserve">Depreciation factor
 </t>
  </si>
  <si>
    <t>RCC</t>
  </si>
  <si>
    <t>Rs.8,00,000</t>
  </si>
  <si>
    <t>Insurance</t>
  </si>
  <si>
    <t xml:space="preserve"> Ground Floor</t>
  </si>
  <si>
    <t>Govt Land</t>
  </si>
  <si>
    <r>
      <t xml:space="preserve">Area 
</t>
    </r>
    <r>
      <rPr>
        <b/>
        <i/>
        <sz val="10"/>
        <rFont val="Calibri"/>
        <family val="2"/>
        <scheme val="minor"/>
      </rPr>
      <t>(in sq.mtr)</t>
    </r>
  </si>
  <si>
    <t>Note;-</t>
  </si>
  <si>
    <t>2. Construction year of the building is taken as per the information provided by the client during site survey.</t>
  </si>
  <si>
    <t xml:space="preserve">S No. </t>
  </si>
  <si>
    <t>Total</t>
  </si>
  <si>
    <t>Area(Sq. mtr.)</t>
  </si>
  <si>
    <t>Purchase Price (Rs)</t>
  </si>
  <si>
    <t>Ground</t>
  </si>
  <si>
    <t>First</t>
  </si>
  <si>
    <t>Mumty</t>
  </si>
  <si>
    <t>BUILDING VALUATION FOR M/S SHREE KEDARNATH SCREENING &amp; CONSTRUCTION</t>
  </si>
  <si>
    <r>
      <t xml:space="preserve">3. </t>
    </r>
    <r>
      <rPr>
        <b/>
        <i/>
        <sz val="10"/>
        <color theme="1"/>
        <rFont val="Calibri"/>
        <family val="2"/>
        <scheme val="minor"/>
      </rPr>
      <t>All the building and structures belongs to M/s Shree Kedarnatha Screening &amp; Construction</t>
    </r>
  </si>
  <si>
    <t>Plot No.</t>
  </si>
  <si>
    <r>
      <t xml:space="preserve">1. </t>
    </r>
    <r>
      <rPr>
        <b/>
        <i/>
        <sz val="10"/>
        <color theme="1"/>
        <rFont val="Calibri"/>
        <family val="2"/>
        <scheme val="minor"/>
      </rPr>
      <t>All the details pertaining to the building area statement such as area, floor, type of structure, age of the building etc. has been taken as per information provided by client during survey.</t>
    </r>
  </si>
  <si>
    <t>fair value</t>
  </si>
  <si>
    <t>Buildng</t>
  </si>
  <si>
    <t xml:space="preserve">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</si>
</sst>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_ ;_ * \-#,##0_ ;_ * &quot;-&quot;??_ ;_ @_ "/>
    <numFmt numFmtId="165" formatCode="_ * #,##0.000_ ;_ * \-#,##0.000_ ;_ * &quot;-&quot;??_ ;_ @_ "/>
    <numFmt numFmtId="166" formatCode="_ * #,##0.0000_ ;_ * \-#,##0.0000_ ;_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b/>
      <i/>
      <sz val="11"/>
      <color theme="1"/>
      <name val="Calibri"/>
      <family val="2"/>
      <scheme val="minor"/>
    </font>
    <font>
      <b/>
      <i/>
      <sz val="10"/>
      <color theme="1"/>
      <name val="Calibri"/>
      <family val="2"/>
      <scheme val="minor"/>
    </font>
    <font>
      <b/>
      <sz val="10"/>
      <name val="Calibri"/>
      <family val="2"/>
      <scheme val="minor"/>
    </font>
    <font>
      <b/>
      <sz val="12"/>
      <color theme="1"/>
      <name val="Calibri"/>
      <family val="2"/>
      <scheme val="minor"/>
    </font>
    <font>
      <sz val="11"/>
      <name val="Calibri"/>
      <family val="2"/>
      <scheme val="minor"/>
    </font>
    <font>
      <b/>
      <sz val="10"/>
      <color theme="1"/>
      <name val="Arial"/>
      <family val="2"/>
    </font>
    <font>
      <b/>
      <sz val="14"/>
      <color theme="0"/>
      <name val="Calibri"/>
      <family val="2"/>
      <scheme val="minor"/>
    </font>
    <font>
      <sz val="12"/>
      <color theme="1"/>
      <name val="Calibri"/>
      <family val="2"/>
      <scheme val="minor"/>
    </font>
    <font>
      <sz val="10"/>
      <color theme="1"/>
      <name val="Arial"/>
      <family val="2"/>
    </font>
  </fonts>
  <fills count="5">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43" fontId="1" fillId="0" borderId="0" applyFont="0" applyFill="0" applyBorder="0" applyAlignment="0" applyProtection="0"/>
  </cellStyleXfs>
  <cellXfs count="109">
    <xf numFmtId="0" fontId="0" fillId="0" borderId="0" xfId="0"/>
    <xf numFmtId="0" fontId="4" fillId="3" borderId="4" xfId="0" applyFont="1" applyFill="1" applyBorder="1" applyAlignment="1">
      <alignment horizontal="center" vertical="center" wrapText="1"/>
    </xf>
    <xf numFmtId="0" fontId="0" fillId="0" borderId="0" xfId="0" applyAlignment="1">
      <alignment wrapText="1"/>
    </xf>
    <xf numFmtId="164" fontId="0" fillId="0" borderId="0" xfId="1" applyNumberFormat="1" applyFont="1"/>
    <xf numFmtId="43" fontId="0" fillId="0" borderId="0" xfId="0" applyNumberFormat="1"/>
    <xf numFmtId="43" fontId="0" fillId="0" borderId="0" xfId="1" applyFont="1"/>
    <xf numFmtId="0" fontId="0" fillId="0" borderId="13" xfId="0" applyBorder="1" applyAlignment="1">
      <alignment horizontal="center" vertical="center" wrapText="1"/>
    </xf>
    <xf numFmtId="0" fontId="0" fillId="4" borderId="0" xfId="0" applyFill="1"/>
    <xf numFmtId="43" fontId="4" fillId="4" borderId="5" xfId="1" applyFont="1" applyFill="1" applyBorder="1" applyAlignment="1">
      <alignment horizontal="center" vertical="center" wrapText="1"/>
    </xf>
    <xf numFmtId="43" fontId="4" fillId="4" borderId="4" xfId="1" applyFont="1" applyFill="1" applyBorder="1" applyAlignment="1">
      <alignment horizontal="center" vertical="center" wrapText="1"/>
    </xf>
    <xf numFmtId="0" fontId="10" fillId="4" borderId="4" xfId="0"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43" fontId="4" fillId="3" borderId="16" xfId="1" applyFont="1" applyFill="1" applyBorder="1" applyAlignment="1">
      <alignment horizontal="center" vertical="center" wrapText="1"/>
    </xf>
    <xf numFmtId="164" fontId="4" fillId="3" borderId="17" xfId="1" applyNumberFormat="1"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wrapText="1"/>
    </xf>
    <xf numFmtId="43" fontId="0" fillId="0" borderId="10" xfId="1" applyFont="1" applyBorder="1" applyAlignment="1">
      <alignment horizontal="center" vertical="center"/>
    </xf>
    <xf numFmtId="43" fontId="1" fillId="0" borderId="10" xfId="1" applyFill="1" applyBorder="1" applyAlignment="1">
      <alignment horizontal="center" vertical="center" wrapText="1"/>
    </xf>
    <xf numFmtId="164" fontId="0" fillId="0" borderId="10" xfId="1" applyNumberFormat="1" applyFont="1" applyBorder="1" applyAlignment="1">
      <alignment horizontal="center" vertical="center" wrapText="1"/>
    </xf>
    <xf numFmtId="165" fontId="0" fillId="0" borderId="10" xfId="1" applyNumberFormat="1" applyFont="1" applyBorder="1" applyAlignment="1">
      <alignment horizontal="center" vertical="center" wrapText="1"/>
    </xf>
    <xf numFmtId="164" fontId="1" fillId="0" borderId="11" xfId="1" applyNumberFormat="1" applyFill="1" applyBorder="1" applyAlignment="1">
      <alignment horizontal="center" vertical="center" wrapText="1"/>
    </xf>
    <xf numFmtId="164" fontId="1" fillId="0" borderId="14" xfId="1" applyNumberFormat="1" applyFill="1" applyBorder="1" applyAlignment="1">
      <alignment horizontal="center" vertical="center" wrapText="1"/>
    </xf>
    <xf numFmtId="43" fontId="0" fillId="0" borderId="13" xfId="1" applyFont="1" applyBorder="1" applyAlignment="1">
      <alignment horizontal="center" vertical="center"/>
    </xf>
    <xf numFmtId="43" fontId="1" fillId="0" borderId="13" xfId="1" applyFill="1" applyBorder="1" applyAlignment="1">
      <alignment horizontal="center" vertical="center" wrapText="1"/>
    </xf>
    <xf numFmtId="164" fontId="0" fillId="0" borderId="13" xfId="1" applyNumberFormat="1" applyFont="1" applyBorder="1" applyAlignment="1">
      <alignment horizontal="center" vertical="center" wrapText="1"/>
    </xf>
    <xf numFmtId="165" fontId="0" fillId="0" borderId="13" xfId="1" applyNumberFormat="1" applyFont="1" applyBorder="1" applyAlignment="1">
      <alignment horizontal="center" vertical="center" wrapText="1"/>
    </xf>
    <xf numFmtId="166" fontId="0" fillId="0" borderId="0" xfId="0" applyNumberFormat="1"/>
    <xf numFmtId="0" fontId="0" fillId="0" borderId="12" xfId="0" applyBorder="1" applyAlignment="1">
      <alignment horizontal="center" vertical="center"/>
    </xf>
    <xf numFmtId="164" fontId="2" fillId="0" borderId="21" xfId="1" applyNumberFormat="1" applyFont="1" applyBorder="1"/>
    <xf numFmtId="0" fontId="2" fillId="0" borderId="0" xfId="0" applyFont="1"/>
    <xf numFmtId="0" fontId="2" fillId="0" borderId="0" xfId="0" applyFont="1" applyAlignment="1">
      <alignment wrapText="1"/>
    </xf>
    <xf numFmtId="0" fontId="2" fillId="4" borderId="0" xfId="0" applyFont="1" applyFill="1"/>
    <xf numFmtId="43" fontId="10" fillId="0" borderId="4" xfId="1" applyFont="1" applyBorder="1" applyAlignment="1">
      <alignment horizontal="center" vertical="center" wrapText="1"/>
    </xf>
    <xf numFmtId="164" fontId="10" fillId="4" borderId="4" xfId="1" applyNumberFormat="1" applyFont="1" applyFill="1" applyBorder="1" applyAlignment="1">
      <alignment horizontal="center" vertical="center" wrapText="1"/>
    </xf>
    <xf numFmtId="164" fontId="4" fillId="4" borderId="5" xfId="1" applyNumberFormat="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9" fontId="0" fillId="0" borderId="0" xfId="0" applyNumberFormat="1"/>
    <xf numFmtId="164" fontId="0" fillId="0" borderId="0" xfId="0" applyNumberFormat="1"/>
    <xf numFmtId="0" fontId="0" fillId="0" borderId="4" xfId="0" applyBorder="1" applyAlignment="1">
      <alignment horizontal="left" vertical="center"/>
    </xf>
    <xf numFmtId="0" fontId="0" fillId="0" borderId="4" xfId="0" applyBorder="1" applyAlignment="1">
      <alignment horizontal="center" vertical="center"/>
    </xf>
    <xf numFmtId="2" fontId="0" fillId="0" borderId="0" xfId="0" applyNumberFormat="1"/>
    <xf numFmtId="2" fontId="0" fillId="0" borderId="22" xfId="0" applyNumberFormat="1" applyBorder="1"/>
    <xf numFmtId="2" fontId="0" fillId="0" borderId="27" xfId="0" applyNumberFormat="1" applyBorder="1"/>
    <xf numFmtId="2" fontId="0" fillId="0" borderId="23" xfId="0" applyNumberFormat="1" applyBorder="1"/>
    <xf numFmtId="2" fontId="0" fillId="0" borderId="18" xfId="0" applyNumberFormat="1" applyBorder="1"/>
    <xf numFmtId="2" fontId="0" fillId="0" borderId="19" xfId="0" applyNumberFormat="1" applyBorder="1"/>
    <xf numFmtId="2" fontId="0" fillId="0" borderId="26" xfId="0" applyNumberFormat="1" applyBorder="1"/>
    <xf numFmtId="2" fontId="11" fillId="0" borderId="0" xfId="0" applyNumberFormat="1" applyFont="1"/>
    <xf numFmtId="2" fontId="0" fillId="0" borderId="24" xfId="0" applyNumberFormat="1" applyBorder="1"/>
    <xf numFmtId="2" fontId="0" fillId="0" borderId="25" xfId="0" applyNumberFormat="1" applyBorder="1"/>
    <xf numFmtId="2" fontId="0" fillId="0" borderId="0" xfId="1" applyNumberFormat="1" applyFont="1"/>
    <xf numFmtId="1" fontId="0" fillId="0" borderId="26" xfId="0" applyNumberFormat="1" applyBorder="1"/>
    <xf numFmtId="1" fontId="0" fillId="0" borderId="25" xfId="0" applyNumberFormat="1" applyBorder="1"/>
    <xf numFmtId="1" fontId="11" fillId="0" borderId="0" xfId="0" applyNumberFormat="1" applyFont="1"/>
    <xf numFmtId="164" fontId="10" fillId="0" borderId="4" xfId="1" applyNumberFormat="1" applyFont="1" applyBorder="1" applyAlignment="1">
      <alignment horizontal="center" vertical="center" wrapText="1"/>
    </xf>
    <xf numFmtId="0" fontId="10" fillId="4" borderId="4" xfId="0" applyFont="1" applyFill="1" applyBorder="1" applyAlignment="1">
      <alignment horizontal="right" vertical="center" wrapText="1"/>
    </xf>
    <xf numFmtId="0" fontId="13" fillId="0" borderId="0" xfId="0" applyFont="1"/>
    <xf numFmtId="0" fontId="14" fillId="0" borderId="0" xfId="0" applyFont="1"/>
    <xf numFmtId="164" fontId="0" fillId="0" borderId="4" xfId="1" applyNumberFormat="1" applyFont="1" applyBorder="1"/>
    <xf numFmtId="0" fontId="0" fillId="0" borderId="4" xfId="0" applyFont="1" applyBorder="1" applyAlignment="1">
      <alignment horizontal="center"/>
    </xf>
    <xf numFmtId="2" fontId="2" fillId="0" borderId="4"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0" fontId="2" fillId="0" borderId="4" xfId="0" applyFont="1" applyBorder="1" applyAlignment="1">
      <alignment horizontal="center" vertical="center"/>
    </xf>
    <xf numFmtId="164" fontId="2" fillId="0" borderId="4" xfId="1" applyNumberFormat="1" applyFont="1" applyBorder="1" applyAlignment="1">
      <alignment wrapText="1"/>
    </xf>
    <xf numFmtId="0" fontId="0" fillId="0" borderId="4" xfId="1" applyNumberFormat="1" applyFont="1" applyBorder="1" applyAlignment="1">
      <alignment horizontal="center" vertical="center"/>
    </xf>
    <xf numFmtId="0" fontId="0" fillId="0" borderId="4" xfId="0" applyFont="1" applyBorder="1" applyAlignment="1">
      <alignment horizontal="center" vertical="center"/>
    </xf>
    <xf numFmtId="0" fontId="2" fillId="0" borderId="4" xfId="0" applyFont="1" applyBorder="1" applyAlignment="1">
      <alignment horizontal="center" vertical="center" wrapText="1"/>
    </xf>
    <xf numFmtId="0" fontId="4" fillId="3" borderId="4" xfId="0" applyFont="1" applyFill="1" applyBorder="1" applyAlignment="1">
      <alignment horizontal="center" vertical="center"/>
    </xf>
    <xf numFmtId="3" fontId="11" fillId="0" borderId="0" xfId="0" applyNumberFormat="1" applyFont="1"/>
    <xf numFmtId="0" fontId="10" fillId="4" borderId="2" xfId="0" applyFont="1" applyFill="1" applyBorder="1" applyAlignment="1">
      <alignment horizontal="center" vertical="center" wrapText="1"/>
    </xf>
    <xf numFmtId="0" fontId="10" fillId="3" borderId="5" xfId="0" applyFont="1" applyFill="1" applyBorder="1" applyAlignment="1">
      <alignment horizontal="center" vertical="center" wrapText="1"/>
    </xf>
    <xf numFmtId="1" fontId="0" fillId="0" borderId="0" xfId="0" applyNumberFormat="1"/>
    <xf numFmtId="0" fontId="0" fillId="0" borderId="4" xfId="0" applyBorder="1"/>
    <xf numFmtId="164" fontId="0" fillId="0" borderId="4" xfId="0" applyNumberFormat="1" applyBorder="1"/>
    <xf numFmtId="43" fontId="0" fillId="0" borderId="4" xfId="0" applyNumberFormat="1" applyBorder="1"/>
    <xf numFmtId="164" fontId="2" fillId="0" borderId="4" xfId="0" applyNumberFormat="1" applyFont="1" applyBorder="1"/>
    <xf numFmtId="164" fontId="2" fillId="0" borderId="4" xfId="1" applyNumberFormat="1" applyFont="1" applyBorder="1"/>
    <xf numFmtId="0" fontId="2" fillId="0" borderId="1" xfId="0" applyFont="1" applyBorder="1" applyAlignment="1">
      <alignment horizontal="center"/>
    </xf>
    <xf numFmtId="0" fontId="2" fillId="0" borderId="3" xfId="0" applyFont="1" applyBorder="1" applyAlignment="1">
      <alignment horizont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4"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0" fillId="0" borderId="4" xfId="0" applyBorder="1" applyAlignment="1">
      <alignment horizontal="center" vertical="center" wrapText="1"/>
    </xf>
    <xf numFmtId="0" fontId="10" fillId="4" borderId="4" xfId="0" applyFont="1" applyFill="1" applyBorder="1" applyAlignment="1">
      <alignment horizontal="center" vertical="center"/>
    </xf>
    <xf numFmtId="0" fontId="9" fillId="3" borderId="6" xfId="0" applyFont="1"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2" fontId="0" fillId="0" borderId="6" xfId="0" applyNumberFormat="1" applyBorder="1" applyAlignment="1">
      <alignment horizontal="center"/>
    </xf>
    <xf numFmtId="2" fontId="0" fillId="0" borderId="7" xfId="0" applyNumberFormat="1" applyBorder="1" applyAlignment="1">
      <alignment horizontal="center"/>
    </xf>
    <xf numFmtId="2" fontId="0" fillId="0" borderId="8" xfId="0" applyNumberFormat="1" applyBorder="1" applyAlignment="1">
      <alignment horizontal="center"/>
    </xf>
    <xf numFmtId="3"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L35"/>
  <sheetViews>
    <sheetView tabSelected="1" zoomScaleNormal="100" workbookViewId="0">
      <selection activeCell="P25" sqref="P25"/>
    </sheetView>
  </sheetViews>
  <sheetFormatPr defaultRowHeight="15" x14ac:dyDescent="0.25"/>
  <cols>
    <col min="1" max="1" width="7.42578125" customWidth="1"/>
    <col min="2" max="2" width="6.28515625" customWidth="1"/>
    <col min="3" max="3" width="10.28515625" customWidth="1"/>
    <col min="4" max="4" width="13.140625" customWidth="1"/>
    <col min="5" max="5" width="9.7109375" style="2" customWidth="1"/>
    <col min="6" max="6" width="9.28515625" style="2" customWidth="1"/>
    <col min="7" max="7" width="12.140625" customWidth="1"/>
    <col min="8" max="8" width="6.7109375" style="7" customWidth="1"/>
    <col min="9" max="9" width="13.140625" customWidth="1"/>
    <col min="10" max="10" width="9.7109375" customWidth="1"/>
    <col min="11" max="11" width="10.42578125" customWidth="1"/>
    <col min="12" max="12" width="11" hidden="1" customWidth="1"/>
    <col min="13" max="13" width="7.85546875" hidden="1" customWidth="1"/>
    <col min="14" max="14" width="12.28515625" hidden="1" customWidth="1"/>
    <col min="15" max="15" width="11.7109375" customWidth="1"/>
    <col min="16" max="16" width="15.5703125" customWidth="1"/>
    <col min="17" max="17" width="16.42578125" hidden="1" customWidth="1"/>
    <col min="18" max="18" width="14.7109375" hidden="1" customWidth="1"/>
    <col min="19" max="19" width="11.7109375" hidden="1" customWidth="1"/>
    <col min="20" max="20" width="20" customWidth="1"/>
    <col min="21" max="21" width="11.5703125" bestFit="1" customWidth="1"/>
    <col min="22" max="22" width="14.28515625" style="3" bestFit="1" customWidth="1"/>
    <col min="23" max="23" width="15.42578125" bestFit="1" customWidth="1"/>
    <col min="24" max="24" width="14.42578125" bestFit="1" customWidth="1"/>
    <col min="25" max="25" width="15.42578125" bestFit="1" customWidth="1"/>
    <col min="26" max="26" width="22.28515625" customWidth="1"/>
    <col min="27" max="27" width="14.42578125" bestFit="1" customWidth="1"/>
    <col min="28" max="28" width="10.28515625" bestFit="1" customWidth="1"/>
    <col min="31" max="31" width="14.42578125" bestFit="1" customWidth="1"/>
    <col min="34" max="34" width="12.5703125" customWidth="1"/>
    <col min="38" max="38" width="16" customWidth="1"/>
  </cols>
  <sheetData>
    <row r="3" spans="2:34" ht="29.25" customHeight="1" x14ac:dyDescent="0.25">
      <c r="B3" s="85" t="s">
        <v>58</v>
      </c>
      <c r="C3" s="86"/>
      <c r="D3" s="86"/>
      <c r="E3" s="86"/>
      <c r="F3" s="86"/>
      <c r="G3" s="86"/>
      <c r="H3" s="86"/>
      <c r="I3" s="86"/>
      <c r="J3" s="86"/>
      <c r="K3" s="86"/>
      <c r="L3" s="86"/>
      <c r="M3" s="86"/>
      <c r="N3" s="86"/>
      <c r="O3" s="86"/>
      <c r="P3" s="86"/>
      <c r="Q3" s="86"/>
      <c r="R3" s="86"/>
      <c r="S3" s="86"/>
      <c r="T3" s="87"/>
    </row>
    <row r="4" spans="2:34" ht="60" x14ac:dyDescent="0.25">
      <c r="B4" s="1" t="s">
        <v>0</v>
      </c>
      <c r="C4" s="1" t="s">
        <v>23</v>
      </c>
      <c r="D4" s="1" t="s">
        <v>1</v>
      </c>
      <c r="E4" s="1" t="s">
        <v>2</v>
      </c>
      <c r="F4" s="1" t="s">
        <v>48</v>
      </c>
      <c r="G4" s="1" t="s">
        <v>3</v>
      </c>
      <c r="H4" s="1" t="s">
        <v>4</v>
      </c>
      <c r="I4" s="1" t="s">
        <v>5</v>
      </c>
      <c r="J4" s="1" t="s">
        <v>6</v>
      </c>
      <c r="K4" s="1" t="s">
        <v>7</v>
      </c>
      <c r="L4" s="1" t="s">
        <v>8</v>
      </c>
      <c r="M4" s="1" t="s">
        <v>9</v>
      </c>
      <c r="N4" s="1" t="s">
        <v>10</v>
      </c>
      <c r="O4" s="1" t="s">
        <v>11</v>
      </c>
      <c r="P4" s="1" t="s">
        <v>12</v>
      </c>
      <c r="Q4" s="1" t="s">
        <v>42</v>
      </c>
      <c r="R4" s="1" t="s">
        <v>41</v>
      </c>
      <c r="S4" s="1" t="s">
        <v>13</v>
      </c>
      <c r="T4" s="1" t="s">
        <v>14</v>
      </c>
      <c r="V4"/>
      <c r="Y4" s="39"/>
    </row>
    <row r="5" spans="2:34" x14ac:dyDescent="0.25">
      <c r="B5" s="98">
        <v>1</v>
      </c>
      <c r="C5" s="97" t="s">
        <v>33</v>
      </c>
      <c r="D5" s="72" t="s">
        <v>55</v>
      </c>
      <c r="E5" s="97" t="s">
        <v>43</v>
      </c>
      <c r="F5" s="42">
        <v>62.61</v>
      </c>
      <c r="G5" s="64">
        <f>F5*10.7639</f>
        <v>673.92777899999999</v>
      </c>
      <c r="H5" s="10">
        <v>10</v>
      </c>
      <c r="I5" s="42">
        <v>2016</v>
      </c>
      <c r="J5" s="10">
        <v>2024</v>
      </c>
      <c r="K5" s="10">
        <f>J5-I5</f>
        <v>8</v>
      </c>
      <c r="L5" s="10">
        <v>65</v>
      </c>
      <c r="M5" s="11">
        <v>0.1</v>
      </c>
      <c r="N5" s="10">
        <f>(1-M5)/L5</f>
        <v>1.3846153846153847E-2</v>
      </c>
      <c r="O5" s="10">
        <v>1600</v>
      </c>
      <c r="P5" s="36">
        <f>O5*G5</f>
        <v>1078284.4464</v>
      </c>
      <c r="Q5" s="38">
        <f>N5*K5</f>
        <v>0.11076923076923077</v>
      </c>
      <c r="R5" s="58">
        <f>P5*Q5</f>
        <v>119440.73867815385</v>
      </c>
      <c r="S5" s="12"/>
      <c r="T5" s="57">
        <f>P5-R5</f>
        <v>958843.70772184618</v>
      </c>
      <c r="V5"/>
    </row>
    <row r="6" spans="2:34" x14ac:dyDescent="0.25">
      <c r="B6" s="98"/>
      <c r="C6" s="97"/>
      <c r="D6" s="72" t="s">
        <v>56</v>
      </c>
      <c r="E6" s="97"/>
      <c r="F6" s="42">
        <v>51.17</v>
      </c>
      <c r="G6" s="64">
        <f t="shared" ref="G6:G7" si="0">F6*10.7639</f>
        <v>550.78876300000002</v>
      </c>
      <c r="H6" s="10">
        <v>10</v>
      </c>
      <c r="I6" s="42">
        <v>2016</v>
      </c>
      <c r="J6" s="10">
        <v>2024</v>
      </c>
      <c r="K6" s="10">
        <f t="shared" ref="K6:K7" si="1">J6-I6</f>
        <v>8</v>
      </c>
      <c r="L6" s="10">
        <v>65</v>
      </c>
      <c r="M6" s="11">
        <v>0.1</v>
      </c>
      <c r="N6" s="10">
        <f t="shared" ref="N6:N7" si="2">(1-M6)/L6</f>
        <v>1.3846153846153847E-2</v>
      </c>
      <c r="O6" s="10">
        <v>1600</v>
      </c>
      <c r="P6" s="36">
        <f t="shared" ref="P6:P7" si="3">O6*G6</f>
        <v>881262.02080000006</v>
      </c>
      <c r="Q6" s="38">
        <f t="shared" ref="Q6:Q7" si="4">N6*K6</f>
        <v>0.11076923076923077</v>
      </c>
      <c r="R6" s="58">
        <f t="shared" ref="R6:R7" si="5">P6*Q6</f>
        <v>97616.71615015385</v>
      </c>
      <c r="S6" s="73"/>
      <c r="T6" s="57">
        <f t="shared" ref="T6:T7" si="6">P6-R6</f>
        <v>783645.30464984616</v>
      </c>
      <c r="V6"/>
    </row>
    <row r="7" spans="2:34" x14ac:dyDescent="0.25">
      <c r="B7" s="98"/>
      <c r="C7" s="97"/>
      <c r="D7" s="72" t="s">
        <v>57</v>
      </c>
      <c r="E7" s="97"/>
      <c r="F7" s="42">
        <v>11.44</v>
      </c>
      <c r="G7" s="64">
        <f t="shared" si="0"/>
        <v>123.13901599999998</v>
      </c>
      <c r="H7" s="10">
        <v>10</v>
      </c>
      <c r="I7" s="42">
        <v>2016</v>
      </c>
      <c r="J7" s="10">
        <v>2024</v>
      </c>
      <c r="K7" s="10">
        <f t="shared" si="1"/>
        <v>8</v>
      </c>
      <c r="L7" s="10">
        <v>65</v>
      </c>
      <c r="M7" s="11">
        <v>0.1</v>
      </c>
      <c r="N7" s="10">
        <f t="shared" si="2"/>
        <v>1.3846153846153847E-2</v>
      </c>
      <c r="O7" s="10">
        <v>1400</v>
      </c>
      <c r="P7" s="36">
        <f t="shared" si="3"/>
        <v>172394.62239999996</v>
      </c>
      <c r="Q7" s="38">
        <f t="shared" si="4"/>
        <v>0.11076923076923077</v>
      </c>
      <c r="R7" s="58">
        <f t="shared" si="5"/>
        <v>19096.019711999998</v>
      </c>
      <c r="S7" s="73"/>
      <c r="T7" s="57">
        <f t="shared" si="6"/>
        <v>153298.60268799996</v>
      </c>
      <c r="V7"/>
    </row>
    <row r="8" spans="2:34" ht="24" customHeight="1" x14ac:dyDescent="0.25">
      <c r="B8" s="94" t="s">
        <v>52</v>
      </c>
      <c r="C8" s="95"/>
      <c r="D8" s="95"/>
      <c r="E8" s="96"/>
      <c r="F8" s="65">
        <f>SUM(F5:F7)</f>
        <v>125.22</v>
      </c>
      <c r="G8" s="63">
        <f>SUM(G5:G7)</f>
        <v>1347.8555580000002</v>
      </c>
      <c r="H8" s="8"/>
      <c r="I8" s="9"/>
      <c r="J8" s="8"/>
      <c r="K8" s="8"/>
      <c r="L8" s="8"/>
      <c r="M8" s="8"/>
      <c r="N8" s="8"/>
      <c r="O8" s="8"/>
      <c r="P8" s="37">
        <f>SUM(P5:P7)</f>
        <v>2131941.0896000001</v>
      </c>
      <c r="Q8" s="8"/>
      <c r="R8" s="8">
        <f>SUM(R5:R7)</f>
        <v>236153.47454030771</v>
      </c>
      <c r="S8" s="8">
        <f>SUM(S5:S5)</f>
        <v>0</v>
      </c>
      <c r="T8" s="37">
        <f>SUM(T5:T7)</f>
        <v>1895787.6150596924</v>
      </c>
      <c r="V8"/>
      <c r="W8" s="4"/>
    </row>
    <row r="9" spans="2:34" x14ac:dyDescent="0.25">
      <c r="B9" s="82" t="s">
        <v>16</v>
      </c>
      <c r="C9" s="83"/>
      <c r="D9" s="83"/>
      <c r="E9" s="83"/>
      <c r="F9" s="83"/>
      <c r="G9" s="83"/>
      <c r="H9" s="83"/>
      <c r="I9" s="83"/>
      <c r="J9" s="83"/>
      <c r="K9" s="83"/>
      <c r="L9" s="83"/>
      <c r="M9" s="83"/>
      <c r="N9" s="83"/>
      <c r="O9" s="83"/>
      <c r="P9" s="83"/>
      <c r="Q9" s="83"/>
      <c r="R9" s="83"/>
      <c r="S9" s="83"/>
      <c r="T9" s="84"/>
      <c r="V9"/>
      <c r="Y9" s="5"/>
    </row>
    <row r="10" spans="2:34" ht="29.25" customHeight="1" x14ac:dyDescent="0.25">
      <c r="B10" s="88" t="s">
        <v>61</v>
      </c>
      <c r="C10" s="89"/>
      <c r="D10" s="89"/>
      <c r="E10" s="89"/>
      <c r="F10" s="89"/>
      <c r="G10" s="89"/>
      <c r="H10" s="89"/>
      <c r="I10" s="89"/>
      <c r="J10" s="89"/>
      <c r="K10" s="89"/>
      <c r="L10" s="89"/>
      <c r="M10" s="89"/>
      <c r="N10" s="89"/>
      <c r="O10" s="89"/>
      <c r="P10" s="89"/>
      <c r="Q10" s="89"/>
      <c r="R10" s="89"/>
      <c r="S10" s="89"/>
      <c r="T10" s="90"/>
      <c r="V10"/>
      <c r="Y10" s="5"/>
      <c r="Z10" s="5"/>
      <c r="AA10" s="5"/>
      <c r="AB10" s="5"/>
      <c r="AC10" s="5"/>
      <c r="AD10" s="5"/>
      <c r="AE10" s="5"/>
      <c r="AF10" s="5"/>
      <c r="AG10" s="5"/>
      <c r="AH10" s="5"/>
    </row>
    <row r="11" spans="2:34" x14ac:dyDescent="0.25">
      <c r="B11" s="91" t="s">
        <v>50</v>
      </c>
      <c r="C11" s="92"/>
      <c r="D11" s="92"/>
      <c r="E11" s="92"/>
      <c r="F11" s="92"/>
      <c r="G11" s="92"/>
      <c r="H11" s="92"/>
      <c r="I11" s="92"/>
      <c r="J11" s="92"/>
      <c r="K11" s="92"/>
      <c r="L11" s="92"/>
      <c r="M11" s="92"/>
      <c r="N11" s="92"/>
      <c r="O11" s="92"/>
      <c r="P11" s="92"/>
      <c r="Q11" s="92"/>
      <c r="R11" s="92"/>
      <c r="S11" s="92"/>
      <c r="T11" s="93"/>
      <c r="V11"/>
      <c r="Y11" s="5"/>
      <c r="Z11" s="5"/>
      <c r="AA11" s="5"/>
      <c r="AB11" s="5"/>
      <c r="AC11" s="5"/>
      <c r="AD11" s="5"/>
      <c r="AE11" s="5"/>
      <c r="AF11" s="5"/>
      <c r="AG11" s="5"/>
      <c r="AH11" s="5"/>
    </row>
    <row r="12" spans="2:34" x14ac:dyDescent="0.25">
      <c r="B12" s="88" t="s">
        <v>59</v>
      </c>
      <c r="C12" s="89"/>
      <c r="D12" s="89"/>
      <c r="E12" s="89"/>
      <c r="F12" s="89"/>
      <c r="G12" s="89"/>
      <c r="H12" s="89"/>
      <c r="I12" s="89"/>
      <c r="J12" s="89"/>
      <c r="K12" s="89"/>
      <c r="L12" s="89"/>
      <c r="M12" s="89"/>
      <c r="N12" s="89"/>
      <c r="O12" s="89"/>
      <c r="P12" s="89"/>
      <c r="Q12" s="89"/>
      <c r="R12" s="89"/>
      <c r="S12" s="89"/>
      <c r="T12" s="90"/>
      <c r="V12"/>
      <c r="Z12" s="5"/>
      <c r="AA12" s="3"/>
      <c r="AB12" s="5"/>
      <c r="AC12" s="5"/>
      <c r="AD12" s="5"/>
      <c r="AE12" s="5"/>
      <c r="AF12" s="5"/>
      <c r="AG12" s="5"/>
      <c r="AH12" s="5"/>
    </row>
    <row r="13" spans="2:34" x14ac:dyDescent="0.25">
      <c r="B13" s="82" t="s">
        <v>27</v>
      </c>
      <c r="C13" s="83"/>
      <c r="D13" s="83"/>
      <c r="E13" s="83"/>
      <c r="F13" s="83"/>
      <c r="G13" s="83"/>
      <c r="H13" s="83"/>
      <c r="I13" s="83"/>
      <c r="J13" s="83"/>
      <c r="K13" s="83"/>
      <c r="L13" s="83"/>
      <c r="M13" s="83"/>
      <c r="N13" s="83"/>
      <c r="O13" s="83"/>
      <c r="P13" s="83"/>
      <c r="Q13" s="83"/>
      <c r="R13" s="83"/>
      <c r="S13" s="83"/>
      <c r="T13" s="84"/>
      <c r="V13"/>
      <c r="Z13" s="5"/>
      <c r="AA13" s="5"/>
      <c r="AB13" s="5"/>
      <c r="AC13" s="5"/>
      <c r="AD13" s="5"/>
      <c r="AE13" s="5"/>
      <c r="AF13" s="5"/>
      <c r="AG13" s="5"/>
      <c r="AH13" s="5"/>
    </row>
    <row r="14" spans="2:34" x14ac:dyDescent="0.25">
      <c r="B14" s="32"/>
      <c r="C14" s="32"/>
      <c r="D14" s="32"/>
      <c r="E14" s="33"/>
      <c r="F14" s="33"/>
      <c r="G14" s="32"/>
      <c r="H14" s="34"/>
      <c r="I14" s="32"/>
      <c r="J14" s="32"/>
      <c r="K14" s="32"/>
      <c r="L14" s="32"/>
      <c r="M14" s="32"/>
      <c r="N14" s="32"/>
      <c r="O14" s="32"/>
      <c r="P14" s="32"/>
      <c r="Q14" s="32"/>
      <c r="R14" s="32"/>
      <c r="S14" s="32"/>
      <c r="T14" s="32"/>
      <c r="V14"/>
      <c r="Z14" s="5"/>
      <c r="AA14" s="5"/>
      <c r="AB14" s="5"/>
      <c r="AC14" s="5"/>
      <c r="AD14" s="5"/>
      <c r="AE14" s="5"/>
      <c r="AF14" s="5"/>
      <c r="AG14" s="5"/>
      <c r="AH14" s="5"/>
    </row>
    <row r="15" spans="2:34" x14ac:dyDescent="0.25">
      <c r="D15" s="32"/>
      <c r="E15"/>
      <c r="F15"/>
      <c r="H15"/>
      <c r="P15" s="40">
        <f>P8*0.8</f>
        <v>1705552.8716800001</v>
      </c>
      <c r="V15"/>
      <c r="Z15" s="5"/>
      <c r="AA15" s="5"/>
      <c r="AB15" s="5"/>
      <c r="AC15" s="5"/>
      <c r="AD15" s="5"/>
      <c r="AE15" s="5"/>
      <c r="AF15" s="5"/>
      <c r="AG15" s="5"/>
      <c r="AH15" s="5"/>
    </row>
    <row r="16" spans="2:34" ht="28.5" customHeight="1" x14ac:dyDescent="0.25">
      <c r="D16" s="3"/>
      <c r="E16"/>
      <c r="F16"/>
      <c r="H16"/>
      <c r="K16" s="59"/>
      <c r="Q16" s="40"/>
      <c r="T16" s="60"/>
      <c r="U16" s="3">
        <v>90</v>
      </c>
      <c r="Z16" s="5"/>
      <c r="AA16" s="5"/>
      <c r="AB16" s="5"/>
      <c r="AC16" s="5"/>
      <c r="AD16" s="5"/>
      <c r="AE16" s="5"/>
      <c r="AF16" s="5"/>
      <c r="AG16" s="5"/>
      <c r="AH16" s="5"/>
    </row>
    <row r="17" spans="3:38" x14ac:dyDescent="0.25">
      <c r="C17" s="3"/>
      <c r="D17" s="3"/>
      <c r="E17"/>
      <c r="F17"/>
      <c r="H17"/>
      <c r="K17" s="74"/>
      <c r="P17" s="3"/>
      <c r="V17" s="40"/>
      <c r="Z17" s="5"/>
      <c r="AA17" s="5"/>
      <c r="AB17" s="5"/>
      <c r="AC17" s="5"/>
      <c r="AD17" s="5"/>
      <c r="AE17" s="5"/>
      <c r="AF17" s="5"/>
      <c r="AG17" s="5"/>
      <c r="AH17" s="5"/>
    </row>
    <row r="18" spans="3:38" x14ac:dyDescent="0.25">
      <c r="D18" s="3"/>
      <c r="E18"/>
      <c r="F18"/>
      <c r="H18"/>
      <c r="R18" s="3"/>
      <c r="V18" s="40"/>
      <c r="Z18" s="5"/>
      <c r="AA18" s="5"/>
      <c r="AB18" s="5"/>
      <c r="AC18" s="5"/>
      <c r="AD18" s="5"/>
      <c r="AE18" s="5"/>
      <c r="AF18" s="5"/>
      <c r="AG18" s="5"/>
      <c r="AH18" s="5"/>
    </row>
    <row r="19" spans="3:38" ht="15.75" customHeight="1" x14ac:dyDescent="0.25">
      <c r="D19" s="3"/>
      <c r="E19"/>
      <c r="F19"/>
      <c r="H19" s="32"/>
      <c r="I19" s="40"/>
      <c r="T19" s="3"/>
      <c r="V19"/>
    </row>
    <row r="20" spans="3:38" ht="15" customHeight="1" x14ac:dyDescent="0.25">
      <c r="D20" s="3"/>
      <c r="E20"/>
      <c r="F20"/>
      <c r="H20"/>
      <c r="V20"/>
    </row>
    <row r="21" spans="3:38" x14ac:dyDescent="0.25">
      <c r="D21" s="3"/>
      <c r="E21"/>
      <c r="F21"/>
      <c r="H21"/>
      <c r="J21" s="75" t="s">
        <v>62</v>
      </c>
      <c r="K21" s="75">
        <v>968.75</v>
      </c>
      <c r="L21" s="75"/>
      <c r="M21" s="75"/>
      <c r="N21" s="75"/>
      <c r="O21" s="75">
        <v>8500</v>
      </c>
      <c r="P21" s="79">
        <f>K21*O21</f>
        <v>8234375</v>
      </c>
      <c r="T21" s="4"/>
      <c r="V21"/>
    </row>
    <row r="22" spans="3:38" x14ac:dyDescent="0.25">
      <c r="D22" s="3"/>
      <c r="E22"/>
      <c r="F22"/>
      <c r="H22"/>
      <c r="J22" s="75" t="s">
        <v>63</v>
      </c>
      <c r="K22" s="75"/>
      <c r="L22" s="75"/>
      <c r="M22" s="75"/>
      <c r="N22" s="75"/>
      <c r="O22" s="75"/>
      <c r="P22" s="37">
        <v>1895787.6150596924</v>
      </c>
      <c r="V22"/>
    </row>
    <row r="23" spans="3:38" ht="30" x14ac:dyDescent="0.25">
      <c r="C23" s="1" t="s">
        <v>51</v>
      </c>
      <c r="D23" s="1" t="s">
        <v>60</v>
      </c>
      <c r="E23" s="1" t="s">
        <v>53</v>
      </c>
      <c r="F23" s="70" t="s">
        <v>54</v>
      </c>
      <c r="H23"/>
      <c r="J23" s="75" t="s">
        <v>64</v>
      </c>
      <c r="K23" s="75"/>
      <c r="L23" s="75"/>
      <c r="M23" s="75"/>
      <c r="N23" s="75"/>
      <c r="O23" s="75"/>
      <c r="P23" s="78">
        <f>SUM(P21:P22)</f>
        <v>10130162.615059692</v>
      </c>
      <c r="T23" s="78">
        <v>10100000</v>
      </c>
      <c r="U23" t="s">
        <v>36</v>
      </c>
      <c r="V23"/>
    </row>
    <row r="24" spans="3:38" x14ac:dyDescent="0.25">
      <c r="C24" s="62">
        <v>1</v>
      </c>
      <c r="D24" s="67">
        <v>66</v>
      </c>
      <c r="E24" s="68">
        <v>90</v>
      </c>
      <c r="F24" s="61">
        <v>100000</v>
      </c>
      <c r="H24"/>
      <c r="J24" s="75" t="s">
        <v>37</v>
      </c>
      <c r="K24" s="75"/>
      <c r="L24" s="75"/>
      <c r="M24" s="75"/>
      <c r="N24" s="75"/>
      <c r="O24" s="75"/>
      <c r="P24" s="61">
        <f>T23*0.85</f>
        <v>8585000</v>
      </c>
      <c r="T24" s="71"/>
      <c r="V24"/>
    </row>
    <row r="25" spans="3:38" x14ac:dyDescent="0.25">
      <c r="C25" s="80" t="s">
        <v>52</v>
      </c>
      <c r="D25" s="81"/>
      <c r="E25" s="69">
        <f>SUM(E24:E24)</f>
        <v>90</v>
      </c>
      <c r="F25" s="66">
        <f>SUM(F24:F24)</f>
        <v>100000</v>
      </c>
      <c r="J25" s="75" t="s">
        <v>38</v>
      </c>
      <c r="K25" s="75"/>
      <c r="L25" s="75"/>
      <c r="M25" s="75"/>
      <c r="N25" s="75"/>
      <c r="O25" s="75"/>
      <c r="P25" s="76">
        <f>T23*0.75</f>
        <v>7575000</v>
      </c>
    </row>
    <row r="26" spans="3:38" x14ac:dyDescent="0.25">
      <c r="J26" s="75"/>
      <c r="K26" s="77"/>
      <c r="L26" s="77"/>
      <c r="M26" s="75"/>
      <c r="N26" s="75"/>
      <c r="O26" s="75"/>
      <c r="P26" s="77"/>
      <c r="Q26" s="4"/>
    </row>
    <row r="27" spans="3:38" x14ac:dyDescent="0.25">
      <c r="P27" s="3"/>
    </row>
    <row r="29" spans="3:38" x14ac:dyDescent="0.25">
      <c r="P29" s="71">
        <v>2250000</v>
      </c>
      <c r="V29" s="41" t="s">
        <v>46</v>
      </c>
      <c r="W29" s="10"/>
      <c r="X29" s="42" t="s">
        <v>43</v>
      </c>
      <c r="Y29" s="42">
        <v>1858</v>
      </c>
      <c r="Z29" s="10">
        <v>10</v>
      </c>
      <c r="AA29" s="42">
        <v>2013</v>
      </c>
      <c r="AB29" s="10">
        <v>2023</v>
      </c>
      <c r="AC29" s="10">
        <f>AB29-AA29</f>
        <v>10</v>
      </c>
      <c r="AD29" s="10">
        <v>65</v>
      </c>
      <c r="AE29" s="11">
        <v>0.1</v>
      </c>
      <c r="AF29" s="10">
        <f>(1-AE29)/AD29</f>
        <v>1.3846153846153847E-2</v>
      </c>
      <c r="AG29" s="10">
        <v>1400</v>
      </c>
      <c r="AH29" s="36">
        <f>AG29*Y29</f>
        <v>2601200</v>
      </c>
      <c r="AI29" s="38">
        <f>AF29*AC29</f>
        <v>0.13846153846153847</v>
      </c>
      <c r="AJ29" s="10">
        <f>AH29*AI29</f>
        <v>360166.15384615387</v>
      </c>
      <c r="AK29" s="12"/>
      <c r="AL29" s="35">
        <f>AH29-AJ29</f>
        <v>2241033.846153846</v>
      </c>
    </row>
    <row r="30" spans="3:38" x14ac:dyDescent="0.25">
      <c r="P30" s="71">
        <v>1753080</v>
      </c>
      <c r="Y30">
        <v>173</v>
      </c>
      <c r="Z30">
        <v>10</v>
      </c>
      <c r="AA30">
        <v>2013</v>
      </c>
      <c r="AB30">
        <v>2023</v>
      </c>
      <c r="AC30">
        <v>10</v>
      </c>
      <c r="AD30">
        <v>65</v>
      </c>
      <c r="AE30" s="39">
        <v>0.1</v>
      </c>
      <c r="AF30" s="10">
        <f>(1-AE30)/AD30</f>
        <v>1.3846153846153847E-2</v>
      </c>
      <c r="AG30">
        <v>14000</v>
      </c>
      <c r="AH30" s="36">
        <f>AG30*Y30</f>
        <v>2422000</v>
      </c>
      <c r="AI30" s="38">
        <f>AF30*AC30</f>
        <v>0.13846153846153847</v>
      </c>
      <c r="AJ30" s="10">
        <f>AH30*AI30</f>
        <v>335353.84615384619</v>
      </c>
      <c r="AK30" s="12"/>
      <c r="AL30" s="35">
        <f>AH30-AJ30</f>
        <v>2086646.1538461538</v>
      </c>
    </row>
    <row r="31" spans="3:38" x14ac:dyDescent="0.25">
      <c r="I31" s="40"/>
      <c r="K31" s="3"/>
      <c r="P31" s="108">
        <f>SUM(P29:P30)</f>
        <v>4003080</v>
      </c>
    </row>
    <row r="32" spans="3:38" x14ac:dyDescent="0.25">
      <c r="Q32" s="3"/>
    </row>
    <row r="35" spans="26:26" x14ac:dyDescent="0.25">
      <c r="Z35">
        <f>287.82*0.6</f>
        <v>172.69199999999998</v>
      </c>
    </row>
  </sheetData>
  <mergeCells count="11">
    <mergeCell ref="C25:D25"/>
    <mergeCell ref="B13:T13"/>
    <mergeCell ref="B3:T3"/>
    <mergeCell ref="B9:T9"/>
    <mergeCell ref="B10:T10"/>
    <mergeCell ref="B12:T12"/>
    <mergeCell ref="B11:T11"/>
    <mergeCell ref="B8:E8"/>
    <mergeCell ref="E5:E7"/>
    <mergeCell ref="C5:C7"/>
    <mergeCell ref="B5:B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0"/>
  <sheetViews>
    <sheetView workbookViewId="0">
      <selection activeCell="K12" sqref="K12"/>
    </sheetView>
  </sheetViews>
  <sheetFormatPr defaultRowHeight="15" x14ac:dyDescent="0.25"/>
  <cols>
    <col min="1" max="1" width="5.85546875" customWidth="1"/>
    <col min="2" max="2" width="11.5703125" bestFit="1" customWidth="1"/>
    <col min="3" max="3" width="12.85546875" bestFit="1" customWidth="1"/>
    <col min="4" max="4" width="10" style="5" bestFit="1" customWidth="1"/>
    <col min="5" max="5" width="11.5703125" style="5" bestFit="1" customWidth="1"/>
    <col min="6" max="6" width="17.7109375" style="5" bestFit="1" customWidth="1"/>
    <col min="7" max="7" width="11.85546875" style="5" bestFit="1" customWidth="1"/>
    <col min="8" max="8" width="15.85546875" style="3" customWidth="1"/>
    <col min="17" max="17" width="15.28515625" bestFit="1" customWidth="1"/>
  </cols>
  <sheetData>
    <row r="3" spans="1:17" ht="15.75" thickBot="1" x14ac:dyDescent="0.3"/>
    <row r="4" spans="1:17" ht="16.5" thickBot="1" x14ac:dyDescent="0.3">
      <c r="A4" s="99" t="s">
        <v>22</v>
      </c>
      <c r="B4" s="100"/>
      <c r="C4" s="100"/>
      <c r="D4" s="100"/>
      <c r="E4" s="100"/>
      <c r="F4" s="100"/>
      <c r="G4" s="100"/>
      <c r="H4" s="101"/>
    </row>
    <row r="5" spans="1:17" ht="60.75" thickBot="1" x14ac:dyDescent="0.3">
      <c r="A5" s="13" t="s">
        <v>0</v>
      </c>
      <c r="B5" s="14" t="s">
        <v>20</v>
      </c>
      <c r="C5" s="14" t="s">
        <v>2</v>
      </c>
      <c r="D5" s="15" t="s">
        <v>17</v>
      </c>
      <c r="E5" s="15" t="s">
        <v>3</v>
      </c>
      <c r="F5" s="15" t="s">
        <v>21</v>
      </c>
      <c r="G5" s="15" t="s">
        <v>19</v>
      </c>
      <c r="H5" s="16" t="s">
        <v>22</v>
      </c>
    </row>
    <row r="6" spans="1:17" ht="50.1" customHeight="1" x14ac:dyDescent="0.25">
      <c r="A6" s="17">
        <v>1</v>
      </c>
      <c r="B6" s="18" t="s">
        <v>24</v>
      </c>
      <c r="C6" s="18" t="s">
        <v>18</v>
      </c>
      <c r="D6" s="19">
        <f>E6/10.764</f>
        <v>1568.0973615756225</v>
      </c>
      <c r="E6" s="20">
        <v>16879</v>
      </c>
      <c r="F6" s="21">
        <v>17000</v>
      </c>
      <c r="G6" s="22">
        <f>(1-0.0154)</f>
        <v>0.98460000000000003</v>
      </c>
      <c r="H6" s="23">
        <f>G6*F6*D6</f>
        <v>26247127.257525086</v>
      </c>
      <c r="P6" s="29"/>
      <c r="Q6" s="5"/>
    </row>
    <row r="7" spans="1:17" ht="50.1" customHeight="1" thickBot="1" x14ac:dyDescent="0.3">
      <c r="A7" s="30">
        <v>2</v>
      </c>
      <c r="B7" s="6" t="s">
        <v>25</v>
      </c>
      <c r="C7" s="6" t="s">
        <v>26</v>
      </c>
      <c r="D7" s="25">
        <f>E7/10.764</f>
        <v>24374.024526198442</v>
      </c>
      <c r="E7" s="26">
        <v>262362</v>
      </c>
      <c r="F7" s="27">
        <v>7000</v>
      </c>
      <c r="G7" s="28">
        <f>(1-0.0049)</f>
        <v>0.99509999999999998</v>
      </c>
      <c r="H7" s="24">
        <f>G7*F7*D7</f>
        <v>169782142.64214048</v>
      </c>
      <c r="P7" s="29"/>
      <c r="Q7" s="5"/>
    </row>
    <row r="8" spans="1:17" ht="15.75" thickBot="1" x14ac:dyDescent="0.3">
      <c r="A8" s="102" t="s">
        <v>15</v>
      </c>
      <c r="B8" s="103"/>
      <c r="C8" s="103"/>
      <c r="D8" s="103"/>
      <c r="E8" s="103"/>
      <c r="F8" s="103"/>
      <c r="G8" s="104"/>
      <c r="H8" s="31">
        <f>SUM(H6+H7)</f>
        <v>196029269.89966556</v>
      </c>
    </row>
    <row r="9" spans="1:17" x14ac:dyDescent="0.25">
      <c r="H9" s="3">
        <v>375582130</v>
      </c>
    </row>
    <row r="10" spans="1:17" x14ac:dyDescent="0.25">
      <c r="H10" s="3">
        <f>H8+H9</f>
        <v>571611399.89966559</v>
      </c>
    </row>
  </sheetData>
  <mergeCells count="2">
    <mergeCell ref="A4:H4"/>
    <mergeCell ref="A8:G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M18" sqref="M18"/>
    </sheetView>
  </sheetViews>
  <sheetFormatPr defaultRowHeight="15" x14ac:dyDescent="0.25"/>
  <cols>
    <col min="1" max="1" width="11.140625" style="43" bestFit="1" customWidth="1"/>
    <col min="2" max="2" width="15.42578125" style="43" bestFit="1" customWidth="1"/>
    <col min="3" max="3" width="12.5703125" style="43" bestFit="1" customWidth="1"/>
    <col min="4" max="4" width="9.140625" style="43"/>
    <col min="5" max="5" width="11.140625" style="43" bestFit="1" customWidth="1"/>
    <col min="6" max="6" width="15.42578125" style="43" bestFit="1" customWidth="1"/>
    <col min="7" max="8" width="12.5703125" style="43" bestFit="1" customWidth="1"/>
    <col min="9" max="9" width="14.5703125" style="43" bestFit="1" customWidth="1"/>
    <col min="10" max="10" width="9.140625" style="43"/>
    <col min="11" max="11" width="10.5703125" style="43" bestFit="1" customWidth="1"/>
    <col min="12" max="12" width="9.140625" style="43"/>
    <col min="13" max="13" width="12.5703125" style="43" bestFit="1" customWidth="1"/>
    <col min="14" max="16384" width="9.140625" style="43"/>
  </cols>
  <sheetData>
    <row r="1" spans="1:13" ht="15.75" thickBot="1" x14ac:dyDescent="0.3">
      <c r="A1" s="105" t="s">
        <v>40</v>
      </c>
      <c r="B1" s="106"/>
      <c r="C1" s="107"/>
      <c r="E1" s="105" t="s">
        <v>39</v>
      </c>
      <c r="F1" s="106"/>
      <c r="G1" s="107"/>
    </row>
    <row r="2" spans="1:13" x14ac:dyDescent="0.25">
      <c r="A2" s="44" t="s">
        <v>28</v>
      </c>
      <c r="B2" s="45" t="s">
        <v>29</v>
      </c>
      <c r="C2" s="46" t="s">
        <v>30</v>
      </c>
      <c r="E2" s="44" t="s">
        <v>28</v>
      </c>
      <c r="F2" s="45" t="s">
        <v>29</v>
      </c>
      <c r="G2" s="46" t="s">
        <v>30</v>
      </c>
    </row>
    <row r="3" spans="1:13" ht="15.75" thickBot="1" x14ac:dyDescent="0.3">
      <c r="A3" s="47">
        <v>7566.8</v>
      </c>
      <c r="B3" s="48">
        <v>17930</v>
      </c>
      <c r="C3" s="49">
        <f>B3*A3</f>
        <v>135672724</v>
      </c>
      <c r="E3" s="47">
        <v>74.790000000000006</v>
      </c>
      <c r="F3" s="48">
        <v>2730000</v>
      </c>
      <c r="G3" s="54">
        <f>F3*E3</f>
        <v>204176700.00000003</v>
      </c>
      <c r="I3" s="43">
        <f>3084/10.7639</f>
        <v>286.51325263148118</v>
      </c>
    </row>
    <row r="4" spans="1:13" x14ac:dyDescent="0.25">
      <c r="C4" s="43">
        <v>0</v>
      </c>
      <c r="F4" s="43" t="s">
        <v>31</v>
      </c>
    </row>
    <row r="5" spans="1:13" ht="15.75" thickBot="1" x14ac:dyDescent="0.3"/>
    <row r="6" spans="1:13" x14ac:dyDescent="0.25">
      <c r="A6" s="44" t="s">
        <v>32</v>
      </c>
      <c r="B6" s="50">
        <f>C3</f>
        <v>135672724</v>
      </c>
      <c r="E6" s="44" t="s">
        <v>32</v>
      </c>
      <c r="F6" s="56">
        <f>G3</f>
        <v>204176700.00000003</v>
      </c>
      <c r="K6" s="43">
        <f>9000*287.82</f>
        <v>2590380</v>
      </c>
    </row>
    <row r="7" spans="1:13" x14ac:dyDescent="0.25">
      <c r="A7" s="51" t="s">
        <v>33</v>
      </c>
      <c r="B7" s="50">
        <v>1565020</v>
      </c>
      <c r="E7" s="51" t="s">
        <v>33</v>
      </c>
      <c r="F7" s="56">
        <f>Sheet1!T8</f>
        <v>1895787.6150596924</v>
      </c>
      <c r="H7" s="43" t="s">
        <v>44</v>
      </c>
      <c r="K7" s="43">
        <v>2086646</v>
      </c>
    </row>
    <row r="8" spans="1:13" x14ac:dyDescent="0.25">
      <c r="A8" s="51" t="s">
        <v>34</v>
      </c>
      <c r="B8" s="52"/>
      <c r="E8" s="51" t="s">
        <v>34</v>
      </c>
      <c r="F8" s="55"/>
      <c r="K8" s="43">
        <f>SUM(K6:K7)</f>
        <v>4677026</v>
      </c>
    </row>
    <row r="9" spans="1:13" x14ac:dyDescent="0.25">
      <c r="A9" s="51" t="s">
        <v>35</v>
      </c>
      <c r="B9" s="52">
        <f>SUM(B6:B8)</f>
        <v>137237744</v>
      </c>
      <c r="E9" s="51" t="s">
        <v>35</v>
      </c>
      <c r="F9" s="55">
        <f>SUM(F6:F8)</f>
        <v>206072487.61505973</v>
      </c>
    </row>
    <row r="10" spans="1:13" x14ac:dyDescent="0.25">
      <c r="A10" s="51"/>
      <c r="B10" s="52">
        <f>ROUND(B9,-5)</f>
        <v>137200000</v>
      </c>
      <c r="E10" s="51" t="s">
        <v>36</v>
      </c>
      <c r="F10" s="55">
        <f>ROUND(F9,-5)</f>
        <v>206100000</v>
      </c>
      <c r="I10" s="43">
        <v>700000000</v>
      </c>
    </row>
    <row r="11" spans="1:13" x14ac:dyDescent="0.25">
      <c r="A11" s="51"/>
      <c r="B11" s="52">
        <f>0.85*B10</f>
        <v>116620000</v>
      </c>
      <c r="E11" s="51" t="s">
        <v>37</v>
      </c>
      <c r="F11" s="55">
        <f>0.85*F10</f>
        <v>175185000</v>
      </c>
      <c r="I11" s="43">
        <v>48562</v>
      </c>
    </row>
    <row r="12" spans="1:13" ht="15.75" thickBot="1" x14ac:dyDescent="0.3">
      <c r="A12" s="47"/>
      <c r="B12" s="49">
        <f>0.75*B10</f>
        <v>102900000</v>
      </c>
      <c r="E12" s="47" t="s">
        <v>38</v>
      </c>
      <c r="F12" s="54">
        <f>0.75*F10</f>
        <v>154575000</v>
      </c>
      <c r="I12" s="43">
        <v>14414.562830000001</v>
      </c>
      <c r="M12" s="43">
        <f>479066000+27408720+3400000</f>
        <v>509874720</v>
      </c>
    </row>
    <row r="13" spans="1:13" x14ac:dyDescent="0.25">
      <c r="E13" s="43" t="s">
        <v>45</v>
      </c>
      <c r="F13" s="43">
        <f>0.8*Sheet1!P8</f>
        <v>1705552.8716800001</v>
      </c>
      <c r="H13" s="52">
        <v>967600000</v>
      </c>
    </row>
    <row r="14" spans="1:13" x14ac:dyDescent="0.25">
      <c r="K14" s="43">
        <f>3098*300</f>
        <v>929400</v>
      </c>
    </row>
    <row r="15" spans="1:13" x14ac:dyDescent="0.25">
      <c r="B15" s="43">
        <v>0.8</v>
      </c>
      <c r="M15" s="43">
        <f>25510*500</f>
        <v>12755000</v>
      </c>
    </row>
    <row r="16" spans="1:13" x14ac:dyDescent="0.25">
      <c r="B16" s="53">
        <f>B15*B7</f>
        <v>1252016</v>
      </c>
      <c r="I16" s="43">
        <f>15924*10.7639</f>
        <v>171404.34359999999</v>
      </c>
    </row>
    <row r="17" spans="2:13" x14ac:dyDescent="0.25">
      <c r="B17" s="43" t="s">
        <v>47</v>
      </c>
      <c r="M17" s="43">
        <f>170000000/78</f>
        <v>2179487.1794871795</v>
      </c>
    </row>
    <row r="18" spans="2:13" x14ac:dyDescent="0.25">
      <c r="B18" s="43">
        <f>287.82*9000</f>
        <v>2590380</v>
      </c>
      <c r="F18" s="43">
        <f>287.82*0.6</f>
        <v>172.69199999999998</v>
      </c>
    </row>
    <row r="19" spans="2:13" x14ac:dyDescent="0.25">
      <c r="B19" s="43">
        <f>2590380+2417660</f>
        <v>5008040</v>
      </c>
      <c r="J19" s="43" t="s">
        <v>49</v>
      </c>
    </row>
  </sheetData>
  <mergeCells count="2">
    <mergeCell ref="E1:G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Calculations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Babul</dc:creator>
  <cp:lastModifiedBy>DELL</cp:lastModifiedBy>
  <dcterms:created xsi:type="dcterms:W3CDTF">2022-11-04T05:05:51Z</dcterms:created>
  <dcterms:modified xsi:type="dcterms:W3CDTF">2024-01-16T13:39:52Z</dcterms:modified>
</cp:coreProperties>
</file>