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0490" windowHeight="7755"/>
  </bookViews>
  <sheets>
    <sheet name="Sheet1" sheetId="1" r:id="rId1"/>
    <sheet name="Sheet3" sheetId="3" r:id="rId2"/>
    <sheet name="Calculations" sheetId="4" r:id="rId3"/>
  </sheets>
  <definedNames>
    <definedName name="_xlnm._FilterDatabase" localSheetId="0" hidden="1">Sheet1!$E$3:$E$38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 i="1" l="1"/>
  <c r="G9" i="1"/>
  <c r="Q8" i="1"/>
  <c r="P8" i="1"/>
  <c r="R8" i="1" s="1"/>
  <c r="S8" i="1" s="1"/>
  <c r="P7" i="1"/>
  <c r="P6" i="1"/>
  <c r="P5" i="1"/>
  <c r="N8" i="1"/>
  <c r="N7" i="1"/>
  <c r="Q7" i="1" s="1"/>
  <c r="N6" i="1"/>
  <c r="Q6" i="1" s="1"/>
  <c r="N5" i="1"/>
  <c r="K8" i="1"/>
  <c r="K7" i="1"/>
  <c r="K6" i="1"/>
  <c r="K5" i="1"/>
  <c r="F5" i="1"/>
  <c r="F8" i="1"/>
  <c r="F7" i="1"/>
  <c r="F6" i="1"/>
  <c r="C6" i="1"/>
  <c r="O31" i="4"/>
  <c r="O29" i="4"/>
  <c r="O22" i="4"/>
  <c r="O18" i="4"/>
  <c r="M19" i="4" s="1"/>
  <c r="M20" i="4" s="1"/>
  <c r="R6" i="1" l="1"/>
  <c r="S7" i="1"/>
  <c r="S6" i="1"/>
  <c r="R7" i="1"/>
  <c r="O24" i="4"/>
  <c r="O26" i="4" s="1"/>
  <c r="Q26" i="4" s="1"/>
  <c r="C3" i="4"/>
  <c r="B6" i="4" s="1"/>
  <c r="B7" i="4" l="1"/>
  <c r="B9" i="4" s="1"/>
  <c r="W20" i="1" l="1"/>
  <c r="V20" i="1"/>
  <c r="P23" i="1"/>
  <c r="S23" i="1"/>
  <c r="W21" i="1" l="1"/>
  <c r="U7" i="1"/>
  <c r="I31" i="3"/>
  <c r="D7" i="3"/>
  <c r="G7" i="3"/>
  <c r="D6" i="3"/>
  <c r="K43" i="3"/>
  <c r="K41" i="3"/>
  <c r="K42" i="3" s="1"/>
  <c r="K39" i="3"/>
  <c r="K40" i="3" s="1"/>
  <c r="K38" i="3"/>
  <c r="K37" i="3"/>
  <c r="K36" i="3"/>
  <c r="K34" i="3"/>
  <c r="K35" i="3" s="1"/>
  <c r="K33" i="3"/>
  <c r="K32" i="3"/>
  <c r="K31" i="3"/>
  <c r="K30" i="3"/>
  <c r="K29" i="3"/>
  <c r="K28" i="3"/>
  <c r="K27" i="3"/>
  <c r="H7" i="3" l="1"/>
  <c r="K46" i="3"/>
  <c r="I32" i="3" s="1"/>
  <c r="F9" i="1"/>
  <c r="O28" i="1" l="1"/>
  <c r="R19" i="1" l="1"/>
  <c r="E24" i="1"/>
  <c r="Z14" i="1"/>
  <c r="AA41" i="1" l="1"/>
  <c r="AI36" i="1" l="1"/>
  <c r="AG36" i="1"/>
  <c r="AJ36" i="1" s="1"/>
  <c r="AI35" i="1"/>
  <c r="AG35" i="1"/>
  <c r="AD35" i="1"/>
  <c r="X15" i="1"/>
  <c r="AJ35" i="1" l="1"/>
  <c r="AK35" i="1" s="1"/>
  <c r="AM35" i="1" s="1"/>
  <c r="AK36" i="1"/>
  <c r="AM36" i="1" s="1"/>
  <c r="J28" i="1"/>
  <c r="Y23" i="1" l="1"/>
  <c r="Y22" i="1"/>
  <c r="Y19" i="1"/>
  <c r="W16" i="1" s="1"/>
  <c r="W26" i="1"/>
  <c r="W28" i="1" s="1"/>
  <c r="G3" i="4" l="1"/>
  <c r="F6" i="4" s="1"/>
  <c r="B10" i="4" l="1"/>
  <c r="B12" i="4" s="1"/>
  <c r="AB4" i="1"/>
  <c r="AC4" i="1" s="1"/>
  <c r="P9" i="1"/>
  <c r="Z12" i="1"/>
  <c r="Z11" i="1"/>
  <c r="Z10" i="1"/>
  <c r="G6" i="3"/>
  <c r="Q5" i="1"/>
  <c r="R5" i="1" s="1"/>
  <c r="R9" i="1" l="1"/>
  <c r="S5" i="1"/>
  <c r="U5" i="1" s="1"/>
  <c r="H6" i="3"/>
  <c r="H8" i="3" s="1"/>
  <c r="H10" i="3" s="1"/>
  <c r="B11" i="4"/>
  <c r="F13" i="4"/>
  <c r="I20" i="1" l="1"/>
  <c r="S9" i="1" l="1"/>
  <c r="X9" i="1" s="1"/>
  <c r="U9" i="1"/>
  <c r="F7" i="4" s="1"/>
  <c r="F9" i="4" s="1"/>
  <c r="F10" i="4" s="1"/>
  <c r="F12" i="4" l="1"/>
  <c r="F11" i="4"/>
</calcChain>
</file>

<file path=xl/sharedStrings.xml><?xml version="1.0" encoding="utf-8"?>
<sst xmlns="http://schemas.openxmlformats.org/spreadsheetml/2006/main" count="77" uniqueCount="62">
  <si>
    <t>SR. No.</t>
  </si>
  <si>
    <t>Floor</t>
  </si>
  <si>
    <t>Type of Structure</t>
  </si>
  <si>
    <r>
      <t xml:space="preserve">Area 
</t>
    </r>
    <r>
      <rPr>
        <b/>
        <i/>
        <sz val="10"/>
        <rFont val="Calibri"/>
        <family val="2"/>
        <scheme val="minor"/>
      </rPr>
      <t>(in sq.ft)</t>
    </r>
  </si>
  <si>
    <r>
      <t xml:space="preserve">Height </t>
    </r>
    <r>
      <rPr>
        <b/>
        <i/>
        <sz val="10"/>
        <rFont val="Calibri"/>
        <family val="2"/>
        <scheme val="minor"/>
      </rPr>
      <t>(in ft.)</t>
    </r>
  </si>
  <si>
    <t>Year of Construction</t>
  </si>
  <si>
    <t xml:space="preserve">Year of Valuation </t>
  </si>
  <si>
    <r>
      <t xml:space="preserve">Total Life Consumed 
</t>
    </r>
    <r>
      <rPr>
        <b/>
        <i/>
        <sz val="10"/>
        <rFont val="Calibri"/>
        <family val="2"/>
        <scheme val="minor"/>
      </rPr>
      <t>(in years)</t>
    </r>
  </si>
  <si>
    <r>
      <t xml:space="preserve">Total Economical Life
</t>
    </r>
    <r>
      <rPr>
        <b/>
        <i/>
        <sz val="10"/>
        <rFont val="Calibri"/>
        <family val="2"/>
        <scheme val="minor"/>
      </rPr>
      <t>(in years)</t>
    </r>
  </si>
  <si>
    <t>Salvage value</t>
  </si>
  <si>
    <t>Depreciation Rate</t>
  </si>
  <si>
    <r>
      <t xml:space="preserve">Plinth Area  Rate 
</t>
    </r>
    <r>
      <rPr>
        <b/>
        <i/>
        <sz val="10"/>
        <rFont val="Calibri"/>
        <family val="2"/>
        <scheme val="minor"/>
      </rPr>
      <t>(in per sq.ft)</t>
    </r>
  </si>
  <si>
    <t>Gross Replacement Value
(INR)</t>
  </si>
  <si>
    <t>Depreciated Replacement Market Value
(INR)</t>
  </si>
  <si>
    <t>TOTAL</t>
  </si>
  <si>
    <t>Remarks:</t>
  </si>
  <si>
    <r>
      <t>Area</t>
    </r>
    <r>
      <rPr>
        <b/>
        <sz val="10"/>
        <rFont val="Calibri"/>
        <family val="2"/>
        <scheme val="minor"/>
      </rPr>
      <t xml:space="preserve"> (in sq. mtr.)</t>
    </r>
  </si>
  <si>
    <t>RCC structure bounded by brick wall</t>
  </si>
  <si>
    <t>Depriciation Factor</t>
  </si>
  <si>
    <t>Particular</t>
  </si>
  <si>
    <t>Govt guidline rate for construction(Per SQM)</t>
  </si>
  <si>
    <t>Guidline Value</t>
  </si>
  <si>
    <t>R.C.C</t>
  </si>
  <si>
    <t>Tin Shed</t>
  </si>
  <si>
    <t>Tin Shed and Tin Sheet Roof</t>
  </si>
  <si>
    <t>Land</t>
  </si>
  <si>
    <t>Rate</t>
  </si>
  <si>
    <t>Value</t>
  </si>
  <si>
    <t xml:space="preserve"> -   </t>
  </si>
  <si>
    <t>land</t>
  </si>
  <si>
    <t>Building</t>
  </si>
  <si>
    <t>Aesthetic</t>
  </si>
  <si>
    <t>Fair market</t>
  </si>
  <si>
    <t>Round off</t>
  </si>
  <si>
    <t>Realizable</t>
  </si>
  <si>
    <t>Distress</t>
  </si>
  <si>
    <t>FMV</t>
  </si>
  <si>
    <t>Govt.</t>
  </si>
  <si>
    <t>Depreciation amount
(INR)</t>
  </si>
  <si>
    <t xml:space="preserve">Depreciation factor
 </t>
  </si>
  <si>
    <t>RCC</t>
  </si>
  <si>
    <t>Insurance</t>
  </si>
  <si>
    <t xml:space="preserve"> Ground Floor</t>
  </si>
  <si>
    <t>BUILDING VALUATION FOR MR. RAMESH LAL</t>
  </si>
  <si>
    <t>Govt depriciated rate=15000*0.851</t>
  </si>
  <si>
    <r>
      <t xml:space="preserve">Area 
</t>
    </r>
    <r>
      <rPr>
        <b/>
        <i/>
        <sz val="10"/>
        <rFont val="Calibri"/>
        <family val="2"/>
        <scheme val="minor"/>
      </rPr>
      <t>(in sq.mtr)</t>
    </r>
  </si>
  <si>
    <t>2. Construction year of the building is taken as per the Property documents and information provided by client during survey.</t>
  </si>
  <si>
    <t>Final Depreciated Replacement Market Value
(INR)</t>
  </si>
  <si>
    <r>
      <t>4.</t>
    </r>
    <r>
      <rPr>
        <b/>
        <sz val="10"/>
        <color theme="1"/>
        <rFont val="Arial"/>
        <family val="2"/>
      </rPr>
      <t xml:space="preserve"> The valuation is done by considering the depreciated replacement cost approach.</t>
    </r>
  </si>
  <si>
    <t>Discounting Factor (For Building Condition)</t>
  </si>
  <si>
    <t>`</t>
  </si>
  <si>
    <t>Land Area</t>
  </si>
  <si>
    <t>Ground Floor Store</t>
  </si>
  <si>
    <t xml:space="preserve">Description </t>
  </si>
  <si>
    <t xml:space="preserve">Ground Floor </t>
  </si>
  <si>
    <t>Guard room</t>
  </si>
  <si>
    <t xml:space="preserve"> Store room</t>
  </si>
  <si>
    <t>Production Hall- 2</t>
  </si>
  <si>
    <t>GI shed over Iron trusses and columns</t>
  </si>
  <si>
    <r>
      <t xml:space="preserve">3. </t>
    </r>
    <r>
      <rPr>
        <b/>
        <sz val="10"/>
        <color theme="1"/>
        <rFont val="Arial"/>
        <family val="2"/>
      </rPr>
      <t>All the building and structures belongs to Forace Chem speciality  Pvt. Ltd.</t>
    </r>
  </si>
  <si>
    <t>1. All the details pertaining to the building area statement such as area, floor, type of structure, age of the building etc. has been taken as per the  site survey and
 information provided by client during survey.</t>
  </si>
  <si>
    <t>BUILDING VALUATION FOR M/S. FORACE CHEM SPECIALITY PVT. LTD.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</si>
</sst>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 #,##0_ ;_ * \-#,##0_ ;_ * &quot;-&quot;??_ ;_ @_ "/>
    <numFmt numFmtId="166" formatCode="_ * #,##0.000_ ;_ * \-#,##0.000_ ;_ * &quot;-&quot;??_ ;_ @_ "/>
    <numFmt numFmtId="167" formatCode="_ * #,##0.0000_ ;_ * \-#,##0.0000_ ;_ * &quot;-&quot;??_ ;_ @_ "/>
    <numFmt numFmtId="168" formatCode="_ [$₹-4009]\ * #,##0_ ;_ [$₹-4009]\ * \-#,##0_ ;_ [$₹-4009]\ * &quot;-&quot;??_ ;_ @_ "/>
    <numFmt numFmtId="169" formatCode="_ [$₹-439]* #,##0_ ;_ [$₹-439]* \-#,##0_ ;_ [$₹-439]* &quot;-&quot;??_ ;_ @_ "/>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b/>
      <i/>
      <sz val="10"/>
      <name val="Calibri"/>
      <family val="2"/>
      <scheme val="minor"/>
    </font>
    <font>
      <b/>
      <i/>
      <sz val="11"/>
      <color theme="1"/>
      <name val="Calibri"/>
      <family val="2"/>
      <scheme val="minor"/>
    </font>
    <font>
      <b/>
      <sz val="10"/>
      <name val="Calibri"/>
      <family val="2"/>
      <scheme val="minor"/>
    </font>
    <font>
      <b/>
      <sz val="12"/>
      <color theme="1"/>
      <name val="Calibri"/>
      <family val="2"/>
      <scheme val="minor"/>
    </font>
    <font>
      <sz val="11"/>
      <name val="Calibri"/>
      <family val="2"/>
      <scheme val="minor"/>
    </font>
    <font>
      <b/>
      <sz val="10"/>
      <color theme="1"/>
      <name val="Arial"/>
      <family val="2"/>
    </font>
    <font>
      <b/>
      <sz val="11"/>
      <color theme="1"/>
      <name val="Arial"/>
      <family val="2"/>
    </font>
  </fonts>
  <fills count="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002060"/>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164" fontId="1" fillId="0" borderId="0" applyFont="0" applyFill="0" applyBorder="0" applyAlignment="0" applyProtection="0"/>
  </cellStyleXfs>
  <cellXfs count="103">
    <xf numFmtId="0" fontId="0" fillId="0" borderId="0" xfId="0"/>
    <xf numFmtId="0" fontId="4" fillId="2" borderId="4" xfId="0" applyFont="1" applyFill="1" applyBorder="1" applyAlignment="1">
      <alignment horizontal="center" vertical="center" wrapText="1"/>
    </xf>
    <xf numFmtId="0" fontId="0" fillId="0" borderId="0" xfId="0" applyAlignment="1">
      <alignment wrapText="1"/>
    </xf>
    <xf numFmtId="165" fontId="0" fillId="0" borderId="0" xfId="1" applyNumberFormat="1" applyFont="1"/>
    <xf numFmtId="164" fontId="0" fillId="0" borderId="0" xfId="0" applyNumberFormat="1"/>
    <xf numFmtId="164" fontId="0" fillId="0" borderId="0" xfId="1" applyFont="1"/>
    <xf numFmtId="0" fontId="0" fillId="0" borderId="13" xfId="0" applyBorder="1" applyAlignment="1">
      <alignment horizontal="center" vertical="center" wrapText="1"/>
    </xf>
    <xf numFmtId="0" fontId="0" fillId="3" borderId="0" xfId="0" applyFill="1"/>
    <xf numFmtId="0" fontId="4" fillId="3"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9" fontId="9" fillId="3" borderId="4"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164" fontId="4" fillId="2" borderId="16" xfId="1" applyFont="1" applyFill="1" applyBorder="1" applyAlignment="1">
      <alignment horizontal="center" vertical="center" wrapText="1"/>
    </xf>
    <xf numFmtId="165" fontId="4" fillId="2" borderId="17" xfId="1" applyNumberFormat="1" applyFont="1" applyFill="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wrapText="1"/>
    </xf>
    <xf numFmtId="164" fontId="0" fillId="0" borderId="10" xfId="1" applyFont="1" applyBorder="1" applyAlignment="1">
      <alignment horizontal="center" vertical="center"/>
    </xf>
    <xf numFmtId="164" fontId="1" fillId="0" borderId="10" xfId="1" applyFill="1" applyBorder="1" applyAlignment="1">
      <alignment horizontal="center" vertical="center" wrapText="1"/>
    </xf>
    <xf numFmtId="165" fontId="0" fillId="0" borderId="10" xfId="1" applyNumberFormat="1" applyFont="1" applyBorder="1" applyAlignment="1">
      <alignment horizontal="center" vertical="center" wrapText="1"/>
    </xf>
    <xf numFmtId="166" fontId="0" fillId="0" borderId="10" xfId="1" applyNumberFormat="1" applyFont="1" applyBorder="1" applyAlignment="1">
      <alignment horizontal="center" vertical="center" wrapText="1"/>
    </xf>
    <xf numFmtId="165" fontId="1" fillId="0" borderId="11" xfId="1" applyNumberFormat="1" applyFill="1" applyBorder="1" applyAlignment="1">
      <alignment horizontal="center" vertical="center" wrapText="1"/>
    </xf>
    <xf numFmtId="165" fontId="1" fillId="0" borderId="14" xfId="1" applyNumberFormat="1" applyFill="1" applyBorder="1" applyAlignment="1">
      <alignment horizontal="center" vertical="center" wrapText="1"/>
    </xf>
    <xf numFmtId="164" fontId="0" fillId="0" borderId="13" xfId="1" applyFont="1" applyBorder="1" applyAlignment="1">
      <alignment horizontal="center" vertical="center"/>
    </xf>
    <xf numFmtId="164" fontId="1" fillId="0" borderId="13" xfId="1" applyFill="1" applyBorder="1" applyAlignment="1">
      <alignment horizontal="center" vertical="center" wrapText="1"/>
    </xf>
    <xf numFmtId="165" fontId="0" fillId="0" borderId="13" xfId="1" applyNumberFormat="1" applyFont="1" applyBorder="1" applyAlignment="1">
      <alignment horizontal="center" vertical="center" wrapText="1"/>
    </xf>
    <xf numFmtId="166" fontId="0" fillId="0" borderId="13" xfId="1" applyNumberFormat="1" applyFont="1" applyBorder="1" applyAlignment="1">
      <alignment horizontal="center" vertical="center" wrapText="1"/>
    </xf>
    <xf numFmtId="167" fontId="0" fillId="0" borderId="0" xfId="0" applyNumberFormat="1"/>
    <xf numFmtId="0" fontId="0" fillId="0" borderId="12" xfId="0" applyBorder="1" applyAlignment="1">
      <alignment horizontal="center" vertical="center"/>
    </xf>
    <xf numFmtId="165" fontId="2" fillId="0" borderId="21" xfId="1" applyNumberFormat="1" applyFont="1" applyBorder="1"/>
    <xf numFmtId="0" fontId="2" fillId="0" borderId="0" xfId="0" applyFont="1"/>
    <xf numFmtId="0" fontId="2" fillId="0" borderId="0" xfId="0" applyFont="1" applyAlignment="1">
      <alignment wrapText="1"/>
    </xf>
    <xf numFmtId="0" fontId="2" fillId="3" borderId="0" xfId="0" applyFont="1" applyFill="1"/>
    <xf numFmtId="164" fontId="9" fillId="0" borderId="4" xfId="1" applyFont="1" applyBorder="1" applyAlignment="1">
      <alignment horizontal="center" vertical="center" wrapText="1"/>
    </xf>
    <xf numFmtId="165" fontId="9" fillId="3" borderId="4" xfId="1" applyNumberFormat="1" applyFont="1" applyFill="1" applyBorder="1" applyAlignment="1">
      <alignment horizontal="center" vertical="center" wrapText="1"/>
    </xf>
    <xf numFmtId="2" fontId="9" fillId="3" borderId="4" xfId="0" applyNumberFormat="1" applyFont="1" applyFill="1" applyBorder="1" applyAlignment="1">
      <alignment horizontal="center" vertical="center" wrapText="1"/>
    </xf>
    <xf numFmtId="9" fontId="0" fillId="0" borderId="0" xfId="0" applyNumberFormat="1"/>
    <xf numFmtId="165" fontId="0" fillId="0" borderId="0" xfId="0" applyNumberFormat="1"/>
    <xf numFmtId="0" fontId="0" fillId="0" borderId="4" xfId="0" applyBorder="1" applyAlignment="1">
      <alignment horizontal="left" vertical="center"/>
    </xf>
    <xf numFmtId="0" fontId="0" fillId="0" borderId="4" xfId="0" applyBorder="1" applyAlignment="1">
      <alignment horizontal="center" vertical="center"/>
    </xf>
    <xf numFmtId="2" fontId="0" fillId="0" borderId="0" xfId="0" applyNumberFormat="1"/>
    <xf numFmtId="2" fontId="0" fillId="0" borderId="22" xfId="0" applyNumberFormat="1" applyBorder="1"/>
    <xf numFmtId="2" fontId="0" fillId="0" borderId="27" xfId="0" applyNumberFormat="1" applyBorder="1"/>
    <xf numFmtId="2" fontId="0" fillId="0" borderId="23" xfId="0" applyNumberFormat="1" applyBorder="1"/>
    <xf numFmtId="2" fontId="0" fillId="0" borderId="18" xfId="0" applyNumberFormat="1" applyBorder="1"/>
    <xf numFmtId="2" fontId="0" fillId="0" borderId="19" xfId="0" applyNumberFormat="1" applyBorder="1"/>
    <xf numFmtId="2" fontId="0" fillId="0" borderId="26" xfId="0" applyNumberFormat="1" applyBorder="1"/>
    <xf numFmtId="2" fontId="10" fillId="0" borderId="0" xfId="0" applyNumberFormat="1" applyFont="1"/>
    <xf numFmtId="2" fontId="0" fillId="0" borderId="24" xfId="0" applyNumberFormat="1" applyBorder="1"/>
    <xf numFmtId="2" fontId="0" fillId="0" borderId="25" xfId="0" applyNumberFormat="1" applyBorder="1"/>
    <xf numFmtId="2" fontId="0" fillId="0" borderId="0" xfId="1" applyNumberFormat="1" applyFont="1"/>
    <xf numFmtId="1" fontId="0" fillId="0" borderId="26" xfId="0" applyNumberFormat="1" applyBorder="1"/>
    <xf numFmtId="1" fontId="0" fillId="0" borderId="25" xfId="0" applyNumberFormat="1" applyBorder="1"/>
    <xf numFmtId="1" fontId="10" fillId="0" borderId="0" xfId="0" applyNumberFormat="1" applyFont="1"/>
    <xf numFmtId="0" fontId="0" fillId="0" borderId="4" xfId="0" applyBorder="1" applyAlignment="1">
      <alignment horizontal="center" vertical="center" wrapText="1"/>
    </xf>
    <xf numFmtId="0" fontId="9" fillId="0" borderId="4" xfId="0" applyFont="1" applyBorder="1" applyAlignment="1">
      <alignment horizontal="center" vertical="center" wrapText="1"/>
    </xf>
    <xf numFmtId="2" fontId="0" fillId="0" borderId="4" xfId="0" applyNumberFormat="1" applyBorder="1" applyAlignment="1">
      <alignment horizontal="center" vertical="center"/>
    </xf>
    <xf numFmtId="9" fontId="9" fillId="0" borderId="4" xfId="0" applyNumberFormat="1" applyFont="1" applyBorder="1" applyAlignment="1">
      <alignment horizontal="center" vertical="center" wrapText="1"/>
    </xf>
    <xf numFmtId="165" fontId="9" fillId="0" borderId="4" xfId="1" applyNumberFormat="1" applyFont="1" applyFill="1" applyBorder="1" applyAlignment="1">
      <alignment horizontal="center" vertical="center" wrapText="1"/>
    </xf>
    <xf numFmtId="2" fontId="9" fillId="0" borderId="4"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4" fillId="0" borderId="5" xfId="0" applyFont="1" applyBorder="1" applyAlignment="1">
      <alignment horizontal="center" vertical="center" wrapText="1"/>
    </xf>
    <xf numFmtId="164" fontId="4" fillId="0" borderId="5" xfId="1" applyFont="1" applyFill="1" applyBorder="1" applyAlignment="1">
      <alignment horizontal="center" vertical="center" wrapText="1"/>
    </xf>
    <xf numFmtId="164" fontId="4" fillId="0" borderId="4" xfId="1" applyFont="1" applyFill="1" applyBorder="1" applyAlignment="1">
      <alignment horizontal="center" vertical="center" wrapText="1"/>
    </xf>
    <xf numFmtId="165" fontId="4" fillId="0" borderId="5" xfId="1" applyNumberFormat="1" applyFont="1" applyFill="1" applyBorder="1" applyAlignment="1">
      <alignment horizontal="center" vertical="center" wrapText="1"/>
    </xf>
    <xf numFmtId="0" fontId="3" fillId="4" borderId="0" xfId="0" applyFont="1" applyFill="1" applyAlignment="1">
      <alignment horizontal="center" vertical="center" wrapText="1"/>
    </xf>
    <xf numFmtId="165" fontId="4" fillId="0" borderId="4" xfId="1" applyNumberFormat="1" applyFont="1" applyFill="1" applyBorder="1" applyAlignment="1">
      <alignment horizontal="center" vertical="center" wrapText="1"/>
    </xf>
    <xf numFmtId="168" fontId="4" fillId="0" borderId="4" xfId="1" applyNumberFormat="1" applyFont="1" applyFill="1" applyBorder="1" applyAlignment="1">
      <alignment horizontal="center" vertical="center" wrapText="1"/>
    </xf>
    <xf numFmtId="0" fontId="9" fillId="0" borderId="4" xfId="0" applyFont="1" applyBorder="1" applyAlignment="1">
      <alignment horizontal="right" wrapText="1"/>
    </xf>
    <xf numFmtId="164" fontId="4" fillId="0" borderId="5" xfId="1" applyFont="1" applyFill="1" applyBorder="1" applyAlignment="1">
      <alignment horizontal="right" wrapText="1"/>
    </xf>
    <xf numFmtId="9" fontId="9" fillId="0" borderId="4" xfId="1" applyNumberFormat="1" applyFont="1" applyFill="1" applyBorder="1" applyAlignment="1">
      <alignment horizontal="center" vertical="center" wrapText="1"/>
    </xf>
    <xf numFmtId="169" fontId="9" fillId="0" borderId="4" xfId="1" applyNumberFormat="1" applyFont="1" applyFill="1" applyBorder="1" applyAlignment="1">
      <alignment horizontal="center" vertical="center" wrapText="1"/>
    </xf>
    <xf numFmtId="2" fontId="2" fillId="0" borderId="4" xfId="0" applyNumberFormat="1" applyFont="1" applyBorder="1" applyAlignment="1">
      <alignment horizontal="center" vertical="center"/>
    </xf>
    <xf numFmtId="0" fontId="0" fillId="0" borderId="28" xfId="0" applyBorder="1" applyAlignment="1">
      <alignment horizontal="center" vertical="center" wrapText="1"/>
    </xf>
    <xf numFmtId="1" fontId="10" fillId="0" borderId="29" xfId="0" applyNumberFormat="1" applyFont="1" applyBorder="1"/>
    <xf numFmtId="2" fontId="0" fillId="0" borderId="18" xfId="0" applyNumberFormat="1" applyBorder="1" applyAlignment="1">
      <alignment horizontal="left"/>
    </xf>
    <xf numFmtId="1" fontId="0" fillId="0" borderId="0" xfId="0" applyNumberFormat="1"/>
    <xf numFmtId="165" fontId="0" fillId="0" borderId="0" xfId="1" applyNumberFormat="1" applyFont="1" applyProtection="1">
      <protection locked="0"/>
    </xf>
    <xf numFmtId="0" fontId="0" fillId="0" borderId="5" xfId="0" applyBorder="1" applyAlignment="1">
      <alignment horizontal="center" vertical="center"/>
    </xf>
    <xf numFmtId="0" fontId="9" fillId="3" borderId="28" xfId="0" applyFont="1" applyFill="1" applyBorder="1" applyAlignment="1">
      <alignment horizontal="center" vertical="center" wrapText="1"/>
    </xf>
    <xf numFmtId="0" fontId="9" fillId="3" borderId="28" xfId="0" applyFont="1" applyFill="1" applyBorder="1" applyAlignment="1">
      <alignment horizontal="center" vertical="center"/>
    </xf>
    <xf numFmtId="0" fontId="0" fillId="0" borderId="5"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center" wrapText="1"/>
    </xf>
    <xf numFmtId="164" fontId="9" fillId="0" borderId="4" xfId="1" applyFont="1" applyFill="1" applyBorder="1" applyAlignment="1">
      <alignment horizontal="right" vertical="center" wrapText="1"/>
    </xf>
    <xf numFmtId="0" fontId="11" fillId="0" borderId="4" xfId="0" applyFont="1" applyBorder="1" applyAlignment="1">
      <alignment horizontal="left" vertical="center"/>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6" fillId="0" borderId="4" xfId="0" applyFont="1" applyBorder="1" applyAlignment="1">
      <alignment horizontal="left" vertical="center"/>
    </xf>
    <xf numFmtId="0" fontId="10" fillId="0" borderId="4" xfId="0" applyFont="1" applyBorder="1" applyAlignment="1">
      <alignment horizontal="left" vertical="center" wrapText="1"/>
    </xf>
    <xf numFmtId="0" fontId="10" fillId="0" borderId="4" xfId="0" applyFont="1" applyBorder="1" applyAlignment="1">
      <alignment horizontal="left" vertical="center"/>
    </xf>
    <xf numFmtId="0" fontId="11" fillId="0" borderId="4" xfId="0" applyFont="1" applyBorder="1" applyAlignment="1">
      <alignment horizontal="left" vertical="center" wrapText="1"/>
    </xf>
    <xf numFmtId="0" fontId="8" fillId="2" borderId="6" xfId="0" applyFont="1"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2" fillId="0" borderId="18" xfId="0" applyFont="1" applyBorder="1" applyAlignment="1">
      <alignment horizontal="right" vertical="center"/>
    </xf>
    <xf numFmtId="0" fontId="2" fillId="0" borderId="19" xfId="0" applyFont="1" applyBorder="1" applyAlignment="1">
      <alignment horizontal="right" vertical="center"/>
    </xf>
    <xf numFmtId="0" fontId="2" fillId="0" borderId="20" xfId="0" applyFont="1" applyBorder="1" applyAlignment="1">
      <alignment horizontal="right" vertical="center"/>
    </xf>
    <xf numFmtId="2" fontId="0" fillId="0" borderId="6" xfId="0" applyNumberFormat="1" applyBorder="1" applyAlignment="1">
      <alignment horizontal="center"/>
    </xf>
    <xf numFmtId="2" fontId="0" fillId="0" borderId="7" xfId="0" applyNumberFormat="1" applyBorder="1" applyAlignment="1">
      <alignment horizontal="center"/>
    </xf>
    <xf numFmtId="2" fontId="0" fillId="0" borderId="8" xfId="0" applyNumberForma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M41"/>
  <sheetViews>
    <sheetView tabSelected="1" topLeftCell="A4" zoomScale="85" zoomScaleNormal="85" workbookViewId="0">
      <selection activeCell="B3" sqref="B3:S3"/>
    </sheetView>
  </sheetViews>
  <sheetFormatPr defaultRowHeight="15" x14ac:dyDescent="0.25"/>
  <cols>
    <col min="1" max="1" width="7.42578125" customWidth="1"/>
    <col min="2" max="2" width="5.7109375" customWidth="1"/>
    <col min="3" max="3" width="14" customWidth="1"/>
    <col min="4" max="4" width="14.85546875" customWidth="1"/>
    <col min="5" max="5" width="16" style="2" customWidth="1"/>
    <col min="6" max="6" width="7.28515625" style="2" hidden="1" customWidth="1"/>
    <col min="7" max="7" width="12.140625" customWidth="1"/>
    <col min="8" max="8" width="8.85546875" style="7" customWidth="1"/>
    <col min="9" max="9" width="13.5703125" customWidth="1"/>
    <col min="10" max="10" width="5.7109375" customWidth="1"/>
    <col min="11" max="11" width="7.42578125" customWidth="1"/>
    <col min="12" max="12" width="10" customWidth="1"/>
    <col min="13" max="13" width="12" customWidth="1"/>
    <col min="14" max="14" width="14.28515625" customWidth="1"/>
    <col min="15" max="15" width="5.140625" customWidth="1"/>
    <col min="16" max="16" width="16.7109375" customWidth="1"/>
    <col min="17" max="17" width="6.85546875" hidden="1" customWidth="1"/>
    <col min="18" max="18" width="19.42578125" customWidth="1"/>
    <col min="19" max="19" width="19.7109375" customWidth="1"/>
    <col min="20" max="20" width="14.5703125" hidden="1" customWidth="1"/>
    <col min="21" max="21" width="12.28515625" hidden="1" customWidth="1"/>
    <col min="22" max="22" width="10.28515625" bestFit="1" customWidth="1"/>
    <col min="23" max="23" width="14.28515625" style="3" bestFit="1" customWidth="1"/>
    <col min="24" max="24" width="15.42578125" bestFit="1" customWidth="1"/>
    <col min="25" max="25" width="14.42578125" bestFit="1" customWidth="1"/>
    <col min="26" max="26" width="15.42578125" bestFit="1" customWidth="1"/>
    <col min="27" max="27" width="22.28515625" customWidth="1"/>
    <col min="28" max="28" width="14.42578125" bestFit="1" customWidth="1"/>
    <col min="29" max="29" width="10.28515625" bestFit="1" customWidth="1"/>
    <col min="32" max="32" width="14.42578125" bestFit="1" customWidth="1"/>
    <col min="35" max="35" width="12.5703125" customWidth="1"/>
    <col min="39" max="39" width="16" customWidth="1"/>
  </cols>
  <sheetData>
    <row r="3" spans="2:35" ht="15.75" x14ac:dyDescent="0.25">
      <c r="B3" s="87" t="s">
        <v>61</v>
      </c>
      <c r="C3" s="88"/>
      <c r="D3" s="88"/>
      <c r="E3" s="88"/>
      <c r="F3" s="88"/>
      <c r="G3" s="88"/>
      <c r="H3" s="88"/>
      <c r="I3" s="88"/>
      <c r="J3" s="88"/>
      <c r="K3" s="88"/>
      <c r="L3" s="88"/>
      <c r="M3" s="88"/>
      <c r="N3" s="88"/>
      <c r="O3" s="88"/>
      <c r="P3" s="88"/>
      <c r="Q3" s="88"/>
      <c r="R3" s="88"/>
      <c r="S3" s="89"/>
      <c r="T3" s="66"/>
      <c r="U3" s="66"/>
    </row>
    <row r="4" spans="2:35" ht="81.75" customHeight="1" x14ac:dyDescent="0.25">
      <c r="B4" s="1" t="s">
        <v>0</v>
      </c>
      <c r="C4" s="1" t="s">
        <v>53</v>
      </c>
      <c r="D4" s="1" t="s">
        <v>1</v>
      </c>
      <c r="E4" s="1" t="s">
        <v>2</v>
      </c>
      <c r="F4" s="1" t="s">
        <v>45</v>
      </c>
      <c r="G4" s="1" t="s">
        <v>3</v>
      </c>
      <c r="H4" s="1" t="s">
        <v>4</v>
      </c>
      <c r="I4" s="1" t="s">
        <v>5</v>
      </c>
      <c r="J4" s="1" t="s">
        <v>6</v>
      </c>
      <c r="K4" s="1" t="s">
        <v>7</v>
      </c>
      <c r="L4" s="1" t="s">
        <v>8</v>
      </c>
      <c r="M4" s="1" t="s">
        <v>9</v>
      </c>
      <c r="N4" s="1" t="s">
        <v>10</v>
      </c>
      <c r="O4" s="1" t="s">
        <v>11</v>
      </c>
      <c r="P4" s="1" t="s">
        <v>12</v>
      </c>
      <c r="Q4" s="1" t="s">
        <v>39</v>
      </c>
      <c r="R4" s="1" t="s">
        <v>38</v>
      </c>
      <c r="S4" s="1" t="s">
        <v>13</v>
      </c>
      <c r="T4" s="1" t="s">
        <v>49</v>
      </c>
      <c r="U4" s="1" t="s">
        <v>47</v>
      </c>
      <c r="W4"/>
      <c r="Z4" s="37">
        <v>0.2</v>
      </c>
      <c r="AA4">
        <v>18000</v>
      </c>
      <c r="AB4">
        <f>Z4*AA4</f>
        <v>3600</v>
      </c>
      <c r="AC4">
        <f>AA4-AB4</f>
        <v>14400</v>
      </c>
    </row>
    <row r="5" spans="2:35" ht="31.5" customHeight="1" x14ac:dyDescent="0.25">
      <c r="B5" s="80">
        <v>1</v>
      </c>
      <c r="C5" s="81" t="s">
        <v>55</v>
      </c>
      <c r="D5" s="74" t="s">
        <v>54</v>
      </c>
      <c r="E5" s="55" t="s">
        <v>40</v>
      </c>
      <c r="F5" s="40">
        <f>G5*10.76</f>
        <v>6014.84</v>
      </c>
      <c r="G5" s="57">
        <v>559</v>
      </c>
      <c r="H5" s="56">
        <v>10</v>
      </c>
      <c r="I5" s="40">
        <v>2016</v>
      </c>
      <c r="J5" s="56">
        <v>2024</v>
      </c>
      <c r="K5" s="56">
        <f>J5-I5</f>
        <v>8</v>
      </c>
      <c r="L5" s="56">
        <v>65</v>
      </c>
      <c r="M5" s="58">
        <v>0.1</v>
      </c>
      <c r="N5" s="56">
        <f>(1-M5)/L5</f>
        <v>1.3846153846153847E-2</v>
      </c>
      <c r="O5" s="56">
        <v>1400</v>
      </c>
      <c r="P5" s="59">
        <f>O5*G5</f>
        <v>782600</v>
      </c>
      <c r="Q5" s="60">
        <f>N5*K5</f>
        <v>0.11076923076923077</v>
      </c>
      <c r="R5" s="69">
        <f>P5*Q5</f>
        <v>86688</v>
      </c>
      <c r="S5" s="59">
        <f>P5-R5</f>
        <v>695912</v>
      </c>
      <c r="T5" s="71">
        <v>0.1</v>
      </c>
      <c r="U5" s="72">
        <f>(1-T5)*S5</f>
        <v>626320.80000000005</v>
      </c>
      <c r="W5"/>
    </row>
    <row r="6" spans="2:35" ht="57" customHeight="1" x14ac:dyDescent="0.25">
      <c r="B6" s="80">
        <v>2</v>
      </c>
      <c r="C6" s="80" t="str">
        <f>$C$7</f>
        <v>Production Hall- 2</v>
      </c>
      <c r="D6" s="74" t="s">
        <v>54</v>
      </c>
      <c r="E6" s="83" t="s">
        <v>58</v>
      </c>
      <c r="F6" s="40">
        <f>G6*10.76</f>
        <v>185287.19999999998</v>
      </c>
      <c r="G6" s="57">
        <v>17220</v>
      </c>
      <c r="H6" s="56">
        <v>40</v>
      </c>
      <c r="I6" s="40">
        <v>2016</v>
      </c>
      <c r="J6" s="56">
        <v>2024</v>
      </c>
      <c r="K6" s="56">
        <f>J6-I6</f>
        <v>8</v>
      </c>
      <c r="L6" s="56">
        <v>45</v>
      </c>
      <c r="M6" s="58">
        <v>0.1</v>
      </c>
      <c r="N6" s="56">
        <f>(1-M6)/L6</f>
        <v>0.02</v>
      </c>
      <c r="O6" s="56">
        <v>1100</v>
      </c>
      <c r="P6" s="85">
        <f>O6*G6</f>
        <v>18942000</v>
      </c>
      <c r="Q6" s="60">
        <f>N6*K6</f>
        <v>0.16</v>
      </c>
      <c r="R6" s="69">
        <f>P6*Q6</f>
        <v>3030720</v>
      </c>
      <c r="S6" s="59">
        <f>P6-R6</f>
        <v>15911280</v>
      </c>
      <c r="T6" s="71"/>
      <c r="U6" s="72"/>
      <c r="W6"/>
    </row>
    <row r="7" spans="2:35" ht="45" x14ac:dyDescent="0.25">
      <c r="B7" s="9">
        <v>3</v>
      </c>
      <c r="C7" s="9" t="s">
        <v>57</v>
      </c>
      <c r="D7" s="55" t="s">
        <v>54</v>
      </c>
      <c r="E7" s="82" t="s">
        <v>58</v>
      </c>
      <c r="F7" s="40">
        <f>G7*10.76</f>
        <v>118951.8</v>
      </c>
      <c r="G7" s="57">
        <v>11055</v>
      </c>
      <c r="H7" s="56">
        <v>50</v>
      </c>
      <c r="I7" s="40">
        <v>2016</v>
      </c>
      <c r="J7" s="56">
        <v>2024</v>
      </c>
      <c r="K7" s="56">
        <f>J7-I7</f>
        <v>8</v>
      </c>
      <c r="L7" s="56">
        <v>45</v>
      </c>
      <c r="M7" s="58">
        <v>0.1</v>
      </c>
      <c r="N7" s="56">
        <f>(1-M7)/L7</f>
        <v>0.02</v>
      </c>
      <c r="O7" s="56">
        <v>1400</v>
      </c>
      <c r="P7" s="59">
        <f>O7*G7</f>
        <v>15477000</v>
      </c>
      <c r="Q7" s="60">
        <f>N7*K7</f>
        <v>0.16</v>
      </c>
      <c r="R7" s="69">
        <f>P7*Q7</f>
        <v>2476320</v>
      </c>
      <c r="S7" s="59">
        <f>P7-R7</f>
        <v>13000680</v>
      </c>
      <c r="T7" s="71">
        <v>0.1</v>
      </c>
      <c r="U7" s="72">
        <f t="shared" ref="U7" si="0">(1-T7)*S7</f>
        <v>11700612</v>
      </c>
      <c r="W7"/>
    </row>
    <row r="8" spans="2:35" ht="30" x14ac:dyDescent="0.25">
      <c r="B8" s="8">
        <v>4</v>
      </c>
      <c r="C8" s="61" t="s">
        <v>56</v>
      </c>
      <c r="D8" s="61" t="s">
        <v>52</v>
      </c>
      <c r="E8" s="84" t="s">
        <v>40</v>
      </c>
      <c r="F8" s="79">
        <f>1.76*G8</f>
        <v>1188</v>
      </c>
      <c r="G8" s="57">
        <v>675</v>
      </c>
      <c r="H8" s="61">
        <v>8</v>
      </c>
      <c r="I8" s="40">
        <v>2016</v>
      </c>
      <c r="J8" s="61">
        <v>2024</v>
      </c>
      <c r="K8" s="56">
        <f>J8-I8</f>
        <v>8</v>
      </c>
      <c r="L8" s="61">
        <v>65</v>
      </c>
      <c r="M8" s="58">
        <v>0.1</v>
      </c>
      <c r="N8" s="56">
        <f>(1-M8)/L8</f>
        <v>1.3846153846153847E-2</v>
      </c>
      <c r="O8" s="61">
        <v>1100</v>
      </c>
      <c r="P8" s="59">
        <f>O8*G8</f>
        <v>742500</v>
      </c>
      <c r="Q8" s="60">
        <f>N8*K8</f>
        <v>0.11076923076923077</v>
      </c>
      <c r="R8" s="69">
        <f>P8*Q8</f>
        <v>82246.153846153844</v>
      </c>
      <c r="S8" s="59">
        <f>P8-R8</f>
        <v>660253.84615384613</v>
      </c>
      <c r="T8" s="71"/>
      <c r="U8" s="72"/>
      <c r="W8"/>
    </row>
    <row r="9" spans="2:35" x14ac:dyDescent="0.25">
      <c r="E9" s="62"/>
      <c r="F9" s="62">
        <f>SUM(F5:F7)</f>
        <v>310253.83999999997</v>
      </c>
      <c r="G9" s="73">
        <f>SUM(G5:G8)</f>
        <v>29509</v>
      </c>
      <c r="H9" s="63"/>
      <c r="I9" s="64"/>
      <c r="J9" s="63"/>
      <c r="K9" s="63"/>
      <c r="L9" s="63"/>
      <c r="M9" s="63"/>
      <c r="N9" s="63"/>
      <c r="O9" s="63"/>
      <c r="P9" s="65">
        <f>SUM(P5:P7)</f>
        <v>35201600</v>
      </c>
      <c r="Q9" s="63"/>
      <c r="R9" s="70">
        <f>SUM(R5:R8)</f>
        <v>5675974.153846154</v>
      </c>
      <c r="S9" s="65">
        <f>SUM(S5:S7)</f>
        <v>29607872</v>
      </c>
      <c r="T9" s="67"/>
      <c r="U9" s="68">
        <f>SUM(U5:U7)</f>
        <v>12326932.800000001</v>
      </c>
      <c r="V9">
        <v>751164260</v>
      </c>
      <c r="W9">
        <v>2800000</v>
      </c>
      <c r="X9" s="4">
        <f>W9+V9+S9</f>
        <v>783572132</v>
      </c>
    </row>
    <row r="10" spans="2:35" x14ac:dyDescent="0.25">
      <c r="B10" s="90" t="s">
        <v>15</v>
      </c>
      <c r="C10" s="90"/>
      <c r="D10" s="90"/>
      <c r="E10" s="90"/>
      <c r="F10" s="90"/>
      <c r="G10" s="90"/>
      <c r="H10" s="90"/>
      <c r="I10" s="90"/>
      <c r="J10" s="90"/>
      <c r="K10" s="90"/>
      <c r="L10" s="90"/>
      <c r="M10" s="90"/>
      <c r="N10" s="90"/>
      <c r="O10" s="90"/>
      <c r="P10" s="90"/>
      <c r="Q10" s="90"/>
      <c r="R10" s="90"/>
      <c r="S10" s="90"/>
      <c r="T10" s="90"/>
      <c r="U10" s="90"/>
      <c r="W10"/>
      <c r="X10">
        <v>911700000</v>
      </c>
      <c r="Y10">
        <v>0.85</v>
      </c>
      <c r="Z10" s="5">
        <f>Y10*X10</f>
        <v>774945000</v>
      </c>
    </row>
    <row r="11" spans="2:35" ht="30" customHeight="1" x14ac:dyDescent="0.25">
      <c r="B11" s="91" t="s">
        <v>60</v>
      </c>
      <c r="C11" s="91"/>
      <c r="D11" s="91"/>
      <c r="E11" s="91"/>
      <c r="F11" s="91"/>
      <c r="G11" s="91"/>
      <c r="H11" s="91"/>
      <c r="I11" s="91"/>
      <c r="J11" s="91"/>
      <c r="K11" s="91"/>
      <c r="L11" s="91"/>
      <c r="M11" s="91"/>
      <c r="N11" s="91"/>
      <c r="O11" s="91"/>
      <c r="P11" s="91"/>
      <c r="Q11" s="91"/>
      <c r="R11" s="91"/>
      <c r="S11" s="91"/>
      <c r="T11" s="91"/>
      <c r="U11" s="91"/>
      <c r="W11"/>
      <c r="X11">
        <v>911700000</v>
      </c>
      <c r="Y11">
        <v>0.75</v>
      </c>
      <c r="Z11" s="5">
        <f>Y11*X11</f>
        <v>683775000</v>
      </c>
      <c r="AA11" s="5"/>
      <c r="AB11" s="5"/>
      <c r="AC11" s="5"/>
      <c r="AD11" s="5"/>
      <c r="AE11" s="5"/>
      <c r="AF11" s="5"/>
      <c r="AG11" s="5"/>
      <c r="AH11" s="5"/>
      <c r="AI11" s="5"/>
    </row>
    <row r="12" spans="2:35" x14ac:dyDescent="0.25">
      <c r="B12" s="92" t="s">
        <v>46</v>
      </c>
      <c r="C12" s="92"/>
      <c r="D12" s="92"/>
      <c r="E12" s="92"/>
      <c r="F12" s="92"/>
      <c r="G12" s="92"/>
      <c r="H12" s="92"/>
      <c r="I12" s="92"/>
      <c r="J12" s="92"/>
      <c r="K12" s="92"/>
      <c r="L12" s="92"/>
      <c r="M12" s="92"/>
      <c r="N12" s="92"/>
      <c r="O12" s="92"/>
      <c r="P12" s="92"/>
      <c r="Q12" s="92"/>
      <c r="R12" s="92"/>
      <c r="S12" s="92"/>
      <c r="T12" s="92"/>
      <c r="U12" s="92"/>
      <c r="W12"/>
      <c r="X12">
        <v>285992600</v>
      </c>
      <c r="Y12">
        <v>0.75</v>
      </c>
      <c r="Z12" s="5">
        <f>Y12*X12</f>
        <v>214494450</v>
      </c>
      <c r="AA12" s="5"/>
      <c r="AB12" s="5"/>
      <c r="AC12" s="5"/>
      <c r="AD12" s="5"/>
      <c r="AE12" s="5"/>
      <c r="AF12" s="5"/>
      <c r="AG12" s="5"/>
      <c r="AH12" s="5"/>
      <c r="AI12" s="5"/>
    </row>
    <row r="13" spans="2:35" x14ac:dyDescent="0.25">
      <c r="B13" s="93" t="s">
        <v>59</v>
      </c>
      <c r="C13" s="93"/>
      <c r="D13" s="93"/>
      <c r="E13" s="93"/>
      <c r="F13" s="93"/>
      <c r="G13" s="93"/>
      <c r="H13" s="93"/>
      <c r="I13" s="93"/>
      <c r="J13" s="93"/>
      <c r="K13" s="93"/>
      <c r="L13" s="93"/>
      <c r="M13" s="93"/>
      <c r="N13" s="93"/>
      <c r="O13" s="93"/>
      <c r="P13" s="93"/>
      <c r="Q13" s="93"/>
      <c r="R13" s="93"/>
      <c r="S13" s="93"/>
      <c r="T13" s="93"/>
      <c r="U13" s="93"/>
      <c r="W13"/>
      <c r="AA13" s="5"/>
      <c r="AB13" s="3"/>
      <c r="AC13" s="5"/>
      <c r="AD13" s="5"/>
      <c r="AE13" s="5"/>
      <c r="AF13" s="5"/>
      <c r="AG13" s="5"/>
      <c r="AH13" s="5"/>
      <c r="AI13" s="5"/>
    </row>
    <row r="14" spans="2:35" x14ac:dyDescent="0.25">
      <c r="B14" s="86" t="s">
        <v>48</v>
      </c>
      <c r="C14" s="86"/>
      <c r="D14" s="86"/>
      <c r="E14" s="86"/>
      <c r="F14" s="86"/>
      <c r="G14" s="86"/>
      <c r="H14" s="86"/>
      <c r="I14" s="86"/>
      <c r="J14" s="86"/>
      <c r="K14" s="86"/>
      <c r="L14" s="86"/>
      <c r="M14" s="86"/>
      <c r="N14" s="86"/>
      <c r="O14" s="86"/>
      <c r="P14" s="86"/>
      <c r="Q14" s="86"/>
      <c r="R14" s="86"/>
      <c r="S14" s="86"/>
      <c r="T14" s="86"/>
      <c r="U14" s="86"/>
      <c r="W14"/>
      <c r="Z14">
        <f>1109+1171+375+2433</f>
        <v>5088</v>
      </c>
      <c r="AA14" s="5"/>
      <c r="AB14" s="5"/>
      <c r="AC14" s="5"/>
      <c r="AD14" s="5"/>
      <c r="AE14" s="5"/>
      <c r="AF14" s="5"/>
      <c r="AG14" s="5"/>
      <c r="AH14" s="5"/>
      <c r="AI14" s="5"/>
    </row>
    <row r="15" spans="2:35" x14ac:dyDescent="0.25">
      <c r="B15" s="31"/>
      <c r="C15" s="31"/>
      <c r="D15" s="31"/>
      <c r="E15" s="32"/>
      <c r="F15" s="32"/>
      <c r="G15" s="31"/>
      <c r="H15" s="33"/>
      <c r="I15" s="31"/>
      <c r="J15" s="31"/>
      <c r="K15" s="31"/>
      <c r="L15" s="31"/>
      <c r="M15" s="31"/>
      <c r="N15" s="31"/>
      <c r="O15" s="31"/>
      <c r="P15" s="31"/>
      <c r="Q15" s="31"/>
      <c r="R15" s="31"/>
      <c r="S15" s="31"/>
      <c r="T15" s="31"/>
      <c r="U15" s="31"/>
      <c r="W15"/>
      <c r="X15">
        <f>172.69*10.7639</f>
        <v>1858.8178909999999</v>
      </c>
      <c r="AA15" s="5"/>
      <c r="AB15" s="5"/>
      <c r="AC15" s="5"/>
      <c r="AD15" s="5"/>
      <c r="AE15" s="5"/>
      <c r="AF15" s="5"/>
      <c r="AG15" s="5"/>
      <c r="AH15" s="5"/>
      <c r="AI15" s="5"/>
    </row>
    <row r="16" spans="2:35" x14ac:dyDescent="0.25">
      <c r="E16"/>
      <c r="F16"/>
      <c r="H16"/>
      <c r="W16">
        <f>Y19+4183800</f>
        <v>11531784</v>
      </c>
      <c r="AA16" s="5"/>
      <c r="AB16" s="5"/>
      <c r="AC16" s="5"/>
      <c r="AD16" s="5"/>
      <c r="AE16" s="5"/>
      <c r="AF16" s="5"/>
      <c r="AG16" s="5"/>
      <c r="AH16" s="5"/>
      <c r="AI16" s="5"/>
    </row>
    <row r="17" spans="4:35" ht="28.5" customHeight="1" x14ac:dyDescent="0.25">
      <c r="E17"/>
      <c r="F17"/>
      <c r="H17"/>
      <c r="R17" t="s">
        <v>43</v>
      </c>
      <c r="W17"/>
      <c r="AA17" s="5"/>
      <c r="AB17" s="5"/>
      <c r="AC17" s="5"/>
      <c r="AD17" s="5"/>
      <c r="AE17" s="5"/>
      <c r="AF17" s="5"/>
      <c r="AG17" s="5"/>
      <c r="AH17" s="5"/>
      <c r="AI17" s="5"/>
    </row>
    <row r="18" spans="4:35" x14ac:dyDescent="0.25">
      <c r="D18" s="3"/>
      <c r="E18"/>
      <c r="F18"/>
      <c r="H18"/>
      <c r="P18" t="s">
        <v>44</v>
      </c>
      <c r="V18">
        <v>397.63</v>
      </c>
      <c r="W18">
        <v>810</v>
      </c>
      <c r="AA18" s="5"/>
      <c r="AB18" s="5"/>
      <c r="AC18" s="5"/>
      <c r="AD18" s="5"/>
      <c r="AE18" s="5"/>
      <c r="AF18" s="5"/>
      <c r="AG18" s="5"/>
      <c r="AH18" s="5"/>
      <c r="AI18" s="5"/>
    </row>
    <row r="19" spans="4:35" x14ac:dyDescent="0.25">
      <c r="E19"/>
      <c r="F19"/>
      <c r="H19"/>
      <c r="R19" s="3">
        <f>5000*2800</f>
        <v>14000000</v>
      </c>
      <c r="V19">
        <v>316.67</v>
      </c>
      <c r="W19">
        <v>130</v>
      </c>
      <c r="Y19">
        <f>4183800+3164184</f>
        <v>7347984</v>
      </c>
      <c r="AA19" s="5"/>
      <c r="AB19" s="5"/>
      <c r="AC19" s="5"/>
      <c r="AD19" s="5"/>
      <c r="AE19" s="5"/>
      <c r="AF19" s="5"/>
      <c r="AG19" s="5"/>
      <c r="AH19" s="5"/>
      <c r="AI19" s="5"/>
    </row>
    <row r="20" spans="4:35" ht="15.75" customHeight="1" x14ac:dyDescent="0.25">
      <c r="E20"/>
      <c r="F20"/>
      <c r="H20">
        <v>0.8</v>
      </c>
      <c r="I20" s="38">
        <f>H20*P9</f>
        <v>28161280</v>
      </c>
      <c r="V20">
        <f>SUM(V18:V19)</f>
        <v>714.3</v>
      </c>
      <c r="W20">
        <f>SUM(W18:W19)</f>
        <v>940</v>
      </c>
    </row>
    <row r="21" spans="4:35" ht="15" customHeight="1" x14ac:dyDescent="0.25">
      <c r="E21"/>
      <c r="F21"/>
      <c r="H21"/>
      <c r="W21">
        <f>W20+V20</f>
        <v>1654.3</v>
      </c>
    </row>
    <row r="22" spans="4:35" x14ac:dyDescent="0.25">
      <c r="E22"/>
      <c r="F22"/>
      <c r="H22"/>
      <c r="P22">
        <v>2000</v>
      </c>
      <c r="S22">
        <v>1300</v>
      </c>
      <c r="W22"/>
      <c r="Y22">
        <f>7348000*0.85</f>
        <v>6245800</v>
      </c>
    </row>
    <row r="23" spans="4:35" x14ac:dyDescent="0.25">
      <c r="E23"/>
      <c r="F23"/>
      <c r="H23"/>
      <c r="P23">
        <f>P22*0.9</f>
        <v>1800</v>
      </c>
      <c r="S23">
        <f>S22*0.9</f>
        <v>1170</v>
      </c>
      <c r="W23"/>
      <c r="Y23">
        <f>7348000*0.75</f>
        <v>5511000</v>
      </c>
    </row>
    <row r="24" spans="4:35" x14ac:dyDescent="0.25">
      <c r="E24">
        <f>1109.04+1171.989+2433.254+375.932</f>
        <v>5090.2149999999992</v>
      </c>
      <c r="F24"/>
      <c r="H24"/>
      <c r="W24"/>
    </row>
    <row r="25" spans="4:35" x14ac:dyDescent="0.25">
      <c r="E25"/>
      <c r="F25"/>
      <c r="H25"/>
      <c r="W25"/>
    </row>
    <row r="26" spans="4:35" x14ac:dyDescent="0.25">
      <c r="E26"/>
      <c r="F26"/>
      <c r="H26"/>
      <c r="W26">
        <f>1285+4010+36602</f>
        <v>41897</v>
      </c>
    </row>
    <row r="27" spans="4:35" x14ac:dyDescent="0.25">
      <c r="L27">
        <v>516</v>
      </c>
      <c r="W27" s="3">
        <v>-40598</v>
      </c>
    </row>
    <row r="28" spans="4:35" x14ac:dyDescent="0.25">
      <c r="J28">
        <f>11000*0.7</f>
        <v>7699.9999999999991</v>
      </c>
      <c r="O28">
        <f>2000000/100</f>
        <v>20000</v>
      </c>
      <c r="W28" s="3">
        <f>SUM(W26:W27)</f>
        <v>1299</v>
      </c>
    </row>
    <row r="29" spans="4:35" x14ac:dyDescent="0.25">
      <c r="J29" s="3"/>
      <c r="K29" s="4"/>
      <c r="L29" s="4"/>
      <c r="P29" s="4"/>
      <c r="Q29" s="4"/>
    </row>
    <row r="32" spans="4:35" x14ac:dyDescent="0.25">
      <c r="K32" s="4"/>
      <c r="L32" s="4"/>
      <c r="P32" s="4"/>
      <c r="Q32" s="4"/>
    </row>
    <row r="33" spans="7:39" x14ac:dyDescent="0.25">
      <c r="Y33">
        <v>5000</v>
      </c>
      <c r="Z33">
        <v>9000</v>
      </c>
    </row>
    <row r="35" spans="7:39" x14ac:dyDescent="0.25">
      <c r="W35" s="39" t="s">
        <v>42</v>
      </c>
      <c r="X35" s="9"/>
      <c r="Y35" s="40" t="s">
        <v>40</v>
      </c>
      <c r="Z35" s="40">
        <v>1858</v>
      </c>
      <c r="AA35" s="9">
        <v>10</v>
      </c>
      <c r="AB35" s="40">
        <v>2013</v>
      </c>
      <c r="AC35" s="9">
        <v>2023</v>
      </c>
      <c r="AD35" s="9">
        <f>AC35-AB35</f>
        <v>10</v>
      </c>
      <c r="AE35" s="9">
        <v>65</v>
      </c>
      <c r="AF35" s="10">
        <v>0.1</v>
      </c>
      <c r="AG35" s="9">
        <f>(1-AF35)/AE35</f>
        <v>1.3846153846153847E-2</v>
      </c>
      <c r="AH35" s="9">
        <v>1400</v>
      </c>
      <c r="AI35" s="35">
        <f>AH35*Z35</f>
        <v>2601200</v>
      </c>
      <c r="AJ35" s="36">
        <f>AG35*AD35</f>
        <v>0.13846153846153847</v>
      </c>
      <c r="AK35" s="9">
        <f>AI35*AJ35</f>
        <v>360166.15384615387</v>
      </c>
      <c r="AL35" s="11"/>
      <c r="AM35" s="34">
        <f>AI35-AK35</f>
        <v>2241033.846153846</v>
      </c>
    </row>
    <row r="36" spans="7:39" x14ac:dyDescent="0.25">
      <c r="Z36">
        <v>173</v>
      </c>
      <c r="AA36">
        <v>10</v>
      </c>
      <c r="AB36">
        <v>2013</v>
      </c>
      <c r="AC36">
        <v>2023</v>
      </c>
      <c r="AD36">
        <v>10</v>
      </c>
      <c r="AE36">
        <v>65</v>
      </c>
      <c r="AF36" s="37">
        <v>0.1</v>
      </c>
      <c r="AG36" s="9">
        <f>(1-AF36)/AE36</f>
        <v>1.3846153846153847E-2</v>
      </c>
      <c r="AH36">
        <v>14000</v>
      </c>
      <c r="AI36" s="35">
        <f>AH36*Z36</f>
        <v>2422000</v>
      </c>
      <c r="AJ36" s="36">
        <f>AG36*AD36</f>
        <v>0.13846153846153847</v>
      </c>
      <c r="AK36" s="9">
        <f>AI36*AJ36</f>
        <v>335353.84615384619</v>
      </c>
      <c r="AL36" s="11"/>
      <c r="AM36" s="34">
        <f>AI36-AK36</f>
        <v>2086646.1538461538</v>
      </c>
    </row>
    <row r="37" spans="7:39" x14ac:dyDescent="0.25">
      <c r="K37" s="3"/>
    </row>
    <row r="38" spans="7:39" x14ac:dyDescent="0.25">
      <c r="Q38" s="3"/>
    </row>
    <row r="41" spans="7:39" x14ac:dyDescent="0.25">
      <c r="G41" s="73">
        <f>SUM(G37:G40)</f>
        <v>0</v>
      </c>
      <c r="R41">
        <v>5000</v>
      </c>
      <c r="AA41">
        <f>287.82*0.6</f>
        <v>172.69199999999998</v>
      </c>
    </row>
  </sheetData>
  <autoFilter ref="E3:E38"/>
  <mergeCells count="6">
    <mergeCell ref="B14:U14"/>
    <mergeCell ref="B3:S3"/>
    <mergeCell ref="B10:U10"/>
    <mergeCell ref="B11:U11"/>
    <mergeCell ref="B12:U12"/>
    <mergeCell ref="B13:U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46"/>
  <sheetViews>
    <sheetView workbookViewId="0">
      <selection activeCell="K34" sqref="K34:K44"/>
    </sheetView>
  </sheetViews>
  <sheetFormatPr defaultRowHeight="15" x14ac:dyDescent="0.25"/>
  <cols>
    <col min="1" max="1" width="5.85546875" customWidth="1"/>
    <col min="2" max="2" width="11.5703125" bestFit="1" customWidth="1"/>
    <col min="3" max="3" width="12.85546875" bestFit="1" customWidth="1"/>
    <col min="4" max="4" width="10" style="5" bestFit="1" customWidth="1"/>
    <col min="5" max="5" width="11.5703125" style="5" bestFit="1" customWidth="1"/>
    <col min="6" max="6" width="17.7109375" style="5" bestFit="1" customWidth="1"/>
    <col min="7" max="7" width="11.85546875" style="5" bestFit="1" customWidth="1"/>
    <col min="8" max="8" width="15.85546875" style="3" customWidth="1"/>
    <col min="17" max="17" width="15.28515625" bestFit="1" customWidth="1"/>
  </cols>
  <sheetData>
    <row r="3" spans="1:17" ht="15.75" thickBot="1" x14ac:dyDescent="0.3"/>
    <row r="4" spans="1:17" ht="16.5" thickBot="1" x14ac:dyDescent="0.3">
      <c r="A4" s="94" t="s">
        <v>21</v>
      </c>
      <c r="B4" s="95"/>
      <c r="C4" s="95"/>
      <c r="D4" s="95"/>
      <c r="E4" s="95"/>
      <c r="F4" s="95"/>
      <c r="G4" s="95"/>
      <c r="H4" s="96"/>
    </row>
    <row r="5" spans="1:17" ht="60.75" thickBot="1" x14ac:dyDescent="0.3">
      <c r="A5" s="12" t="s">
        <v>0</v>
      </c>
      <c r="B5" s="13" t="s">
        <v>19</v>
      </c>
      <c r="C5" s="13" t="s">
        <v>2</v>
      </c>
      <c r="D5" s="14" t="s">
        <v>16</v>
      </c>
      <c r="E5" s="14" t="s">
        <v>3</v>
      </c>
      <c r="F5" s="14" t="s">
        <v>20</v>
      </c>
      <c r="G5" s="14" t="s">
        <v>18</v>
      </c>
      <c r="H5" s="15" t="s">
        <v>21</v>
      </c>
    </row>
    <row r="6" spans="1:17" ht="50.1" customHeight="1" x14ac:dyDescent="0.25">
      <c r="A6" s="16">
        <v>1</v>
      </c>
      <c r="B6" s="17" t="s">
        <v>22</v>
      </c>
      <c r="C6" s="17" t="s">
        <v>17</v>
      </c>
      <c r="D6" s="18">
        <f>E6/10.764</f>
        <v>1568.0973615756225</v>
      </c>
      <c r="E6" s="19">
        <v>16879</v>
      </c>
      <c r="F6" s="20">
        <v>17000</v>
      </c>
      <c r="G6" s="21">
        <f>(1-0.0154)</f>
        <v>0.98460000000000003</v>
      </c>
      <c r="H6" s="22">
        <f>G6*F6*D6</f>
        <v>26247127.257525086</v>
      </c>
      <c r="P6" s="28"/>
      <c r="Q6" s="5"/>
    </row>
    <row r="7" spans="1:17" ht="50.1" customHeight="1" thickBot="1" x14ac:dyDescent="0.3">
      <c r="A7" s="29">
        <v>2</v>
      </c>
      <c r="B7" s="6" t="s">
        <v>23</v>
      </c>
      <c r="C7" s="6" t="s">
        <v>24</v>
      </c>
      <c r="D7" s="24">
        <f>E7/10.764</f>
        <v>24374.024526198442</v>
      </c>
      <c r="E7" s="25">
        <v>262362</v>
      </c>
      <c r="F7" s="26">
        <v>7000</v>
      </c>
      <c r="G7" s="27">
        <f>(1-0.0049)</f>
        <v>0.99509999999999998</v>
      </c>
      <c r="H7" s="23">
        <f>G7*F7*D7</f>
        <v>169782142.64214048</v>
      </c>
      <c r="P7" s="28"/>
      <c r="Q7" s="5"/>
    </row>
    <row r="8" spans="1:17" ht="15.75" thickBot="1" x14ac:dyDescent="0.3">
      <c r="A8" s="97" t="s">
        <v>14</v>
      </c>
      <c r="B8" s="98"/>
      <c r="C8" s="98"/>
      <c r="D8" s="98"/>
      <c r="E8" s="98"/>
      <c r="F8" s="98"/>
      <c r="G8" s="99"/>
      <c r="H8" s="30">
        <f>SUM(H6+H7)</f>
        <v>196029269.89966556</v>
      </c>
    </row>
    <row r="9" spans="1:17" x14ac:dyDescent="0.25">
      <c r="H9" s="3">
        <v>375582130</v>
      </c>
    </row>
    <row r="10" spans="1:17" x14ac:dyDescent="0.25">
      <c r="H10" s="3">
        <f>H8+H9</f>
        <v>571611399.89966559</v>
      </c>
    </row>
    <row r="27" spans="9:11" x14ac:dyDescent="0.25">
      <c r="I27">
        <v>260</v>
      </c>
      <c r="K27">
        <f>14.8*7.2</f>
        <v>106.56</v>
      </c>
    </row>
    <row r="28" spans="9:11" x14ac:dyDescent="0.25">
      <c r="I28">
        <v>107.3</v>
      </c>
      <c r="K28">
        <f>4.8*2.7</f>
        <v>12.96</v>
      </c>
    </row>
    <row r="29" spans="9:11" x14ac:dyDescent="0.25">
      <c r="I29">
        <v>312</v>
      </c>
      <c r="K29">
        <f>11.9*8.2</f>
        <v>97.58</v>
      </c>
    </row>
    <row r="30" spans="9:11" x14ac:dyDescent="0.25">
      <c r="I30">
        <v>101.1</v>
      </c>
      <c r="K30">
        <f>4.9*7.3</f>
        <v>35.770000000000003</v>
      </c>
    </row>
    <row r="31" spans="9:11" x14ac:dyDescent="0.25">
      <c r="I31">
        <f>SUM(I27:I30)</f>
        <v>780.4</v>
      </c>
      <c r="K31">
        <f>3.4*4.8</f>
        <v>16.32</v>
      </c>
    </row>
    <row r="32" spans="9:11" x14ac:dyDescent="0.25">
      <c r="I32">
        <f>I31+K46</f>
        <v>1382.585</v>
      </c>
      <c r="K32">
        <f>4.2*3.8</f>
        <v>15.959999999999999</v>
      </c>
    </row>
    <row r="33" spans="11:11" x14ac:dyDescent="0.25">
      <c r="K33">
        <f>3.2*2.5</f>
        <v>8</v>
      </c>
    </row>
    <row r="34" spans="11:11" x14ac:dyDescent="0.25">
      <c r="K34">
        <f>5*3.5</f>
        <v>17.5</v>
      </c>
    </row>
    <row r="35" spans="11:11" x14ac:dyDescent="0.25">
      <c r="K35">
        <f>K34</f>
        <v>17.5</v>
      </c>
    </row>
    <row r="36" spans="11:11" x14ac:dyDescent="0.25">
      <c r="K36">
        <f>2.7*1.2</f>
        <v>3.24</v>
      </c>
    </row>
    <row r="37" spans="11:11" x14ac:dyDescent="0.25">
      <c r="K37">
        <f>8.6*5.6</f>
        <v>48.16</v>
      </c>
    </row>
    <row r="38" spans="11:11" x14ac:dyDescent="0.25">
      <c r="K38">
        <f>2.2*2.9</f>
        <v>6.38</v>
      </c>
    </row>
    <row r="39" spans="11:11" x14ac:dyDescent="0.25">
      <c r="K39">
        <f>1.4*7</f>
        <v>9.7999999999999989</v>
      </c>
    </row>
    <row r="40" spans="11:11" x14ac:dyDescent="0.25">
      <c r="K40">
        <f>K39</f>
        <v>9.7999999999999989</v>
      </c>
    </row>
    <row r="41" spans="11:11" x14ac:dyDescent="0.25">
      <c r="K41">
        <f>8.2*7.2</f>
        <v>59.04</v>
      </c>
    </row>
    <row r="42" spans="11:11" x14ac:dyDescent="0.25">
      <c r="K42">
        <f>K41</f>
        <v>59.04</v>
      </c>
    </row>
    <row r="43" spans="11:11" x14ac:dyDescent="0.25">
      <c r="K43">
        <f>3.43*2.5</f>
        <v>8.5750000000000011</v>
      </c>
    </row>
    <row r="44" spans="11:11" x14ac:dyDescent="0.25">
      <c r="K44">
        <v>35</v>
      </c>
    </row>
    <row r="45" spans="11:11" x14ac:dyDescent="0.25">
      <c r="K45">
        <v>35</v>
      </c>
    </row>
    <row r="46" spans="11:11" x14ac:dyDescent="0.25">
      <c r="K46">
        <f>SUM(K27:K45)</f>
        <v>602.18500000000017</v>
      </c>
    </row>
  </sheetData>
  <mergeCells count="2">
    <mergeCell ref="A4:H4"/>
    <mergeCell ref="A8:G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C13" workbookViewId="0">
      <selection activeCell="O31" sqref="O31"/>
    </sheetView>
  </sheetViews>
  <sheetFormatPr defaultRowHeight="15" x14ac:dyDescent="0.25"/>
  <cols>
    <col min="1" max="1" width="15" style="41" customWidth="1"/>
    <col min="2" max="2" width="15.42578125" style="41" bestFit="1" customWidth="1"/>
    <col min="3" max="4" width="12.5703125" style="41" bestFit="1" customWidth="1"/>
    <col min="5" max="5" width="11.140625" style="41" bestFit="1" customWidth="1"/>
    <col min="6" max="6" width="15.42578125" style="41" bestFit="1" customWidth="1"/>
    <col min="7" max="8" width="12.5703125" style="41" bestFit="1" customWidth="1"/>
    <col min="9" max="9" width="14.5703125" style="41" bestFit="1" customWidth="1"/>
    <col min="10" max="10" width="9.140625" style="41"/>
    <col min="11" max="11" width="10.5703125" style="41" bestFit="1" customWidth="1"/>
    <col min="12" max="12" width="9.140625" style="41"/>
    <col min="13" max="14" width="12.5703125" style="41" bestFit="1" customWidth="1"/>
    <col min="15" max="15" width="13.42578125" style="41" customWidth="1"/>
    <col min="16" max="16" width="9.140625" style="41"/>
    <col min="17" max="17" width="11.5703125" style="41" bestFit="1" customWidth="1"/>
    <col min="18" max="16384" width="9.140625" style="41"/>
  </cols>
  <sheetData>
    <row r="1" spans="1:8" ht="15.75" thickBot="1" x14ac:dyDescent="0.3">
      <c r="A1" s="100" t="s">
        <v>37</v>
      </c>
      <c r="B1" s="101"/>
      <c r="C1" s="102"/>
      <c r="E1" s="100" t="s">
        <v>36</v>
      </c>
      <c r="F1" s="101"/>
      <c r="G1" s="102"/>
    </row>
    <row r="2" spans="1:8" x14ac:dyDescent="0.25">
      <c r="A2" s="42" t="s">
        <v>51</v>
      </c>
      <c r="B2" s="43" t="s">
        <v>26</v>
      </c>
      <c r="C2" s="44" t="s">
        <v>27</v>
      </c>
      <c r="E2" s="42" t="s">
        <v>25</v>
      </c>
      <c r="F2" s="43" t="s">
        <v>26</v>
      </c>
      <c r="G2" s="44" t="s">
        <v>27</v>
      </c>
    </row>
    <row r="3" spans="1:8" ht="15.75" thickBot="1" x14ac:dyDescent="0.3">
      <c r="A3" s="76">
        <v>12140.6</v>
      </c>
      <c r="B3" s="46">
        <v>21000</v>
      </c>
      <c r="C3" s="47">
        <f>B3*A3</f>
        <v>254952600</v>
      </c>
      <c r="E3" s="45">
        <v>14520</v>
      </c>
      <c r="F3" s="46">
        <v>49500</v>
      </c>
      <c r="G3" s="52">
        <f>F3*E3</f>
        <v>718740000</v>
      </c>
    </row>
    <row r="4" spans="1:8" x14ac:dyDescent="0.25">
      <c r="C4" s="41" t="s">
        <v>50</v>
      </c>
      <c r="F4" s="41" t="s">
        <v>28</v>
      </c>
    </row>
    <row r="5" spans="1:8" ht="15.75" thickBot="1" x14ac:dyDescent="0.3"/>
    <row r="6" spans="1:8" x14ac:dyDescent="0.25">
      <c r="A6" s="42" t="s">
        <v>29</v>
      </c>
      <c r="B6" s="48">
        <f>C3</f>
        <v>254952600</v>
      </c>
      <c r="E6" s="42" t="s">
        <v>29</v>
      </c>
      <c r="F6" s="75">
        <f>G3</f>
        <v>718740000</v>
      </c>
    </row>
    <row r="7" spans="1:8" x14ac:dyDescent="0.25">
      <c r="A7" s="49" t="s">
        <v>30</v>
      </c>
      <c r="B7" s="48">
        <f>1654.3*18000</f>
        <v>29777400</v>
      </c>
      <c r="E7" s="49" t="s">
        <v>30</v>
      </c>
      <c r="F7" s="54">
        <f>Sheet1!U9</f>
        <v>12326932.800000001</v>
      </c>
    </row>
    <row r="8" spans="1:8" x14ac:dyDescent="0.25">
      <c r="A8" s="49" t="s">
        <v>31</v>
      </c>
      <c r="B8" s="50"/>
      <c r="E8" s="49" t="s">
        <v>31</v>
      </c>
      <c r="F8" s="53"/>
    </row>
    <row r="9" spans="1:8" x14ac:dyDescent="0.25">
      <c r="A9" s="49" t="s">
        <v>32</v>
      </c>
      <c r="B9" s="50">
        <f>SUM(B6:B8)</f>
        <v>284730000</v>
      </c>
      <c r="E9" s="49" t="s">
        <v>32</v>
      </c>
      <c r="F9" s="53">
        <f>SUM(F6:F8)</f>
        <v>731066932.79999995</v>
      </c>
    </row>
    <row r="10" spans="1:8" x14ac:dyDescent="0.25">
      <c r="A10" s="49"/>
      <c r="B10" s="50">
        <f>ROUND(B9,-5)</f>
        <v>284700000</v>
      </c>
      <c r="E10" s="49" t="s">
        <v>33</v>
      </c>
      <c r="F10" s="53">
        <f>ROUND(F9,-5)</f>
        <v>731100000</v>
      </c>
    </row>
    <row r="11" spans="1:8" x14ac:dyDescent="0.25">
      <c r="A11" s="49"/>
      <c r="B11" s="50">
        <f>0.85*B10</f>
        <v>241995000</v>
      </c>
      <c r="E11" s="49" t="s">
        <v>34</v>
      </c>
      <c r="F11" s="53">
        <f>0.85*F10</f>
        <v>621435000</v>
      </c>
    </row>
    <row r="12" spans="1:8" ht="15.75" thickBot="1" x14ac:dyDescent="0.3">
      <c r="A12" s="45"/>
      <c r="B12" s="47">
        <f>0.75*B10</f>
        <v>213525000</v>
      </c>
      <c r="E12" s="45" t="s">
        <v>35</v>
      </c>
      <c r="F12" s="52">
        <f>0.75*F10</f>
        <v>548325000</v>
      </c>
    </row>
    <row r="13" spans="1:8" x14ac:dyDescent="0.25">
      <c r="E13" s="41" t="s">
        <v>41</v>
      </c>
      <c r="F13" s="41">
        <f>0.8*Sheet1!P9</f>
        <v>28161280</v>
      </c>
      <c r="H13" s="50"/>
    </row>
    <row r="16" spans="1:8" x14ac:dyDescent="0.25">
      <c r="B16" s="51"/>
    </row>
    <row r="18" spans="12:17" x14ac:dyDescent="0.25">
      <c r="M18" s="41">
        <v>13700</v>
      </c>
      <c r="N18" s="41">
        <v>0.1</v>
      </c>
      <c r="O18" s="41">
        <f>M18*N18</f>
        <v>1370</v>
      </c>
    </row>
    <row r="19" spans="12:17" x14ac:dyDescent="0.25">
      <c r="M19" s="41">
        <f>$O$18</f>
        <v>1370</v>
      </c>
    </row>
    <row r="20" spans="12:17" x14ac:dyDescent="0.25">
      <c r="M20" s="41">
        <f>M19+M18</f>
        <v>15070</v>
      </c>
    </row>
    <row r="21" spans="12:17" x14ac:dyDescent="0.25">
      <c r="Q21" s="77"/>
    </row>
    <row r="22" spans="12:17" x14ac:dyDescent="0.25">
      <c r="L22" s="77"/>
      <c r="M22" s="77">
        <v>5000</v>
      </c>
      <c r="N22" s="77">
        <v>9000</v>
      </c>
      <c r="O22" s="78">
        <f>M22*N22</f>
        <v>45000000</v>
      </c>
    </row>
    <row r="24" spans="12:17" x14ac:dyDescent="0.25">
      <c r="M24" s="41">
        <v>13000</v>
      </c>
      <c r="N24" s="41">
        <v>0.1</v>
      </c>
      <c r="O24" s="41">
        <f>M24*N24</f>
        <v>1300</v>
      </c>
    </row>
    <row r="25" spans="12:17" x14ac:dyDescent="0.25">
      <c r="O25" s="41">
        <v>13000</v>
      </c>
    </row>
    <row r="26" spans="12:17" x14ac:dyDescent="0.25">
      <c r="O26" s="41">
        <f>SUM(O24:O25)</f>
        <v>14300</v>
      </c>
      <c r="P26" s="41">
        <v>5000</v>
      </c>
      <c r="Q26" s="41">
        <f>P26*O26</f>
        <v>71500000</v>
      </c>
    </row>
    <row r="29" spans="12:17" x14ac:dyDescent="0.25">
      <c r="M29" s="41">
        <v>5000</v>
      </c>
      <c r="N29" s="41">
        <v>15070</v>
      </c>
      <c r="O29" s="41">
        <f>M29*N29</f>
        <v>75350000</v>
      </c>
    </row>
    <row r="31" spans="12:17" x14ac:dyDescent="0.25">
      <c r="M31" s="41">
        <v>15070</v>
      </c>
      <c r="N31" s="41">
        <v>5000</v>
      </c>
      <c r="O31" s="41">
        <f>N31*M31</f>
        <v>75350000</v>
      </c>
    </row>
  </sheetData>
  <mergeCells count="2">
    <mergeCell ref="E1:G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Calculations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Babul</dc:creator>
  <cp:lastModifiedBy>Windows User</cp:lastModifiedBy>
  <dcterms:created xsi:type="dcterms:W3CDTF">2022-11-04T05:05:51Z</dcterms:created>
  <dcterms:modified xsi:type="dcterms:W3CDTF">2024-01-23T05:48:16Z</dcterms:modified>
</cp:coreProperties>
</file>