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G:\DATAm Since 01-12-2021\Delhi NCR\Delhi\VIS(2023-24)-PL641-544-860, Buchisanyasi Raju Grandhi (GMR Group)\"/>
    </mc:Choice>
  </mc:AlternateContent>
  <xr:revisionPtr revIDLastSave="0" documentId="13_ncr:1_{B81C2B79-0B4F-4D98-AF7E-FE89A052FB5E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 Valuation" sheetId="1" r:id="rId1"/>
    <sheet name="Sheet2" sheetId="8" r:id="rId2"/>
    <sheet name="Sheet1" sheetId="7" r:id="rId3"/>
  </sheets>
  <definedNames>
    <definedName name="_xlnm.Print_Area" localSheetId="0">'Building Valuation'!$B$14:$T$25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" i="1" l="1"/>
  <c r="Z10" i="1"/>
  <c r="G28" i="1"/>
  <c r="Y8" i="1"/>
  <c r="T31" i="1"/>
  <c r="Y38" i="1"/>
  <c r="Y36" i="1"/>
  <c r="Y37" i="1"/>
  <c r="F38" i="1"/>
  <c r="K21" i="1"/>
  <c r="K20" i="1"/>
  <c r="K19" i="1"/>
  <c r="K18" i="1"/>
  <c r="W21" i="1"/>
  <c r="W20" i="1"/>
  <c r="W19" i="1"/>
  <c r="W18" i="1"/>
  <c r="F5" i="1"/>
  <c r="W4" i="1"/>
  <c r="W5" i="1" s="1"/>
  <c r="N4" i="1"/>
  <c r="K4" i="1"/>
  <c r="G4" i="1"/>
  <c r="P4" i="1" s="1"/>
  <c r="P5" i="1" s="1"/>
  <c r="P11" i="1" s="1"/>
  <c r="L56" i="1"/>
  <c r="L57" i="1" s="1"/>
  <c r="F35" i="1"/>
  <c r="L53" i="1"/>
  <c r="L54" i="1" s="1"/>
  <c r="L50" i="1"/>
  <c r="L51" i="1" s="1"/>
  <c r="H51" i="1"/>
  <c r="I47" i="1"/>
  <c r="F31" i="1"/>
  <c r="G21" i="1"/>
  <c r="P21" i="1" s="1"/>
  <c r="Q21" i="1" s="1"/>
  <c r="R21" i="1" s="1"/>
  <c r="T21" i="1" s="1"/>
  <c r="G20" i="1"/>
  <c r="P20" i="1" s="1"/>
  <c r="G19" i="1"/>
  <c r="P19" i="1" s="1"/>
  <c r="G18" i="1"/>
  <c r="P18" i="1" s="1"/>
  <c r="G17" i="1"/>
  <c r="F22" i="1"/>
  <c r="Z29" i="1"/>
  <c r="T32" i="1"/>
  <c r="G16" i="1"/>
  <c r="G5" i="1" l="1"/>
  <c r="Q18" i="1"/>
  <c r="R18" i="1" s="1"/>
  <c r="T18" i="1" s="1"/>
  <c r="Q20" i="1"/>
  <c r="R20" i="1" s="1"/>
  <c r="T20" i="1" s="1"/>
  <c r="X20" i="1" s="1"/>
  <c r="X21" i="1"/>
  <c r="Q19" i="1"/>
  <c r="R19" i="1" s="1"/>
  <c r="T19" i="1" s="1"/>
  <c r="X19" i="1" s="1"/>
  <c r="Q4" i="1"/>
  <c r="R4" i="1" s="1"/>
  <c r="K17" i="1"/>
  <c r="W17" i="1"/>
  <c r="W16" i="1"/>
  <c r="W22" i="1" s="1"/>
  <c r="X18" i="1" l="1"/>
  <c r="T4" i="1"/>
  <c r="T5" i="1" s="1"/>
  <c r="T29" i="1" s="1"/>
  <c r="R5" i="1"/>
  <c r="F40" i="1"/>
  <c r="F41" i="1" s="1"/>
  <c r="G22" i="1" l="1"/>
  <c r="P16" i="1" l="1"/>
  <c r="P17" i="1" l="1"/>
  <c r="P22" i="1" s="1"/>
  <c r="N17" i="1"/>
  <c r="Q17" i="1" l="1"/>
  <c r="R17" i="1" s="1"/>
  <c r="T17" i="1" s="1"/>
  <c r="X17" i="1" s="1"/>
  <c r="N16" i="1" l="1"/>
  <c r="K16" i="1" l="1"/>
  <c r="Q16" i="1" s="1"/>
  <c r="R16" i="1" l="1"/>
  <c r="T16" i="1" s="1"/>
  <c r="T22" i="1" s="1"/>
  <c r="Z16" i="1" l="1"/>
  <c r="X16" i="1" l="1"/>
  <c r="P28" i="1"/>
  <c r="R22" i="1" l="1"/>
</calcChain>
</file>

<file path=xl/sharedStrings.xml><?xml version="1.0" encoding="utf-8"?>
<sst xmlns="http://schemas.openxmlformats.org/spreadsheetml/2006/main" count="98" uniqueCount="59">
  <si>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</si>
  <si>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</si>
  <si>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</si>
  <si>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</si>
  <si>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</si>
  <si>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</si>
  <si>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</si>
  <si>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Remarks:</t>
  </si>
  <si>
    <t>First Floor</t>
  </si>
  <si>
    <t>Sr. No.</t>
  </si>
  <si>
    <t>Gross Replacement Value</t>
  </si>
  <si>
    <t>Depreciation</t>
  </si>
  <si>
    <t>Depreciated Replacement Market Value</t>
  </si>
  <si>
    <t>Area
(in sq.mtr.)</t>
  </si>
  <si>
    <t>Area
(in sq.ft.)</t>
  </si>
  <si>
    <t>Height (in ft.)</t>
  </si>
  <si>
    <t>Total Life Consumed 
(in years)</t>
  </si>
  <si>
    <t>Total Economical Life
(in years)</t>
  </si>
  <si>
    <t>Plinth Area  Rate 
(in per sq.ft.)</t>
  </si>
  <si>
    <t>Boundary Wall</t>
  </si>
  <si>
    <t>Ground Floor</t>
  </si>
  <si>
    <t>Guideline Value
(in Rs.)</t>
  </si>
  <si>
    <t>Particulars</t>
  </si>
  <si>
    <t>at 4000 per running mtr.</t>
  </si>
  <si>
    <t>per sq.mtr.</t>
  </si>
  <si>
    <t>sq.mtr.</t>
  </si>
  <si>
    <t>Guideline Rate
(in Rs. per sq.mtr.)</t>
  </si>
  <si>
    <t>Age Factor</t>
  </si>
  <si>
    <t>Land Value</t>
  </si>
  <si>
    <t>1. All the details pertaining to the building area statement such as area, floor, etc. has been taken on the basis of the documents provided to us.</t>
  </si>
  <si>
    <t xml:space="preserve"> RCC structure with  brick wall </t>
  </si>
  <si>
    <t>Guideline Value</t>
  </si>
  <si>
    <t>Building</t>
  </si>
  <si>
    <t>Guideline Land Value</t>
  </si>
  <si>
    <t>Guideline Rate</t>
  </si>
  <si>
    <t>Rate Adopted</t>
  </si>
  <si>
    <t>Land Area</t>
  </si>
  <si>
    <t>Insurance</t>
  </si>
  <si>
    <t>Premium for Renovation</t>
  </si>
  <si>
    <t>2. The valuation is done by considering the Depreciated Replacement Cost Approach.</t>
  </si>
  <si>
    <t>Depreciated Replacement Value</t>
  </si>
  <si>
    <t>sq.ft.</t>
  </si>
  <si>
    <t>Land development/landscaping</t>
  </si>
  <si>
    <t>Basement</t>
  </si>
  <si>
    <t>4-Staff Room, 4-Washroom, Gym</t>
  </si>
  <si>
    <t>2-Guest Room, 2-Hall, Reception, Canteen, Washroom</t>
  </si>
  <si>
    <t>6-Bedroom, 6-Washrrom, 1-Hall, 1-Gym</t>
  </si>
  <si>
    <t>28°32'16.0"N 77°04'41.0"E</t>
  </si>
  <si>
    <t>https://timesofindia.indiatimes.com/city/delhi/policy-confusion-hits-farmhouses/articleshow/48840500.cms</t>
  </si>
  <si>
    <t>https://www.pushpanjalifarms.in/RWAVendor/documents/6067837a1dffdHC-Judgement-Deemed-Sanction.pdf</t>
  </si>
  <si>
    <t>Shed mounted on brick wall</t>
  </si>
  <si>
    <t>Shed mounted on Iron pillars</t>
  </si>
  <si>
    <t>-</t>
  </si>
  <si>
    <t>Acres</t>
  </si>
  <si>
    <t>per Acre</t>
  </si>
  <si>
    <t>acre</t>
  </si>
  <si>
    <t>sq.yds.</t>
  </si>
  <si>
    <t>Basement + Ground + First</t>
  </si>
  <si>
    <t>3. All the buildings are situated at D-19, Pushpanjali Farms, New Delhi.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</si>
</sst>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&quot;₹&quot;\ * #,##0.0000_ ;_ &quot;₹&quot;\ * \-#,##0.0000_ ;_ &quot;₹&quot;\ * &quot;-&quot;????_ ;_ @_ "/>
    <numFmt numFmtId="168" formatCode="_ * #,##0.0_ ;_ * \-#,##0.0_ ;_ * &quot;-&quot;?_ ;_ @_ "/>
    <numFmt numFmtId="169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3" applyNumberFormat="1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7" fontId="0" fillId="0" borderId="0" xfId="0" applyNumberFormat="1"/>
    <xf numFmtId="166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164" fontId="0" fillId="0" borderId="0" xfId="3" applyNumberFormat="1" applyFont="1"/>
    <xf numFmtId="166" fontId="0" fillId="0" borderId="0" xfId="1" applyNumberFormat="1" applyFont="1"/>
    <xf numFmtId="168" fontId="0" fillId="0" borderId="0" xfId="0" applyNumberFormat="1"/>
    <xf numFmtId="166" fontId="0" fillId="0" borderId="1" xfId="1" applyNumberFormat="1" applyFon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4" fontId="2" fillId="0" borderId="0" xfId="3" applyNumberFormat="1" applyFont="1"/>
    <xf numFmtId="164" fontId="2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166" fontId="0" fillId="0" borderId="0" xfId="1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169" fontId="0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166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wrapText="1"/>
    </xf>
    <xf numFmtId="43" fontId="0" fillId="0" borderId="0" xfId="3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3" fontId="2" fillId="4" borderId="1" xfId="3" applyFont="1" applyFill="1" applyBorder="1" applyAlignment="1">
      <alignment horizontal="center" vertical="center"/>
    </xf>
    <xf numFmtId="164" fontId="2" fillId="4" borderId="1" xfId="3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66" fontId="2" fillId="4" borderId="1" xfId="1" applyNumberFormat="1" applyFont="1" applyFill="1" applyBorder="1" applyAlignment="1">
      <alignment horizontal="center" vertical="center"/>
    </xf>
    <xf numFmtId="43" fontId="0" fillId="0" borderId="0" xfId="3" applyFont="1" applyAlignment="1">
      <alignment horizontal="center" vertical="center" wrapText="1"/>
    </xf>
    <xf numFmtId="0" fontId="7" fillId="0" borderId="0" xfId="4"/>
    <xf numFmtId="164" fontId="0" fillId="0" borderId="0" xfId="3" applyNumberFormat="1" applyFont="1" applyAlignment="1">
      <alignment horizontal="center" vertical="center" wrapText="1"/>
    </xf>
    <xf numFmtId="44" fontId="0" fillId="0" borderId="0" xfId="0" applyNumberFormat="1"/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</cellXfs>
  <cellStyles count="5">
    <cellStyle name="Comma" xfId="3" builtinId="3"/>
    <cellStyle name="Currency" xfId="1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4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306544</xdr:colOff>
      <xdr:row>19</xdr:row>
      <xdr:rowOff>171953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B95F29-25C7-5208-CDF1-BF830278C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12498544" cy="36009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21</xdr:col>
      <xdr:colOff>344650</xdr:colOff>
      <xdr:row>42</xdr:row>
      <xdr:rowOff>38664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E386D6B-6154-A322-0EB3-C4FE855E0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000500"/>
          <a:ext cx="12536650" cy="40391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572686</xdr:colOff>
      <xdr:row>62</xdr:row>
      <xdr:rowOff>10032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F334624-BB5E-41DE-88E3-E4DCE3B04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8191500"/>
          <a:ext cx="8497486" cy="36295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23</xdr:col>
      <xdr:colOff>59019</xdr:colOff>
      <xdr:row>84</xdr:row>
      <xdr:rowOff>29137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CD9DBDA-230D-3621-77B2-7B15A00FB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36" y="12001500"/>
          <a:ext cx="13394019" cy="4029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ushpanjalifarms.in/RWAVendor/documents/6067837a1dffdHC-Judgement-Deemed-Sanction.pdf" TargetMode="External"/><Relationship Id="rId1" Type="http://schemas.openxmlformats.org/officeDocument/2006/relationships/hyperlink" Target="https://timesofindia.indiatimes.com/city/delhi/policy-confusion-hits-farmhouses/articleshow/48840500.c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A62"/>
  <sheetViews>
    <sheetView tabSelected="1" topLeftCell="A13" zoomScale="85" zoomScaleNormal="85" zoomScaleSheetLayoutView="85" workbookViewId="0">
      <selection activeCell="I31" sqref="I31"/>
    </sheetView>
  </sheetViews>
  <sheetFormatPr defaultRowHeight="15" x14ac:dyDescent="0.25"/>
  <cols>
    <col min="1" max="1" width="5.140625" customWidth="1"/>
    <col min="2" max="2" width="6.5703125" customWidth="1"/>
    <col min="3" max="3" width="13.7109375" style="11" customWidth="1"/>
    <col min="4" max="4" width="24.140625" style="11" hidden="1" customWidth="1"/>
    <col min="5" max="5" width="31.5703125" style="11" customWidth="1"/>
    <col min="6" max="6" width="10.85546875" style="11" customWidth="1"/>
    <col min="7" max="7" width="8.85546875" style="13" customWidth="1"/>
    <col min="8" max="8" width="8" customWidth="1"/>
    <col min="9" max="9" width="14.42578125" bestFit="1" customWidth="1"/>
    <col min="10" max="10" width="11.7109375" hidden="1" customWidth="1"/>
    <col min="11" max="11" width="10.7109375" customWidth="1"/>
    <col min="12" max="12" width="11.42578125" customWidth="1"/>
    <col min="13" max="13" width="7.7109375" hidden="1" customWidth="1"/>
    <col min="14" max="14" width="16.28515625" hidden="1" customWidth="1"/>
    <col min="15" max="15" width="10.5703125" customWidth="1"/>
    <col min="16" max="16" width="14.42578125" bestFit="1" customWidth="1"/>
    <col min="17" max="17" width="14.42578125" hidden="1" customWidth="1"/>
    <col min="18" max="18" width="12.7109375" hidden="1" customWidth="1"/>
    <col min="19" max="19" width="11.42578125" hidden="1" customWidth="1"/>
    <col min="20" max="20" width="14.42578125" style="12" bestFit="1" customWidth="1"/>
    <col min="21" max="21" width="9.85546875" style="12" hidden="1" customWidth="1"/>
    <col min="22" max="22" width="6.85546875" style="12" hidden="1" customWidth="1"/>
    <col min="23" max="23" width="13.42578125" style="12" hidden="1" customWidth="1"/>
    <col min="24" max="24" width="17" bestFit="1" customWidth="1"/>
    <col min="25" max="25" width="16.42578125" bestFit="1" customWidth="1"/>
    <col min="26" max="27" width="15.42578125" bestFit="1" customWidth="1"/>
  </cols>
  <sheetData>
    <row r="3" spans="2:26" ht="43.5" customHeight="1" x14ac:dyDescent="0.25">
      <c r="B3" s="41" t="s">
        <v>9</v>
      </c>
      <c r="C3" s="42" t="s">
        <v>0</v>
      </c>
      <c r="D3" s="42" t="s">
        <v>22</v>
      </c>
      <c r="E3" s="42" t="s">
        <v>3</v>
      </c>
      <c r="F3" s="42" t="s">
        <v>13</v>
      </c>
      <c r="G3" s="43" t="s">
        <v>14</v>
      </c>
      <c r="H3" s="42" t="s">
        <v>15</v>
      </c>
      <c r="I3" s="42" t="s">
        <v>1</v>
      </c>
      <c r="J3" s="44" t="s">
        <v>2</v>
      </c>
      <c r="K3" s="42" t="s">
        <v>16</v>
      </c>
      <c r="L3" s="42" t="s">
        <v>17</v>
      </c>
      <c r="M3" s="44" t="s">
        <v>4</v>
      </c>
      <c r="N3" s="44" t="s">
        <v>6</v>
      </c>
      <c r="O3" s="42" t="s">
        <v>18</v>
      </c>
      <c r="P3" s="42" t="s">
        <v>10</v>
      </c>
      <c r="Q3" s="44" t="s">
        <v>11</v>
      </c>
      <c r="R3" s="42" t="s">
        <v>40</v>
      </c>
      <c r="S3" s="42" t="s">
        <v>38</v>
      </c>
      <c r="T3" s="42" t="s">
        <v>12</v>
      </c>
      <c r="U3" s="42" t="s">
        <v>26</v>
      </c>
      <c r="V3" s="42" t="s">
        <v>27</v>
      </c>
      <c r="W3" s="42" t="s">
        <v>21</v>
      </c>
    </row>
    <row r="4" spans="2:26" ht="30" x14ac:dyDescent="0.25">
      <c r="B4" s="2">
        <v>1</v>
      </c>
      <c r="C4" s="10" t="s">
        <v>57</v>
      </c>
      <c r="D4" s="10"/>
      <c r="E4" s="10" t="s">
        <v>30</v>
      </c>
      <c r="F4" s="45">
        <v>490.12</v>
      </c>
      <c r="G4" s="46">
        <f>F4*10.7639</f>
        <v>5275.6026679999995</v>
      </c>
      <c r="H4" s="7">
        <v>12</v>
      </c>
      <c r="I4" s="2">
        <v>2019</v>
      </c>
      <c r="J4" s="2">
        <v>2023</v>
      </c>
      <c r="K4" s="2">
        <f>J4-I4</f>
        <v>4</v>
      </c>
      <c r="L4" s="2">
        <v>60</v>
      </c>
      <c r="M4" s="3">
        <v>0.1</v>
      </c>
      <c r="N4" s="4">
        <f>(1-M4)/L4</f>
        <v>1.5000000000000001E-2</v>
      </c>
      <c r="O4" s="26">
        <v>1600</v>
      </c>
      <c r="P4" s="26">
        <f>O4*G4</f>
        <v>8440964.2687999997</v>
      </c>
      <c r="Q4" s="26">
        <f t="shared" ref="Q4" si="0">P4*N4*K4</f>
        <v>506457.85612800001</v>
      </c>
      <c r="R4" s="26">
        <f t="shared" ref="R4" si="1">MAX(P4-Q4,0)</f>
        <v>7934506.412672</v>
      </c>
      <c r="S4" s="27">
        <v>0</v>
      </c>
      <c r="T4" s="26">
        <f>IF(R4&gt;M4*P4,R4*(1+S4),P4*M4)</f>
        <v>7934506.412672</v>
      </c>
      <c r="U4" s="26"/>
      <c r="V4" s="36">
        <v>1</v>
      </c>
      <c r="W4" s="26">
        <f>U4*F4*V4</f>
        <v>0</v>
      </c>
    </row>
    <row r="5" spans="2:26" x14ac:dyDescent="0.25">
      <c r="B5" s="56" t="s">
        <v>5</v>
      </c>
      <c r="C5" s="56"/>
      <c r="D5" s="56"/>
      <c r="E5" s="56"/>
      <c r="F5" s="48">
        <f>SUM(F4)</f>
        <v>490.12</v>
      </c>
      <c r="G5" s="49">
        <f>SUM(G4)</f>
        <v>5275.6026679999995</v>
      </c>
      <c r="H5" s="47"/>
      <c r="I5" s="50"/>
      <c r="J5" s="50"/>
      <c r="K5" s="50"/>
      <c r="L5" s="50"/>
      <c r="M5" s="50"/>
      <c r="N5" s="50"/>
      <c r="O5" s="50"/>
      <c r="P5" s="51">
        <f>SUM(P4)</f>
        <v>8440964.2687999997</v>
      </c>
      <c r="Q5" s="51"/>
      <c r="R5" s="51">
        <f>SUM(R4)</f>
        <v>7934506.412672</v>
      </c>
      <c r="S5" s="51"/>
      <c r="T5" s="51">
        <f>SUM(T4)</f>
        <v>7934506.412672</v>
      </c>
      <c r="U5" s="51"/>
      <c r="V5" s="51"/>
      <c r="W5" s="51">
        <f>SUM(W4)</f>
        <v>0</v>
      </c>
    </row>
    <row r="6" spans="2:26" x14ac:dyDescent="0.25">
      <c r="B6" s="57" t="s">
        <v>7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9"/>
      <c r="Y6">
        <v>2.75</v>
      </c>
    </row>
    <row r="7" spans="2:26" x14ac:dyDescent="0.25">
      <c r="B7" s="60" t="s">
        <v>29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2"/>
      <c r="Y7">
        <v>0.09</v>
      </c>
    </row>
    <row r="8" spans="2:26" x14ac:dyDescent="0.25">
      <c r="B8" s="63" t="s">
        <v>39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5"/>
      <c r="Y8">
        <f>Y6-Y7</f>
        <v>2.66</v>
      </c>
    </row>
    <row r="9" spans="2:26" x14ac:dyDescent="0.25">
      <c r="B9" s="63" t="s">
        <v>58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5"/>
    </row>
    <row r="10" spans="2:26" x14ac:dyDescent="0.25">
      <c r="Z10" s="23">
        <f>2.66*300000000</f>
        <v>798000000</v>
      </c>
    </row>
    <row r="11" spans="2:26" x14ac:dyDescent="0.25">
      <c r="P11" s="55">
        <f>P5*0.8</f>
        <v>6752771.4150400003</v>
      </c>
      <c r="Z11" s="1">
        <f>Z10+T5</f>
        <v>805934506.41267204</v>
      </c>
    </row>
    <row r="14" spans="2:26" x14ac:dyDescent="0.25">
      <c r="Y14" s="8" t="s">
        <v>47</v>
      </c>
    </row>
    <row r="15" spans="2:26" s="9" customFormat="1" ht="38.25" customHeight="1" x14ac:dyDescent="0.25">
      <c r="B15" s="41" t="s">
        <v>9</v>
      </c>
      <c r="C15" s="42" t="s">
        <v>0</v>
      </c>
      <c r="D15" s="42" t="s">
        <v>22</v>
      </c>
      <c r="E15" s="42" t="s">
        <v>3</v>
      </c>
      <c r="F15" s="42" t="s">
        <v>13</v>
      </c>
      <c r="G15" s="43" t="s">
        <v>14</v>
      </c>
      <c r="H15" s="42" t="s">
        <v>15</v>
      </c>
      <c r="I15" s="42" t="s">
        <v>1</v>
      </c>
      <c r="J15" s="44" t="s">
        <v>2</v>
      </c>
      <c r="K15" s="42" t="s">
        <v>16</v>
      </c>
      <c r="L15" s="42" t="s">
        <v>17</v>
      </c>
      <c r="M15" s="44" t="s">
        <v>4</v>
      </c>
      <c r="N15" s="44" t="s">
        <v>6</v>
      </c>
      <c r="O15" s="42" t="s">
        <v>18</v>
      </c>
      <c r="P15" s="42" t="s">
        <v>10</v>
      </c>
      <c r="Q15" s="44" t="s">
        <v>11</v>
      </c>
      <c r="R15" s="42" t="s">
        <v>40</v>
      </c>
      <c r="S15" s="42" t="s">
        <v>38</v>
      </c>
      <c r="T15" s="42" t="s">
        <v>12</v>
      </c>
      <c r="U15" s="42" t="s">
        <v>26</v>
      </c>
      <c r="V15" s="42" t="s">
        <v>27</v>
      </c>
      <c r="W15" s="42" t="s">
        <v>21</v>
      </c>
    </row>
    <row r="16" spans="2:26" ht="30" x14ac:dyDescent="0.25">
      <c r="B16" s="2">
        <v>1</v>
      </c>
      <c r="C16" s="10" t="s">
        <v>43</v>
      </c>
      <c r="D16" s="10" t="s">
        <v>44</v>
      </c>
      <c r="E16" s="10" t="s">
        <v>30</v>
      </c>
      <c r="F16" s="45">
        <v>373</v>
      </c>
      <c r="G16" s="46">
        <f>F16*10.7639</f>
        <v>4014.9346999999998</v>
      </c>
      <c r="H16" s="7">
        <v>12</v>
      </c>
      <c r="I16" s="2">
        <v>1998</v>
      </c>
      <c r="J16" s="2">
        <v>2023</v>
      </c>
      <c r="K16" s="2">
        <f>J16-I16</f>
        <v>25</v>
      </c>
      <c r="L16" s="2">
        <v>60</v>
      </c>
      <c r="M16" s="3">
        <v>0.1</v>
      </c>
      <c r="N16" s="4">
        <f>(1-M16)/L16</f>
        <v>1.5000000000000001E-2</v>
      </c>
      <c r="O16" s="26">
        <v>1500</v>
      </c>
      <c r="P16" s="26">
        <f>O16*G16</f>
        <v>6022402.0499999998</v>
      </c>
      <c r="Q16" s="26">
        <f t="shared" ref="Q16:Q17" si="2">P16*N16*K16</f>
        <v>2258400.7687500003</v>
      </c>
      <c r="R16" s="26">
        <f t="shared" ref="R16" si="3">MAX(P16-Q16,0)</f>
        <v>3764001.2812499995</v>
      </c>
      <c r="S16" s="27">
        <v>0</v>
      </c>
      <c r="T16" s="26">
        <f>IF(R16&gt;M16*P16,R16*(1+S16),P16*M16)</f>
        <v>3764001.2812499995</v>
      </c>
      <c r="U16" s="26"/>
      <c r="V16" s="36">
        <v>1</v>
      </c>
      <c r="W16" s="26">
        <f>U16*F16*V16</f>
        <v>0</v>
      </c>
      <c r="X16" s="8">
        <f>T16/G16</f>
        <v>937.49999999999989</v>
      </c>
      <c r="Y16" s="1"/>
      <c r="Z16" s="40">
        <f>T16/P16</f>
        <v>0.62499999999999989</v>
      </c>
    </row>
    <row r="17" spans="2:27" ht="45" x14ac:dyDescent="0.25">
      <c r="B17" s="2">
        <v>2</v>
      </c>
      <c r="C17" s="10" t="s">
        <v>20</v>
      </c>
      <c r="D17" s="10" t="s">
        <v>45</v>
      </c>
      <c r="E17" s="10" t="s">
        <v>30</v>
      </c>
      <c r="F17" s="45">
        <v>373</v>
      </c>
      <c r="G17" s="46">
        <f t="shared" ref="G17:G21" si="4">F17*10.7639</f>
        <v>4014.9346999999998</v>
      </c>
      <c r="H17" s="7">
        <v>12</v>
      </c>
      <c r="I17" s="2">
        <v>1998</v>
      </c>
      <c r="J17" s="2">
        <v>2023</v>
      </c>
      <c r="K17" s="2">
        <f>J17-I17</f>
        <v>25</v>
      </c>
      <c r="L17" s="2">
        <v>60</v>
      </c>
      <c r="M17" s="3">
        <v>0.1</v>
      </c>
      <c r="N17" s="4">
        <f>(1-M17)/L17</f>
        <v>1.5000000000000001E-2</v>
      </c>
      <c r="O17" s="26">
        <v>1500</v>
      </c>
      <c r="P17" s="5">
        <f>O17*G17</f>
        <v>6022402.0499999998</v>
      </c>
      <c r="Q17" s="26">
        <f t="shared" si="2"/>
        <v>2258400.7687500003</v>
      </c>
      <c r="R17" s="5">
        <f>MAX(P17-Q17,0)</f>
        <v>3764001.2812499995</v>
      </c>
      <c r="S17" s="27">
        <v>0</v>
      </c>
      <c r="T17" s="26">
        <f>IF(R17&gt;M17*P17,R17*(1+S17),P17*M17)</f>
        <v>3764001.2812499995</v>
      </c>
      <c r="U17" s="26"/>
      <c r="V17" s="36">
        <v>1</v>
      </c>
      <c r="W17" s="26">
        <f t="shared" ref="W17" si="5">U17*F17*V17</f>
        <v>0</v>
      </c>
      <c r="X17" s="8">
        <f>T17/G17</f>
        <v>937.49999999999989</v>
      </c>
      <c r="Y17" s="1"/>
      <c r="Z17" s="1"/>
    </row>
    <row r="18" spans="2:27" ht="45" x14ac:dyDescent="0.25">
      <c r="B18" s="2">
        <v>3</v>
      </c>
      <c r="C18" s="10" t="s">
        <v>8</v>
      </c>
      <c r="D18" s="10" t="s">
        <v>46</v>
      </c>
      <c r="E18" s="10" t="s">
        <v>30</v>
      </c>
      <c r="F18" s="45">
        <v>349</v>
      </c>
      <c r="G18" s="46">
        <f t="shared" si="4"/>
        <v>3756.6010999999999</v>
      </c>
      <c r="H18" s="7">
        <v>12</v>
      </c>
      <c r="I18" s="2">
        <v>1998</v>
      </c>
      <c r="J18" s="2"/>
      <c r="K18" s="2">
        <f t="shared" ref="K18:K21" si="6">J18-I18</f>
        <v>-1998</v>
      </c>
      <c r="L18" s="2">
        <v>60</v>
      </c>
      <c r="M18" s="3"/>
      <c r="N18" s="4"/>
      <c r="O18" s="26">
        <v>1500</v>
      </c>
      <c r="P18" s="5">
        <f t="shared" ref="P18:P21" si="7">O18*G18</f>
        <v>5634901.6499999994</v>
      </c>
      <c r="Q18" s="26">
        <f t="shared" ref="Q18:Q21" si="8">P18*N18*K18</f>
        <v>0</v>
      </c>
      <c r="R18" s="5">
        <f t="shared" ref="R18:R21" si="9">MAX(P18-Q18,0)</f>
        <v>5634901.6499999994</v>
      </c>
      <c r="S18" s="27">
        <v>0</v>
      </c>
      <c r="T18" s="26">
        <f t="shared" ref="T18:T21" si="10">IF(R18&gt;M18*P18,R18*(1+S18),P18*M18)</f>
        <v>5634901.6499999994</v>
      </c>
      <c r="U18" s="26"/>
      <c r="V18" s="36">
        <v>1</v>
      </c>
      <c r="W18" s="26">
        <f t="shared" ref="W18:W21" si="11">U18*F18*V18</f>
        <v>0</v>
      </c>
      <c r="X18" s="8">
        <f t="shared" ref="X18:X21" si="12">T18/G18</f>
        <v>1500</v>
      </c>
      <c r="Y18" s="1"/>
      <c r="Z18" s="1"/>
    </row>
    <row r="19" spans="2:27" ht="30" x14ac:dyDescent="0.25">
      <c r="B19" s="2">
        <v>4</v>
      </c>
      <c r="C19" s="10" t="s">
        <v>20</v>
      </c>
      <c r="D19" s="10" t="s">
        <v>52</v>
      </c>
      <c r="E19" s="10" t="s">
        <v>50</v>
      </c>
      <c r="F19" s="45">
        <v>223.81</v>
      </c>
      <c r="G19" s="46">
        <f t="shared" si="4"/>
        <v>2409.0684590000001</v>
      </c>
      <c r="H19" s="7">
        <v>12</v>
      </c>
      <c r="I19" s="2">
        <v>1998</v>
      </c>
      <c r="J19" s="2"/>
      <c r="K19" s="2">
        <f t="shared" si="6"/>
        <v>-1998</v>
      </c>
      <c r="L19" s="2">
        <v>35</v>
      </c>
      <c r="M19" s="3"/>
      <c r="N19" s="4"/>
      <c r="O19" s="26">
        <v>1000</v>
      </c>
      <c r="P19" s="5">
        <f t="shared" si="7"/>
        <v>2409068.4590000003</v>
      </c>
      <c r="Q19" s="26">
        <f t="shared" si="8"/>
        <v>0</v>
      </c>
      <c r="R19" s="5">
        <f t="shared" si="9"/>
        <v>2409068.4590000003</v>
      </c>
      <c r="S19" s="27">
        <v>0</v>
      </c>
      <c r="T19" s="26">
        <f t="shared" si="10"/>
        <v>2409068.4590000003</v>
      </c>
      <c r="U19" s="26"/>
      <c r="V19" s="36">
        <v>1</v>
      </c>
      <c r="W19" s="26">
        <f t="shared" si="11"/>
        <v>0</v>
      </c>
      <c r="X19" s="8">
        <f t="shared" si="12"/>
        <v>1000.0000000000001</v>
      </c>
      <c r="Y19" s="1"/>
      <c r="Z19" s="1"/>
    </row>
    <row r="20" spans="2:27" ht="30" x14ac:dyDescent="0.25">
      <c r="B20" s="2">
        <v>5</v>
      </c>
      <c r="C20" s="10" t="s">
        <v>20</v>
      </c>
      <c r="D20" s="10" t="s">
        <v>52</v>
      </c>
      <c r="E20" s="10" t="s">
        <v>50</v>
      </c>
      <c r="F20" s="45">
        <v>86.67</v>
      </c>
      <c r="G20" s="46">
        <f t="shared" si="4"/>
        <v>932.90721299999996</v>
      </c>
      <c r="H20" s="7">
        <v>12</v>
      </c>
      <c r="I20" s="2">
        <v>1998</v>
      </c>
      <c r="J20" s="2"/>
      <c r="K20" s="2">
        <f t="shared" si="6"/>
        <v>-1998</v>
      </c>
      <c r="L20" s="2">
        <v>35</v>
      </c>
      <c r="M20" s="3"/>
      <c r="N20" s="4"/>
      <c r="O20" s="26">
        <v>1000</v>
      </c>
      <c r="P20" s="5">
        <f t="shared" si="7"/>
        <v>932907.21299999999</v>
      </c>
      <c r="Q20" s="26">
        <f t="shared" si="8"/>
        <v>0</v>
      </c>
      <c r="R20" s="5">
        <f t="shared" si="9"/>
        <v>932907.21299999999</v>
      </c>
      <c r="S20" s="27">
        <v>0</v>
      </c>
      <c r="T20" s="26">
        <f t="shared" si="10"/>
        <v>932907.21299999999</v>
      </c>
      <c r="U20" s="26"/>
      <c r="V20" s="36">
        <v>1</v>
      </c>
      <c r="W20" s="26">
        <f t="shared" si="11"/>
        <v>0</v>
      </c>
      <c r="X20" s="8">
        <f t="shared" si="12"/>
        <v>1000</v>
      </c>
      <c r="Y20" s="1"/>
      <c r="Z20" s="1"/>
    </row>
    <row r="21" spans="2:27" ht="30" x14ac:dyDescent="0.25">
      <c r="B21" s="2">
        <v>6</v>
      </c>
      <c r="C21" s="10" t="s">
        <v>20</v>
      </c>
      <c r="D21" s="10" t="s">
        <v>52</v>
      </c>
      <c r="E21" s="10" t="s">
        <v>51</v>
      </c>
      <c r="F21" s="45">
        <v>221</v>
      </c>
      <c r="G21" s="46">
        <f t="shared" si="4"/>
        <v>2378.8218999999999</v>
      </c>
      <c r="H21" s="7">
        <v>20</v>
      </c>
      <c r="I21" s="2">
        <v>1998</v>
      </c>
      <c r="J21" s="2"/>
      <c r="K21" s="2">
        <f t="shared" si="6"/>
        <v>-1998</v>
      </c>
      <c r="L21" s="2">
        <v>25</v>
      </c>
      <c r="M21" s="3"/>
      <c r="N21" s="4"/>
      <c r="O21" s="26">
        <v>500</v>
      </c>
      <c r="P21" s="5">
        <f t="shared" si="7"/>
        <v>1189410.95</v>
      </c>
      <c r="Q21" s="26">
        <f t="shared" si="8"/>
        <v>0</v>
      </c>
      <c r="R21" s="5">
        <f t="shared" si="9"/>
        <v>1189410.95</v>
      </c>
      <c r="S21" s="27">
        <v>0</v>
      </c>
      <c r="T21" s="26">
        <f t="shared" si="10"/>
        <v>1189410.95</v>
      </c>
      <c r="U21" s="26"/>
      <c r="V21" s="36">
        <v>1</v>
      </c>
      <c r="W21" s="26">
        <f t="shared" si="11"/>
        <v>0</v>
      </c>
      <c r="X21" s="8">
        <f t="shared" si="12"/>
        <v>500</v>
      </c>
      <c r="Y21" s="1"/>
      <c r="Z21" s="1"/>
    </row>
    <row r="22" spans="2:27" x14ac:dyDescent="0.25">
      <c r="B22" s="56" t="s">
        <v>5</v>
      </c>
      <c r="C22" s="56"/>
      <c r="D22" s="56"/>
      <c r="E22" s="56"/>
      <c r="F22" s="48">
        <f>SUM(F16:F21)</f>
        <v>1626.48</v>
      </c>
      <c r="G22" s="49">
        <f>SUM(G16:G17)</f>
        <v>8029.8693999999996</v>
      </c>
      <c r="H22" s="47"/>
      <c r="I22" s="50"/>
      <c r="J22" s="50"/>
      <c r="K22" s="50"/>
      <c r="L22" s="50"/>
      <c r="M22" s="50"/>
      <c r="N22" s="50"/>
      <c r="O22" s="50"/>
      <c r="P22" s="51">
        <f>SUM(P16:P21)</f>
        <v>22211092.371999998</v>
      </c>
      <c r="Q22" s="51"/>
      <c r="R22" s="51">
        <f>SUM(R16:R17)</f>
        <v>7528002.5624999991</v>
      </c>
      <c r="S22" s="51"/>
      <c r="T22" s="51">
        <f>SUM(T16:T21)</f>
        <v>17694290.8345</v>
      </c>
      <c r="U22" s="51"/>
      <c r="V22" s="51"/>
      <c r="W22" s="51">
        <f>SUM(W16:W21)</f>
        <v>0</v>
      </c>
      <c r="X22" s="8"/>
    </row>
    <row r="23" spans="2:27" x14ac:dyDescent="0.25">
      <c r="B23" s="57" t="s">
        <v>7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X23" s="8"/>
      <c r="Z23">
        <v>223.81</v>
      </c>
    </row>
    <row r="24" spans="2:27" ht="15" customHeight="1" x14ac:dyDescent="0.25">
      <c r="B24" s="60" t="s">
        <v>29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2"/>
      <c r="X24" s="8"/>
      <c r="Z24">
        <v>86.67</v>
      </c>
    </row>
    <row r="25" spans="2:27" x14ac:dyDescent="0.25">
      <c r="B25" s="63" t="s">
        <v>39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5"/>
      <c r="X25" s="8"/>
      <c r="Y25" s="19"/>
      <c r="Z25">
        <v>221</v>
      </c>
      <c r="AA25" s="23"/>
    </row>
    <row r="26" spans="2:27" x14ac:dyDescent="0.25">
      <c r="B26" s="63" t="s">
        <v>58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5"/>
      <c r="X26" s="8"/>
      <c r="Y26" s="6"/>
      <c r="Z26">
        <v>373</v>
      </c>
      <c r="AA26" s="1"/>
    </row>
    <row r="27" spans="2:27" x14ac:dyDescent="0.25">
      <c r="T27" s="21"/>
      <c r="U27" s="21"/>
      <c r="V27" s="21"/>
      <c r="W27" s="21"/>
      <c r="X27" s="8"/>
      <c r="Z27">
        <v>349</v>
      </c>
      <c r="AA27" s="23"/>
    </row>
    <row r="28" spans="2:27" x14ac:dyDescent="0.25">
      <c r="G28" s="13">
        <f>(F22/F32)*100</f>
        <v>15.109469522436422</v>
      </c>
      <c r="O28" t="s">
        <v>37</v>
      </c>
      <c r="P28" s="23">
        <f>P22*0.8</f>
        <v>17768873.897599999</v>
      </c>
      <c r="T28" s="22"/>
      <c r="X28" s="8"/>
      <c r="Z28">
        <v>373</v>
      </c>
      <c r="AA28" s="14"/>
    </row>
    <row r="29" spans="2:27" x14ac:dyDescent="0.25">
      <c r="C29" s="16"/>
      <c r="D29" s="16"/>
      <c r="E29" s="18"/>
      <c r="H29" s="32"/>
      <c r="P29" s="37" t="s">
        <v>5</v>
      </c>
      <c r="Q29" s="37"/>
      <c r="R29" s="37"/>
      <c r="S29" s="37"/>
      <c r="T29" s="38">
        <f>T5+F35+Y39</f>
        <v>676934506.41267204</v>
      </c>
      <c r="U29" s="22"/>
      <c r="V29" s="22"/>
      <c r="W29" s="22"/>
      <c r="Z29" s="37">
        <f>SUM(Z23:Z28)</f>
        <v>1626.48</v>
      </c>
    </row>
    <row r="30" spans="2:27" x14ac:dyDescent="0.25">
      <c r="C30" s="16"/>
      <c r="E30" s="16" t="s">
        <v>36</v>
      </c>
      <c r="F30" s="52">
        <v>2.66</v>
      </c>
      <c r="G30" s="28" t="s">
        <v>53</v>
      </c>
      <c r="H30" s="33"/>
      <c r="T30" s="22">
        <v>680000000</v>
      </c>
      <c r="U30" s="22"/>
      <c r="V30" s="22"/>
      <c r="W30" s="22"/>
      <c r="Z30" s="23"/>
    </row>
    <row r="31" spans="2:27" ht="15" customHeight="1" x14ac:dyDescent="0.25">
      <c r="C31" s="17"/>
      <c r="E31" s="16" t="s">
        <v>36</v>
      </c>
      <c r="F31" s="54">
        <f>F30*43560</f>
        <v>115869.6</v>
      </c>
      <c r="G31" s="28" t="s">
        <v>41</v>
      </c>
      <c r="H31" s="33"/>
      <c r="T31" s="22">
        <f>T30*0.85</f>
        <v>578000000</v>
      </c>
      <c r="Z31" s="23"/>
    </row>
    <row r="32" spans="2:27" x14ac:dyDescent="0.25">
      <c r="F32" s="54">
        <v>10764.64</v>
      </c>
      <c r="G32" s="15" t="s">
        <v>25</v>
      </c>
      <c r="H32" s="33"/>
      <c r="T32" s="20">
        <f>T30*0.75</f>
        <v>510000000</v>
      </c>
      <c r="U32" s="20"/>
      <c r="V32" s="20"/>
      <c r="W32" s="20"/>
      <c r="Z32" s="23"/>
      <c r="AA32" s="23"/>
    </row>
    <row r="33" spans="5:27" x14ac:dyDescent="0.25">
      <c r="F33" s="18"/>
      <c r="G33" s="15"/>
      <c r="H33" s="33"/>
      <c r="L33" s="14"/>
      <c r="T33" s="20"/>
      <c r="U33" s="20"/>
      <c r="V33" s="20"/>
      <c r="W33" s="20"/>
      <c r="Z33" s="23"/>
      <c r="AA33" s="25"/>
    </row>
    <row r="34" spans="5:27" x14ac:dyDescent="0.25">
      <c r="E34" s="11" t="s">
        <v>35</v>
      </c>
      <c r="F34" s="34">
        <v>250000000</v>
      </c>
      <c r="G34" t="s">
        <v>54</v>
      </c>
      <c r="H34" s="33"/>
      <c r="T34" s="24"/>
      <c r="U34" s="24"/>
      <c r="V34" s="24"/>
      <c r="W34" s="24"/>
      <c r="Z34" s="14"/>
      <c r="AA34" s="14"/>
    </row>
    <row r="35" spans="5:27" x14ac:dyDescent="0.25">
      <c r="E35" s="11" t="s">
        <v>28</v>
      </c>
      <c r="F35" s="35">
        <f>F34*F30</f>
        <v>665000000</v>
      </c>
      <c r="G35" s="11"/>
      <c r="H35" s="33"/>
    </row>
    <row r="36" spans="5:27" x14ac:dyDescent="0.25">
      <c r="G36" s="11"/>
      <c r="H36" s="33"/>
      <c r="O36" s="23"/>
      <c r="T36" s="20"/>
      <c r="X36" t="s">
        <v>19</v>
      </c>
      <c r="Y36" s="24">
        <f>480*4000</f>
        <v>1920000</v>
      </c>
      <c r="Z36" t="s">
        <v>23</v>
      </c>
    </row>
    <row r="37" spans="5:27" ht="45" x14ac:dyDescent="0.25">
      <c r="E37" s="11" t="s">
        <v>34</v>
      </c>
      <c r="F37" s="11">
        <v>46200</v>
      </c>
      <c r="G37" s="11" t="s">
        <v>24</v>
      </c>
      <c r="H37" s="33"/>
      <c r="O37" s="23"/>
      <c r="T37" s="30"/>
      <c r="U37" s="31"/>
      <c r="V37" s="31"/>
      <c r="X37" s="11" t="s">
        <v>42</v>
      </c>
      <c r="Y37" s="24">
        <f>200*F32</f>
        <v>2152928</v>
      </c>
    </row>
    <row r="38" spans="5:27" x14ac:dyDescent="0.25">
      <c r="E38" s="11" t="s">
        <v>33</v>
      </c>
      <c r="F38" s="39">
        <f>F37*F32</f>
        <v>497326368</v>
      </c>
      <c r="G38" s="11"/>
      <c r="I38" s="14"/>
      <c r="O38" s="29"/>
      <c r="T38" s="13"/>
      <c r="Y38" s="23">
        <f>SUM(Y36:Y37)</f>
        <v>4072928</v>
      </c>
    </row>
    <row r="39" spans="5:27" x14ac:dyDescent="0.25">
      <c r="F39" s="34"/>
      <c r="G39" s="11"/>
      <c r="T39" s="13"/>
      <c r="Y39" s="23">
        <v>4000000</v>
      </c>
    </row>
    <row r="40" spans="5:27" x14ac:dyDescent="0.25">
      <c r="E40" s="11" t="s">
        <v>32</v>
      </c>
      <c r="F40" s="34">
        <f>W22</f>
        <v>0</v>
      </c>
      <c r="G40" s="11"/>
    </row>
    <row r="41" spans="5:27" x14ac:dyDescent="0.25">
      <c r="E41" s="11" t="s">
        <v>31</v>
      </c>
      <c r="F41" s="39">
        <f>SUM(F38:F40)</f>
        <v>497326368</v>
      </c>
      <c r="G41" s="11"/>
    </row>
    <row r="44" spans="5:27" x14ac:dyDescent="0.25">
      <c r="E44" s="34"/>
    </row>
    <row r="46" spans="5:27" x14ac:dyDescent="0.25">
      <c r="I46" s="23"/>
    </row>
    <row r="47" spans="5:27" x14ac:dyDescent="0.25">
      <c r="H47">
        <v>3268</v>
      </c>
      <c r="I47" s="23">
        <f>186200000/H47</f>
        <v>56976.744186046511</v>
      </c>
    </row>
    <row r="48" spans="5:27" x14ac:dyDescent="0.25">
      <c r="H48" s="23">
        <v>3268</v>
      </c>
      <c r="I48" s="23">
        <v>186200000</v>
      </c>
    </row>
    <row r="49" spans="8:15" x14ac:dyDescent="0.25">
      <c r="H49" s="23"/>
      <c r="I49" s="23"/>
    </row>
    <row r="50" spans="8:15" x14ac:dyDescent="0.25">
      <c r="H50" s="23">
        <v>18000</v>
      </c>
      <c r="I50" s="23">
        <v>1000000000</v>
      </c>
      <c r="L50" s="23">
        <f>I50/H50</f>
        <v>55555.555555555555</v>
      </c>
      <c r="O50" t="s">
        <v>41</v>
      </c>
    </row>
    <row r="51" spans="8:15" x14ac:dyDescent="0.25">
      <c r="H51" s="14">
        <f>H50/43560</f>
        <v>0.41322314049586778</v>
      </c>
      <c r="I51" s="14"/>
      <c r="L51" s="1">
        <f>L50*43560</f>
        <v>2420000000</v>
      </c>
      <c r="O51" t="s">
        <v>55</v>
      </c>
    </row>
    <row r="53" spans="8:15" x14ac:dyDescent="0.25">
      <c r="H53" s="23">
        <v>5000</v>
      </c>
      <c r="I53" s="23">
        <v>300000000</v>
      </c>
      <c r="J53" s="23"/>
      <c r="K53" s="23"/>
      <c r="L53" s="23">
        <f>I53/H53</f>
        <v>60000</v>
      </c>
      <c r="O53" t="s">
        <v>56</v>
      </c>
    </row>
    <row r="54" spans="8:15" x14ac:dyDescent="0.25">
      <c r="H54" s="23"/>
      <c r="I54" s="23"/>
      <c r="J54" s="23"/>
      <c r="K54" s="23"/>
      <c r="L54" s="23">
        <f>L53*4840</f>
        <v>290400000</v>
      </c>
    </row>
    <row r="56" spans="8:15" x14ac:dyDescent="0.25">
      <c r="H56" s="23">
        <v>29025</v>
      </c>
      <c r="I56" s="23">
        <v>185100000</v>
      </c>
      <c r="J56" s="23"/>
      <c r="K56" s="23"/>
      <c r="L56" s="23">
        <f>I56/H56</f>
        <v>6377.2609819121444</v>
      </c>
      <c r="M56" s="23"/>
      <c r="N56" s="23"/>
      <c r="O56" s="23"/>
    </row>
    <row r="57" spans="8:15" x14ac:dyDescent="0.25">
      <c r="H57" s="23"/>
      <c r="I57" s="23"/>
      <c r="J57" s="23"/>
      <c r="K57" s="23"/>
      <c r="L57" s="23">
        <f>L56*43560</f>
        <v>277793488.37209302</v>
      </c>
      <c r="M57" s="23"/>
      <c r="N57" s="23"/>
      <c r="O57" s="23"/>
    </row>
    <row r="58" spans="8:15" x14ac:dyDescent="0.25">
      <c r="H58" s="23"/>
      <c r="I58" s="23"/>
      <c r="J58" s="23"/>
      <c r="K58" s="23"/>
      <c r="L58" s="23"/>
      <c r="M58" s="23"/>
      <c r="N58" s="23"/>
      <c r="O58" s="23"/>
    </row>
    <row r="59" spans="8:15" x14ac:dyDescent="0.25">
      <c r="H59" s="23"/>
      <c r="I59" s="23"/>
      <c r="J59" s="23"/>
      <c r="K59" s="23"/>
      <c r="L59" s="23"/>
      <c r="M59" s="23"/>
      <c r="N59" s="23"/>
      <c r="O59" s="23"/>
    </row>
    <row r="60" spans="8:15" x14ac:dyDescent="0.25">
      <c r="H60" s="23"/>
      <c r="I60" s="23"/>
      <c r="J60" s="23"/>
      <c r="K60" s="23"/>
      <c r="L60" s="23"/>
      <c r="M60" s="23"/>
      <c r="N60" s="23"/>
      <c r="O60" s="23"/>
    </row>
    <row r="61" spans="8:15" x14ac:dyDescent="0.25">
      <c r="H61" s="23"/>
      <c r="I61" s="23"/>
      <c r="J61" s="23"/>
      <c r="K61" s="23"/>
      <c r="L61" s="23"/>
      <c r="M61" s="23"/>
      <c r="N61" s="23"/>
      <c r="O61" s="23"/>
    </row>
    <row r="62" spans="8:15" x14ac:dyDescent="0.25">
      <c r="H62" s="23"/>
      <c r="I62" s="23"/>
      <c r="J62" s="23"/>
      <c r="K62" s="23"/>
      <c r="L62" s="23"/>
      <c r="M62" s="23"/>
      <c r="N62" s="23"/>
      <c r="O62" s="23"/>
    </row>
  </sheetData>
  <mergeCells count="10">
    <mergeCell ref="B22:E22"/>
    <mergeCell ref="B23:W23"/>
    <mergeCell ref="B24:W24"/>
    <mergeCell ref="B25:W25"/>
    <mergeCell ref="B26:W26"/>
    <mergeCell ref="B5:E5"/>
    <mergeCell ref="B6:W6"/>
    <mergeCell ref="B7:W7"/>
    <mergeCell ref="B8:W8"/>
    <mergeCell ref="B9:W9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5D14-EA4F-4A06-A846-C543D671BD5D}">
  <dimension ref="A1"/>
  <sheetViews>
    <sheetView topLeftCell="A28" zoomScale="55" zoomScaleNormal="55" workbookViewId="0">
      <selection activeCell="AD70" sqref="AD7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97648-C909-4F5B-87F1-3664CBBA5E74}">
  <dimension ref="B3:B4"/>
  <sheetViews>
    <sheetView workbookViewId="0">
      <selection activeCell="B4" sqref="B4"/>
    </sheetView>
  </sheetViews>
  <sheetFormatPr defaultRowHeight="15" x14ac:dyDescent="0.25"/>
  <sheetData>
    <row r="3" spans="2:2" x14ac:dyDescent="0.25">
      <c r="B3" s="53" t="s">
        <v>48</v>
      </c>
    </row>
    <row r="4" spans="2:2" x14ac:dyDescent="0.25">
      <c r="B4" s="53" t="s">
        <v>49</v>
      </c>
    </row>
  </sheetData>
  <hyperlinks>
    <hyperlink ref="B3" r:id="rId1" xr:uid="{9A73E725-7D8C-41BB-8F29-75CAB6A02CA2}"/>
    <hyperlink ref="B4" r:id="rId2" xr:uid="{45352742-2897-4020-B520-15646A5779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 Valuation</vt:lpstr>
      <vt:lpstr>Sheet2</vt:lpstr>
      <vt:lpstr>Sheet1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Manas Upmanyu</cp:lastModifiedBy>
  <cp:lastPrinted>2022-01-07T08:12:53Z</cp:lastPrinted>
  <dcterms:created xsi:type="dcterms:W3CDTF">2021-09-16T11:33:35Z</dcterms:created>
  <dcterms:modified xsi:type="dcterms:W3CDTF">2024-01-24T05:57:58Z</dcterms:modified>
</cp:coreProperties>
</file>