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DATAm Since 01-12-2021\West Bengal\VIS(2023-24)-PL647-550-868, Ms IMPEX METAL &amp; FERRO TECH LTD\"/>
    </mc:Choice>
  </mc:AlternateContent>
  <xr:revisionPtr revIDLastSave="0" documentId="13_ncr:1_{30B0AA2E-41BA-4350-9E38-B8B0C6F8F26F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Sheet2" sheetId="8" r:id="rId2"/>
  </sheets>
  <definedNames>
    <definedName name="_xlnm.Print_Area" localSheetId="0">'Building Valuation'!$B$3:$T$12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Y24" i="1"/>
  <c r="F8" i="1"/>
  <c r="W8" i="1" s="1"/>
  <c r="F7" i="1"/>
  <c r="F6" i="1"/>
  <c r="F5" i="1"/>
  <c r="F9" i="1" s="1"/>
  <c r="G16" i="1" s="1"/>
  <c r="D25" i="1"/>
  <c r="I19" i="1"/>
  <c r="I22" i="1" s="1"/>
  <c r="G22" i="1" s="1"/>
  <c r="D21" i="1"/>
  <c r="D19" i="1"/>
  <c r="X34" i="1"/>
  <c r="G9" i="1"/>
  <c r="N8" i="1"/>
  <c r="N7" i="1"/>
  <c r="T19" i="1"/>
  <c r="K8" i="1"/>
  <c r="K7" i="1"/>
  <c r="W7" i="1"/>
  <c r="P8" i="1"/>
  <c r="P7" i="1"/>
  <c r="T20" i="1"/>
  <c r="D23" i="1" l="1"/>
  <c r="Y26" i="1"/>
  <c r="Q7" i="1"/>
  <c r="R7" i="1" s="1"/>
  <c r="T7" i="1" s="1"/>
  <c r="Q8" i="1"/>
  <c r="R8" i="1" s="1"/>
  <c r="K6" i="1"/>
  <c r="W6" i="1"/>
  <c r="W5" i="1"/>
  <c r="T8" i="1" l="1"/>
  <c r="X8" i="1" s="1"/>
  <c r="W9" i="1"/>
  <c r="X7" i="1"/>
  <c r="D28" i="1"/>
  <c r="D29" i="1" s="1"/>
  <c r="P5" i="1" l="1"/>
  <c r="P6" i="1" l="1"/>
  <c r="P9" i="1" s="1"/>
  <c r="P16" i="1" s="1"/>
  <c r="N6" i="1"/>
  <c r="Q6" i="1" l="1"/>
  <c r="R6" i="1" s="1"/>
  <c r="T6" i="1" l="1"/>
  <c r="X6" i="1" s="1"/>
  <c r="N5" i="1"/>
  <c r="K5" i="1" l="1"/>
  <c r="Q5" i="1" s="1"/>
  <c r="R5" i="1" l="1"/>
  <c r="T5" i="1" s="1"/>
  <c r="T9" i="1" l="1"/>
  <c r="T17" i="1" s="1"/>
  <c r="R9" i="1"/>
  <c r="X5" i="1"/>
</calcChain>
</file>

<file path=xl/sharedStrings.xml><?xml version="1.0" encoding="utf-8"?>
<sst xmlns="http://schemas.openxmlformats.org/spreadsheetml/2006/main" count="59" uniqueCount="53">
  <si>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</si>
  <si>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</si>
  <si>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</si>
  <si>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</si>
  <si>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</si>
  <si>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</si>
  <si>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</si>
  <si>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Remarks:</t>
  </si>
  <si>
    <t>Sr. No.</t>
  </si>
  <si>
    <t>Gross Replacement Value</t>
  </si>
  <si>
    <t>Depreciation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</si>
  <si>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</si>
  <si>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</si>
  <si>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</si>
  <si>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</si>
  <si>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</si>
  <si>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</si>
  <si>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</si>
  <si>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</si>
  <si>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Ground Floor</t>
  </si>
  <si>
    <t>Guideline Value
(in Rs.)</t>
  </si>
  <si>
    <t>Particulars</t>
  </si>
  <si>
    <t>at 4000 per running mtr.</t>
  </si>
  <si>
    <t>per sq.mtr.</t>
  </si>
  <si>
    <t>Guideline Rate
(in Rs. per sq.mtr.)</t>
  </si>
  <si>
    <t>Age Factor</t>
  </si>
  <si>
    <t>Land Value</t>
  </si>
  <si>
    <t>Guideline Value</t>
  </si>
  <si>
    <t>Building</t>
  </si>
  <si>
    <t>Guideline Land Value</t>
  </si>
  <si>
    <t>Guideline Rate</t>
  </si>
  <si>
    <t>Rate Adopted</t>
  </si>
  <si>
    <t>Land Area</t>
  </si>
  <si>
    <t>Insurance</t>
  </si>
  <si>
    <t>2. The valuation is done by considering the Depreciated Replacement Cost Approach.</t>
  </si>
  <si>
    <t>Depreciated Replacement Value</t>
  </si>
  <si>
    <t>Land development/landscaping</t>
  </si>
  <si>
    <t>Shed mounted on brick wall</t>
  </si>
  <si>
    <t>Security Room</t>
  </si>
  <si>
    <t>RCC Foundation, AC Shed, Roofing with Brickwall, IPS Flooring</t>
  </si>
  <si>
    <t>AC Shed Flooring, Brickwall, Cement Flooring</t>
  </si>
  <si>
    <t>Labour Quarter</t>
  </si>
  <si>
    <t>Office Building</t>
  </si>
  <si>
    <t>Main Godown Shed</t>
  </si>
  <si>
    <t>1. All the details pertaining to the building area statement such as area, floor, etc. has been taken on the basis of the measurement via satellite measurement tools.</t>
  </si>
  <si>
    <t>decimal</t>
  </si>
  <si>
    <t>Acre</t>
  </si>
  <si>
    <t>Cottah</t>
  </si>
  <si>
    <t>per Cottah</t>
  </si>
  <si>
    <t>Discount</t>
  </si>
  <si>
    <t>22°42'21.0"N 88°17'54.6"E</t>
  </si>
  <si>
    <t>4. All the buildings are situated at Village-Chakundi, Delhi Road, P.S.-Dankuni, District-Hooghly.</t>
  </si>
  <si>
    <t>3. A discount of 15% is considered since actual condition of the structures is unknown and the survey was not done from inside.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</si>
</sst>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6" fontId="0" fillId="0" borderId="0" xfId="1" applyNumberFormat="1" applyFont="1"/>
    <xf numFmtId="168" fontId="0" fillId="0" borderId="0" xfId="0" applyNumberFormat="1"/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43" fontId="0" fillId="0" borderId="0" xfId="3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164" fontId="2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4" fontId="0" fillId="0" borderId="0" xfId="3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3" applyNumberFormat="1" applyFont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23</xdr:col>
      <xdr:colOff>11388</xdr:colOff>
      <xdr:row>35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B676A0-523C-6E64-E18A-5276AE22D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33"/>
        <a:stretch/>
      </xdr:blipFill>
      <xdr:spPr>
        <a:xfrm>
          <a:off x="606136" y="190500"/>
          <a:ext cx="13346388" cy="65982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22</xdr:col>
      <xdr:colOff>341260</xdr:colOff>
      <xdr:row>62</xdr:row>
      <xdr:rowOff>172112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16C686-28C9-29E0-5D9A-636071127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6" y="7239000"/>
          <a:ext cx="13070124" cy="47441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15</xdr:col>
      <xdr:colOff>48828</xdr:colOff>
      <xdr:row>84</xdr:row>
      <xdr:rowOff>505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A38650F-AB04-A614-7FB2-357D44DDD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12382500"/>
          <a:ext cx="8621328" cy="3620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50"/>
  <sheetViews>
    <sheetView tabSelected="1" zoomScale="85" zoomScaleNormal="85" zoomScaleSheetLayoutView="85" workbookViewId="0">
      <selection activeCell="P16" sqref="P16"/>
    </sheetView>
  </sheetViews>
  <sheetFormatPr defaultRowHeight="15" x14ac:dyDescent="0.25"/>
  <cols>
    <col min="1" max="1" width="5.140625" customWidth="1"/>
    <col min="2" max="2" width="6.5703125" customWidth="1"/>
    <col min="3" max="3" width="11.7109375" style="11" customWidth="1"/>
    <col min="4" max="4" width="14.42578125" style="11" bestFit="1" customWidth="1"/>
    <col min="5" max="5" width="31.5703125" style="11" customWidth="1"/>
    <col min="6" max="6" width="10.85546875" style="11" customWidth="1"/>
    <col min="7" max="7" width="8.85546875" style="13" customWidth="1"/>
    <col min="8" max="8" width="8" hidden="1" customWidth="1"/>
    <col min="9" max="9" width="12.7109375" customWidth="1"/>
    <col min="10" max="10" width="11.7109375" hidden="1" customWidth="1"/>
    <col min="11" max="11" width="10.7109375" customWidth="1"/>
    <col min="12" max="12" width="11.42578125" customWidth="1"/>
    <col min="13" max="13" width="7.7109375" hidden="1" customWidth="1"/>
    <col min="14" max="14" width="16.28515625" hidden="1" customWidth="1"/>
    <col min="15" max="15" width="10.5703125" customWidth="1"/>
    <col min="16" max="16" width="14.42578125" bestFit="1" customWidth="1"/>
    <col min="17" max="17" width="14.42578125" hidden="1" customWidth="1"/>
    <col min="18" max="18" width="12.7109375" hidden="1" customWidth="1"/>
    <col min="19" max="19" width="11.42578125" hidden="1" customWidth="1"/>
    <col min="20" max="20" width="14.42578125" style="12" bestFit="1" customWidth="1"/>
    <col min="21" max="21" width="9.85546875" style="12" hidden="1" customWidth="1"/>
    <col min="22" max="22" width="6.85546875" style="12" hidden="1" customWidth="1"/>
    <col min="23" max="23" width="13.42578125" style="12" hidden="1" customWidth="1"/>
    <col min="24" max="24" width="17" bestFit="1" customWidth="1"/>
    <col min="25" max="25" width="16.42578125" bestFit="1" customWidth="1"/>
    <col min="26" max="27" width="15.42578125" bestFit="1" customWidth="1"/>
  </cols>
  <sheetData>
    <row r="2" spans="2:27" x14ac:dyDescent="0.25">
      <c r="E2" s="53" t="s">
        <v>50</v>
      </c>
    </row>
    <row r="3" spans="2:27" x14ac:dyDescent="0.25">
      <c r="Y3" s="8"/>
    </row>
    <row r="4" spans="2:27" s="9" customFormat="1" ht="60" x14ac:dyDescent="0.25">
      <c r="B4" s="39" t="s">
        <v>8</v>
      </c>
      <c r="C4" s="40" t="s">
        <v>0</v>
      </c>
      <c r="D4" s="40" t="s">
        <v>21</v>
      </c>
      <c r="E4" s="40" t="s">
        <v>3</v>
      </c>
      <c r="F4" s="40" t="s">
        <v>12</v>
      </c>
      <c r="G4" s="41" t="s">
        <v>13</v>
      </c>
      <c r="H4" s="40" t="s">
        <v>14</v>
      </c>
      <c r="I4" s="40" t="s">
        <v>1</v>
      </c>
      <c r="J4" s="42" t="s">
        <v>2</v>
      </c>
      <c r="K4" s="40" t="s">
        <v>15</v>
      </c>
      <c r="L4" s="40" t="s">
        <v>16</v>
      </c>
      <c r="M4" s="42" t="s">
        <v>4</v>
      </c>
      <c r="N4" s="42" t="s">
        <v>6</v>
      </c>
      <c r="O4" s="40" t="s">
        <v>17</v>
      </c>
      <c r="P4" s="40" t="s">
        <v>9</v>
      </c>
      <c r="Q4" s="42" t="s">
        <v>10</v>
      </c>
      <c r="R4" s="40" t="s">
        <v>35</v>
      </c>
      <c r="S4" s="40" t="s">
        <v>49</v>
      </c>
      <c r="T4" s="40" t="s">
        <v>11</v>
      </c>
      <c r="U4" s="40" t="s">
        <v>24</v>
      </c>
      <c r="V4" s="40" t="s">
        <v>25</v>
      </c>
      <c r="W4" s="40" t="s">
        <v>20</v>
      </c>
    </row>
    <row r="5" spans="2:27" ht="33" customHeight="1" x14ac:dyDescent="0.25">
      <c r="B5" s="2">
        <v>1</v>
      </c>
      <c r="C5" s="10" t="s">
        <v>19</v>
      </c>
      <c r="D5" s="10" t="s">
        <v>43</v>
      </c>
      <c r="E5" s="10" t="s">
        <v>39</v>
      </c>
      <c r="F5" s="43">
        <f>G5/10.7639</f>
        <v>963.86997277938292</v>
      </c>
      <c r="G5" s="44">
        <v>10375</v>
      </c>
      <c r="H5" s="7"/>
      <c r="I5" s="2">
        <v>2004</v>
      </c>
      <c r="J5" s="2">
        <v>2024</v>
      </c>
      <c r="K5" s="2">
        <f>J5-I5</f>
        <v>20</v>
      </c>
      <c r="L5" s="2">
        <v>60</v>
      </c>
      <c r="M5" s="3">
        <v>0.1</v>
      </c>
      <c r="N5" s="4">
        <f>(1-M5)/L5</f>
        <v>1.5000000000000001E-2</v>
      </c>
      <c r="O5" s="25">
        <v>1000</v>
      </c>
      <c r="P5" s="25">
        <f>O5*G5</f>
        <v>10375000</v>
      </c>
      <c r="Q5" s="25">
        <f t="shared" ref="Q5:Q6" si="0">P5*N5*K5</f>
        <v>3112500</v>
      </c>
      <c r="R5" s="25">
        <f t="shared" ref="R5" si="1">MAX(P5-Q5,0)</f>
        <v>7262500</v>
      </c>
      <c r="S5" s="26">
        <v>0.15</v>
      </c>
      <c r="T5" s="25">
        <f>IF(R5&gt;M5*P5,R5*(1-S5),P5*M5)</f>
        <v>6173125</v>
      </c>
      <c r="U5" s="25"/>
      <c r="V5" s="34">
        <v>1</v>
      </c>
      <c r="W5" s="25">
        <f>U5*F5*V5</f>
        <v>0</v>
      </c>
      <c r="X5" s="8">
        <f>T5/G5</f>
        <v>595</v>
      </c>
      <c r="Y5" s="1"/>
      <c r="Z5" s="38"/>
    </row>
    <row r="6" spans="2:27" ht="30" x14ac:dyDescent="0.25">
      <c r="B6" s="2">
        <v>2</v>
      </c>
      <c r="C6" s="10" t="s">
        <v>19</v>
      </c>
      <c r="D6" s="10" t="s">
        <v>42</v>
      </c>
      <c r="E6" s="10" t="s">
        <v>40</v>
      </c>
      <c r="F6" s="43">
        <f t="shared" ref="F6:F8" si="2">G6/10.7639</f>
        <v>220.18041787827832</v>
      </c>
      <c r="G6" s="44">
        <v>2370</v>
      </c>
      <c r="H6" s="7"/>
      <c r="I6" s="2">
        <v>2004</v>
      </c>
      <c r="J6" s="2">
        <v>2024</v>
      </c>
      <c r="K6" s="2">
        <f>J6-I6</f>
        <v>20</v>
      </c>
      <c r="L6" s="2">
        <v>60</v>
      </c>
      <c r="M6" s="3">
        <v>0.1</v>
      </c>
      <c r="N6" s="4">
        <f>(1-M6)/L6</f>
        <v>1.5000000000000001E-2</v>
      </c>
      <c r="O6" s="25">
        <v>800</v>
      </c>
      <c r="P6" s="5">
        <f>O6*G6</f>
        <v>1896000</v>
      </c>
      <c r="Q6" s="25">
        <f t="shared" si="0"/>
        <v>568800.00000000012</v>
      </c>
      <c r="R6" s="5">
        <f>MAX(P6-Q6,0)</f>
        <v>1327200</v>
      </c>
      <c r="S6" s="26">
        <v>0.15</v>
      </c>
      <c r="T6" s="25">
        <f>IF(R6&gt;M6*P6,R6*(1-S6),P6*M6)</f>
        <v>1128120</v>
      </c>
      <c r="U6" s="25"/>
      <c r="V6" s="34">
        <v>1</v>
      </c>
      <c r="W6" s="25">
        <f t="shared" ref="W6" si="3">U6*F6*V6</f>
        <v>0</v>
      </c>
      <c r="X6" s="8">
        <f>T6/G6</f>
        <v>476</v>
      </c>
      <c r="Y6" s="1"/>
      <c r="Z6" s="1"/>
    </row>
    <row r="7" spans="2:27" ht="30" x14ac:dyDescent="0.25">
      <c r="B7" s="2">
        <v>3</v>
      </c>
      <c r="C7" s="10" t="s">
        <v>19</v>
      </c>
      <c r="D7" s="10" t="s">
        <v>41</v>
      </c>
      <c r="E7" s="10" t="s">
        <v>40</v>
      </c>
      <c r="F7" s="43">
        <f t="shared" si="2"/>
        <v>34.838673714917455</v>
      </c>
      <c r="G7" s="44">
        <v>375</v>
      </c>
      <c r="H7" s="7"/>
      <c r="I7" s="2">
        <v>2004</v>
      </c>
      <c r="J7" s="2">
        <v>2024</v>
      </c>
      <c r="K7" s="2">
        <f t="shared" ref="K7:K8" si="4">J7-I7</f>
        <v>20</v>
      </c>
      <c r="L7" s="2">
        <v>60</v>
      </c>
      <c r="M7" s="3">
        <v>0.1</v>
      </c>
      <c r="N7" s="4">
        <f t="shared" ref="N7:N8" si="5">(1-M7)/L7</f>
        <v>1.5000000000000001E-2</v>
      </c>
      <c r="O7" s="25">
        <v>300</v>
      </c>
      <c r="P7" s="5">
        <f t="shared" ref="P7:P8" si="6">O7*G7</f>
        <v>112500</v>
      </c>
      <c r="Q7" s="25">
        <f t="shared" ref="Q7:Q8" si="7">P7*N7*K7</f>
        <v>33750.000000000007</v>
      </c>
      <c r="R7" s="5">
        <f t="shared" ref="R7:R8" si="8">MAX(P7-Q7,0)</f>
        <v>78750</v>
      </c>
      <c r="S7" s="26">
        <v>0.15</v>
      </c>
      <c r="T7" s="25">
        <f t="shared" ref="T7:T8" si="9">IF(R7&gt;M7*P7,R7*(1-S7),P7*M7)</f>
        <v>66937.5</v>
      </c>
      <c r="U7" s="25"/>
      <c r="V7" s="34">
        <v>1</v>
      </c>
      <c r="W7" s="25">
        <f t="shared" ref="W7:W8" si="10">U7*F7*V7</f>
        <v>0</v>
      </c>
      <c r="X7" s="8">
        <f t="shared" ref="X7:X8" si="11">T7/G7</f>
        <v>178.5</v>
      </c>
      <c r="Y7" s="1"/>
      <c r="Z7" s="1"/>
    </row>
    <row r="8" spans="2:27" ht="30" x14ac:dyDescent="0.25">
      <c r="B8" s="2">
        <v>4</v>
      </c>
      <c r="C8" s="10" t="s">
        <v>19</v>
      </c>
      <c r="D8" s="10" t="s">
        <v>38</v>
      </c>
      <c r="E8" s="10" t="s">
        <v>37</v>
      </c>
      <c r="F8" s="43">
        <f t="shared" si="2"/>
        <v>14.864500785031447</v>
      </c>
      <c r="G8" s="44">
        <v>160</v>
      </c>
      <c r="H8" s="7"/>
      <c r="I8" s="2">
        <v>2004</v>
      </c>
      <c r="J8" s="2">
        <v>2024</v>
      </c>
      <c r="K8" s="2">
        <f t="shared" si="4"/>
        <v>20</v>
      </c>
      <c r="L8" s="2">
        <v>35</v>
      </c>
      <c r="M8" s="3">
        <v>0.1</v>
      </c>
      <c r="N8" s="4">
        <f t="shared" si="5"/>
        <v>2.5714285714285714E-2</v>
      </c>
      <c r="O8" s="25">
        <v>300</v>
      </c>
      <c r="P8" s="5">
        <f t="shared" si="6"/>
        <v>48000</v>
      </c>
      <c r="Q8" s="25">
        <f t="shared" si="7"/>
        <v>24685.714285714283</v>
      </c>
      <c r="R8" s="5">
        <f t="shared" si="8"/>
        <v>23314.285714285717</v>
      </c>
      <c r="S8" s="26">
        <v>0.15</v>
      </c>
      <c r="T8" s="25">
        <f t="shared" si="9"/>
        <v>19817.142857142859</v>
      </c>
      <c r="U8" s="25"/>
      <c r="V8" s="34">
        <v>1</v>
      </c>
      <c r="W8" s="25">
        <f t="shared" si="10"/>
        <v>0</v>
      </c>
      <c r="X8" s="8">
        <f t="shared" si="11"/>
        <v>123.85714285714286</v>
      </c>
      <c r="Y8" s="1"/>
      <c r="Z8" s="1"/>
    </row>
    <row r="9" spans="2:27" x14ac:dyDescent="0.25">
      <c r="B9" s="56" t="s">
        <v>5</v>
      </c>
      <c r="C9" s="56"/>
      <c r="D9" s="56"/>
      <c r="E9" s="56"/>
      <c r="F9" s="46">
        <f>SUM(F5:F8)</f>
        <v>1233.75356515761</v>
      </c>
      <c r="G9" s="47">
        <f>SUM(G5:G8)</f>
        <v>13280</v>
      </c>
      <c r="H9" s="45"/>
      <c r="I9" s="48"/>
      <c r="J9" s="48"/>
      <c r="K9" s="48"/>
      <c r="L9" s="48"/>
      <c r="M9" s="48"/>
      <c r="N9" s="48"/>
      <c r="O9" s="48"/>
      <c r="P9" s="49">
        <f>SUM(P5:P8)</f>
        <v>12431500</v>
      </c>
      <c r="Q9" s="49"/>
      <c r="R9" s="49">
        <f>SUM(R5:R8)</f>
        <v>8691764.2857142854</v>
      </c>
      <c r="S9" s="49"/>
      <c r="T9" s="49">
        <f>SUM(T5:T8)</f>
        <v>7387999.6428571427</v>
      </c>
      <c r="U9" s="49"/>
      <c r="V9" s="49"/>
      <c r="W9" s="49">
        <f>SUM(W5:W8)</f>
        <v>0</v>
      </c>
      <c r="X9" s="8"/>
    </row>
    <row r="10" spans="2:27" x14ac:dyDescent="0.25">
      <c r="B10" s="57" t="s">
        <v>7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8"/>
    </row>
    <row r="11" spans="2:27" ht="15" customHeight="1" x14ac:dyDescent="0.25">
      <c r="B11" s="60" t="s">
        <v>44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  <c r="X11" s="8"/>
    </row>
    <row r="12" spans="2:27" x14ac:dyDescent="0.25">
      <c r="B12" s="63" t="s">
        <v>34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5"/>
      <c r="X12" s="8"/>
      <c r="Y12" s="18"/>
      <c r="AA12" s="22"/>
    </row>
    <row r="13" spans="2:27" x14ac:dyDescent="0.25">
      <c r="B13" s="63" t="s">
        <v>52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51"/>
      <c r="V13" s="51"/>
      <c r="W13" s="52"/>
      <c r="X13" s="8"/>
      <c r="Y13" s="18"/>
      <c r="AA13" s="22"/>
    </row>
    <row r="14" spans="2:27" x14ac:dyDescent="0.25">
      <c r="B14" s="63" t="s">
        <v>51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5"/>
      <c r="X14" s="8"/>
      <c r="Y14" s="6"/>
      <c r="AA14" s="1"/>
    </row>
    <row r="15" spans="2:27" x14ac:dyDescent="0.25">
      <c r="T15" s="20"/>
      <c r="U15" s="20"/>
      <c r="V15" s="20"/>
      <c r="W15" s="20"/>
      <c r="X15" s="8"/>
      <c r="AA15" s="22"/>
    </row>
    <row r="16" spans="2:27" x14ac:dyDescent="0.25">
      <c r="G16" s="13">
        <f>(F9/D20)*100</f>
        <v>1328.616805037271</v>
      </c>
      <c r="O16" t="s">
        <v>33</v>
      </c>
      <c r="P16" s="22">
        <f>P9*0.7</f>
        <v>8702050</v>
      </c>
      <c r="T16" s="21"/>
      <c r="X16" s="8"/>
      <c r="AA16" s="14"/>
    </row>
    <row r="17" spans="3:27" x14ac:dyDescent="0.25">
      <c r="C17" s="16"/>
      <c r="D17" s="16"/>
      <c r="E17" s="17"/>
      <c r="H17" s="30"/>
      <c r="P17" s="35" t="s">
        <v>5</v>
      </c>
      <c r="Q17" s="35"/>
      <c r="R17" s="35"/>
      <c r="S17" s="35"/>
      <c r="T17" s="36">
        <f>T9+D23+Y27</f>
        <v>101747999.64285715</v>
      </c>
      <c r="U17" s="21"/>
      <c r="V17" s="21"/>
      <c r="W17" s="21"/>
      <c r="Z17" s="35"/>
    </row>
    <row r="18" spans="3:27" x14ac:dyDescent="0.25">
      <c r="C18" s="16" t="s">
        <v>32</v>
      </c>
      <c r="D18" s="50">
        <v>153.5</v>
      </c>
      <c r="E18" s="53" t="s">
        <v>45</v>
      </c>
      <c r="G18" s="13">
        <v>100</v>
      </c>
      <c r="H18" s="31"/>
      <c r="I18" s="13">
        <v>43560</v>
      </c>
      <c r="T18" s="21">
        <v>100000000</v>
      </c>
      <c r="U18" s="21"/>
      <c r="V18" s="21"/>
      <c r="W18" s="21"/>
      <c r="Z18" s="22"/>
    </row>
    <row r="19" spans="3:27" ht="15" customHeight="1" x14ac:dyDescent="0.25">
      <c r="C19" s="16" t="s">
        <v>32</v>
      </c>
      <c r="D19" s="50">
        <f>D18/100</f>
        <v>1.5349999999999999</v>
      </c>
      <c r="E19" s="53" t="s">
        <v>46</v>
      </c>
      <c r="G19" s="13">
        <v>1</v>
      </c>
      <c r="I19" s="13">
        <f>I18/G18</f>
        <v>435.6</v>
      </c>
      <c r="T19" s="21">
        <f>T18*0.85</f>
        <v>85000000</v>
      </c>
      <c r="Z19" s="22"/>
    </row>
    <row r="20" spans="3:27" x14ac:dyDescent="0.25">
      <c r="D20" s="50">
        <v>92.86</v>
      </c>
      <c r="E20" s="54" t="s">
        <v>47</v>
      </c>
      <c r="G20" s="13">
        <v>1</v>
      </c>
      <c r="H20" s="31"/>
      <c r="I20">
        <v>1.65</v>
      </c>
      <c r="T20" s="19">
        <f>T18*0.75</f>
        <v>75000000</v>
      </c>
      <c r="U20" s="19"/>
      <c r="V20" s="19"/>
      <c r="W20" s="19"/>
      <c r="Z20" s="22"/>
      <c r="AA20" s="22"/>
    </row>
    <row r="21" spans="3:27" x14ac:dyDescent="0.25">
      <c r="D21" s="17">
        <f>D18/D20</f>
        <v>1.6530260607365928</v>
      </c>
      <c r="E21" s="15"/>
      <c r="H21" s="31"/>
      <c r="L21" s="14"/>
      <c r="T21" s="19"/>
      <c r="U21" s="19"/>
      <c r="V21" s="19"/>
      <c r="W21" s="19"/>
      <c r="Z21" s="22"/>
      <c r="AA21" s="24"/>
    </row>
    <row r="22" spans="3:27" ht="30" x14ac:dyDescent="0.25">
      <c r="C22" s="11" t="s">
        <v>31</v>
      </c>
      <c r="D22" s="32">
        <v>1000000</v>
      </c>
      <c r="E22" t="s">
        <v>48</v>
      </c>
      <c r="G22" s="13">
        <f>D22/I22</f>
        <v>3787.878787878788</v>
      </c>
      <c r="H22" s="31"/>
      <c r="I22" s="1">
        <f>I19/I20</f>
        <v>264</v>
      </c>
      <c r="T22" s="23"/>
      <c r="U22" s="23"/>
      <c r="V22" s="23"/>
      <c r="W22" s="23"/>
      <c r="Z22" s="14"/>
      <c r="AA22" s="14"/>
    </row>
    <row r="23" spans="3:27" x14ac:dyDescent="0.25">
      <c r="C23" s="11" t="s">
        <v>26</v>
      </c>
      <c r="D23" s="33">
        <f>D22*D20</f>
        <v>92860000</v>
      </c>
      <c r="H23" s="31"/>
    </row>
    <row r="24" spans="3:27" x14ac:dyDescent="0.25">
      <c r="H24" s="31"/>
      <c r="O24" s="22"/>
      <c r="T24" s="19"/>
      <c r="X24" t="s">
        <v>18</v>
      </c>
      <c r="Y24" s="23">
        <f>390*4000</f>
        <v>1560000</v>
      </c>
      <c r="Z24" t="s">
        <v>22</v>
      </c>
    </row>
    <row r="25" spans="3:27" ht="45" x14ac:dyDescent="0.25">
      <c r="C25" s="11" t="s">
        <v>30</v>
      </c>
      <c r="D25" s="55">
        <f>D26/D20</f>
        <v>981473.31466724107</v>
      </c>
      <c r="E25" s="11" t="s">
        <v>23</v>
      </c>
      <c r="H25" s="31"/>
      <c r="O25" s="22"/>
      <c r="T25" s="28"/>
      <c r="U25" s="29"/>
      <c r="V25" s="29"/>
      <c r="X25" s="11" t="s">
        <v>36</v>
      </c>
      <c r="Y25" s="23">
        <f>200*1</f>
        <v>200</v>
      </c>
    </row>
    <row r="26" spans="3:27" ht="45" customHeight="1" x14ac:dyDescent="0.25">
      <c r="C26" s="11" t="s">
        <v>29</v>
      </c>
      <c r="D26" s="37">
        <v>91139612</v>
      </c>
      <c r="I26" s="14"/>
      <c r="O26" s="27"/>
      <c r="T26" s="13"/>
      <c r="Y26" s="22">
        <f>SUM(Y24:Y25)</f>
        <v>1560200</v>
      </c>
    </row>
    <row r="27" spans="3:27" x14ac:dyDescent="0.25">
      <c r="D27" s="32"/>
      <c r="T27" s="13"/>
      <c r="Y27" s="22">
        <v>1500000</v>
      </c>
    </row>
    <row r="28" spans="3:27" x14ac:dyDescent="0.25">
      <c r="C28" s="11" t="s">
        <v>28</v>
      </c>
      <c r="D28" s="32">
        <f>W9</f>
        <v>0</v>
      </c>
    </row>
    <row r="29" spans="3:27" ht="30" x14ac:dyDescent="0.25">
      <c r="C29" s="11" t="s">
        <v>27</v>
      </c>
      <c r="D29" s="37">
        <f>SUM(D26:D28)</f>
        <v>91139612</v>
      </c>
    </row>
    <row r="31" spans="3:27" x14ac:dyDescent="0.25">
      <c r="X31">
        <v>72.5</v>
      </c>
    </row>
    <row r="32" spans="3:27" x14ac:dyDescent="0.25">
      <c r="E32" s="32"/>
      <c r="X32">
        <v>59</v>
      </c>
    </row>
    <row r="33" spans="8:24" x14ac:dyDescent="0.25">
      <c r="X33">
        <v>22</v>
      </c>
    </row>
    <row r="34" spans="8:24" x14ac:dyDescent="0.25">
      <c r="I34" s="22"/>
      <c r="X34">
        <f>SUM(X31:X33)</f>
        <v>153.5</v>
      </c>
    </row>
    <row r="35" spans="8:24" x14ac:dyDescent="0.25">
      <c r="I35" s="22"/>
    </row>
    <row r="36" spans="8:24" x14ac:dyDescent="0.25">
      <c r="H36" s="22"/>
      <c r="I36" s="22"/>
    </row>
    <row r="37" spans="8:24" x14ac:dyDescent="0.25">
      <c r="H37" s="22"/>
      <c r="I37" s="22"/>
    </row>
    <row r="38" spans="8:24" x14ac:dyDescent="0.25">
      <c r="H38" s="22"/>
      <c r="I38" s="22"/>
      <c r="L38" s="22"/>
    </row>
    <row r="39" spans="8:24" x14ac:dyDescent="0.25">
      <c r="H39" s="14"/>
      <c r="I39" s="14"/>
      <c r="L39" s="1"/>
    </row>
    <row r="41" spans="8:24" x14ac:dyDescent="0.25">
      <c r="H41" s="22"/>
      <c r="I41" s="22"/>
      <c r="J41" s="22"/>
      <c r="K41" s="22"/>
      <c r="L41" s="22"/>
    </row>
    <row r="42" spans="8:24" x14ac:dyDescent="0.25">
      <c r="H42" s="22"/>
      <c r="I42" s="22"/>
      <c r="J42" s="22"/>
      <c r="K42" s="22"/>
      <c r="L42" s="22"/>
    </row>
    <row r="44" spans="8:24" x14ac:dyDescent="0.25">
      <c r="H44" s="22"/>
      <c r="I44" s="22"/>
      <c r="J44" s="22"/>
      <c r="K44" s="22"/>
      <c r="L44" s="22"/>
      <c r="M44" s="22"/>
      <c r="N44" s="22"/>
      <c r="O44" s="22"/>
    </row>
    <row r="45" spans="8:24" x14ac:dyDescent="0.25">
      <c r="H45" s="22"/>
      <c r="I45" s="22"/>
      <c r="J45" s="22"/>
      <c r="K45" s="22"/>
      <c r="L45" s="22"/>
      <c r="M45" s="22"/>
      <c r="N45" s="22"/>
      <c r="O45" s="22"/>
    </row>
    <row r="46" spans="8:24" x14ac:dyDescent="0.25">
      <c r="H46" s="22"/>
      <c r="I46" s="22"/>
      <c r="J46" s="22"/>
      <c r="K46" s="22"/>
      <c r="L46" s="22"/>
      <c r="M46" s="22"/>
      <c r="N46" s="22"/>
      <c r="O46" s="22"/>
    </row>
    <row r="47" spans="8:24" x14ac:dyDescent="0.25">
      <c r="H47" s="22"/>
      <c r="I47" s="22"/>
      <c r="J47" s="22"/>
      <c r="K47" s="22"/>
      <c r="L47" s="22"/>
      <c r="M47" s="22"/>
      <c r="N47" s="22"/>
      <c r="O47" s="22"/>
    </row>
    <row r="48" spans="8:24" x14ac:dyDescent="0.25">
      <c r="H48" s="22"/>
      <c r="I48" s="22"/>
      <c r="J48" s="22"/>
      <c r="K48" s="22"/>
      <c r="L48" s="22"/>
      <c r="M48" s="22"/>
      <c r="N48" s="22"/>
      <c r="O48" s="22"/>
    </row>
    <row r="49" spans="8:15" x14ac:dyDescent="0.25">
      <c r="H49" s="22"/>
      <c r="I49" s="22"/>
      <c r="J49" s="22"/>
      <c r="K49" s="22"/>
      <c r="L49" s="22"/>
      <c r="M49" s="22"/>
      <c r="N49" s="22"/>
      <c r="O49" s="22"/>
    </row>
    <row r="50" spans="8:15" x14ac:dyDescent="0.25">
      <c r="H50" s="22"/>
      <c r="I50" s="22"/>
      <c r="J50" s="22"/>
      <c r="K50" s="22"/>
      <c r="L50" s="22"/>
      <c r="M50" s="22"/>
      <c r="N50" s="22"/>
      <c r="O50" s="22"/>
    </row>
  </sheetData>
  <mergeCells count="6">
    <mergeCell ref="B9:E9"/>
    <mergeCell ref="B10:W10"/>
    <mergeCell ref="B11:W11"/>
    <mergeCell ref="B12:W12"/>
    <mergeCell ref="B14:W14"/>
    <mergeCell ref="B13:T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5D14-EA4F-4A06-A846-C543D671BD5D}">
  <dimension ref="A1"/>
  <sheetViews>
    <sheetView zoomScale="70" zoomScaleNormal="70" workbookViewId="0">
      <selection activeCell="B66" sqref="B6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Sheet2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2024-01-29T12:18:08Z</dcterms:modified>
</cp:coreProperties>
</file>