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830" windowHeight="3765" activeTab="4"/>
  </bookViews>
  <sheets>
    <sheet name="Land Area" sheetId="1" r:id="rId1"/>
    <sheet name="Sheet1" sheetId="2" r:id="rId2"/>
    <sheet name="Sheet3" sheetId="4" r:id="rId3"/>
    <sheet name="Sheet2" sheetId="3" r:id="rId4"/>
    <sheet name="Building" sheetId="5" r:id="rId5"/>
  </sheets>
  <definedNames>
    <definedName name="_xlnm._FilterDatabase" localSheetId="4" hidden="1">Building!$B$3:$O$33</definedName>
  </definedNames>
  <calcPr calcId="152511"/>
</workbook>
</file>

<file path=xl/calcChain.xml><?xml version="1.0" encoding="utf-8"?>
<calcChain xmlns="http://schemas.openxmlformats.org/spreadsheetml/2006/main">
  <c r="I2" i="5" l="1"/>
  <c r="O48" i="5"/>
  <c r="O47" i="5"/>
  <c r="O46" i="5"/>
  <c r="M44" i="5"/>
  <c r="O44" i="5"/>
  <c r="R18" i="4"/>
  <c r="R17" i="4"/>
  <c r="R16" i="4"/>
  <c r="J17" i="4"/>
  <c r="J16" i="4"/>
  <c r="J18" i="4" s="1"/>
  <c r="Q25" i="4"/>
  <c r="O27" i="4"/>
  <c r="O26" i="4"/>
  <c r="C24" i="1"/>
  <c r="C25" i="1" s="1"/>
  <c r="O29" i="4"/>
  <c r="O28" i="4"/>
  <c r="D43" i="5"/>
  <c r="D42" i="5"/>
  <c r="P17" i="4" l="1"/>
  <c r="K17" i="4"/>
  <c r="K16" i="4"/>
  <c r="P16" i="4" s="1"/>
  <c r="P18" i="4" s="1"/>
  <c r="F21" i="1"/>
  <c r="F20" i="1"/>
  <c r="F11" i="1"/>
  <c r="I33" i="5"/>
  <c r="M33" i="5" s="1"/>
  <c r="N33" i="5" s="1"/>
  <c r="I32" i="5"/>
  <c r="M32" i="5" s="1"/>
  <c r="N32" i="5" s="1"/>
  <c r="O32" i="5" s="1"/>
  <c r="I31" i="5"/>
  <c r="M31" i="5" s="1"/>
  <c r="N31" i="5" s="1"/>
  <c r="O31" i="5" s="1"/>
  <c r="I30" i="5"/>
  <c r="M30" i="5" s="1"/>
  <c r="I29" i="5"/>
  <c r="M29" i="5" s="1"/>
  <c r="I28" i="5"/>
  <c r="M28" i="5" s="1"/>
  <c r="N28" i="5" s="1"/>
  <c r="O28" i="5" s="1"/>
  <c r="I27" i="5"/>
  <c r="M27" i="5" s="1"/>
  <c r="N27" i="5" s="1"/>
  <c r="O27" i="5" s="1"/>
  <c r="M41" i="5"/>
  <c r="O41" i="5" s="1"/>
  <c r="M40" i="5"/>
  <c r="M39" i="5"/>
  <c r="G40" i="5"/>
  <c r="G39" i="5"/>
  <c r="F40" i="5"/>
  <c r="F39" i="5"/>
  <c r="D39" i="5"/>
  <c r="I26" i="5"/>
  <c r="M26" i="5" s="1"/>
  <c r="I25" i="5"/>
  <c r="M25" i="5" s="1"/>
  <c r="N25" i="5" s="1"/>
  <c r="O25" i="5" s="1"/>
  <c r="I24" i="5"/>
  <c r="M24" i="5" s="1"/>
  <c r="N24" i="5" s="1"/>
  <c r="O24" i="5" s="1"/>
  <c r="I23" i="5"/>
  <c r="M23" i="5" s="1"/>
  <c r="N23" i="5" s="1"/>
  <c r="O23" i="5" s="1"/>
  <c r="I22" i="5"/>
  <c r="M22" i="5" s="1"/>
  <c r="N22" i="5" s="1"/>
  <c r="O22" i="5" s="1"/>
  <c r="I21" i="5"/>
  <c r="M21" i="5" s="1"/>
  <c r="N21" i="5" s="1"/>
  <c r="O21" i="5" s="1"/>
  <c r="I20" i="5"/>
  <c r="M20" i="5" s="1"/>
  <c r="N20" i="5" s="1"/>
  <c r="O20" i="5" s="1"/>
  <c r="I19" i="5"/>
  <c r="M19" i="5" s="1"/>
  <c r="N19" i="5" s="1"/>
  <c r="O19" i="5" s="1"/>
  <c r="I18" i="5"/>
  <c r="M18" i="5" s="1"/>
  <c r="I17" i="5"/>
  <c r="M17" i="5" s="1"/>
  <c r="N17" i="5" s="1"/>
  <c r="O17" i="5" s="1"/>
  <c r="H16" i="5"/>
  <c r="I16" i="5" s="1"/>
  <c r="M16" i="5" s="1"/>
  <c r="N16" i="5" s="1"/>
  <c r="O16" i="5" s="1"/>
  <c r="H15" i="5"/>
  <c r="I15" i="5" s="1"/>
  <c r="M15" i="5" s="1"/>
  <c r="N15" i="5" s="1"/>
  <c r="O15" i="5" s="1"/>
  <c r="H14" i="5"/>
  <c r="I14" i="5" s="1"/>
  <c r="M14" i="5" s="1"/>
  <c r="N14" i="5" s="1"/>
  <c r="O14" i="5" s="1"/>
  <c r="H13" i="5"/>
  <c r="I13" i="5" s="1"/>
  <c r="M13" i="5" s="1"/>
  <c r="N13" i="5" s="1"/>
  <c r="O13" i="5" s="1"/>
  <c r="H12" i="5"/>
  <c r="I12" i="5" s="1"/>
  <c r="M12" i="5" s="1"/>
  <c r="N12" i="5" s="1"/>
  <c r="O12" i="5" s="1"/>
  <c r="H11" i="5"/>
  <c r="I11" i="5" s="1"/>
  <c r="M11" i="5" s="1"/>
  <c r="N11" i="5" s="1"/>
  <c r="O11" i="5" s="1"/>
  <c r="H10" i="5"/>
  <c r="I10" i="5" s="1"/>
  <c r="M10" i="5" s="1"/>
  <c r="H9" i="5"/>
  <c r="I9" i="5" s="1"/>
  <c r="M9" i="5" s="1"/>
  <c r="N9" i="5" s="1"/>
  <c r="O9" i="5" s="1"/>
  <c r="H8" i="5"/>
  <c r="I8" i="5" s="1"/>
  <c r="M8" i="5" s="1"/>
  <c r="N8" i="5" s="1"/>
  <c r="O8" i="5" s="1"/>
  <c r="H7" i="5"/>
  <c r="I7" i="5" s="1"/>
  <c r="M7" i="5" s="1"/>
  <c r="N7" i="5" s="1"/>
  <c r="O7" i="5" s="1"/>
  <c r="H6" i="5"/>
  <c r="I6" i="5" s="1"/>
  <c r="M6" i="5" s="1"/>
  <c r="N6" i="5" s="1"/>
  <c r="O6" i="5" s="1"/>
  <c r="H5" i="5"/>
  <c r="I5" i="5" s="1"/>
  <c r="M5" i="5" s="1"/>
  <c r="N5" i="5" s="1"/>
  <c r="O5" i="5" s="1"/>
  <c r="H4" i="5"/>
  <c r="I4" i="5" s="1"/>
  <c r="C57" i="5"/>
  <c r="O25" i="4"/>
  <c r="O24" i="4"/>
  <c r="I19" i="3"/>
  <c r="I17" i="3"/>
  <c r="I16" i="3"/>
  <c r="O17" i="4"/>
  <c r="O16" i="4"/>
  <c r="N17" i="4"/>
  <c r="N16" i="4"/>
  <c r="N40" i="5" l="1"/>
  <c r="O40" i="5" s="1"/>
  <c r="O39" i="5"/>
  <c r="M42" i="5"/>
  <c r="N39" i="5"/>
  <c r="K18" i="4"/>
  <c r="O33" i="5"/>
  <c r="N30" i="5"/>
  <c r="O30" i="5" s="1"/>
  <c r="N29" i="5"/>
  <c r="O29" i="5" s="1"/>
  <c r="M4" i="5"/>
  <c r="M2" i="5" s="1"/>
  <c r="M43" i="5" s="1"/>
  <c r="N10" i="5"/>
  <c r="O10" i="5" s="1"/>
  <c r="N18" i="5"/>
  <c r="O18" i="5" s="1"/>
  <c r="N26" i="5"/>
  <c r="O26" i="5" s="1"/>
  <c r="H2" i="5"/>
  <c r="J16" i="1"/>
  <c r="J17" i="1" s="1"/>
  <c r="I3" i="3"/>
  <c r="E4" i="3"/>
  <c r="D3" i="3"/>
  <c r="F4" i="3"/>
  <c r="D2" i="3"/>
  <c r="O42" i="5" l="1"/>
  <c r="M45" i="5"/>
  <c r="N4" i="5"/>
  <c r="I2" i="3"/>
  <c r="I4" i="3" s="1"/>
  <c r="I5" i="3" s="1"/>
  <c r="E21" i="1"/>
  <c r="E20" i="1"/>
  <c r="E11" i="1"/>
  <c r="E19" i="1"/>
  <c r="E18" i="1"/>
  <c r="E17" i="1"/>
  <c r="E16" i="1"/>
  <c r="E15" i="1"/>
  <c r="E14" i="1"/>
  <c r="E13" i="1"/>
  <c r="E10" i="1"/>
  <c r="E9" i="1"/>
  <c r="E8" i="1"/>
  <c r="E7" i="1"/>
  <c r="E6" i="1"/>
  <c r="E5" i="1"/>
  <c r="E4" i="1"/>
  <c r="E3" i="1"/>
  <c r="D21" i="1"/>
  <c r="D20" i="1"/>
  <c r="D11" i="1"/>
  <c r="O4" i="5" l="1"/>
  <c r="O2" i="5" s="1"/>
  <c r="O43" i="5" s="1"/>
  <c r="O45" i="5" s="1"/>
  <c r="N2" i="5"/>
</calcChain>
</file>

<file path=xl/sharedStrings.xml><?xml version="1.0" encoding="utf-8"?>
<sst xmlns="http://schemas.openxmlformats.org/spreadsheetml/2006/main" count="153" uniqueCount="95">
  <si>
    <t>Khasra No.</t>
  </si>
  <si>
    <t>41, 43,51,63,70,76,83,156</t>
  </si>
  <si>
    <t>38,42,45,52,62,64</t>
  </si>
  <si>
    <t>57,60,61,66,71</t>
  </si>
  <si>
    <t>39,44,47,50,67,68,69</t>
  </si>
  <si>
    <t>46,53</t>
  </si>
  <si>
    <t>59,72,90</t>
  </si>
  <si>
    <t>Ringni</t>
  </si>
  <si>
    <t>71,72/2</t>
  </si>
  <si>
    <t>73,75/1,84,85,86,87,89,90,104,106</t>
  </si>
  <si>
    <t>72/1,74</t>
  </si>
  <si>
    <t>16,17/2,18/1,19</t>
  </si>
  <si>
    <t>75/2,429,432,434/1,435/1,449,454,455,458/1,459/2,460,462</t>
  </si>
  <si>
    <t>88,433/1,433/2,434/2,435/2,436/1,436/2,437,438/1,439,440,441,442,443,444,445,446,453,456</t>
  </si>
  <si>
    <t>Open Area</t>
  </si>
  <si>
    <t>Hactare</t>
  </si>
  <si>
    <t>Acre</t>
  </si>
  <si>
    <t>Village</t>
  </si>
  <si>
    <t>sqft</t>
  </si>
  <si>
    <t>sqm</t>
  </si>
  <si>
    <t>acre</t>
  </si>
  <si>
    <t>Kesda</t>
  </si>
  <si>
    <t>per Ha</t>
  </si>
  <si>
    <t>per Acre</t>
  </si>
  <si>
    <t>per Sqm</t>
  </si>
  <si>
    <t>https://www.indiamart.com/proddetail/cultivation-land-sale-50-acre-simga-raipur-chhattisgarh-2849356814462.html</t>
  </si>
  <si>
    <t>Rs. Per Acre</t>
  </si>
  <si>
    <t>Rate</t>
  </si>
  <si>
    <t>https://www.indiamart.com/proddetail/agriculture-land-sale-simga-tilda-road-khapri-64-acre-23579568773.html</t>
  </si>
  <si>
    <t>https://www.magicbricks.com/propertyDetails/40-Acre-Industrial-Land-FOR-Sale-Simga-in-Raipur&amp;id=4d423731313832363031</t>
  </si>
  <si>
    <t>Security Room &amp; Gate</t>
  </si>
  <si>
    <t>GF</t>
  </si>
  <si>
    <t xml:space="preserve">Land </t>
  </si>
  <si>
    <t xml:space="preserve">Builduing </t>
  </si>
  <si>
    <t>RCC</t>
  </si>
  <si>
    <t>L</t>
  </si>
  <si>
    <t>W</t>
  </si>
  <si>
    <t>Security Post</t>
  </si>
  <si>
    <t>Substation Panel Room</t>
  </si>
  <si>
    <t>Driver Rest Room</t>
  </si>
  <si>
    <t>Health Centre</t>
  </si>
  <si>
    <t>GI Shed</t>
  </si>
  <si>
    <t>Security &amp; Toilet Room</t>
  </si>
  <si>
    <t>Labour Conoly Block-A</t>
  </si>
  <si>
    <t>Labour Conoly Block-B</t>
  </si>
  <si>
    <t>Labour Conoly Block-C</t>
  </si>
  <si>
    <t>Labour Conoly Block-D</t>
  </si>
  <si>
    <t>Security Building</t>
  </si>
  <si>
    <t>Security Block-1</t>
  </si>
  <si>
    <t>Security Block-2</t>
  </si>
  <si>
    <t>G+1</t>
  </si>
  <si>
    <t>Iron Truss</t>
  </si>
  <si>
    <t>Hollow Section Unit</t>
  </si>
  <si>
    <t>GI Shed &amp; Iron Truss</t>
  </si>
  <si>
    <t>CTL Unit</t>
  </si>
  <si>
    <t>ETP Shed</t>
  </si>
  <si>
    <t>Narrow-3, Tube Mill</t>
  </si>
  <si>
    <t>Narrow-2</t>
  </si>
  <si>
    <t>Narrow-1</t>
  </si>
  <si>
    <t>Wider Complex-1</t>
  </si>
  <si>
    <t>Wider Complex-2</t>
  </si>
  <si>
    <t>Wider Complex-3</t>
  </si>
  <si>
    <t>Chairman Office (Glass House)</t>
  </si>
  <si>
    <t>EL</t>
  </si>
  <si>
    <t>SV</t>
  </si>
  <si>
    <t>GCRC</t>
  </si>
  <si>
    <t>Depre.</t>
  </si>
  <si>
    <t>DRC</t>
  </si>
  <si>
    <t>Building</t>
  </si>
  <si>
    <t>Floors</t>
  </si>
  <si>
    <t>Height (mtr)</t>
  </si>
  <si>
    <t>Type</t>
  </si>
  <si>
    <t>Area (sqm)</t>
  </si>
  <si>
    <t>Area (sqft)</t>
  </si>
  <si>
    <t>CoC per sqft</t>
  </si>
  <si>
    <t>Wooden House</t>
  </si>
  <si>
    <t>Road</t>
  </si>
  <si>
    <t>Length (mtr)</t>
  </si>
  <si>
    <t>Width (ft)</t>
  </si>
  <si>
    <t>Leveling</t>
  </si>
  <si>
    <t>ARP</t>
  </si>
  <si>
    <t>Cooling Tower</t>
  </si>
  <si>
    <t>Nitrogen &amp; DM Plant</t>
  </si>
  <si>
    <t>Amonia Plant</t>
  </si>
  <si>
    <t>Classic Products Store</t>
  </si>
  <si>
    <t>DG Shed</t>
  </si>
  <si>
    <t>Toilets</t>
  </si>
  <si>
    <t>S. No.</t>
  </si>
  <si>
    <t>https://www.ashokarealities.com/sell/industrial-land-plot-hathband-raipur_831326.htm</t>
  </si>
  <si>
    <t>https://www.99acres.com/industrial-land-plot-for-sale-in-simga-raipur-193602-sq-yard-spid-Z73476939</t>
  </si>
  <si>
    <t>https://www.realestateindia.com/raipur-property/industrial-lands-for-sale-in-tilda-raipur.htm</t>
  </si>
  <si>
    <t>Circle Value</t>
  </si>
  <si>
    <t>Market Value</t>
  </si>
  <si>
    <t>Asthetic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</si>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</sst>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9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43" fontId="2" fillId="0" borderId="0" xfId="1" applyFont="1"/>
    <xf numFmtId="164" fontId="2" fillId="0" borderId="0" xfId="1" applyNumberFormat="1" applyFont="1" applyAlignment="1">
      <alignment horizontal="center" vertical="center"/>
    </xf>
    <xf numFmtId="43" fontId="0" fillId="0" borderId="0" xfId="0" applyNumberFormat="1"/>
    <xf numFmtId="43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14" fontId="3" fillId="0" borderId="0" xfId="0" applyNumberFormat="1" applyFont="1" applyBorder="1" applyAlignment="1">
      <alignment horizontal="justify" vertical="center" wrapText="1"/>
    </xf>
    <xf numFmtId="3" fontId="3" fillId="0" borderId="0" xfId="0" applyNumberFormat="1" applyFont="1" applyBorder="1" applyAlignment="1">
      <alignment horizontal="right" vertical="center" wrapText="1"/>
    </xf>
    <xf numFmtId="9" fontId="0" fillId="0" borderId="0" xfId="2" applyFont="1"/>
    <xf numFmtId="4" fontId="5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9" fontId="4" fillId="2" borderId="0" xfId="2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139908</xdr:colOff>
      <xdr:row>23</xdr:row>
      <xdr:rowOff>142874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42" t="6115" r="7396" b="4044"/>
        <a:stretch/>
      </xdr:blipFill>
      <xdr:spPr>
        <a:xfrm>
          <a:off x="0" y="0"/>
          <a:ext cx="8188533" cy="4524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12</xdr:col>
      <xdr:colOff>171449</xdr:colOff>
      <xdr:row>49</xdr:row>
      <xdr:rowOff>166541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700" t="8937" r="9247" b="3104"/>
        <a:stretch/>
      </xdr:blipFill>
      <xdr:spPr>
        <a:xfrm>
          <a:off x="0" y="4676774"/>
          <a:ext cx="7610474" cy="482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133349</xdr:rowOff>
    </xdr:from>
    <xdr:to>
      <xdr:col>8</xdr:col>
      <xdr:colOff>209550</xdr:colOff>
      <xdr:row>30</xdr:row>
      <xdr:rowOff>5586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54" t="22813" r="22213" b="13687"/>
        <a:stretch/>
      </xdr:blipFill>
      <xdr:spPr>
        <a:xfrm>
          <a:off x="0" y="2419349"/>
          <a:ext cx="5086350" cy="330123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199219</xdr:colOff>
      <xdr:row>12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564" t="25164" r="20361" b="27563"/>
        <a:stretch/>
      </xdr:blipFill>
      <xdr:spPr>
        <a:xfrm>
          <a:off x="0" y="0"/>
          <a:ext cx="5076019" cy="23241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D21" sqref="D21"/>
    </sheetView>
  </sheetViews>
  <sheetFormatPr defaultRowHeight="15" x14ac:dyDescent="0.25"/>
  <cols>
    <col min="2" max="2" width="6.5703125" bestFit="1" customWidth="1"/>
    <col min="3" max="3" width="50.7109375" customWidth="1"/>
    <col min="5" max="5" width="9.140625" style="2"/>
    <col min="6" max="6" width="9" style="3" bestFit="1" customWidth="1"/>
    <col min="10" max="10" width="13.7109375" style="3" bestFit="1" customWidth="1"/>
  </cols>
  <sheetData>
    <row r="2" spans="2:11" x14ac:dyDescent="0.25">
      <c r="B2" t="s">
        <v>17</v>
      </c>
      <c r="C2" t="s">
        <v>0</v>
      </c>
      <c r="D2" t="s">
        <v>15</v>
      </c>
      <c r="E2" s="2" t="s">
        <v>16</v>
      </c>
    </row>
    <row r="3" spans="2:11" x14ac:dyDescent="0.25">
      <c r="B3" t="s">
        <v>21</v>
      </c>
      <c r="C3" t="s">
        <v>1</v>
      </c>
      <c r="D3">
        <v>7.28</v>
      </c>
      <c r="E3" s="2">
        <f>2.47105*D3</f>
        <v>17.989243999999999</v>
      </c>
    </row>
    <row r="4" spans="2:11" x14ac:dyDescent="0.25">
      <c r="C4">
        <v>75</v>
      </c>
      <c r="D4">
        <v>0.54</v>
      </c>
      <c r="E4" s="2">
        <f t="shared" ref="E4:E10" si="0">2.47105*D4</f>
        <v>1.3343670000000001</v>
      </c>
    </row>
    <row r="5" spans="2:11" x14ac:dyDescent="0.25">
      <c r="C5" t="s">
        <v>2</v>
      </c>
      <c r="D5">
        <v>10.66</v>
      </c>
      <c r="E5" s="2">
        <f t="shared" si="0"/>
        <v>26.341393</v>
      </c>
    </row>
    <row r="6" spans="2:11" x14ac:dyDescent="0.25">
      <c r="C6" t="s">
        <v>3</v>
      </c>
      <c r="D6">
        <v>10.73</v>
      </c>
      <c r="E6" s="2">
        <f t="shared" si="0"/>
        <v>26.514366500000001</v>
      </c>
    </row>
    <row r="7" spans="2:11" x14ac:dyDescent="0.25">
      <c r="C7" t="s">
        <v>4</v>
      </c>
      <c r="D7">
        <v>6.93</v>
      </c>
      <c r="E7" s="2">
        <f t="shared" si="0"/>
        <v>17.1243765</v>
      </c>
    </row>
    <row r="8" spans="2:11" x14ac:dyDescent="0.25">
      <c r="C8" t="s">
        <v>5</v>
      </c>
      <c r="D8">
        <v>3.28</v>
      </c>
      <c r="E8" s="2">
        <f t="shared" si="0"/>
        <v>8.1050439999999995</v>
      </c>
    </row>
    <row r="9" spans="2:11" x14ac:dyDescent="0.25">
      <c r="C9" s="1">
        <v>4049157</v>
      </c>
      <c r="D9">
        <v>3.35</v>
      </c>
      <c r="E9" s="2">
        <f t="shared" si="0"/>
        <v>8.2780175000000007</v>
      </c>
    </row>
    <row r="10" spans="2:11" x14ac:dyDescent="0.25">
      <c r="C10" t="s">
        <v>6</v>
      </c>
      <c r="D10">
        <v>3.86</v>
      </c>
      <c r="E10" s="2">
        <f t="shared" si="0"/>
        <v>9.5382529999999992</v>
      </c>
    </row>
    <row r="11" spans="2:11" x14ac:dyDescent="0.25">
      <c r="D11" s="4">
        <f>SUM(D3:D10)</f>
        <v>46.63</v>
      </c>
      <c r="E11" s="5">
        <f>SUM(E3:E10)</f>
        <v>115.22506150000001</v>
      </c>
      <c r="F11" s="3">
        <f>E11*4046.84</f>
        <v>466297.38788066007</v>
      </c>
    </row>
    <row r="13" spans="2:11" x14ac:dyDescent="0.25">
      <c r="B13" t="s">
        <v>7</v>
      </c>
      <c r="C13" t="s">
        <v>8</v>
      </c>
      <c r="D13">
        <v>6.37</v>
      </c>
      <c r="E13" s="2">
        <f t="shared" ref="E13:E19" si="1">2.47105*D13</f>
        <v>15.740588499999999</v>
      </c>
    </row>
    <row r="14" spans="2:11" x14ac:dyDescent="0.25">
      <c r="C14" t="s">
        <v>9</v>
      </c>
      <c r="D14">
        <v>9.7200000000000006</v>
      </c>
      <c r="E14" s="2">
        <f t="shared" si="1"/>
        <v>24.018606000000002</v>
      </c>
    </row>
    <row r="15" spans="2:11" x14ac:dyDescent="0.25">
      <c r="C15" t="s">
        <v>10</v>
      </c>
      <c r="D15">
        <v>3.93</v>
      </c>
      <c r="E15" s="2">
        <f t="shared" si="1"/>
        <v>9.7112265000000004</v>
      </c>
      <c r="J15" s="3">
        <v>15998128.48</v>
      </c>
      <c r="K15" t="s">
        <v>18</v>
      </c>
    </row>
    <row r="16" spans="2:11" x14ac:dyDescent="0.25">
      <c r="C16" t="s">
        <v>11</v>
      </c>
      <c r="D16">
        <v>2.3199999999999998</v>
      </c>
      <c r="E16" s="2">
        <f t="shared" si="1"/>
        <v>5.7328359999999998</v>
      </c>
      <c r="J16" s="3">
        <f>J15/10.764</f>
        <v>1486262.4005945746</v>
      </c>
      <c r="K16" t="s">
        <v>19</v>
      </c>
    </row>
    <row r="17" spans="3:11" x14ac:dyDescent="0.25">
      <c r="C17" s="1">
        <v>7.6787982834174195E+24</v>
      </c>
      <c r="D17">
        <v>10.36</v>
      </c>
      <c r="E17" s="2">
        <f t="shared" si="1"/>
        <v>25.600078</v>
      </c>
      <c r="J17" s="2">
        <f>J16/4046.84</f>
        <v>367.26492784359516</v>
      </c>
      <c r="K17" t="s">
        <v>20</v>
      </c>
    </row>
    <row r="18" spans="3:11" x14ac:dyDescent="0.25">
      <c r="C18" t="s">
        <v>12</v>
      </c>
      <c r="D18">
        <v>10.23</v>
      </c>
      <c r="E18" s="2">
        <f t="shared" si="1"/>
        <v>25.278841500000002</v>
      </c>
    </row>
    <row r="19" spans="3:11" x14ac:dyDescent="0.25">
      <c r="C19" t="s">
        <v>13</v>
      </c>
      <c r="D19">
        <v>6.72</v>
      </c>
      <c r="E19" s="2">
        <f t="shared" si="1"/>
        <v>16.605456</v>
      </c>
    </row>
    <row r="20" spans="3:11" x14ac:dyDescent="0.25">
      <c r="D20" s="4">
        <f>SUM(D13:D19)</f>
        <v>49.650000000000006</v>
      </c>
      <c r="E20" s="5">
        <f>SUM(E13:E19)</f>
        <v>122.68763250000001</v>
      </c>
      <c r="F20" s="3">
        <f>E20*4046.84</f>
        <v>496497.21870630002</v>
      </c>
    </row>
    <row r="21" spans="3:11" x14ac:dyDescent="0.25">
      <c r="D21" s="4">
        <f>D20+D11</f>
        <v>96.28</v>
      </c>
      <c r="E21" s="5">
        <f>E20+E11</f>
        <v>237.91269400000002</v>
      </c>
      <c r="F21" s="10">
        <f>F20+F11</f>
        <v>962794.60658696014</v>
      </c>
    </row>
    <row r="23" spans="3:11" x14ac:dyDescent="0.25">
      <c r="C23" t="s">
        <v>14</v>
      </c>
    </row>
    <row r="24" spans="3:11" x14ac:dyDescent="0.25">
      <c r="C24" s="10">
        <f>20*10^5</f>
        <v>2000000</v>
      </c>
    </row>
    <row r="25" spans="3:11" x14ac:dyDescent="0.25">
      <c r="C25" s="3">
        <f>C24*E21</f>
        <v>475825388.00000006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6" workbookViewId="0">
      <selection activeCell="D65" sqref="D65"/>
    </sheetView>
  </sheetViews>
  <sheetFormatPr defaultRowHeight="15" x14ac:dyDescent="0.25"/>
  <cols>
    <col min="3" max="3" width="11" bestFit="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4:R34"/>
  <sheetViews>
    <sheetView topLeftCell="A6" workbookViewId="0">
      <selection activeCell="K11" sqref="K11"/>
    </sheetView>
  </sheetViews>
  <sheetFormatPr defaultRowHeight="15" x14ac:dyDescent="0.25"/>
  <cols>
    <col min="13" max="13" width="11.5703125" style="3" bestFit="1" customWidth="1"/>
    <col min="14" max="14" width="9.42578125" style="3" bestFit="1" customWidth="1"/>
    <col min="15" max="15" width="12.5703125" bestFit="1" customWidth="1"/>
    <col min="16" max="16" width="14.28515625" bestFit="1" customWidth="1"/>
    <col min="17" max="17" width="12.5703125" bestFit="1" customWidth="1"/>
    <col min="18" max="18" width="15.28515625" style="3" bestFit="1" customWidth="1"/>
  </cols>
  <sheetData>
    <row r="14" spans="10:18" x14ac:dyDescent="0.25">
      <c r="O14" s="24" t="s">
        <v>91</v>
      </c>
      <c r="P14" s="24"/>
      <c r="Q14" s="24" t="s">
        <v>92</v>
      </c>
      <c r="R14" s="24"/>
    </row>
    <row r="15" spans="10:18" x14ac:dyDescent="0.25">
      <c r="M15" s="6" t="s">
        <v>22</v>
      </c>
      <c r="N15" s="6" t="s">
        <v>23</v>
      </c>
      <c r="O15" s="4" t="s">
        <v>24</v>
      </c>
    </row>
    <row r="16" spans="10:18" x14ac:dyDescent="0.25">
      <c r="J16" s="7">
        <f>'Land Area'!E11</f>
        <v>115.22506150000001</v>
      </c>
      <c r="K16">
        <f>'Land Area'!D11</f>
        <v>46.63</v>
      </c>
      <c r="L16" t="s">
        <v>21</v>
      </c>
      <c r="M16" s="3">
        <v>1575000</v>
      </c>
      <c r="N16" s="3">
        <f>M16/2.47105</f>
        <v>637380.87048016023</v>
      </c>
      <c r="O16" s="7">
        <f>N16/4047</f>
        <v>157.49465541886835</v>
      </c>
      <c r="P16" s="9">
        <f>M16*K16</f>
        <v>73442250</v>
      </c>
      <c r="Q16" s="9">
        <v>2400000</v>
      </c>
      <c r="R16" s="3">
        <f>Q16*J16</f>
        <v>276540147.60000002</v>
      </c>
    </row>
    <row r="17" spans="10:18" x14ac:dyDescent="0.25">
      <c r="J17" s="7">
        <f>'Land Area'!E20</f>
        <v>122.68763250000001</v>
      </c>
      <c r="K17">
        <f>'Land Area'!D20</f>
        <v>49.650000000000006</v>
      </c>
      <c r="L17" t="s">
        <v>7</v>
      </c>
      <c r="M17" s="3">
        <v>1204000</v>
      </c>
      <c r="N17" s="3">
        <f>M17/2.47105</f>
        <v>487242.26543372252</v>
      </c>
      <c r="O17" s="7">
        <f>N17/4047</f>
        <v>120.39591436464605</v>
      </c>
      <c r="P17" s="9">
        <f>M17*K17</f>
        <v>59778600.000000007</v>
      </c>
      <c r="Q17" s="9">
        <v>2400000</v>
      </c>
      <c r="R17" s="3">
        <f>Q17*J17</f>
        <v>294450318</v>
      </c>
    </row>
    <row r="18" spans="10:18" x14ac:dyDescent="0.25">
      <c r="J18" s="2">
        <f>SUM(J16:J17)</f>
        <v>237.91269400000002</v>
      </c>
      <c r="K18">
        <f>SUM(K16:K17)</f>
        <v>96.28</v>
      </c>
      <c r="P18" s="9">
        <f>SUM(P16:P17)</f>
        <v>133220850</v>
      </c>
      <c r="R18" s="10">
        <f>SUM(R16:R17)</f>
        <v>570990465.60000002</v>
      </c>
    </row>
    <row r="22" spans="10:18" x14ac:dyDescent="0.25">
      <c r="N22" s="10"/>
      <c r="O22" s="4" t="s">
        <v>27</v>
      </c>
    </row>
    <row r="23" spans="10:18" x14ac:dyDescent="0.25">
      <c r="N23" s="10" t="s">
        <v>20</v>
      </c>
      <c r="O23" s="4" t="s">
        <v>26</v>
      </c>
    </row>
    <row r="24" spans="10:18" x14ac:dyDescent="0.25">
      <c r="K24" s="21" t="s">
        <v>25</v>
      </c>
      <c r="L24" s="21"/>
      <c r="M24" s="21"/>
      <c r="N24" s="3">
        <v>50</v>
      </c>
      <c r="O24" s="3">
        <f>15*10^5</f>
        <v>1500000</v>
      </c>
      <c r="P24" s="3"/>
      <c r="Q24">
        <v>30</v>
      </c>
    </row>
    <row r="25" spans="10:18" x14ac:dyDescent="0.25">
      <c r="K25" s="21" t="s">
        <v>28</v>
      </c>
      <c r="L25" s="21"/>
      <c r="M25" s="21"/>
      <c r="N25" s="3">
        <v>64</v>
      </c>
      <c r="O25" s="3">
        <f>18*10^5</f>
        <v>1800000</v>
      </c>
      <c r="Q25" s="3">
        <f>Q24*0.8</f>
        <v>24</v>
      </c>
    </row>
    <row r="26" spans="10:18" x14ac:dyDescent="0.25">
      <c r="K26" s="22" t="s">
        <v>29</v>
      </c>
      <c r="L26" s="22"/>
      <c r="M26" s="22"/>
      <c r="N26" s="3">
        <v>40</v>
      </c>
      <c r="O26" s="3">
        <f>5.2*10^7/N26</f>
        <v>1300000</v>
      </c>
      <c r="Q26" s="2"/>
    </row>
    <row r="27" spans="10:18" x14ac:dyDescent="0.25">
      <c r="K27" s="21" t="s">
        <v>88</v>
      </c>
      <c r="L27" s="21"/>
      <c r="M27" s="21"/>
      <c r="N27" s="3">
        <v>180</v>
      </c>
      <c r="O27" s="3">
        <f>19.8*10^7/N27</f>
        <v>1100000</v>
      </c>
    </row>
    <row r="28" spans="10:18" x14ac:dyDescent="0.25">
      <c r="K28" s="23" t="s">
        <v>89</v>
      </c>
      <c r="L28" s="23"/>
      <c r="M28" s="23"/>
      <c r="N28" s="3">
        <v>40</v>
      </c>
      <c r="O28" s="3">
        <f>5.53*10^7/N28</f>
        <v>1382500</v>
      </c>
    </row>
    <row r="29" spans="10:18" x14ac:dyDescent="0.25">
      <c r="K29" s="21" t="s">
        <v>90</v>
      </c>
      <c r="L29" s="21"/>
      <c r="M29" s="21"/>
      <c r="N29" s="3">
        <v>6</v>
      </c>
      <c r="O29" s="3">
        <f>2.4*10^7/N29</f>
        <v>4000000</v>
      </c>
    </row>
    <row r="30" spans="10:18" x14ac:dyDescent="0.25">
      <c r="O30" s="3"/>
    </row>
    <row r="31" spans="10:18" x14ac:dyDescent="0.25">
      <c r="O31" s="3"/>
    </row>
    <row r="32" spans="10:18" x14ac:dyDescent="0.25">
      <c r="O32" s="3"/>
    </row>
    <row r="33" spans="13:15" x14ac:dyDescent="0.25">
      <c r="M33" s="8"/>
      <c r="O33" s="3"/>
    </row>
    <row r="34" spans="13:15" x14ac:dyDescent="0.25">
      <c r="M34" s="2"/>
      <c r="O34" s="3"/>
    </row>
  </sheetData>
  <mergeCells count="8">
    <mergeCell ref="O14:P14"/>
    <mergeCell ref="Q14:R14"/>
    <mergeCell ref="K24:M24"/>
    <mergeCell ref="K25:M25"/>
    <mergeCell ref="K26:M26"/>
    <mergeCell ref="K27:M27"/>
    <mergeCell ref="K28:M28"/>
    <mergeCell ref="K29:M2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workbookViewId="0">
      <selection activeCell="I14" sqref="I14"/>
    </sheetView>
  </sheetViews>
  <sheetFormatPr defaultRowHeight="15" x14ac:dyDescent="0.25"/>
  <cols>
    <col min="2" max="3" width="10.42578125" bestFit="1" customWidth="1"/>
    <col min="5" max="6" width="9.140625" style="2"/>
    <col min="9" max="9" width="15.28515625" style="3" bestFit="1" customWidth="1"/>
  </cols>
  <sheetData>
    <row r="2" spans="2:9" x14ac:dyDescent="0.25">
      <c r="B2" s="11">
        <v>44652</v>
      </c>
      <c r="C2" s="11">
        <v>50130</v>
      </c>
      <c r="D2">
        <f>C2-B2</f>
        <v>5478</v>
      </c>
      <c r="E2" s="2">
        <v>15</v>
      </c>
      <c r="F2" s="2">
        <v>180</v>
      </c>
      <c r="H2" s="12">
        <v>1550500</v>
      </c>
      <c r="I2" s="3">
        <f>H2*F2</f>
        <v>279090000</v>
      </c>
    </row>
    <row r="3" spans="2:9" x14ac:dyDescent="0.25">
      <c r="B3" s="11">
        <v>50131</v>
      </c>
      <c r="C3" s="11">
        <v>55609</v>
      </c>
      <c r="D3">
        <f>C3-B3</f>
        <v>5478</v>
      </c>
      <c r="E3" s="2">
        <v>15</v>
      </c>
      <c r="F3" s="2">
        <v>180</v>
      </c>
      <c r="H3" s="12">
        <v>1937500</v>
      </c>
      <c r="I3" s="3">
        <f>H3*F3</f>
        <v>348750000</v>
      </c>
    </row>
    <row r="4" spans="2:9" x14ac:dyDescent="0.25">
      <c r="E4" s="5">
        <f>SUM(E2:E3)</f>
        <v>30</v>
      </c>
      <c r="F4" s="5">
        <f>SUM(F2:F3)</f>
        <v>360</v>
      </c>
      <c r="I4" s="10">
        <f>SUM(I2:I3)</f>
        <v>627840000</v>
      </c>
    </row>
    <row r="5" spans="2:9" x14ac:dyDescent="0.25">
      <c r="I5" s="3">
        <f>I4/'Land Area'!E21</f>
        <v>2638951.2448629579</v>
      </c>
    </row>
    <row r="15" spans="2:9" x14ac:dyDescent="0.25">
      <c r="I15" s="3">
        <v>2178000</v>
      </c>
    </row>
    <row r="16" spans="2:9" x14ac:dyDescent="0.25">
      <c r="I16" s="8">
        <f>I15/10.764</f>
        <v>202341.13712374584</v>
      </c>
    </row>
    <row r="17" spans="9:9" x14ac:dyDescent="0.25">
      <c r="I17" s="3">
        <f>I16/4047</f>
        <v>49.997810013280414</v>
      </c>
    </row>
    <row r="18" spans="9:9" x14ac:dyDescent="0.25">
      <c r="I18" s="3">
        <v>15</v>
      </c>
    </row>
    <row r="19" spans="9:9" x14ac:dyDescent="0.25">
      <c r="I19" s="3">
        <f>I18*I17</f>
        <v>749.96715019920623</v>
      </c>
    </row>
    <row r="27" spans="9:9" x14ac:dyDescent="0.25">
      <c r="I27" s="3">
        <v>9504480362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26" workbookViewId="0">
      <selection activeCell="E44" sqref="E44"/>
    </sheetView>
  </sheetViews>
  <sheetFormatPr defaultRowHeight="15" x14ac:dyDescent="0.25"/>
  <cols>
    <col min="1" max="1" width="9.140625" style="20"/>
    <col min="2" max="2" width="29.28515625" bestFit="1" customWidth="1"/>
    <col min="3" max="3" width="11" bestFit="1" customWidth="1"/>
    <col min="4" max="4" width="17.28515625" style="2" bestFit="1" customWidth="1"/>
    <col min="5" max="5" width="18.85546875" bestFit="1" customWidth="1"/>
    <col min="6" max="6" width="6.42578125" hidden="1" customWidth="1"/>
    <col min="7" max="7" width="6" hidden="1" customWidth="1"/>
    <col min="8" max="8" width="11.5703125" style="3" hidden="1" customWidth="1"/>
    <col min="9" max="9" width="11.28515625" style="3" bestFit="1" customWidth="1"/>
    <col min="10" max="10" width="3.85546875" style="3" bestFit="1" customWidth="1"/>
    <col min="11" max="11" width="9" style="13" bestFit="1" customWidth="1"/>
    <col min="12" max="12" width="12.5703125" bestFit="1" customWidth="1"/>
    <col min="13" max="13" width="14.28515625" style="3" bestFit="1" customWidth="1"/>
    <col min="14" max="14" width="12.5703125" style="3" hidden="1" customWidth="1"/>
    <col min="15" max="15" width="14.28515625" style="3" bestFit="1" customWidth="1"/>
  </cols>
  <sheetData>
    <row r="1" spans="1:15" x14ac:dyDescent="0.25">
      <c r="K1" s="3">
        <v>2021</v>
      </c>
    </row>
    <row r="2" spans="1:15" x14ac:dyDescent="0.25">
      <c r="H2" s="3">
        <f>SUM(H4:H26)</f>
        <v>154444.12719999999</v>
      </c>
      <c r="I2" s="10">
        <f>SUM(I4:I33)</f>
        <v>1689820.2011808003</v>
      </c>
      <c r="K2" s="3">
        <v>2024</v>
      </c>
      <c r="M2" s="10">
        <f>SUM(M4:M33)</f>
        <v>2548310027.2531199</v>
      </c>
      <c r="N2" s="3">
        <f>SUM(N4:N26)</f>
        <v>225906005.66639048</v>
      </c>
      <c r="O2" s="10">
        <f>SUM(O4:O33)</f>
        <v>2320093819.6147294</v>
      </c>
    </row>
    <row r="3" spans="1:15" s="19" customFormat="1" x14ac:dyDescent="0.25">
      <c r="A3" s="15" t="s">
        <v>87</v>
      </c>
      <c r="B3" s="15" t="s">
        <v>68</v>
      </c>
      <c r="C3" s="15" t="s">
        <v>69</v>
      </c>
      <c r="D3" s="16" t="s">
        <v>70</v>
      </c>
      <c r="E3" s="15" t="s">
        <v>71</v>
      </c>
      <c r="F3" s="15" t="s">
        <v>35</v>
      </c>
      <c r="G3" s="15" t="s">
        <v>36</v>
      </c>
      <c r="H3" s="17" t="s">
        <v>72</v>
      </c>
      <c r="I3" s="17" t="s">
        <v>73</v>
      </c>
      <c r="J3" s="17" t="s">
        <v>63</v>
      </c>
      <c r="K3" s="18" t="s">
        <v>64</v>
      </c>
      <c r="L3" s="17" t="s">
        <v>74</v>
      </c>
      <c r="M3" s="17" t="s">
        <v>65</v>
      </c>
      <c r="N3" s="17" t="s">
        <v>66</v>
      </c>
      <c r="O3" s="17" t="s">
        <v>67</v>
      </c>
    </row>
    <row r="4" spans="1:15" x14ac:dyDescent="0.25">
      <c r="A4" s="20">
        <v>1</v>
      </c>
      <c r="B4" t="s">
        <v>30</v>
      </c>
      <c r="C4" t="s">
        <v>31</v>
      </c>
      <c r="D4" s="2">
        <v>2.65</v>
      </c>
      <c r="E4" t="s">
        <v>34</v>
      </c>
      <c r="F4">
        <v>3.2</v>
      </c>
      <c r="G4">
        <v>3.64</v>
      </c>
      <c r="H4" s="3">
        <f>G4*F4</f>
        <v>11.648000000000001</v>
      </c>
      <c r="I4" s="3">
        <f>H4*10.764</f>
        <v>125.37907200000001</v>
      </c>
      <c r="J4" s="3">
        <v>60</v>
      </c>
      <c r="K4" s="13">
        <v>0.9</v>
      </c>
      <c r="L4">
        <v>1400</v>
      </c>
      <c r="M4" s="3">
        <f>L4*I4</f>
        <v>175530.70080000002</v>
      </c>
      <c r="N4" s="3">
        <f>(K4/J4)*($K$2-$K$1)*M4</f>
        <v>7898.8815360000017</v>
      </c>
      <c r="O4" s="3">
        <f>M4-N4</f>
        <v>167631.81926400002</v>
      </c>
    </row>
    <row r="5" spans="1:15" x14ac:dyDescent="0.25">
      <c r="A5" s="20">
        <v>2</v>
      </c>
      <c r="B5" t="s">
        <v>37</v>
      </c>
      <c r="C5" t="s">
        <v>31</v>
      </c>
      <c r="D5" s="2">
        <v>3.94</v>
      </c>
      <c r="E5" t="s">
        <v>34</v>
      </c>
      <c r="F5">
        <v>24.38</v>
      </c>
      <c r="G5">
        <v>3.94</v>
      </c>
      <c r="H5" s="3">
        <f t="shared" ref="H5:H16" si="0">G5*F5</f>
        <v>96.057199999999995</v>
      </c>
      <c r="I5" s="3">
        <f t="shared" ref="I5:I33" si="1">H5*10.764</f>
        <v>1033.9597007999998</v>
      </c>
      <c r="J5" s="3">
        <v>60</v>
      </c>
      <c r="K5" s="13">
        <v>0.9</v>
      </c>
      <c r="L5">
        <v>1400</v>
      </c>
      <c r="M5" s="3">
        <f t="shared" ref="M5:M26" si="2">L5*I5</f>
        <v>1447543.5811199998</v>
      </c>
      <c r="N5" s="3">
        <f t="shared" ref="N5:N26" si="3">(K5/J5)*($K$2-$K$1)*M5</f>
        <v>65139.461150399999</v>
      </c>
      <c r="O5" s="3">
        <f t="shared" ref="O5:O26" si="4">M5-N5</f>
        <v>1382404.1199695996</v>
      </c>
    </row>
    <row r="6" spans="1:15" x14ac:dyDescent="0.25">
      <c r="A6" s="20">
        <v>3</v>
      </c>
      <c r="B6" t="s">
        <v>38</v>
      </c>
      <c r="C6" t="s">
        <v>31</v>
      </c>
      <c r="D6" s="2">
        <v>4</v>
      </c>
      <c r="E6" t="s">
        <v>34</v>
      </c>
      <c r="F6">
        <v>20</v>
      </c>
      <c r="G6">
        <v>11.89</v>
      </c>
      <c r="H6" s="3">
        <f t="shared" si="0"/>
        <v>237.8</v>
      </c>
      <c r="I6" s="3">
        <f t="shared" si="1"/>
        <v>2559.6792</v>
      </c>
      <c r="J6" s="3">
        <v>60</v>
      </c>
      <c r="K6" s="13">
        <v>0.9</v>
      </c>
      <c r="L6">
        <v>1400</v>
      </c>
      <c r="M6" s="3">
        <f t="shared" si="2"/>
        <v>3583550.88</v>
      </c>
      <c r="N6" s="3">
        <f t="shared" si="3"/>
        <v>161259.78960000002</v>
      </c>
      <c r="O6" s="3">
        <f t="shared" si="4"/>
        <v>3422291.0904000001</v>
      </c>
    </row>
    <row r="7" spans="1:15" x14ac:dyDescent="0.25">
      <c r="A7" s="20">
        <v>4</v>
      </c>
      <c r="B7" t="s">
        <v>39</v>
      </c>
      <c r="C7" t="s">
        <v>31</v>
      </c>
      <c r="D7" s="2">
        <v>3.5</v>
      </c>
      <c r="E7" t="s">
        <v>34</v>
      </c>
      <c r="F7">
        <v>12.6</v>
      </c>
      <c r="G7">
        <v>3.47</v>
      </c>
      <c r="H7" s="3">
        <f t="shared" si="0"/>
        <v>43.722000000000001</v>
      </c>
      <c r="I7" s="3">
        <f t="shared" si="1"/>
        <v>470.62360799999999</v>
      </c>
      <c r="J7" s="3">
        <v>60</v>
      </c>
      <c r="K7" s="13">
        <v>0.9</v>
      </c>
      <c r="L7">
        <v>1400</v>
      </c>
      <c r="M7" s="3">
        <f t="shared" si="2"/>
        <v>658873.05119999999</v>
      </c>
      <c r="N7" s="3">
        <f t="shared" si="3"/>
        <v>29649.287304000001</v>
      </c>
      <c r="O7" s="3">
        <f t="shared" si="4"/>
        <v>629223.76389599999</v>
      </c>
    </row>
    <row r="8" spans="1:15" x14ac:dyDescent="0.25">
      <c r="A8" s="20">
        <v>5</v>
      </c>
      <c r="B8" t="s">
        <v>40</v>
      </c>
      <c r="C8" t="s">
        <v>31</v>
      </c>
      <c r="D8" s="2">
        <v>2.8</v>
      </c>
      <c r="E8" t="s">
        <v>41</v>
      </c>
      <c r="F8">
        <v>2.5</v>
      </c>
      <c r="G8">
        <v>3.68</v>
      </c>
      <c r="H8" s="3">
        <f t="shared" si="0"/>
        <v>9.2000000000000011</v>
      </c>
      <c r="I8" s="3">
        <f t="shared" si="1"/>
        <v>99.028800000000004</v>
      </c>
      <c r="J8" s="3">
        <v>30</v>
      </c>
      <c r="K8" s="13">
        <v>0.9</v>
      </c>
      <c r="L8">
        <v>1200</v>
      </c>
      <c r="M8" s="3">
        <f t="shared" si="2"/>
        <v>118834.56</v>
      </c>
      <c r="N8" s="3">
        <f t="shared" si="3"/>
        <v>10695.110400000001</v>
      </c>
      <c r="O8" s="3">
        <f t="shared" si="4"/>
        <v>108139.44959999999</v>
      </c>
    </row>
    <row r="9" spans="1:15" x14ac:dyDescent="0.25">
      <c r="A9" s="20">
        <v>6</v>
      </c>
      <c r="B9" t="s">
        <v>42</v>
      </c>
      <c r="C9" t="s">
        <v>31</v>
      </c>
      <c r="D9" s="2">
        <v>2.6</v>
      </c>
      <c r="E9" t="s">
        <v>34</v>
      </c>
      <c r="F9">
        <v>7</v>
      </c>
      <c r="G9">
        <v>4.7</v>
      </c>
      <c r="H9" s="3">
        <f t="shared" si="0"/>
        <v>32.9</v>
      </c>
      <c r="I9" s="3">
        <f t="shared" si="1"/>
        <v>354.13559999999995</v>
      </c>
      <c r="J9" s="3">
        <v>60</v>
      </c>
      <c r="K9" s="13">
        <v>0.9</v>
      </c>
      <c r="L9">
        <v>1400</v>
      </c>
      <c r="M9" s="3">
        <f t="shared" si="2"/>
        <v>495789.83999999991</v>
      </c>
      <c r="N9" s="3">
        <f t="shared" si="3"/>
        <v>22310.542799999999</v>
      </c>
      <c r="O9" s="3">
        <f t="shared" si="4"/>
        <v>473479.29719999991</v>
      </c>
    </row>
    <row r="10" spans="1:15" x14ac:dyDescent="0.25">
      <c r="A10" s="20">
        <v>7</v>
      </c>
      <c r="B10" t="s">
        <v>43</v>
      </c>
      <c r="C10" t="s">
        <v>31</v>
      </c>
      <c r="D10" s="2">
        <v>3.2</v>
      </c>
      <c r="E10" t="s">
        <v>41</v>
      </c>
      <c r="F10">
        <v>16</v>
      </c>
      <c r="G10">
        <v>4.3</v>
      </c>
      <c r="H10" s="3">
        <f t="shared" si="0"/>
        <v>68.8</v>
      </c>
      <c r="I10" s="3">
        <f t="shared" si="1"/>
        <v>740.56319999999994</v>
      </c>
      <c r="J10" s="3">
        <v>30</v>
      </c>
      <c r="K10" s="13">
        <v>0.9</v>
      </c>
      <c r="L10">
        <v>1200</v>
      </c>
      <c r="M10" s="3">
        <f t="shared" si="2"/>
        <v>888675.83999999997</v>
      </c>
      <c r="N10" s="3">
        <f t="shared" si="3"/>
        <v>79980.825600000011</v>
      </c>
      <c r="O10" s="3">
        <f t="shared" si="4"/>
        <v>808695.01439999999</v>
      </c>
    </row>
    <row r="11" spans="1:15" x14ac:dyDescent="0.25">
      <c r="A11" s="20">
        <v>8</v>
      </c>
      <c r="B11" t="s">
        <v>44</v>
      </c>
      <c r="C11" t="s">
        <v>31</v>
      </c>
      <c r="D11" s="2">
        <v>3.2</v>
      </c>
      <c r="E11" t="s">
        <v>41</v>
      </c>
      <c r="F11">
        <v>16</v>
      </c>
      <c r="G11">
        <v>8.5</v>
      </c>
      <c r="H11" s="3">
        <f t="shared" si="0"/>
        <v>136</v>
      </c>
      <c r="I11" s="3">
        <f t="shared" si="1"/>
        <v>1463.904</v>
      </c>
      <c r="J11" s="3">
        <v>30</v>
      </c>
      <c r="K11" s="13">
        <v>0.9</v>
      </c>
      <c r="L11">
        <v>1200</v>
      </c>
      <c r="M11" s="3">
        <f t="shared" si="2"/>
        <v>1756684.8</v>
      </c>
      <c r="N11" s="3">
        <f t="shared" si="3"/>
        <v>158101.63200000001</v>
      </c>
      <c r="O11" s="3">
        <f t="shared" si="4"/>
        <v>1598583.1680000001</v>
      </c>
    </row>
    <row r="12" spans="1:15" x14ac:dyDescent="0.25">
      <c r="A12" s="20">
        <v>9</v>
      </c>
      <c r="B12" t="s">
        <v>45</v>
      </c>
      <c r="C12" t="s">
        <v>31</v>
      </c>
      <c r="D12" s="2">
        <v>3.2</v>
      </c>
      <c r="E12" t="s">
        <v>41</v>
      </c>
      <c r="F12">
        <v>20</v>
      </c>
      <c r="G12">
        <v>8.5</v>
      </c>
      <c r="H12" s="3">
        <f t="shared" si="0"/>
        <v>170</v>
      </c>
      <c r="I12" s="3">
        <f t="shared" si="1"/>
        <v>1829.8799999999999</v>
      </c>
      <c r="J12" s="3">
        <v>30</v>
      </c>
      <c r="K12" s="13">
        <v>0.9</v>
      </c>
      <c r="L12">
        <v>1200</v>
      </c>
      <c r="M12" s="3">
        <f t="shared" si="2"/>
        <v>2195856</v>
      </c>
      <c r="N12" s="3">
        <f t="shared" si="3"/>
        <v>197627.04000000004</v>
      </c>
      <c r="O12" s="3">
        <f t="shared" si="4"/>
        <v>1998228.96</v>
      </c>
    </row>
    <row r="13" spans="1:15" x14ac:dyDescent="0.25">
      <c r="A13" s="20">
        <v>10</v>
      </c>
      <c r="B13" t="s">
        <v>46</v>
      </c>
      <c r="C13" t="s">
        <v>31</v>
      </c>
      <c r="D13" s="2">
        <v>3.2</v>
      </c>
      <c r="E13" t="s">
        <v>41</v>
      </c>
      <c r="F13">
        <v>24</v>
      </c>
      <c r="G13">
        <v>8.5</v>
      </c>
      <c r="H13" s="3">
        <f t="shared" si="0"/>
        <v>204</v>
      </c>
      <c r="I13" s="3">
        <f t="shared" si="1"/>
        <v>2195.8559999999998</v>
      </c>
      <c r="J13" s="3">
        <v>30</v>
      </c>
      <c r="K13" s="13">
        <v>0.9</v>
      </c>
      <c r="L13">
        <v>1200</v>
      </c>
      <c r="M13" s="3">
        <f t="shared" si="2"/>
        <v>2635027.1999999997</v>
      </c>
      <c r="N13" s="3">
        <f t="shared" si="3"/>
        <v>237152.448</v>
      </c>
      <c r="O13" s="3">
        <f t="shared" si="4"/>
        <v>2397874.7519999999</v>
      </c>
    </row>
    <row r="14" spans="1:15" x14ac:dyDescent="0.25">
      <c r="A14" s="20">
        <v>11</v>
      </c>
      <c r="B14" t="s">
        <v>47</v>
      </c>
      <c r="C14" t="s">
        <v>50</v>
      </c>
      <c r="D14" s="2">
        <v>6.4</v>
      </c>
      <c r="E14" t="s">
        <v>51</v>
      </c>
      <c r="F14">
        <v>30</v>
      </c>
      <c r="G14">
        <v>14</v>
      </c>
      <c r="H14" s="3">
        <f t="shared" si="0"/>
        <v>420</v>
      </c>
      <c r="I14" s="3">
        <f t="shared" si="1"/>
        <v>4520.88</v>
      </c>
      <c r="J14" s="3">
        <v>30</v>
      </c>
      <c r="K14" s="13">
        <v>0.9</v>
      </c>
      <c r="L14">
        <v>1400</v>
      </c>
      <c r="M14" s="3">
        <f t="shared" si="2"/>
        <v>6329232</v>
      </c>
      <c r="N14" s="3">
        <f t="shared" si="3"/>
        <v>569630.88000000012</v>
      </c>
      <c r="O14" s="3">
        <f t="shared" si="4"/>
        <v>5759601.1200000001</v>
      </c>
    </row>
    <row r="15" spans="1:15" x14ac:dyDescent="0.25">
      <c r="A15" s="20">
        <v>12</v>
      </c>
      <c r="B15" t="s">
        <v>48</v>
      </c>
      <c r="C15" t="s">
        <v>31</v>
      </c>
      <c r="D15" s="2">
        <v>3.5</v>
      </c>
      <c r="E15" t="s">
        <v>41</v>
      </c>
      <c r="F15">
        <v>26</v>
      </c>
      <c r="G15">
        <v>9</v>
      </c>
      <c r="H15" s="3">
        <f t="shared" si="0"/>
        <v>234</v>
      </c>
      <c r="I15" s="3">
        <f t="shared" si="1"/>
        <v>2518.7759999999998</v>
      </c>
      <c r="J15" s="3">
        <v>30</v>
      </c>
      <c r="K15" s="13">
        <v>0.9</v>
      </c>
      <c r="L15">
        <v>1400</v>
      </c>
      <c r="M15" s="3">
        <f t="shared" si="2"/>
        <v>3526286.4</v>
      </c>
      <c r="N15" s="3">
        <f t="shared" si="3"/>
        <v>317365.77600000001</v>
      </c>
      <c r="O15" s="3">
        <f t="shared" si="4"/>
        <v>3208920.6239999998</v>
      </c>
    </row>
    <row r="16" spans="1:15" x14ac:dyDescent="0.25">
      <c r="A16" s="20">
        <v>13</v>
      </c>
      <c r="B16" t="s">
        <v>49</v>
      </c>
      <c r="C16" t="s">
        <v>31</v>
      </c>
      <c r="D16" s="2">
        <v>3.2</v>
      </c>
      <c r="E16" t="s">
        <v>41</v>
      </c>
      <c r="F16">
        <v>40</v>
      </c>
      <c r="G16">
        <v>10</v>
      </c>
      <c r="H16" s="3">
        <f t="shared" si="0"/>
        <v>400</v>
      </c>
      <c r="I16" s="3">
        <f t="shared" si="1"/>
        <v>4305.5999999999995</v>
      </c>
      <c r="J16" s="3">
        <v>30</v>
      </c>
      <c r="K16" s="13">
        <v>0.9</v>
      </c>
      <c r="L16">
        <v>1400</v>
      </c>
      <c r="M16" s="3">
        <f t="shared" si="2"/>
        <v>6027839.9999999991</v>
      </c>
      <c r="N16" s="3">
        <f t="shared" si="3"/>
        <v>542505.6</v>
      </c>
      <c r="O16" s="3">
        <f t="shared" si="4"/>
        <v>5485334.3999999994</v>
      </c>
    </row>
    <row r="17" spans="1:15" x14ac:dyDescent="0.25">
      <c r="A17" s="20">
        <v>14</v>
      </c>
      <c r="B17" t="s">
        <v>52</v>
      </c>
      <c r="C17" t="s">
        <v>31</v>
      </c>
      <c r="D17" s="2">
        <v>15</v>
      </c>
      <c r="E17" t="s">
        <v>53</v>
      </c>
      <c r="H17" s="3">
        <v>42840</v>
      </c>
      <c r="I17" s="3">
        <f t="shared" si="1"/>
        <v>461129.75999999995</v>
      </c>
      <c r="J17" s="3">
        <v>30</v>
      </c>
      <c r="K17" s="13">
        <v>0.9</v>
      </c>
      <c r="L17">
        <v>1500</v>
      </c>
      <c r="M17" s="3">
        <f t="shared" si="2"/>
        <v>691694639.99999988</v>
      </c>
      <c r="N17" s="3">
        <f t="shared" si="3"/>
        <v>62252517.599999994</v>
      </c>
      <c r="O17" s="3">
        <f t="shared" si="4"/>
        <v>629442122.39999986</v>
      </c>
    </row>
    <row r="18" spans="1:15" x14ac:dyDescent="0.25">
      <c r="A18" s="20">
        <v>15</v>
      </c>
      <c r="B18" t="s">
        <v>54</v>
      </c>
      <c r="C18" t="s">
        <v>31</v>
      </c>
      <c r="D18" s="2">
        <v>15</v>
      </c>
      <c r="E18" t="s">
        <v>53</v>
      </c>
      <c r="H18" s="3">
        <v>8005</v>
      </c>
      <c r="I18" s="3">
        <f t="shared" si="1"/>
        <v>86165.819999999992</v>
      </c>
      <c r="J18" s="3">
        <v>30</v>
      </c>
      <c r="K18" s="13">
        <v>0.9</v>
      </c>
      <c r="L18">
        <v>1500</v>
      </c>
      <c r="M18" s="3">
        <f t="shared" si="2"/>
        <v>129248729.99999999</v>
      </c>
      <c r="N18" s="3">
        <f t="shared" si="3"/>
        <v>11632385.699999999</v>
      </c>
      <c r="O18" s="3">
        <f t="shared" si="4"/>
        <v>117616344.29999998</v>
      </c>
    </row>
    <row r="19" spans="1:15" x14ac:dyDescent="0.25">
      <c r="A19" s="20">
        <v>16</v>
      </c>
      <c r="B19" t="s">
        <v>55</v>
      </c>
      <c r="C19" t="s">
        <v>31</v>
      </c>
      <c r="D19" s="2">
        <v>8.36</v>
      </c>
      <c r="E19" t="s">
        <v>53</v>
      </c>
      <c r="H19" s="3">
        <v>1494</v>
      </c>
      <c r="I19" s="3">
        <f t="shared" si="1"/>
        <v>16081.415999999999</v>
      </c>
      <c r="J19" s="3">
        <v>30</v>
      </c>
      <c r="K19" s="13">
        <v>0.9</v>
      </c>
      <c r="L19">
        <v>1300</v>
      </c>
      <c r="M19" s="3">
        <f t="shared" si="2"/>
        <v>20905840.800000001</v>
      </c>
      <c r="N19" s="3">
        <f t="shared" si="3"/>
        <v>1881525.6720000003</v>
      </c>
      <c r="O19" s="3">
        <f t="shared" si="4"/>
        <v>19024315.127999999</v>
      </c>
    </row>
    <row r="20" spans="1:15" x14ac:dyDescent="0.25">
      <c r="A20" s="20">
        <v>17</v>
      </c>
      <c r="B20" t="s">
        <v>56</v>
      </c>
      <c r="C20" t="s">
        <v>31</v>
      </c>
      <c r="D20" s="2">
        <v>20</v>
      </c>
      <c r="E20" t="s">
        <v>53</v>
      </c>
      <c r="H20" s="3">
        <v>28741</v>
      </c>
      <c r="I20" s="3">
        <f t="shared" si="1"/>
        <v>309368.12399999995</v>
      </c>
      <c r="J20" s="3">
        <v>30</v>
      </c>
      <c r="K20" s="13">
        <v>0.9</v>
      </c>
      <c r="L20">
        <v>1500</v>
      </c>
      <c r="M20" s="3">
        <f t="shared" si="2"/>
        <v>464052185.99999994</v>
      </c>
      <c r="N20" s="3">
        <f t="shared" si="3"/>
        <v>41764696.740000002</v>
      </c>
      <c r="O20" s="3">
        <f t="shared" si="4"/>
        <v>422287489.25999993</v>
      </c>
    </row>
    <row r="21" spans="1:15" x14ac:dyDescent="0.25">
      <c r="A21" s="20">
        <v>18</v>
      </c>
      <c r="B21" t="s">
        <v>57</v>
      </c>
      <c r="C21" t="s">
        <v>31</v>
      </c>
      <c r="D21" s="2">
        <v>32</v>
      </c>
      <c r="E21" t="s">
        <v>53</v>
      </c>
      <c r="H21" s="3">
        <v>23495</v>
      </c>
      <c r="I21" s="3">
        <f t="shared" si="1"/>
        <v>252900.18</v>
      </c>
      <c r="J21" s="3">
        <v>30</v>
      </c>
      <c r="K21" s="13">
        <v>0.9</v>
      </c>
      <c r="L21">
        <v>1600</v>
      </c>
      <c r="M21" s="3">
        <f t="shared" si="2"/>
        <v>404640288</v>
      </c>
      <c r="N21" s="3">
        <f t="shared" si="3"/>
        <v>36417625.920000002</v>
      </c>
      <c r="O21" s="3">
        <f t="shared" si="4"/>
        <v>368222662.07999998</v>
      </c>
    </row>
    <row r="22" spans="1:15" x14ac:dyDescent="0.25">
      <c r="A22" s="20">
        <v>19</v>
      </c>
      <c r="B22" t="s">
        <v>58</v>
      </c>
      <c r="C22" t="s">
        <v>31</v>
      </c>
      <c r="D22" s="2">
        <v>15</v>
      </c>
      <c r="E22" t="s">
        <v>53</v>
      </c>
      <c r="H22" s="3">
        <v>8497</v>
      </c>
      <c r="I22" s="3">
        <f t="shared" si="1"/>
        <v>91461.707999999999</v>
      </c>
      <c r="J22" s="3">
        <v>30</v>
      </c>
      <c r="K22" s="13">
        <v>0.9</v>
      </c>
      <c r="L22">
        <v>1500</v>
      </c>
      <c r="M22" s="3">
        <f t="shared" si="2"/>
        <v>137192562</v>
      </c>
      <c r="N22" s="3">
        <f t="shared" si="3"/>
        <v>12347330.580000002</v>
      </c>
      <c r="O22" s="3">
        <f t="shared" si="4"/>
        <v>124845231.42</v>
      </c>
    </row>
    <row r="23" spans="1:15" x14ac:dyDescent="0.25">
      <c r="A23" s="20">
        <v>20</v>
      </c>
      <c r="B23" t="s">
        <v>59</v>
      </c>
      <c r="C23" t="s">
        <v>31</v>
      </c>
      <c r="D23" s="2">
        <v>15</v>
      </c>
      <c r="E23" t="s">
        <v>53</v>
      </c>
      <c r="H23" s="3">
        <v>5762</v>
      </c>
      <c r="I23" s="3">
        <f t="shared" si="1"/>
        <v>62022.167999999998</v>
      </c>
      <c r="J23" s="3">
        <v>30</v>
      </c>
      <c r="K23" s="13">
        <v>0.9</v>
      </c>
      <c r="L23">
        <v>1500</v>
      </c>
      <c r="M23" s="3">
        <f t="shared" si="2"/>
        <v>93033252</v>
      </c>
      <c r="N23" s="3">
        <f t="shared" si="3"/>
        <v>8372992.6800000006</v>
      </c>
      <c r="O23" s="3">
        <f t="shared" si="4"/>
        <v>84660259.319999993</v>
      </c>
    </row>
    <row r="24" spans="1:15" x14ac:dyDescent="0.25">
      <c r="A24" s="20">
        <v>21</v>
      </c>
      <c r="B24" t="s">
        <v>60</v>
      </c>
      <c r="C24" t="s">
        <v>31</v>
      </c>
      <c r="D24" s="2">
        <v>19</v>
      </c>
      <c r="E24" t="s">
        <v>53</v>
      </c>
      <c r="H24" s="3">
        <v>16508</v>
      </c>
      <c r="I24" s="3">
        <f t="shared" si="1"/>
        <v>177692.11199999999</v>
      </c>
      <c r="J24" s="3">
        <v>30</v>
      </c>
      <c r="K24" s="13">
        <v>0.9</v>
      </c>
      <c r="L24">
        <v>1500</v>
      </c>
      <c r="M24" s="3">
        <f t="shared" si="2"/>
        <v>266538168</v>
      </c>
      <c r="N24" s="3">
        <f t="shared" si="3"/>
        <v>23988435.120000001</v>
      </c>
      <c r="O24" s="3">
        <f t="shared" si="4"/>
        <v>242549732.88</v>
      </c>
    </row>
    <row r="25" spans="1:15" x14ac:dyDescent="0.25">
      <c r="A25" s="20">
        <v>22</v>
      </c>
      <c r="B25" t="s">
        <v>61</v>
      </c>
      <c r="C25" t="s">
        <v>31</v>
      </c>
      <c r="D25" s="2">
        <v>19</v>
      </c>
      <c r="E25" t="s">
        <v>53</v>
      </c>
      <c r="H25" s="3">
        <v>16851</v>
      </c>
      <c r="I25" s="3">
        <f t="shared" si="1"/>
        <v>181384.16399999999</v>
      </c>
      <c r="J25" s="3">
        <v>30</v>
      </c>
      <c r="K25" s="13">
        <v>0.9</v>
      </c>
      <c r="L25">
        <v>1500</v>
      </c>
      <c r="M25" s="3">
        <f t="shared" si="2"/>
        <v>272076246</v>
      </c>
      <c r="N25" s="3">
        <f t="shared" si="3"/>
        <v>24486862.140000004</v>
      </c>
      <c r="O25" s="3">
        <f t="shared" si="4"/>
        <v>247589383.85999998</v>
      </c>
    </row>
    <row r="26" spans="1:15" x14ac:dyDescent="0.25">
      <c r="A26" s="20">
        <v>23</v>
      </c>
      <c r="B26" s="3" t="s">
        <v>62</v>
      </c>
      <c r="C26" t="s">
        <v>31</v>
      </c>
      <c r="D26" s="2">
        <v>3.6</v>
      </c>
      <c r="E26" t="s">
        <v>75</v>
      </c>
      <c r="H26" s="3">
        <v>187</v>
      </c>
      <c r="I26" s="3">
        <f t="shared" si="1"/>
        <v>2012.8679999999999</v>
      </c>
      <c r="J26" s="3">
        <v>30</v>
      </c>
      <c r="K26" s="13">
        <v>0.9</v>
      </c>
      <c r="L26">
        <v>2000</v>
      </c>
      <c r="M26" s="3">
        <f t="shared" si="2"/>
        <v>4025736</v>
      </c>
      <c r="N26" s="3">
        <f t="shared" si="3"/>
        <v>362316.24000000005</v>
      </c>
      <c r="O26" s="3">
        <f t="shared" si="4"/>
        <v>3663419.76</v>
      </c>
    </row>
    <row r="27" spans="1:15" x14ac:dyDescent="0.25">
      <c r="A27" s="20">
        <v>24</v>
      </c>
      <c r="B27" s="3" t="s">
        <v>80</v>
      </c>
      <c r="C27" t="s">
        <v>31</v>
      </c>
      <c r="E27" t="s">
        <v>34</v>
      </c>
      <c r="H27" s="3">
        <v>647</v>
      </c>
      <c r="I27" s="3">
        <f t="shared" si="1"/>
        <v>6964.308</v>
      </c>
      <c r="J27" s="3">
        <v>60</v>
      </c>
      <c r="K27" s="13">
        <v>0.9</v>
      </c>
      <c r="L27">
        <v>1400</v>
      </c>
      <c r="M27" s="3">
        <f t="shared" ref="M27:M33" si="5">L27*I27</f>
        <v>9750031.1999999993</v>
      </c>
      <c r="N27" s="3">
        <f t="shared" ref="N27:N33" si="6">(K27/J27)*($K$2-$K$1)*M27</f>
        <v>438751.40400000004</v>
      </c>
      <c r="O27" s="3">
        <f t="shared" ref="O27:O33" si="7">M27-N27</f>
        <v>9311279.7960000001</v>
      </c>
    </row>
    <row r="28" spans="1:15" x14ac:dyDescent="0.25">
      <c r="A28" s="20">
        <v>25</v>
      </c>
      <c r="B28" s="3" t="s">
        <v>81</v>
      </c>
      <c r="C28" t="s">
        <v>31</v>
      </c>
      <c r="E28" t="s">
        <v>34</v>
      </c>
      <c r="H28" s="3">
        <v>115</v>
      </c>
      <c r="I28" s="3">
        <f t="shared" si="1"/>
        <v>1237.8599999999999</v>
      </c>
      <c r="J28" s="3">
        <v>60</v>
      </c>
      <c r="K28" s="13">
        <v>0.9</v>
      </c>
      <c r="L28">
        <v>1400</v>
      </c>
      <c r="M28" s="3">
        <f t="shared" si="5"/>
        <v>1733003.9999999998</v>
      </c>
      <c r="N28" s="3">
        <f t="shared" si="6"/>
        <v>77985.179999999993</v>
      </c>
      <c r="O28" s="3">
        <f t="shared" si="7"/>
        <v>1655018.8199999998</v>
      </c>
    </row>
    <row r="29" spans="1:15" x14ac:dyDescent="0.25">
      <c r="A29" s="20">
        <v>26</v>
      </c>
      <c r="B29" s="3" t="s">
        <v>82</v>
      </c>
      <c r="C29" t="s">
        <v>31</v>
      </c>
      <c r="E29" t="s">
        <v>41</v>
      </c>
      <c r="H29" s="3">
        <v>200</v>
      </c>
      <c r="I29" s="3">
        <f t="shared" si="1"/>
        <v>2152.7999999999997</v>
      </c>
      <c r="J29" s="3">
        <v>30</v>
      </c>
      <c r="K29" s="13">
        <v>0.9</v>
      </c>
      <c r="L29">
        <v>1200</v>
      </c>
      <c r="M29" s="3">
        <f t="shared" si="5"/>
        <v>2583359.9999999995</v>
      </c>
      <c r="N29" s="3">
        <f t="shared" si="6"/>
        <v>232502.39999999999</v>
      </c>
      <c r="O29" s="3">
        <f t="shared" si="7"/>
        <v>2350857.5999999996</v>
      </c>
    </row>
    <row r="30" spans="1:15" x14ac:dyDescent="0.25">
      <c r="A30" s="20">
        <v>27</v>
      </c>
      <c r="B30" s="3" t="s">
        <v>83</v>
      </c>
      <c r="C30" t="s">
        <v>31</v>
      </c>
      <c r="E30" t="s">
        <v>41</v>
      </c>
      <c r="H30" s="3">
        <v>120</v>
      </c>
      <c r="I30" s="3">
        <f t="shared" si="1"/>
        <v>1291.6799999999998</v>
      </c>
      <c r="J30" s="3">
        <v>30</v>
      </c>
      <c r="K30" s="13">
        <v>0.9</v>
      </c>
      <c r="L30">
        <v>1200</v>
      </c>
      <c r="M30" s="3">
        <f t="shared" si="5"/>
        <v>1550015.9999999998</v>
      </c>
      <c r="N30" s="3">
        <f t="shared" si="6"/>
        <v>139501.44</v>
      </c>
      <c r="O30" s="3">
        <f t="shared" si="7"/>
        <v>1410514.5599999998</v>
      </c>
    </row>
    <row r="31" spans="1:15" x14ac:dyDescent="0.25">
      <c r="A31" s="20">
        <v>28</v>
      </c>
      <c r="B31" s="3" t="s">
        <v>84</v>
      </c>
      <c r="C31" t="s">
        <v>31</v>
      </c>
      <c r="E31" t="s">
        <v>41</v>
      </c>
      <c r="H31" s="3">
        <v>700</v>
      </c>
      <c r="I31" s="3">
        <f t="shared" si="1"/>
        <v>7534.7999999999993</v>
      </c>
      <c r="J31" s="3">
        <v>30</v>
      </c>
      <c r="K31" s="13">
        <v>0.9</v>
      </c>
      <c r="L31">
        <v>1200</v>
      </c>
      <c r="M31" s="3">
        <f t="shared" si="5"/>
        <v>9041760</v>
      </c>
      <c r="N31" s="3">
        <f t="shared" si="6"/>
        <v>813758.40000000014</v>
      </c>
      <c r="O31" s="3">
        <f t="shared" si="7"/>
        <v>8228001.5999999996</v>
      </c>
    </row>
    <row r="32" spans="1:15" x14ac:dyDescent="0.25">
      <c r="A32" s="20">
        <v>29</v>
      </c>
      <c r="B32" s="3" t="s">
        <v>85</v>
      </c>
      <c r="C32" t="s">
        <v>31</v>
      </c>
      <c r="E32" t="s">
        <v>41</v>
      </c>
      <c r="H32" s="3">
        <v>240</v>
      </c>
      <c r="I32" s="3">
        <f t="shared" si="1"/>
        <v>2583.3599999999997</v>
      </c>
      <c r="J32" s="3">
        <v>30</v>
      </c>
      <c r="K32" s="13">
        <v>0.9</v>
      </c>
      <c r="L32">
        <v>1200</v>
      </c>
      <c r="M32" s="3">
        <f t="shared" si="5"/>
        <v>3100031.9999999995</v>
      </c>
      <c r="N32" s="3">
        <f t="shared" si="6"/>
        <v>279002.88</v>
      </c>
      <c r="O32" s="3">
        <f t="shared" si="7"/>
        <v>2821029.1199999996</v>
      </c>
    </row>
    <row r="33" spans="1:15" x14ac:dyDescent="0.25">
      <c r="A33" s="20">
        <v>30</v>
      </c>
      <c r="B33" s="3" t="s">
        <v>86</v>
      </c>
      <c r="C33" t="s">
        <v>31</v>
      </c>
      <c r="E33" t="s">
        <v>34</v>
      </c>
      <c r="H33" s="3">
        <v>522</v>
      </c>
      <c r="I33" s="3">
        <f t="shared" si="1"/>
        <v>5618.808</v>
      </c>
      <c r="J33" s="3">
        <v>60</v>
      </c>
      <c r="K33" s="13">
        <v>0.9</v>
      </c>
      <c r="L33">
        <v>1300</v>
      </c>
      <c r="M33" s="3">
        <f t="shared" si="5"/>
        <v>7304450.4000000004</v>
      </c>
      <c r="N33" s="3">
        <f t="shared" si="6"/>
        <v>328700.26800000004</v>
      </c>
      <c r="O33" s="3">
        <f t="shared" si="7"/>
        <v>6975750.1320000002</v>
      </c>
    </row>
    <row r="34" spans="1:15" x14ac:dyDescent="0.25">
      <c r="B34" s="3"/>
    </row>
    <row r="35" spans="1:15" x14ac:dyDescent="0.25">
      <c r="B35" s="3"/>
    </row>
    <row r="36" spans="1:15" x14ac:dyDescent="0.25">
      <c r="B36" s="3"/>
    </row>
    <row r="37" spans="1:15" x14ac:dyDescent="0.25">
      <c r="B37" s="2"/>
      <c r="C37" s="3"/>
      <c r="D37" s="3"/>
      <c r="E37" s="3"/>
    </row>
    <row r="38" spans="1:15" x14ac:dyDescent="0.25">
      <c r="B38" s="2"/>
      <c r="C38" s="3"/>
      <c r="D38" s="3" t="s">
        <v>77</v>
      </c>
      <c r="E38" s="3" t="s">
        <v>78</v>
      </c>
    </row>
    <row r="39" spans="1:15" x14ac:dyDescent="0.25">
      <c r="B39" s="2" t="s">
        <v>76</v>
      </c>
      <c r="C39" s="3">
        <v>1.85</v>
      </c>
      <c r="D39" s="3">
        <f>C39*1000</f>
        <v>1850</v>
      </c>
      <c r="E39" s="3">
        <v>50</v>
      </c>
      <c r="F39" s="7">
        <f>E39*0.3048</f>
        <v>15.24</v>
      </c>
      <c r="G39">
        <f>F39*D39</f>
        <v>28194</v>
      </c>
      <c r="J39" s="3">
        <v>15</v>
      </c>
      <c r="K39" s="13">
        <v>0.95</v>
      </c>
      <c r="L39">
        <v>1800</v>
      </c>
      <c r="M39" s="3">
        <f>L39*G39</f>
        <v>50749200</v>
      </c>
      <c r="N39" s="3">
        <f t="shared" ref="N39:N40" si="8">(K39/J39)*($K$2-$K$1)*M39</f>
        <v>9642347.9999999981</v>
      </c>
      <c r="O39" s="3">
        <f t="shared" ref="O39:O40" si="9">M39-N39</f>
        <v>41106852</v>
      </c>
    </row>
    <row r="40" spans="1:15" x14ac:dyDescent="0.25">
      <c r="B40" t="s">
        <v>76</v>
      </c>
      <c r="D40" s="2">
        <v>580</v>
      </c>
      <c r="E40">
        <v>35</v>
      </c>
      <c r="F40" s="7">
        <f>E40*0.3048</f>
        <v>10.668000000000001</v>
      </c>
      <c r="G40">
        <f>F40*D40</f>
        <v>6187.4400000000005</v>
      </c>
      <c r="J40" s="3">
        <v>15</v>
      </c>
      <c r="K40" s="13">
        <v>0.95</v>
      </c>
      <c r="L40">
        <v>1800</v>
      </c>
      <c r="M40" s="3">
        <f>L40*G40</f>
        <v>11137392</v>
      </c>
      <c r="N40" s="3">
        <f t="shared" si="8"/>
        <v>2116104.4799999995</v>
      </c>
      <c r="O40" s="3">
        <f t="shared" si="9"/>
        <v>9021287.5199999996</v>
      </c>
    </row>
    <row r="41" spans="1:15" x14ac:dyDescent="0.25">
      <c r="B41" t="s">
        <v>79</v>
      </c>
      <c r="D41" s="3">
        <v>418970.23</v>
      </c>
      <c r="L41">
        <v>150</v>
      </c>
      <c r="M41" s="3">
        <f>L41*D41</f>
        <v>62845534.5</v>
      </c>
      <c r="O41" s="3">
        <f>M41</f>
        <v>62845534.5</v>
      </c>
    </row>
    <row r="42" spans="1:15" x14ac:dyDescent="0.25">
      <c r="D42" s="14">
        <f>'Land Area'!F21</f>
        <v>962794.60658696014</v>
      </c>
      <c r="L42" t="s">
        <v>93</v>
      </c>
      <c r="M42" s="10">
        <f>SUM(M39:M41)</f>
        <v>124732126.5</v>
      </c>
      <c r="O42" s="10">
        <f>SUM(O39:O41)</f>
        <v>112973674.02</v>
      </c>
    </row>
    <row r="43" spans="1:15" x14ac:dyDescent="0.25">
      <c r="D43" s="14">
        <f>D41/D42</f>
        <v>0.43516054943974009</v>
      </c>
      <c r="L43" t="s">
        <v>68</v>
      </c>
      <c r="M43" s="10">
        <f>M2</f>
        <v>2548310027.2531199</v>
      </c>
      <c r="O43" s="10">
        <f>O2</f>
        <v>2320093819.6147294</v>
      </c>
    </row>
    <row r="44" spans="1:15" x14ac:dyDescent="0.25">
      <c r="L44" t="s">
        <v>94</v>
      </c>
      <c r="M44" s="10">
        <f>O44</f>
        <v>570990465.60000002</v>
      </c>
      <c r="N44" s="10"/>
      <c r="O44" s="10">
        <f>Sheet3!R18</f>
        <v>570990465.60000002</v>
      </c>
    </row>
    <row r="45" spans="1:15" x14ac:dyDescent="0.25">
      <c r="M45" s="3">
        <f>SUM(M42:M44)</f>
        <v>3244032619.3531199</v>
      </c>
      <c r="O45" s="3">
        <f>SUM(O42:O44)</f>
        <v>3004057959.2347293</v>
      </c>
    </row>
    <row r="46" spans="1:15" x14ac:dyDescent="0.25">
      <c r="O46" s="3">
        <f>300*10^7</f>
        <v>3000000000</v>
      </c>
    </row>
    <row r="47" spans="1:15" x14ac:dyDescent="0.25">
      <c r="O47" s="3">
        <f>O46*0.85</f>
        <v>2550000000</v>
      </c>
    </row>
    <row r="48" spans="1:15" x14ac:dyDescent="0.25">
      <c r="O48" s="3">
        <f>O46*0.75</f>
        <v>2250000000</v>
      </c>
    </row>
    <row r="55" spans="2:3" x14ac:dyDescent="0.25">
      <c r="B55" s="3" t="s">
        <v>32</v>
      </c>
      <c r="C55">
        <v>61</v>
      </c>
    </row>
    <row r="56" spans="2:3" x14ac:dyDescent="0.25">
      <c r="B56" s="3" t="s">
        <v>33</v>
      </c>
      <c r="C56">
        <v>237</v>
      </c>
    </row>
    <row r="57" spans="2:3" x14ac:dyDescent="0.25">
      <c r="C57">
        <f>SUM(C55:C56)</f>
        <v>298</v>
      </c>
    </row>
  </sheetData>
  <autoFilter ref="B3:O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Land Area</vt:lpstr>
      <vt:lpstr>Sheet1</vt:lpstr>
      <vt:lpstr>Sheet3</vt:lpstr>
      <vt:lpstr>Sheet2</vt:lpstr>
      <vt:lpstr>Building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2024-02-03T11:29:10Z</dcterms:modified>
</cp:coreProperties>
</file>