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activeTab="2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B23" i="3" l="1"/>
  <c r="F48" i="3"/>
  <c r="G48" i="3" s="1"/>
  <c r="G46" i="3"/>
  <c r="D46" i="3"/>
  <c r="E42" i="3"/>
  <c r="E41" i="3"/>
  <c r="D41" i="3"/>
  <c r="D40" i="3"/>
  <c r="D39" i="3"/>
  <c r="O35" i="3"/>
  <c r="O34" i="3"/>
  <c r="M14" i="3"/>
  <c r="B5" i="3" l="1"/>
  <c r="D12" i="4" l="1"/>
  <c r="D13" i="4" s="1"/>
  <c r="D10" i="4"/>
  <c r="D5" i="4"/>
  <c r="D3" i="4"/>
  <c r="D6" i="4" s="1"/>
  <c r="D14" i="4" s="1"/>
  <c r="N15" i="3"/>
  <c r="N25" i="3" s="1"/>
  <c r="B18" i="3"/>
  <c r="C18" i="3" s="1"/>
  <c r="E11" i="3"/>
  <c r="F11" i="3" s="1"/>
  <c r="C5" i="3"/>
  <c r="B13" i="3" l="1"/>
  <c r="B19" i="3"/>
  <c r="D13" i="3"/>
  <c r="D18" i="3"/>
  <c r="C19" i="3"/>
  <c r="C23" i="3" s="1"/>
  <c r="C7" i="3"/>
  <c r="C9" i="3" s="1"/>
  <c r="D5" i="3"/>
  <c r="E5" i="3" s="1"/>
  <c r="F5" i="3" s="1"/>
  <c r="C13" i="3"/>
  <c r="B7" i="3"/>
  <c r="B9" i="3" s="1"/>
  <c r="H11" i="3"/>
  <c r="B15" i="3" l="1"/>
  <c r="C15" i="3"/>
  <c r="C25" i="3" s="1"/>
  <c r="D7" i="3"/>
  <c r="E7" i="3"/>
  <c r="E9" i="3" s="1"/>
  <c r="E18" i="3"/>
  <c r="D19" i="3"/>
  <c r="D23" i="3" s="1"/>
  <c r="G11" i="3"/>
  <c r="I11" i="3"/>
  <c r="E13" i="3"/>
  <c r="G5" i="3"/>
  <c r="F7" i="3"/>
  <c r="F9" i="3" s="1"/>
  <c r="E15" i="2"/>
  <c r="F15" i="2" s="1"/>
  <c r="F14" i="2"/>
  <c r="L8" i="1"/>
  <c r="E7" i="1"/>
  <c r="F13" i="2"/>
  <c r="F8" i="2"/>
  <c r="F7" i="2"/>
  <c r="F6" i="2"/>
  <c r="F5" i="2"/>
  <c r="F4" i="2"/>
  <c r="D9" i="3" l="1"/>
  <c r="D15" i="3" s="1"/>
  <c r="B25" i="3"/>
  <c r="E15" i="3"/>
  <c r="J11" i="3"/>
  <c r="F18" i="3"/>
  <c r="E19" i="3"/>
  <c r="E23" i="3" s="1"/>
  <c r="F13" i="3"/>
  <c r="F15" i="3" s="1"/>
  <c r="H5" i="3"/>
  <c r="G7" i="3"/>
  <c r="G9" i="3" s="1"/>
  <c r="F9" i="2"/>
  <c r="F16" i="2"/>
  <c r="F13" i="1"/>
  <c r="F11" i="1"/>
  <c r="F8" i="1"/>
  <c r="E5" i="1"/>
  <c r="F4" i="1"/>
  <c r="F6" i="1"/>
  <c r="D25" i="3" l="1"/>
  <c r="E25" i="3"/>
  <c r="K11" i="3"/>
  <c r="G13" i="3"/>
  <c r="G18" i="3"/>
  <c r="F19" i="3"/>
  <c r="H13" i="3"/>
  <c r="I5" i="3"/>
  <c r="H7" i="3"/>
  <c r="H9" i="3" s="1"/>
  <c r="F23" i="3" l="1"/>
  <c r="F25" i="3" s="1"/>
  <c r="G15" i="3"/>
  <c r="H15" i="3"/>
  <c r="I13" i="3"/>
  <c r="H18" i="3"/>
  <c r="G19" i="3"/>
  <c r="G23" i="3" s="1"/>
  <c r="J5" i="3"/>
  <c r="I7" i="3"/>
  <c r="I9" i="3" s="1"/>
  <c r="G25" i="3" l="1"/>
  <c r="I15" i="3"/>
  <c r="I18" i="3"/>
  <c r="H19" i="3"/>
  <c r="J13" i="3"/>
  <c r="K5" i="3"/>
  <c r="J7" i="3"/>
  <c r="J9" i="3" s="1"/>
  <c r="H23" i="3" l="1"/>
  <c r="H25" i="3" s="1"/>
  <c r="J15" i="3"/>
  <c r="K13" i="3"/>
  <c r="J18" i="3"/>
  <c r="I19" i="3"/>
  <c r="L5" i="3"/>
  <c r="K7" i="3"/>
  <c r="K9" i="3" s="1"/>
  <c r="I23" i="3" l="1"/>
  <c r="I25" i="3" s="1"/>
  <c r="K15" i="3"/>
  <c r="K18" i="3"/>
  <c r="J19" i="3"/>
  <c r="M13" i="3"/>
  <c r="L13" i="3"/>
  <c r="L7" i="3"/>
  <c r="L9" i="3" s="1"/>
  <c r="M5" i="3"/>
  <c r="M7" i="3" s="1"/>
  <c r="M9" i="3" s="1"/>
  <c r="J23" i="3" l="1"/>
  <c r="J25" i="3" s="1"/>
  <c r="O13" i="3"/>
  <c r="O9" i="3"/>
  <c r="L15" i="3"/>
  <c r="M15" i="3"/>
  <c r="L18" i="3"/>
  <c r="K19" i="3"/>
  <c r="O15" i="3" l="1"/>
  <c r="K23" i="3"/>
  <c r="K25" i="3" s="1"/>
  <c r="M18" i="3"/>
  <c r="M19" i="3" s="1"/>
  <c r="L19" i="3"/>
  <c r="L25" i="3" l="1"/>
  <c r="L23" i="3"/>
  <c r="M25" i="3"/>
  <c r="B28" i="3" s="1"/>
  <c r="B29" i="3" s="1"/>
  <c r="B30" i="3" s="1"/>
  <c r="M23" i="3"/>
  <c r="D34" i="3" l="1"/>
</calcChain>
</file>

<file path=xl/sharedStrings.xml><?xml version="1.0" encoding="utf-8"?>
<sst xmlns="http://schemas.openxmlformats.org/spreadsheetml/2006/main" count="124" uniqueCount="99">
  <si>
    <t>M/S RAJ LAYER POULTRY FARM</t>
  </si>
  <si>
    <t>No: of Hens</t>
  </si>
  <si>
    <t xml:space="preserve">Avg: wieght of chicken </t>
  </si>
  <si>
    <t>Cost of chicken per Kg.</t>
  </si>
  <si>
    <t>Cost of one chick.</t>
  </si>
  <si>
    <t>Particulars</t>
  </si>
  <si>
    <t>Unit</t>
  </si>
  <si>
    <t>Quantity</t>
  </si>
  <si>
    <t>``</t>
  </si>
  <si>
    <t>Space reqd. for a hen in cage layer system</t>
  </si>
  <si>
    <t>0.8 sq.ft</t>
  </si>
  <si>
    <t>Cost of feed requirement during laying period</t>
  </si>
  <si>
    <t>Feed requirement during growers-20 weeks</t>
  </si>
  <si>
    <t>Rs.21</t>
  </si>
  <si>
    <t>Rs.6</t>
  </si>
  <si>
    <t>cost of Insurance</t>
  </si>
  <si>
    <t>Total Life span of Hen</t>
  </si>
  <si>
    <t>More than 2 years</t>
  </si>
  <si>
    <t xml:space="preserve">Total Laying period Considered </t>
  </si>
  <si>
    <t>520 days</t>
  </si>
  <si>
    <t>Qnty of feed intake per Hen in a day</t>
  </si>
  <si>
    <t>Nos.</t>
  </si>
  <si>
    <t>Rs.</t>
  </si>
  <si>
    <t>Gm/bird</t>
  </si>
  <si>
    <t xml:space="preserve">Qnty of manure produced </t>
  </si>
  <si>
    <t>Rs</t>
  </si>
  <si>
    <t>Kg</t>
  </si>
  <si>
    <t>Rs./ bird</t>
  </si>
  <si>
    <t>Gm/day</t>
  </si>
  <si>
    <t>whole sale rate of poultry feed</t>
  </si>
  <si>
    <t xml:space="preserve">Rs.1500 per 50kg  </t>
  </si>
  <si>
    <t>Manure produced by a bird per day</t>
  </si>
  <si>
    <t>4% of body Mass</t>
  </si>
  <si>
    <t xml:space="preserve">Cost of Vaccination and Medicine </t>
  </si>
  <si>
    <t>Rs/bird</t>
  </si>
  <si>
    <t>Cost of feed required per hen in a day</t>
  </si>
  <si>
    <t>Amoount in Rs.</t>
  </si>
  <si>
    <t>Cost of Manure per 1 kg</t>
  </si>
  <si>
    <t>Total Quantity
in kg</t>
  </si>
  <si>
    <t>income from Egg production in a day</t>
  </si>
  <si>
    <t>100% Egg production start at the age of 30 weeks/210 days</t>
  </si>
  <si>
    <t xml:space="preserve"> Expenditure norms</t>
  </si>
  <si>
    <t>Sl. No:</t>
  </si>
  <si>
    <t>Amount</t>
  </si>
  <si>
    <t>Rs. Per bird</t>
  </si>
  <si>
    <t>Insurance Charges</t>
  </si>
  <si>
    <t>Unit Rate in Rs.</t>
  </si>
  <si>
    <t>Labour Charge</t>
  </si>
  <si>
    <t>Per day</t>
  </si>
  <si>
    <t xml:space="preserve"> Income norms</t>
  </si>
  <si>
    <t xml:space="preserve">Income from Manure </t>
  </si>
  <si>
    <t>Rs. Per Kg</t>
  </si>
  <si>
    <t>Chicken meat rate</t>
  </si>
  <si>
    <t>Total operational expenditure in a day</t>
  </si>
  <si>
    <t>Total Income in a day</t>
  </si>
  <si>
    <t>Vaccination and Medicine Charges</t>
  </si>
  <si>
    <t>Egg production in a day</t>
  </si>
  <si>
    <t>No: of days</t>
  </si>
  <si>
    <t>Daily egg production (nos)</t>
  </si>
  <si>
    <t>Income Norms</t>
  </si>
  <si>
    <t>Total Income from Manure</t>
  </si>
  <si>
    <t>TOTAL</t>
  </si>
  <si>
    <t>Expenditure  Norms</t>
  </si>
  <si>
    <t>No: of bird</t>
  </si>
  <si>
    <t>Labor charge</t>
  </si>
  <si>
    <t>Total expenditure for food in a year</t>
  </si>
  <si>
    <t>Net Income from the Poultry farm</t>
  </si>
  <si>
    <t>Total Income from Egg Sale in a year</t>
  </si>
  <si>
    <t>Cost of one egg in R.s</t>
  </si>
  <si>
    <t>Cost per Kg in R.s</t>
  </si>
  <si>
    <t>Total expenditure for labor in a year</t>
  </si>
  <si>
    <t>Cost of 40 days old chicks</t>
  </si>
  <si>
    <t>Cost of daily feed requirement per bird (Rs)</t>
  </si>
  <si>
    <t>Daily Manure production (kg)</t>
  </si>
  <si>
    <t>Labors required per day (Nos)</t>
  </si>
  <si>
    <t>Income</t>
  </si>
  <si>
    <t>Production days per month</t>
  </si>
  <si>
    <t>Per day Egg production</t>
  </si>
  <si>
    <t>Total Egg Production</t>
  </si>
  <si>
    <t>Per Egg Cost</t>
  </si>
  <si>
    <t>No. of Days</t>
  </si>
  <si>
    <t>Total Income from Egg-A</t>
  </si>
  <si>
    <t>Total Income from Manure-B</t>
  </si>
  <si>
    <t>Expenses</t>
  </si>
  <si>
    <t>Total Daily Feed Expenses</t>
  </si>
  <si>
    <t>Total Expenses</t>
  </si>
  <si>
    <t>WACC</t>
  </si>
  <si>
    <t>Net Income</t>
  </si>
  <si>
    <t>Cost per Kg in Rs.</t>
  </si>
  <si>
    <t>Particulars/ Months</t>
  </si>
  <si>
    <t>Terminal Value</t>
  </si>
  <si>
    <t>Terminal Value-C</t>
  </si>
  <si>
    <t>Total Income (A+B+C)</t>
  </si>
  <si>
    <t>XNPV (Present Value)</t>
  </si>
  <si>
    <t>Discount on PV for buyers profit (20%)</t>
  </si>
  <si>
    <t>Per Hen Value</t>
  </si>
  <si>
    <t>Labour Charges (2 labours)</t>
  </si>
  <si>
    <t>Operational Expenses Charges Assumed (electricity and others)</t>
  </si>
  <si>
    <t>Vaccination and medicine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</si>
</sst>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3" fontId="7" fillId="0" borderId="1" xfId="1" applyFont="1" applyBorder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6" fillId="0" borderId="1" xfId="0" applyNumberFormat="1" applyFont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vertical="center"/>
    </xf>
    <xf numFmtId="164" fontId="0" fillId="0" borderId="0" xfId="0" applyNumberFormat="1"/>
    <xf numFmtId="164" fontId="1" fillId="0" borderId="0" xfId="0" applyNumberFormat="1" applyFont="1"/>
    <xf numFmtId="0" fontId="8" fillId="0" borderId="0" xfId="0" applyFont="1"/>
    <xf numFmtId="0" fontId="8" fillId="0" borderId="0" xfId="0" applyFont="1" applyBorder="1"/>
    <xf numFmtId="3" fontId="8" fillId="0" borderId="0" xfId="0" applyNumberFormat="1" applyFont="1" applyBorder="1"/>
    <xf numFmtId="164" fontId="8" fillId="0" borderId="0" xfId="1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/>
    </xf>
    <xf numFmtId="164" fontId="2" fillId="0" borderId="0" xfId="1" applyNumberFormat="1" applyFont="1" applyBorder="1"/>
    <xf numFmtId="4" fontId="8" fillId="0" borderId="0" xfId="0" applyNumberFormat="1" applyFont="1"/>
    <xf numFmtId="164" fontId="8" fillId="0" borderId="0" xfId="1" applyNumberFormat="1" applyFont="1"/>
    <xf numFmtId="164" fontId="8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6" borderId="0" xfId="0" applyFont="1" applyFill="1"/>
    <xf numFmtId="0" fontId="8" fillId="6" borderId="0" xfId="0" applyFont="1" applyFill="1"/>
    <xf numFmtId="17" fontId="2" fillId="6" borderId="0" xfId="0" applyNumberFormat="1" applyFont="1" applyFill="1"/>
    <xf numFmtId="17" fontId="1" fillId="6" borderId="0" xfId="0" applyNumberFormat="1" applyFont="1" applyFill="1"/>
    <xf numFmtId="0" fontId="2" fillId="0" borderId="0" xfId="0" applyFont="1" applyFill="1"/>
    <xf numFmtId="17" fontId="2" fillId="0" borderId="0" xfId="0" applyNumberFormat="1" applyFont="1" applyFill="1"/>
    <xf numFmtId="17" fontId="1" fillId="0" borderId="0" xfId="0" applyNumberFormat="1" applyFont="1" applyFill="1"/>
    <xf numFmtId="0" fontId="2" fillId="6" borderId="0" xfId="0" applyFont="1" applyFill="1" applyAlignment="1">
      <alignment horizontal="left"/>
    </xf>
    <xf numFmtId="9" fontId="2" fillId="6" borderId="0" xfId="0" applyNumberFormat="1" applyFont="1" applyFill="1"/>
    <xf numFmtId="0" fontId="2" fillId="6" borderId="0" xfId="0" applyFont="1" applyFill="1" applyAlignment="1">
      <alignment horizontal="left" vertical="center"/>
    </xf>
    <xf numFmtId="164" fontId="2" fillId="6" borderId="0" xfId="0" applyNumberFormat="1" applyFont="1" applyFill="1"/>
    <xf numFmtId="43" fontId="2" fillId="6" borderId="0" xfId="0" applyNumberFormat="1" applyFont="1" applyFill="1"/>
    <xf numFmtId="0" fontId="0" fillId="6" borderId="0" xfId="0" applyFill="1"/>
    <xf numFmtId="0" fontId="2" fillId="6" borderId="0" xfId="0" applyFont="1" applyFill="1" applyBorder="1"/>
    <xf numFmtId="164" fontId="2" fillId="6" borderId="0" xfId="0" applyNumberFormat="1" applyFont="1" applyFill="1" applyBorder="1"/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vertical="top"/>
    </xf>
    <xf numFmtId="164" fontId="2" fillId="6" borderId="0" xfId="1" applyNumberFormat="1" applyFont="1" applyFill="1"/>
    <xf numFmtId="3" fontId="10" fillId="0" borderId="0" xfId="0" applyNumberFormat="1" applyFont="1"/>
    <xf numFmtId="0" fontId="1" fillId="0" borderId="0" xfId="0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4" zoomScale="115" zoomScaleNormal="115" workbookViewId="0">
      <selection activeCell="J12" sqref="J12"/>
    </sheetView>
  </sheetViews>
  <sheetFormatPr defaultRowHeight="15" x14ac:dyDescent="0.25"/>
  <cols>
    <col min="2" max="2" width="24" customWidth="1"/>
    <col min="3" max="3" width="9" customWidth="1"/>
    <col min="4" max="4" width="9.28515625" customWidth="1"/>
    <col min="5" max="5" width="14.7109375" customWidth="1"/>
    <col min="6" max="6" width="12.85546875" customWidth="1"/>
    <col min="7" max="7" width="7.5703125" customWidth="1"/>
    <col min="8" max="8" width="18.140625" customWidth="1"/>
    <col min="9" max="9" width="10.5703125" customWidth="1"/>
  </cols>
  <sheetData>
    <row r="1" spans="1:23" ht="18.75" x14ac:dyDescent="0.3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24.75" customHeight="1" x14ac:dyDescent="0.3">
      <c r="B2" s="3" t="s">
        <v>5</v>
      </c>
      <c r="C2" s="3" t="s">
        <v>6</v>
      </c>
      <c r="D2" s="3" t="s">
        <v>7</v>
      </c>
      <c r="E2" s="3" t="s">
        <v>38</v>
      </c>
      <c r="F2" s="3" t="s">
        <v>36</v>
      </c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9.5" customHeight="1" x14ac:dyDescent="0.25">
      <c r="A3" s="1"/>
      <c r="B3" s="4" t="s">
        <v>1</v>
      </c>
      <c r="C3" s="4" t="s">
        <v>21</v>
      </c>
      <c r="D3" s="6">
        <v>31008</v>
      </c>
      <c r="E3" s="6"/>
    </row>
    <row r="4" spans="1:23" ht="26.25" customHeight="1" x14ac:dyDescent="0.25">
      <c r="B4" s="5" t="s">
        <v>39</v>
      </c>
      <c r="C4" s="5" t="s">
        <v>21</v>
      </c>
      <c r="D4" s="4">
        <v>27907</v>
      </c>
      <c r="E4" s="4"/>
      <c r="F4" s="4">
        <f>5*D4</f>
        <v>139535</v>
      </c>
    </row>
    <row r="5" spans="1:23" ht="28.5" customHeight="1" x14ac:dyDescent="0.25">
      <c r="B5" s="5" t="s">
        <v>20</v>
      </c>
      <c r="C5" s="5" t="s">
        <v>28</v>
      </c>
      <c r="D5" s="4">
        <v>120</v>
      </c>
      <c r="E5" s="4">
        <f>0.12*D3</f>
        <v>3720.96</v>
      </c>
      <c r="F5" s="4"/>
    </row>
    <row r="6" spans="1:23" ht="32.25" customHeight="1" x14ac:dyDescent="0.25">
      <c r="B6" s="5" t="s">
        <v>35</v>
      </c>
      <c r="C6" s="5" t="s">
        <v>34</v>
      </c>
      <c r="D6" s="4">
        <v>3.6</v>
      </c>
      <c r="E6" s="4"/>
      <c r="F6" s="4">
        <f>D3*D6</f>
        <v>111628.8</v>
      </c>
      <c r="L6" t="s">
        <v>8</v>
      </c>
    </row>
    <row r="7" spans="1:23" ht="21" customHeight="1" x14ac:dyDescent="0.25">
      <c r="B7" s="5" t="s">
        <v>24</v>
      </c>
      <c r="C7" s="5" t="s">
        <v>23</v>
      </c>
      <c r="D7" s="4">
        <v>56</v>
      </c>
      <c r="E7" s="7">
        <f>0.056*D3</f>
        <v>1736.4480000000001</v>
      </c>
      <c r="F7" s="4"/>
    </row>
    <row r="8" spans="1:23" ht="19.5" customHeight="1" x14ac:dyDescent="0.25">
      <c r="B8" s="5" t="s">
        <v>37</v>
      </c>
      <c r="C8" s="5" t="s">
        <v>25</v>
      </c>
      <c r="D8" s="4">
        <v>4</v>
      </c>
      <c r="E8" s="4"/>
      <c r="F8" s="4">
        <f>E7*D8</f>
        <v>6945.7920000000004</v>
      </c>
      <c r="G8" s="4"/>
      <c r="J8">
        <v>1.4</v>
      </c>
      <c r="K8">
        <v>0.04</v>
      </c>
      <c r="L8">
        <f>K8*J8</f>
        <v>6.4000000000000001E-2</v>
      </c>
    </row>
    <row r="9" spans="1:23" ht="15.75" customHeight="1" x14ac:dyDescent="0.25">
      <c r="B9" s="5" t="s">
        <v>2</v>
      </c>
      <c r="C9" s="5" t="s">
        <v>26</v>
      </c>
      <c r="D9" s="4">
        <v>1.75</v>
      </c>
      <c r="E9" s="4"/>
      <c r="F9" s="4"/>
    </row>
    <row r="10" spans="1:23" ht="18.75" customHeight="1" x14ac:dyDescent="0.25">
      <c r="B10" s="5" t="s">
        <v>3</v>
      </c>
      <c r="C10" s="5" t="s">
        <v>26</v>
      </c>
      <c r="D10" s="4">
        <v>60</v>
      </c>
      <c r="E10" s="4"/>
      <c r="F10" s="4"/>
    </row>
    <row r="11" spans="1:23" ht="26.25" x14ac:dyDescent="0.25">
      <c r="B11" s="5" t="s">
        <v>33</v>
      </c>
      <c r="C11" s="5" t="s">
        <v>27</v>
      </c>
      <c r="D11" s="4">
        <v>6</v>
      </c>
      <c r="E11" s="4"/>
      <c r="F11" s="4">
        <f>D11*D3</f>
        <v>186048</v>
      </c>
    </row>
    <row r="12" spans="1:23" x14ac:dyDescent="0.25">
      <c r="B12" s="5" t="s">
        <v>15</v>
      </c>
      <c r="C12" s="5" t="s">
        <v>27</v>
      </c>
      <c r="D12" s="4"/>
      <c r="E12" s="4"/>
      <c r="F12" s="4"/>
      <c r="H12" s="4"/>
    </row>
    <row r="13" spans="1:23" ht="18" customHeight="1" x14ac:dyDescent="0.25">
      <c r="B13" s="5" t="s">
        <v>4</v>
      </c>
      <c r="C13" s="5" t="s">
        <v>22</v>
      </c>
      <c r="D13" s="4">
        <v>52</v>
      </c>
      <c r="E13" s="4"/>
      <c r="F13" s="4">
        <f>D3*D13</f>
        <v>1612416</v>
      </c>
    </row>
    <row r="16" spans="1:23" x14ac:dyDescent="0.25">
      <c r="B16" s="4"/>
      <c r="C16" s="4"/>
      <c r="D16" s="4"/>
      <c r="E16" s="4"/>
    </row>
    <row r="17" spans="2:8" ht="25.5" x14ac:dyDescent="0.25">
      <c r="B17" s="4" t="s">
        <v>9</v>
      </c>
      <c r="C17" s="4"/>
      <c r="D17" s="4"/>
      <c r="E17" s="4"/>
      <c r="F17" s="4" t="s">
        <v>10</v>
      </c>
      <c r="H17" s="4"/>
    </row>
    <row r="18" spans="2:8" ht="25.5" x14ac:dyDescent="0.25">
      <c r="B18" s="4" t="s">
        <v>11</v>
      </c>
      <c r="C18" s="4"/>
      <c r="D18" s="4"/>
      <c r="E18" s="4"/>
      <c r="F18" s="4" t="s">
        <v>13</v>
      </c>
    </row>
    <row r="19" spans="2:8" ht="25.5" x14ac:dyDescent="0.25">
      <c r="B19" s="4" t="s">
        <v>12</v>
      </c>
      <c r="C19" s="4"/>
      <c r="D19" s="4"/>
      <c r="E19" s="4"/>
      <c r="F19" s="4" t="s">
        <v>14</v>
      </c>
    </row>
    <row r="20" spans="2:8" ht="38.25" x14ac:dyDescent="0.25">
      <c r="B20" s="4" t="s">
        <v>40</v>
      </c>
      <c r="C20" s="4"/>
      <c r="D20" s="4"/>
      <c r="E20" s="4"/>
      <c r="F20" s="4"/>
    </row>
    <row r="21" spans="2:8" ht="25.5" x14ac:dyDescent="0.25">
      <c r="B21" s="4" t="s">
        <v>16</v>
      </c>
      <c r="C21" s="4"/>
      <c r="D21" s="4"/>
      <c r="E21" s="4"/>
      <c r="F21" s="4" t="s">
        <v>17</v>
      </c>
    </row>
    <row r="22" spans="2:8" ht="25.5" x14ac:dyDescent="0.25">
      <c r="B22" s="4" t="s">
        <v>18</v>
      </c>
      <c r="C22" s="4"/>
      <c r="D22" s="4"/>
      <c r="E22" s="4"/>
      <c r="F22" s="4" t="s">
        <v>19</v>
      </c>
    </row>
    <row r="23" spans="2:8" ht="25.5" x14ac:dyDescent="0.25">
      <c r="B23" s="4" t="s">
        <v>29</v>
      </c>
      <c r="C23" s="4"/>
      <c r="D23" s="4"/>
      <c r="E23" s="4"/>
      <c r="F23" s="4" t="s">
        <v>30</v>
      </c>
    </row>
    <row r="24" spans="2:8" ht="25.5" x14ac:dyDescent="0.25">
      <c r="B24" s="4" t="s">
        <v>31</v>
      </c>
      <c r="F24" s="4" t="s">
        <v>32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10" workbookViewId="0">
      <selection activeCell="B16" sqref="B16:E16"/>
    </sheetView>
  </sheetViews>
  <sheetFormatPr defaultRowHeight="15" x14ac:dyDescent="0.25"/>
  <cols>
    <col min="1" max="1" width="6.42578125" customWidth="1"/>
    <col min="2" max="2" width="38.85546875" customWidth="1"/>
    <col min="3" max="3" width="18.85546875" customWidth="1"/>
    <col min="4" max="4" width="15" customWidth="1"/>
    <col min="5" max="5" width="25.42578125" customWidth="1"/>
    <col min="6" max="6" width="26.85546875" customWidth="1"/>
  </cols>
  <sheetData>
    <row r="1" spans="1:18" ht="15.75" x14ac:dyDescent="0.25">
      <c r="A1" s="82" t="s">
        <v>0</v>
      </c>
      <c r="B1" s="82"/>
      <c r="C1" s="82"/>
      <c r="D1" s="82"/>
      <c r="E1" s="82"/>
      <c r="F1" s="82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8" ht="15.75" x14ac:dyDescent="0.25">
      <c r="A2" s="83" t="s">
        <v>41</v>
      </c>
      <c r="B2" s="83"/>
      <c r="C2" s="83"/>
      <c r="D2" s="83"/>
      <c r="E2" s="83"/>
      <c r="F2" s="83"/>
    </row>
    <row r="3" spans="1:18" ht="15.75" x14ac:dyDescent="0.25">
      <c r="A3" s="37" t="s">
        <v>42</v>
      </c>
      <c r="B3" s="37" t="s">
        <v>5</v>
      </c>
      <c r="C3" s="37" t="s">
        <v>6</v>
      </c>
      <c r="D3" s="37" t="s">
        <v>46</v>
      </c>
      <c r="E3" s="38" t="s">
        <v>7</v>
      </c>
      <c r="F3" s="39" t="s">
        <v>43</v>
      </c>
    </row>
    <row r="4" spans="1:18" ht="25.5" customHeight="1" x14ac:dyDescent="0.25">
      <c r="A4" s="18">
        <v>1</v>
      </c>
      <c r="B4" s="19" t="s">
        <v>71</v>
      </c>
      <c r="C4" s="20" t="s">
        <v>21</v>
      </c>
      <c r="D4" s="21">
        <v>52</v>
      </c>
      <c r="E4" s="22">
        <v>31008</v>
      </c>
      <c r="F4" s="23">
        <f>E4*D4</f>
        <v>1612416</v>
      </c>
    </row>
    <row r="5" spans="1:18" ht="15.75" x14ac:dyDescent="0.25">
      <c r="A5" s="24">
        <v>2</v>
      </c>
      <c r="B5" s="19" t="s">
        <v>55</v>
      </c>
      <c r="C5" s="25" t="s">
        <v>44</v>
      </c>
      <c r="D5" s="26">
        <v>6</v>
      </c>
      <c r="E5" s="22">
        <v>31008</v>
      </c>
      <c r="F5" s="23">
        <f>E5*D5</f>
        <v>186048</v>
      </c>
    </row>
    <row r="6" spans="1:18" ht="15.75" x14ac:dyDescent="0.25">
      <c r="A6" s="24">
        <v>3</v>
      </c>
      <c r="B6" s="19" t="s">
        <v>45</v>
      </c>
      <c r="C6" s="25" t="s">
        <v>44</v>
      </c>
      <c r="D6" s="26">
        <v>1</v>
      </c>
      <c r="E6" s="22">
        <v>31008</v>
      </c>
      <c r="F6" s="23">
        <f>E6*D6</f>
        <v>31008</v>
      </c>
    </row>
    <row r="7" spans="1:18" ht="15.75" x14ac:dyDescent="0.25">
      <c r="A7" s="24">
        <v>4</v>
      </c>
      <c r="B7" s="19" t="s">
        <v>35</v>
      </c>
      <c r="C7" s="25" t="s">
        <v>44</v>
      </c>
      <c r="D7" s="20">
        <v>3.6</v>
      </c>
      <c r="E7" s="22">
        <v>31008</v>
      </c>
      <c r="F7" s="23">
        <f>E7*D7</f>
        <v>111628.8</v>
      </c>
    </row>
    <row r="8" spans="1:18" ht="15.75" x14ac:dyDescent="0.25">
      <c r="A8" s="24">
        <v>5</v>
      </c>
      <c r="B8" s="19" t="s">
        <v>47</v>
      </c>
      <c r="C8" s="25" t="s">
        <v>48</v>
      </c>
      <c r="D8" s="27">
        <v>400</v>
      </c>
      <c r="E8" s="28">
        <v>2</v>
      </c>
      <c r="F8" s="28">
        <f>E8*D8</f>
        <v>800</v>
      </c>
    </row>
    <row r="9" spans="1:18" ht="15.75" customHeight="1" x14ac:dyDescent="0.25">
      <c r="A9" s="24"/>
      <c r="B9" s="81" t="s">
        <v>53</v>
      </c>
      <c r="C9" s="81"/>
      <c r="D9" s="81"/>
      <c r="E9" s="81"/>
      <c r="F9" s="36">
        <f>F8+F7</f>
        <v>112428.8</v>
      </c>
    </row>
    <row r="10" spans="1:18" ht="15.75" customHeight="1" x14ac:dyDescent="0.25">
      <c r="A10" s="29"/>
      <c r="B10" s="29"/>
      <c r="C10" s="29"/>
      <c r="D10" s="29"/>
      <c r="E10" s="29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5.75" x14ac:dyDescent="0.25">
      <c r="A11" s="84" t="s">
        <v>49</v>
      </c>
      <c r="B11" s="85"/>
      <c r="C11" s="85"/>
      <c r="D11" s="85"/>
      <c r="E11" s="85"/>
      <c r="F11" s="86"/>
    </row>
    <row r="12" spans="1:18" ht="15.75" x14ac:dyDescent="0.25">
      <c r="A12" s="37" t="s">
        <v>42</v>
      </c>
      <c r="B12" s="37" t="s">
        <v>5</v>
      </c>
      <c r="C12" s="37" t="s">
        <v>6</v>
      </c>
      <c r="D12" s="37" t="s">
        <v>46</v>
      </c>
      <c r="E12" s="38" t="s">
        <v>7</v>
      </c>
      <c r="F12" s="38" t="s">
        <v>43</v>
      </c>
    </row>
    <row r="13" spans="1:18" ht="15.75" x14ac:dyDescent="0.25">
      <c r="A13" s="26">
        <v>1</v>
      </c>
      <c r="B13" s="19" t="s">
        <v>56</v>
      </c>
      <c r="C13" s="20" t="s">
        <v>21</v>
      </c>
      <c r="D13" s="20">
        <v>5.2</v>
      </c>
      <c r="E13" s="30">
        <v>27907</v>
      </c>
      <c r="F13" s="31">
        <f>E13*D13</f>
        <v>145116.4</v>
      </c>
    </row>
    <row r="14" spans="1:18" ht="15.75" customHeight="1" x14ac:dyDescent="0.25">
      <c r="A14" s="27">
        <v>2</v>
      </c>
      <c r="B14" s="32" t="s">
        <v>50</v>
      </c>
      <c r="C14" s="18" t="s">
        <v>51</v>
      </c>
      <c r="D14" s="26">
        <v>4</v>
      </c>
      <c r="E14" s="30">
        <v>1736</v>
      </c>
      <c r="F14" s="31">
        <f>E14*D14</f>
        <v>6944</v>
      </c>
    </row>
    <row r="15" spans="1:18" ht="15.75" x14ac:dyDescent="0.25">
      <c r="A15" s="27">
        <v>3</v>
      </c>
      <c r="B15" s="32" t="s">
        <v>52</v>
      </c>
      <c r="C15" s="32" t="s">
        <v>51</v>
      </c>
      <c r="D15" s="25">
        <v>60</v>
      </c>
      <c r="E15" s="33">
        <f>1.4*E4</f>
        <v>43411.199999999997</v>
      </c>
      <c r="F15" s="34">
        <f>E15*D15</f>
        <v>2604672</v>
      </c>
    </row>
    <row r="16" spans="1:18" ht="15.75" x14ac:dyDescent="0.25">
      <c r="A16" s="24"/>
      <c r="B16" s="81" t="s">
        <v>54</v>
      </c>
      <c r="C16" s="81"/>
      <c r="D16" s="81"/>
      <c r="E16" s="81"/>
      <c r="F16" s="36">
        <f>F13+F14</f>
        <v>152060.4</v>
      </c>
    </row>
    <row r="20" spans="4:7" ht="15.75" x14ac:dyDescent="0.25">
      <c r="D20" s="81"/>
      <c r="E20" s="81"/>
      <c r="F20" s="81"/>
      <c r="G20" s="81"/>
    </row>
  </sheetData>
  <mergeCells count="6">
    <mergeCell ref="D20:G20"/>
    <mergeCell ref="B16:E16"/>
    <mergeCell ref="A1:F1"/>
    <mergeCell ref="A2:F2"/>
    <mergeCell ref="A11:F11"/>
    <mergeCell ref="B9:E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tabSelected="1" topLeftCell="A19" zoomScale="75" zoomScaleNormal="75" workbookViewId="0">
      <selection activeCell="B15" sqref="B15"/>
    </sheetView>
  </sheetViews>
  <sheetFormatPr defaultRowHeight="15" x14ac:dyDescent="0.25"/>
  <cols>
    <col min="1" max="1" width="52.42578125" customWidth="1"/>
    <col min="2" max="2" width="21.85546875" customWidth="1"/>
    <col min="3" max="13" width="14.42578125" customWidth="1"/>
    <col min="14" max="14" width="19.85546875" hidden="1" customWidth="1"/>
    <col min="15" max="15" width="18.85546875" customWidth="1"/>
  </cols>
  <sheetData>
    <row r="2" spans="1:15" ht="26.25" x14ac:dyDescent="0.25">
      <c r="A2" s="87" t="s">
        <v>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ht="18.75" x14ac:dyDescent="0.3">
      <c r="A3" s="59" t="s">
        <v>89</v>
      </c>
      <c r="B3" s="61">
        <v>45352</v>
      </c>
      <c r="C3" s="61">
        <v>45383</v>
      </c>
      <c r="D3" s="61">
        <v>45413</v>
      </c>
      <c r="E3" s="61">
        <v>45444</v>
      </c>
      <c r="F3" s="61">
        <v>45474</v>
      </c>
      <c r="G3" s="61">
        <v>45505</v>
      </c>
      <c r="H3" s="61">
        <v>45536</v>
      </c>
      <c r="I3" s="61">
        <v>45566</v>
      </c>
      <c r="J3" s="61">
        <v>45597</v>
      </c>
      <c r="K3" s="61">
        <v>45627</v>
      </c>
      <c r="L3" s="61">
        <v>45658</v>
      </c>
      <c r="M3" s="61">
        <v>45689</v>
      </c>
      <c r="N3" s="62" t="s">
        <v>90</v>
      </c>
    </row>
    <row r="4" spans="1:15" ht="18.75" x14ac:dyDescent="0.3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5" ht="18.75" x14ac:dyDescent="0.3">
      <c r="A5" s="45" t="s">
        <v>77</v>
      </c>
      <c r="B5" s="47">
        <f>Sheet4!A3</f>
        <v>27907</v>
      </c>
      <c r="C5" s="47">
        <f>B5</f>
        <v>27907</v>
      </c>
      <c r="D5" s="47">
        <f t="shared" ref="D5:M5" si="0">C5</f>
        <v>27907</v>
      </c>
      <c r="E5" s="47">
        <f t="shared" si="0"/>
        <v>27907</v>
      </c>
      <c r="F5" s="47">
        <f t="shared" si="0"/>
        <v>27907</v>
      </c>
      <c r="G5" s="47">
        <f t="shared" si="0"/>
        <v>27907</v>
      </c>
      <c r="H5" s="47">
        <f t="shared" si="0"/>
        <v>27907</v>
      </c>
      <c r="I5" s="47">
        <f t="shared" si="0"/>
        <v>27907</v>
      </c>
      <c r="J5" s="47">
        <f t="shared" si="0"/>
        <v>27907</v>
      </c>
      <c r="K5" s="47">
        <f t="shared" si="0"/>
        <v>27907</v>
      </c>
      <c r="L5" s="47">
        <f t="shared" si="0"/>
        <v>27907</v>
      </c>
      <c r="M5" s="47">
        <f t="shared" si="0"/>
        <v>27907</v>
      </c>
    </row>
    <row r="6" spans="1:15" ht="18.75" x14ac:dyDescent="0.3">
      <c r="A6" s="46" t="s">
        <v>76</v>
      </c>
      <c r="B6" s="46">
        <v>25</v>
      </c>
      <c r="C6" s="46">
        <v>25</v>
      </c>
      <c r="D6" s="46">
        <v>25</v>
      </c>
      <c r="E6" s="46">
        <v>25</v>
      </c>
      <c r="F6" s="46">
        <v>25</v>
      </c>
      <c r="G6" s="46">
        <v>25</v>
      </c>
      <c r="H6" s="46">
        <v>25</v>
      </c>
      <c r="I6" s="46">
        <v>25</v>
      </c>
      <c r="J6" s="46">
        <v>25</v>
      </c>
      <c r="K6" s="46">
        <v>25</v>
      </c>
      <c r="L6" s="46">
        <v>25</v>
      </c>
      <c r="M6" s="46">
        <v>25</v>
      </c>
    </row>
    <row r="7" spans="1:15" ht="18.75" x14ac:dyDescent="0.3">
      <c r="A7" s="45" t="s">
        <v>78</v>
      </c>
      <c r="B7" s="48">
        <f>B6*B5</f>
        <v>697675</v>
      </c>
      <c r="C7" s="48">
        <f t="shared" ref="C7:M7" si="1">C6*C5</f>
        <v>697675</v>
      </c>
      <c r="D7" s="48">
        <f t="shared" si="1"/>
        <v>697675</v>
      </c>
      <c r="E7" s="48">
        <f t="shared" si="1"/>
        <v>697675</v>
      </c>
      <c r="F7" s="48">
        <f t="shared" si="1"/>
        <v>697675</v>
      </c>
      <c r="G7" s="48">
        <f t="shared" si="1"/>
        <v>697675</v>
      </c>
      <c r="H7" s="48">
        <f t="shared" si="1"/>
        <v>697675</v>
      </c>
      <c r="I7" s="48">
        <f t="shared" si="1"/>
        <v>697675</v>
      </c>
      <c r="J7" s="48">
        <f t="shared" si="1"/>
        <v>697675</v>
      </c>
      <c r="K7" s="48">
        <f t="shared" si="1"/>
        <v>697675</v>
      </c>
      <c r="L7" s="48">
        <f t="shared" si="1"/>
        <v>697675</v>
      </c>
      <c r="M7" s="48">
        <f t="shared" si="1"/>
        <v>697675</v>
      </c>
    </row>
    <row r="8" spans="1:15" ht="18.75" x14ac:dyDescent="0.3">
      <c r="A8" s="46" t="s">
        <v>79</v>
      </c>
      <c r="B8" s="46">
        <v>4.5</v>
      </c>
      <c r="C8" s="46">
        <v>4.5</v>
      </c>
      <c r="D8" s="46">
        <v>4.5</v>
      </c>
      <c r="E8" s="46">
        <v>4.4000000000000004</v>
      </c>
      <c r="F8" s="46">
        <v>4.7</v>
      </c>
      <c r="G8" s="46">
        <v>4.8</v>
      </c>
      <c r="H8" s="46">
        <v>5</v>
      </c>
      <c r="I8" s="46">
        <v>5</v>
      </c>
      <c r="J8" s="46">
        <v>5.2</v>
      </c>
      <c r="K8" s="46">
        <v>5.2</v>
      </c>
      <c r="L8" s="46">
        <v>5</v>
      </c>
      <c r="M8" s="46">
        <v>4.7</v>
      </c>
    </row>
    <row r="9" spans="1:15" ht="18.75" x14ac:dyDescent="0.3">
      <c r="A9" s="49" t="s">
        <v>81</v>
      </c>
      <c r="B9" s="50">
        <f>B8*B7</f>
        <v>3139537.5</v>
      </c>
      <c r="C9" s="50">
        <f>C8*C7</f>
        <v>3139537.5</v>
      </c>
      <c r="D9" s="50">
        <f>D8*D7</f>
        <v>3139537.5</v>
      </c>
      <c r="E9" s="50">
        <f>E8*E7</f>
        <v>3069770.0000000005</v>
      </c>
      <c r="F9" s="50">
        <f>F8*F7</f>
        <v>3279072.5</v>
      </c>
      <c r="G9" s="50">
        <f t="shared" ref="G9:M9" si="2">G8*G7</f>
        <v>3348840</v>
      </c>
      <c r="H9" s="50">
        <f t="shared" si="2"/>
        <v>3488375</v>
      </c>
      <c r="I9" s="50">
        <f t="shared" si="2"/>
        <v>3488375</v>
      </c>
      <c r="J9" s="50">
        <f t="shared" si="2"/>
        <v>3627910</v>
      </c>
      <c r="K9" s="50">
        <f t="shared" si="2"/>
        <v>3627910</v>
      </c>
      <c r="L9" s="50">
        <f t="shared" si="2"/>
        <v>3488375</v>
      </c>
      <c r="M9" s="50">
        <f t="shared" si="2"/>
        <v>3279072.5</v>
      </c>
      <c r="N9" s="43"/>
      <c r="O9" s="43">
        <f>SUM(B9:N9)</f>
        <v>40116312.5</v>
      </c>
    </row>
    <row r="10" spans="1:15" ht="18.75" x14ac:dyDescent="0.3">
      <c r="A10" s="51" t="s">
        <v>73</v>
      </c>
      <c r="B10" s="47">
        <v>1984.51</v>
      </c>
      <c r="C10" s="47">
        <v>1984.51</v>
      </c>
      <c r="D10" s="47">
        <v>1984.51</v>
      </c>
      <c r="E10" s="47">
        <v>1984.51</v>
      </c>
      <c r="F10" s="47">
        <v>1984.51</v>
      </c>
      <c r="G10" s="47">
        <v>1984.51</v>
      </c>
      <c r="H10" s="47">
        <v>1984.51</v>
      </c>
      <c r="I10" s="47">
        <v>1984.51</v>
      </c>
      <c r="J10" s="47">
        <v>1984.51</v>
      </c>
      <c r="K10" s="47">
        <v>1984.51</v>
      </c>
      <c r="L10" s="47">
        <v>1984.51</v>
      </c>
      <c r="M10" s="47">
        <v>1984.51</v>
      </c>
      <c r="N10" s="47">
        <v>1984.51</v>
      </c>
    </row>
    <row r="11" spans="1:15" ht="18.75" x14ac:dyDescent="0.3">
      <c r="A11" s="52" t="s">
        <v>88</v>
      </c>
      <c r="B11" s="46">
        <v>4</v>
      </c>
      <c r="C11" s="46">
        <v>4</v>
      </c>
      <c r="D11" s="46">
        <v>3.5</v>
      </c>
      <c r="E11" s="46">
        <f>D11</f>
        <v>3.5</v>
      </c>
      <c r="F11" s="46">
        <f>E11</f>
        <v>3.5</v>
      </c>
      <c r="G11" s="46">
        <f>H11</f>
        <v>4</v>
      </c>
      <c r="H11" s="46">
        <f>B11</f>
        <v>4</v>
      </c>
      <c r="I11" s="46">
        <f>H11</f>
        <v>4</v>
      </c>
      <c r="J11" s="46">
        <f t="shared" ref="J11:K11" si="3">I11</f>
        <v>4</v>
      </c>
      <c r="K11" s="46">
        <f t="shared" si="3"/>
        <v>4</v>
      </c>
      <c r="L11" s="46">
        <v>4</v>
      </c>
      <c r="M11" s="46">
        <v>4</v>
      </c>
    </row>
    <row r="12" spans="1:15" ht="18.75" x14ac:dyDescent="0.3">
      <c r="A12" s="52" t="s">
        <v>80</v>
      </c>
      <c r="B12" s="46">
        <v>31</v>
      </c>
      <c r="C12" s="46">
        <v>30</v>
      </c>
      <c r="D12" s="46">
        <v>31</v>
      </c>
      <c r="E12" s="46">
        <v>30</v>
      </c>
      <c r="F12" s="46">
        <v>31</v>
      </c>
      <c r="G12" s="46">
        <v>31</v>
      </c>
      <c r="H12" s="46">
        <v>30</v>
      </c>
      <c r="I12" s="46">
        <v>31</v>
      </c>
      <c r="J12" s="46">
        <v>30</v>
      </c>
      <c r="K12" s="46">
        <v>31</v>
      </c>
      <c r="L12" s="46">
        <v>31</v>
      </c>
      <c r="M12" s="46">
        <v>28</v>
      </c>
    </row>
    <row r="13" spans="1:15" ht="18.75" x14ac:dyDescent="0.3">
      <c r="A13" s="49" t="s">
        <v>82</v>
      </c>
      <c r="B13" s="53">
        <f>B12*B11*B10</f>
        <v>246079.24</v>
      </c>
      <c r="C13" s="53">
        <f t="shared" ref="C13:M13" si="4">C12*C11*C10</f>
        <v>238141.2</v>
      </c>
      <c r="D13" s="53">
        <f t="shared" si="4"/>
        <v>215319.33499999999</v>
      </c>
      <c r="E13" s="53">
        <f t="shared" si="4"/>
        <v>208373.55</v>
      </c>
      <c r="F13" s="53">
        <f t="shared" si="4"/>
        <v>215319.33499999999</v>
      </c>
      <c r="G13" s="53">
        <f t="shared" si="4"/>
        <v>246079.24</v>
      </c>
      <c r="H13" s="53">
        <f t="shared" si="4"/>
        <v>238141.2</v>
      </c>
      <c r="I13" s="53">
        <f t="shared" si="4"/>
        <v>246079.24</v>
      </c>
      <c r="J13" s="53">
        <f t="shared" si="4"/>
        <v>238141.2</v>
      </c>
      <c r="K13" s="53">
        <f t="shared" si="4"/>
        <v>246079.24</v>
      </c>
      <c r="L13" s="53">
        <f t="shared" si="4"/>
        <v>246079.24</v>
      </c>
      <c r="M13" s="53">
        <f t="shared" si="4"/>
        <v>222265.12</v>
      </c>
      <c r="N13" s="43"/>
      <c r="O13" s="43">
        <f>SUM(B13:N13)</f>
        <v>2806097.1399999997</v>
      </c>
    </row>
    <row r="14" spans="1:15" ht="18.75" x14ac:dyDescent="0.3">
      <c r="A14" s="57" t="s">
        <v>91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53">
        <f>Sheet4!C10*50</f>
        <v>1550400</v>
      </c>
      <c r="N14" s="43"/>
    </row>
    <row r="15" spans="1:15" ht="18.75" x14ac:dyDescent="0.3">
      <c r="A15" s="72" t="s">
        <v>92</v>
      </c>
      <c r="B15" s="73">
        <f>B13+B9+B14</f>
        <v>3385616.74</v>
      </c>
      <c r="C15" s="73">
        <f t="shared" ref="C15:M15" si="5">C13+C9+C14</f>
        <v>3377678.7</v>
      </c>
      <c r="D15" s="73">
        <f t="shared" si="5"/>
        <v>3354856.835</v>
      </c>
      <c r="E15" s="73">
        <f t="shared" si="5"/>
        <v>3278143.5500000003</v>
      </c>
      <c r="F15" s="73">
        <f t="shared" si="5"/>
        <v>3494391.835</v>
      </c>
      <c r="G15" s="73">
        <f t="shared" si="5"/>
        <v>3594919.24</v>
      </c>
      <c r="H15" s="73">
        <f t="shared" si="5"/>
        <v>3726516.2</v>
      </c>
      <c r="I15" s="73">
        <f t="shared" si="5"/>
        <v>3734454.24</v>
      </c>
      <c r="J15" s="73">
        <f t="shared" si="5"/>
        <v>3866051.2</v>
      </c>
      <c r="K15" s="73">
        <f t="shared" si="5"/>
        <v>3873989.24</v>
      </c>
      <c r="L15" s="73">
        <f>L13+L9+L14</f>
        <v>3734454.24</v>
      </c>
      <c r="M15" s="73">
        <f t="shared" si="5"/>
        <v>5051737.62</v>
      </c>
      <c r="N15" s="43">
        <f>Sheet4!C10*50</f>
        <v>1550400</v>
      </c>
      <c r="O15" s="43">
        <f>B15+C15+D15+E15+F15+G15+H15+I15+J15+K15+L15+M15</f>
        <v>44472809.639999993</v>
      </c>
    </row>
    <row r="17" spans="1:14" ht="26.25" x14ac:dyDescent="0.25">
      <c r="A17" s="87" t="s">
        <v>83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18.75" x14ac:dyDescent="0.3">
      <c r="A18" s="45" t="s">
        <v>72</v>
      </c>
      <c r="B18" s="54">
        <f>Sheet4!A10</f>
        <v>3.6</v>
      </c>
      <c r="C18" s="54">
        <f>B18</f>
        <v>3.6</v>
      </c>
      <c r="D18" s="54">
        <f t="shared" ref="D18:M18" si="6">C18</f>
        <v>3.6</v>
      </c>
      <c r="E18" s="54">
        <f t="shared" si="6"/>
        <v>3.6</v>
      </c>
      <c r="F18" s="54">
        <f t="shared" si="6"/>
        <v>3.6</v>
      </c>
      <c r="G18" s="54">
        <f t="shared" si="6"/>
        <v>3.6</v>
      </c>
      <c r="H18" s="54">
        <f t="shared" si="6"/>
        <v>3.6</v>
      </c>
      <c r="I18" s="54">
        <f t="shared" si="6"/>
        <v>3.6</v>
      </c>
      <c r="J18" s="54">
        <f t="shared" si="6"/>
        <v>3.6</v>
      </c>
      <c r="K18" s="54">
        <f t="shared" si="6"/>
        <v>3.6</v>
      </c>
      <c r="L18" s="54">
        <f t="shared" si="6"/>
        <v>3.6</v>
      </c>
      <c r="M18" s="54">
        <f t="shared" si="6"/>
        <v>3.6</v>
      </c>
    </row>
    <row r="19" spans="1:14" ht="18.75" x14ac:dyDescent="0.3">
      <c r="A19" s="45" t="s">
        <v>84</v>
      </c>
      <c r="B19" s="55">
        <f>B18*B12*Sheet4!$C$10</f>
        <v>3460492.8000000003</v>
      </c>
      <c r="C19" s="55">
        <f>C18*C12*Sheet4!$C$10</f>
        <v>3348864</v>
      </c>
      <c r="D19" s="55">
        <f>D18*D12*Sheet4!$C$10</f>
        <v>3460492.8000000003</v>
      </c>
      <c r="E19" s="55">
        <f>E18*E12*Sheet4!$C$10</f>
        <v>3348864</v>
      </c>
      <c r="F19" s="55">
        <f>F18*F12*Sheet4!$C$10</f>
        <v>3460492.8000000003</v>
      </c>
      <c r="G19" s="55">
        <f>G18*G12*Sheet4!$C$10</f>
        <v>3460492.8000000003</v>
      </c>
      <c r="H19" s="55">
        <f>H18*H12*Sheet4!$C$10</f>
        <v>3348864</v>
      </c>
      <c r="I19" s="55">
        <f>I18*I12*Sheet4!$C$10</f>
        <v>3460492.8000000003</v>
      </c>
      <c r="J19" s="55">
        <f>J18*J12*Sheet4!$C$10</f>
        <v>3348864</v>
      </c>
      <c r="K19" s="55">
        <f>K18*K12*Sheet4!$C$10</f>
        <v>3460492.8000000003</v>
      </c>
      <c r="L19" s="55">
        <f>L18*L12*Sheet4!$C$10</f>
        <v>3460492.8000000003</v>
      </c>
      <c r="M19" s="55">
        <f>M18*M12*Sheet4!$C$10</f>
        <v>3125606.3999999999</v>
      </c>
      <c r="N19" s="43"/>
    </row>
    <row r="20" spans="1:14" ht="18.75" x14ac:dyDescent="0.3">
      <c r="A20" s="45" t="s">
        <v>96</v>
      </c>
      <c r="B20" s="55">
        <v>20000</v>
      </c>
      <c r="C20" s="55">
        <v>20000</v>
      </c>
      <c r="D20" s="55">
        <v>20000</v>
      </c>
      <c r="E20" s="55">
        <v>20000</v>
      </c>
      <c r="F20" s="55">
        <v>20000</v>
      </c>
      <c r="G20" s="55">
        <v>20000</v>
      </c>
      <c r="H20" s="55">
        <v>20000</v>
      </c>
      <c r="I20" s="55">
        <v>20000</v>
      </c>
      <c r="J20" s="55">
        <v>20000</v>
      </c>
      <c r="K20" s="55">
        <v>20000</v>
      </c>
      <c r="L20" s="55">
        <v>20000</v>
      </c>
      <c r="M20" s="55">
        <v>20000</v>
      </c>
    </row>
    <row r="21" spans="1:14" ht="18.75" x14ac:dyDescent="0.3">
      <c r="A21" s="45" t="s">
        <v>98</v>
      </c>
      <c r="B21" s="55">
        <v>2000</v>
      </c>
      <c r="C21" s="55">
        <v>2000</v>
      </c>
      <c r="D21" s="55">
        <v>2000</v>
      </c>
      <c r="E21" s="55">
        <v>2000</v>
      </c>
      <c r="F21" s="55">
        <v>2000</v>
      </c>
      <c r="G21" s="55">
        <v>2000</v>
      </c>
      <c r="H21" s="55">
        <v>2000</v>
      </c>
      <c r="I21" s="55">
        <v>2000</v>
      </c>
      <c r="J21" s="55">
        <v>2000</v>
      </c>
      <c r="K21" s="55">
        <v>2000</v>
      </c>
      <c r="L21" s="55">
        <v>2000</v>
      </c>
      <c r="M21" s="55">
        <v>2000</v>
      </c>
    </row>
    <row r="22" spans="1:14" ht="37.5" x14ac:dyDescent="0.3">
      <c r="A22" s="74" t="s">
        <v>97</v>
      </c>
      <c r="B22" s="75">
        <v>20000</v>
      </c>
      <c r="C22" s="75">
        <v>20000</v>
      </c>
      <c r="D22" s="75">
        <v>20000</v>
      </c>
      <c r="E22" s="75">
        <v>20000</v>
      </c>
      <c r="F22" s="75">
        <v>20000</v>
      </c>
      <c r="G22" s="75">
        <v>20000</v>
      </c>
      <c r="H22" s="75">
        <v>20000</v>
      </c>
      <c r="I22" s="75">
        <v>20000</v>
      </c>
      <c r="J22" s="75">
        <v>20000</v>
      </c>
      <c r="K22" s="75">
        <v>20000</v>
      </c>
      <c r="L22" s="75">
        <v>20000</v>
      </c>
      <c r="M22" s="75">
        <v>20000</v>
      </c>
      <c r="N22" s="75">
        <v>20000</v>
      </c>
    </row>
    <row r="23" spans="1:14" ht="18.75" x14ac:dyDescent="0.3">
      <c r="A23" s="59" t="s">
        <v>85</v>
      </c>
      <c r="B23" s="69">
        <f>B22+B20+B19+B21</f>
        <v>3502492.8000000003</v>
      </c>
      <c r="C23" s="69">
        <f>C22+C20+C19+C21</f>
        <v>3390864</v>
      </c>
      <c r="D23" s="69">
        <f>SUM(D19:D22)</f>
        <v>3502492.8000000003</v>
      </c>
      <c r="E23" s="69">
        <f t="shared" ref="E23:M23" si="7">SUM(E19:E22)</f>
        <v>3390864</v>
      </c>
      <c r="F23" s="69">
        <f t="shared" si="7"/>
        <v>3502492.8000000003</v>
      </c>
      <c r="G23" s="69">
        <f t="shared" si="7"/>
        <v>3502492.8000000003</v>
      </c>
      <c r="H23" s="69">
        <f t="shared" si="7"/>
        <v>3390864</v>
      </c>
      <c r="I23" s="69">
        <f t="shared" si="7"/>
        <v>3502492.8000000003</v>
      </c>
      <c r="J23" s="69">
        <f t="shared" si="7"/>
        <v>3390864</v>
      </c>
      <c r="K23" s="69">
        <f t="shared" si="7"/>
        <v>3502492.8000000003</v>
      </c>
      <c r="L23" s="69">
        <f t="shared" si="7"/>
        <v>3502492.8000000003</v>
      </c>
      <c r="M23" s="69">
        <f t="shared" si="7"/>
        <v>3167606.4</v>
      </c>
      <c r="N23">
        <v>0</v>
      </c>
    </row>
    <row r="24" spans="1:14" ht="18.75" x14ac:dyDescent="0.3">
      <c r="A24" s="4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4" ht="18.75" x14ac:dyDescent="0.3">
      <c r="A25" s="59" t="s">
        <v>87</v>
      </c>
      <c r="B25" s="69">
        <f t="shared" ref="B25:N25" si="8">B15-B23</f>
        <v>-116876.06000000006</v>
      </c>
      <c r="C25" s="69">
        <f t="shared" si="8"/>
        <v>-13185.299999999814</v>
      </c>
      <c r="D25" s="69">
        <f t="shared" si="8"/>
        <v>-147635.96500000032</v>
      </c>
      <c r="E25" s="69">
        <f t="shared" si="8"/>
        <v>-112720.44999999972</v>
      </c>
      <c r="F25" s="69">
        <f t="shared" si="8"/>
        <v>-8100.9650000003166</v>
      </c>
      <c r="G25" s="69">
        <f t="shared" si="8"/>
        <v>92426.439999999944</v>
      </c>
      <c r="H25" s="69">
        <f t="shared" si="8"/>
        <v>335652.20000000019</v>
      </c>
      <c r="I25" s="69">
        <f t="shared" si="8"/>
        <v>231961.43999999994</v>
      </c>
      <c r="J25" s="69">
        <f t="shared" si="8"/>
        <v>475187.20000000019</v>
      </c>
      <c r="K25" s="69">
        <f t="shared" si="8"/>
        <v>371496.43999999994</v>
      </c>
      <c r="L25" s="69">
        <f t="shared" si="8"/>
        <v>231961.43999999994</v>
      </c>
      <c r="M25" s="69">
        <f t="shared" si="8"/>
        <v>1884131.2200000002</v>
      </c>
      <c r="N25" s="44">
        <f t="shared" si="8"/>
        <v>1550400</v>
      </c>
    </row>
    <row r="26" spans="1:14" ht="18.75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44"/>
    </row>
    <row r="27" spans="1:14" ht="18.75" x14ac:dyDescent="0.3">
      <c r="A27" s="66" t="s">
        <v>86</v>
      </c>
      <c r="B27" s="67">
        <v>0.1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4" ht="18.75" x14ac:dyDescent="0.3">
      <c r="A28" s="66" t="s">
        <v>93</v>
      </c>
      <c r="B28" s="76">
        <f>XNPV(B27,B25:M25,B3:M3)</f>
        <v>2965975.9202645649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4" ht="18.75" x14ac:dyDescent="0.3">
      <c r="A29" s="68" t="s">
        <v>94</v>
      </c>
      <c r="B29" s="69">
        <f>B28*0.8</f>
        <v>2372780.7362116519</v>
      </c>
      <c r="C29" s="60"/>
      <c r="D29" s="60"/>
      <c r="E29" s="60"/>
      <c r="F29" s="71"/>
      <c r="G29" s="60"/>
      <c r="H29" s="60"/>
      <c r="I29" s="60"/>
      <c r="J29" s="60"/>
      <c r="K29" s="60"/>
      <c r="L29" s="60"/>
      <c r="M29" s="60"/>
    </row>
    <row r="30" spans="1:14" ht="18.75" x14ac:dyDescent="0.3">
      <c r="A30" s="66" t="s">
        <v>95</v>
      </c>
      <c r="B30" s="70">
        <f>B29/Sheet4!C10</f>
        <v>76.521566570293217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4" spans="2:15" ht="18.75" x14ac:dyDescent="0.3">
      <c r="B34" s="69"/>
      <c r="C34" s="69"/>
      <c r="D34" s="43">
        <f ca="1">D34*M14</f>
        <v>0</v>
      </c>
      <c r="L34" s="77">
        <v>2100000</v>
      </c>
      <c r="M34">
        <v>0.85</v>
      </c>
      <c r="O34">
        <f>M34*L34</f>
        <v>1785000</v>
      </c>
    </row>
    <row r="35" spans="2:15" x14ac:dyDescent="0.25">
      <c r="L35" s="77">
        <v>2100000</v>
      </c>
      <c r="M35">
        <v>0.75</v>
      </c>
      <c r="O35">
        <f>M35*L35</f>
        <v>1575000</v>
      </c>
    </row>
    <row r="38" spans="2:15" x14ac:dyDescent="0.25">
      <c r="B38" s="78"/>
      <c r="C38" s="78"/>
      <c r="D38" s="78"/>
      <c r="E38" s="78"/>
    </row>
    <row r="39" spans="2:15" x14ac:dyDescent="0.25">
      <c r="B39" s="78">
        <v>5168</v>
      </c>
      <c r="C39" s="78">
        <v>4</v>
      </c>
      <c r="D39" s="78">
        <f>C39*B39</f>
        <v>20672</v>
      </c>
      <c r="E39" s="78"/>
    </row>
    <row r="40" spans="2:15" x14ac:dyDescent="0.25">
      <c r="B40" s="78">
        <v>5168</v>
      </c>
      <c r="C40" s="78">
        <v>7</v>
      </c>
      <c r="D40" s="78">
        <f>C40*B40</f>
        <v>36176</v>
      </c>
      <c r="E40" s="78"/>
    </row>
    <row r="41" spans="2:15" x14ac:dyDescent="0.25">
      <c r="B41" s="78">
        <v>5168</v>
      </c>
      <c r="C41" s="78">
        <v>6</v>
      </c>
      <c r="D41" s="78">
        <f>C41*B41</f>
        <v>31008</v>
      </c>
      <c r="E41" s="78">
        <f>D41*110</f>
        <v>3410880</v>
      </c>
    </row>
    <row r="42" spans="2:15" x14ac:dyDescent="0.25">
      <c r="E42">
        <f>D41*90</f>
        <v>2790720</v>
      </c>
    </row>
    <row r="46" spans="2:15" x14ac:dyDescent="0.25">
      <c r="D46" s="78">
        <f>C46*B46</f>
        <v>0</v>
      </c>
      <c r="E46">
        <v>1.6</v>
      </c>
      <c r="F46">
        <v>0.04</v>
      </c>
      <c r="G46">
        <f>F46*E46</f>
        <v>6.4000000000000001E-2</v>
      </c>
    </row>
    <row r="48" spans="2:15" x14ac:dyDescent="0.25">
      <c r="B48" s="78"/>
      <c r="C48" s="78"/>
      <c r="D48" s="78">
        <v>31008</v>
      </c>
      <c r="E48">
        <v>1.5</v>
      </c>
      <c r="F48" s="79">
        <f>0.04*E48</f>
        <v>0.06</v>
      </c>
      <c r="G48">
        <f>D48*E48*F48</f>
        <v>2790.72</v>
      </c>
    </row>
  </sheetData>
  <mergeCells count="2">
    <mergeCell ref="A2:N2"/>
    <mergeCell ref="A17:N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10" workbookViewId="0">
      <selection activeCell="C10" sqref="C10"/>
    </sheetView>
  </sheetViews>
  <sheetFormatPr defaultRowHeight="15" x14ac:dyDescent="0.25"/>
  <cols>
    <col min="1" max="1" width="31.5703125" customWidth="1"/>
    <col min="2" max="2" width="27" customWidth="1"/>
    <col min="3" max="3" width="23.42578125" customWidth="1"/>
    <col min="4" max="4" width="28" customWidth="1"/>
  </cols>
  <sheetData>
    <row r="1" spans="1:4" ht="18.75" x14ac:dyDescent="0.25">
      <c r="A1" s="95" t="s">
        <v>59</v>
      </c>
      <c r="B1" s="96"/>
      <c r="C1" s="96"/>
      <c r="D1" s="97"/>
    </row>
    <row r="2" spans="1:4" ht="36.75" customHeight="1" x14ac:dyDescent="0.25">
      <c r="A2" s="11" t="s">
        <v>58</v>
      </c>
      <c r="B2" s="11" t="s">
        <v>57</v>
      </c>
      <c r="C2" s="11" t="s">
        <v>68</v>
      </c>
      <c r="D2" s="11" t="s">
        <v>67</v>
      </c>
    </row>
    <row r="3" spans="1:4" x14ac:dyDescent="0.25">
      <c r="A3" s="12">
        <v>27907</v>
      </c>
      <c r="B3" s="13">
        <v>300</v>
      </c>
      <c r="C3" s="13">
        <v>5.2</v>
      </c>
      <c r="D3" s="17">
        <f>A3*B3*C3</f>
        <v>43534920</v>
      </c>
    </row>
    <row r="4" spans="1:4" ht="35.25" customHeight="1" x14ac:dyDescent="0.25">
      <c r="A4" s="11" t="s">
        <v>73</v>
      </c>
      <c r="B4" s="11" t="s">
        <v>57</v>
      </c>
      <c r="C4" s="12" t="s">
        <v>69</v>
      </c>
      <c r="D4" s="11" t="s">
        <v>60</v>
      </c>
    </row>
    <row r="5" spans="1:4" ht="30.75" customHeight="1" x14ac:dyDescent="0.25">
      <c r="A5" s="12">
        <v>1736</v>
      </c>
      <c r="B5" s="13">
        <v>365</v>
      </c>
      <c r="C5" s="13">
        <v>4</v>
      </c>
      <c r="D5" s="16">
        <f>A5*B5*C5</f>
        <v>2534560</v>
      </c>
    </row>
    <row r="6" spans="1:4" ht="31.5" customHeight="1" x14ac:dyDescent="0.25">
      <c r="A6" s="98" t="s">
        <v>61</v>
      </c>
      <c r="B6" s="99"/>
      <c r="C6" s="100"/>
      <c r="D6" s="42">
        <f>D3+D5</f>
        <v>46069480</v>
      </c>
    </row>
    <row r="7" spans="1:4" x14ac:dyDescent="0.25">
      <c r="A7" s="92"/>
      <c r="B7" s="93"/>
      <c r="C7" s="93"/>
      <c r="D7" s="94"/>
    </row>
    <row r="8" spans="1:4" ht="18.75" x14ac:dyDescent="0.25">
      <c r="A8" s="95" t="s">
        <v>62</v>
      </c>
      <c r="B8" s="96"/>
      <c r="C8" s="96"/>
      <c r="D8" s="97"/>
    </row>
    <row r="9" spans="1:4" ht="56.25" customHeight="1" x14ac:dyDescent="0.25">
      <c r="A9" s="10" t="s">
        <v>72</v>
      </c>
      <c r="B9" s="11" t="s">
        <v>57</v>
      </c>
      <c r="C9" s="11" t="s">
        <v>63</v>
      </c>
      <c r="D9" s="11" t="s">
        <v>65</v>
      </c>
    </row>
    <row r="10" spans="1:4" ht="45.75" customHeight="1" x14ac:dyDescent="0.25">
      <c r="A10" s="14">
        <v>3.6</v>
      </c>
      <c r="B10" s="13">
        <v>365</v>
      </c>
      <c r="C10" s="12">
        <v>31008</v>
      </c>
      <c r="D10" s="17">
        <f>A10*B10*C10</f>
        <v>40744512</v>
      </c>
    </row>
    <row r="11" spans="1:4" ht="48" customHeight="1" x14ac:dyDescent="0.25">
      <c r="A11" s="11" t="s">
        <v>74</v>
      </c>
      <c r="B11" s="11" t="s">
        <v>57</v>
      </c>
      <c r="C11" s="12" t="s">
        <v>64</v>
      </c>
      <c r="D11" s="11" t="s">
        <v>70</v>
      </c>
    </row>
    <row r="12" spans="1:4" ht="36.75" customHeight="1" x14ac:dyDescent="0.25">
      <c r="A12" s="11">
        <v>2</v>
      </c>
      <c r="B12" s="11">
        <v>365</v>
      </c>
      <c r="C12" s="11">
        <v>600</v>
      </c>
      <c r="D12" s="15">
        <f>A12*B12*C12</f>
        <v>438000</v>
      </c>
    </row>
    <row r="13" spans="1:4" ht="36" customHeight="1" x14ac:dyDescent="0.25">
      <c r="A13" s="101" t="s">
        <v>61</v>
      </c>
      <c r="B13" s="102"/>
      <c r="C13" s="103"/>
      <c r="D13" s="41">
        <f>D12+D10</f>
        <v>41182512</v>
      </c>
    </row>
    <row r="14" spans="1:4" ht="42" customHeight="1" x14ac:dyDescent="0.25">
      <c r="A14" s="89" t="s">
        <v>66</v>
      </c>
      <c r="B14" s="90"/>
      <c r="C14" s="91"/>
      <c r="D14" s="40">
        <f>D6-D13</f>
        <v>4886968</v>
      </c>
    </row>
  </sheetData>
  <mergeCells count="6">
    <mergeCell ref="A14:C14"/>
    <mergeCell ref="A7:D7"/>
    <mergeCell ref="A8:D8"/>
    <mergeCell ref="A1:D1"/>
    <mergeCell ref="A6:C6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2024-03-22T10:58:52Z</dcterms:modified>
</cp:coreProperties>
</file>