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In Progress Files\Anirban Roy\VIS(2023-24)-PL700-601-925 - vanya edible oils\"/>
    </mc:Choice>
  </mc:AlternateContent>
  <bookViews>
    <workbookView xWindow="0" yWindow="0" windowWidth="24000" windowHeight="9735" activeTab="1"/>
  </bookViews>
  <sheets>
    <sheet name="valuation Building" sheetId="8" r:id="rId1"/>
    <sheet name="Land valuation" sheetId="9" r:id="rId2"/>
    <sheet name="Allotment &amp; govt. guide. rat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9" l="1"/>
  <c r="B10" i="8"/>
  <c r="B8" i="8"/>
  <c r="B9" i="8"/>
  <c r="AE6" i="8" l="1"/>
  <c r="AE7" i="8"/>
  <c r="AE8" i="8"/>
  <c r="AE9" i="8"/>
  <c r="AE10" i="8"/>
  <c r="AC11" i="8"/>
  <c r="AD11" i="8"/>
  <c r="Y2" i="8"/>
  <c r="Y4" i="8"/>
  <c r="AE11" i="8" l="1"/>
  <c r="AF11" i="8" s="1"/>
  <c r="Y24" i="8"/>
  <c r="Y20" i="8"/>
  <c r="Y23" i="8" s="1"/>
  <c r="Y13" i="8"/>
  <c r="Y7" i="8"/>
  <c r="Y12" i="8" s="1"/>
  <c r="Y25" i="8" l="1"/>
  <c r="O16" i="9"/>
  <c r="W25" i="8"/>
  <c r="W22" i="8"/>
  <c r="W19" i="8"/>
  <c r="W15" i="8"/>
  <c r="W10" i="8"/>
  <c r="Z8" i="9" l="1"/>
  <c r="Y8" i="9"/>
  <c r="K9" i="9"/>
  <c r="K8" i="9"/>
  <c r="K7" i="9"/>
  <c r="K6" i="9"/>
  <c r="K5" i="9"/>
  <c r="K10" i="9" l="1"/>
  <c r="T24" i="9"/>
  <c r="Q24" i="8"/>
  <c r="O24" i="8"/>
  <c r="K25" i="8"/>
  <c r="I24" i="8"/>
  <c r="Q21" i="8"/>
  <c r="O21" i="8"/>
  <c r="K21" i="8"/>
  <c r="I21" i="8"/>
  <c r="Q18" i="8"/>
  <c r="O18" i="8"/>
  <c r="Q17" i="8"/>
  <c r="O17" i="8"/>
  <c r="K18" i="8"/>
  <c r="L18" i="8" s="1"/>
  <c r="S18" i="8" s="1"/>
  <c r="I18" i="8"/>
  <c r="I17" i="8"/>
  <c r="K17" i="8"/>
  <c r="K15" i="8"/>
  <c r="L14" i="8"/>
  <c r="L13" i="8"/>
  <c r="L12" i="8"/>
  <c r="K9" i="8"/>
  <c r="L9" i="8" s="1"/>
  <c r="L8" i="8"/>
  <c r="K7" i="8"/>
  <c r="M9" i="9"/>
  <c r="M8" i="9"/>
  <c r="M7" i="9"/>
  <c r="M6" i="9"/>
  <c r="M5" i="9"/>
  <c r="J10" i="9"/>
  <c r="J12" i="9" s="1"/>
  <c r="W5" i="9"/>
  <c r="Y17" i="8" l="1"/>
  <c r="K22" i="8"/>
  <c r="Y21" i="8"/>
  <c r="L7" i="8"/>
  <c r="L10" i="8" s="1"/>
  <c r="Y8" i="8"/>
  <c r="Y9" i="8" s="1"/>
  <c r="R14" i="9"/>
  <c r="T14" i="9" s="1"/>
  <c r="K19" i="8"/>
  <c r="M10" i="9"/>
  <c r="L24" i="8"/>
  <c r="T18" i="8"/>
  <c r="U18" i="8" s="1"/>
  <c r="L15" i="8"/>
  <c r="L21" i="8"/>
  <c r="L17" i="8"/>
  <c r="K10" i="8"/>
  <c r="K26" i="8" l="1"/>
  <c r="S24" i="8"/>
  <c r="L25" i="8"/>
  <c r="L19" i="8"/>
  <c r="S17" i="8"/>
  <c r="L22" i="8"/>
  <c r="S21" i="8"/>
  <c r="S14" i="8"/>
  <c r="Q14" i="8"/>
  <c r="O14" i="8"/>
  <c r="S13" i="8"/>
  <c r="Q13" i="8"/>
  <c r="O13" i="8"/>
  <c r="S12" i="8"/>
  <c r="Q12" i="8"/>
  <c r="O12" i="8"/>
  <c r="S9" i="8"/>
  <c r="Q9" i="8"/>
  <c r="O9" i="8"/>
  <c r="S8" i="8"/>
  <c r="Q8" i="8"/>
  <c r="O8" i="8"/>
  <c r="I14" i="8"/>
  <c r="I13" i="8"/>
  <c r="I12" i="8"/>
  <c r="I9" i="8"/>
  <c r="I8" i="8"/>
  <c r="L26" i="8" l="1"/>
  <c r="T24" i="8"/>
  <c r="S25" i="8"/>
  <c r="T21" i="8"/>
  <c r="S22" i="8"/>
  <c r="T17" i="8"/>
  <c r="S19" i="8"/>
  <c r="S15" i="8"/>
  <c r="T8" i="8"/>
  <c r="T14" i="8"/>
  <c r="U14" i="8" s="1"/>
  <c r="T13" i="8"/>
  <c r="U13" i="8" s="1"/>
  <c r="T9" i="8"/>
  <c r="U9" i="8" s="1"/>
  <c r="T12" i="8"/>
  <c r="I7" i="8"/>
  <c r="U24" i="8" l="1"/>
  <c r="U25" i="8" s="1"/>
  <c r="T25" i="8"/>
  <c r="U17" i="8"/>
  <c r="U19" i="8" s="1"/>
  <c r="T19" i="8"/>
  <c r="U21" i="8"/>
  <c r="U22" i="8" s="1"/>
  <c r="T22" i="8"/>
  <c r="U12" i="8"/>
  <c r="U15" i="8" s="1"/>
  <c r="T15" i="8"/>
  <c r="U8" i="8"/>
  <c r="K3" i="8"/>
  <c r="O7" i="8" l="1"/>
  <c r="Q7" i="8"/>
  <c r="S7" i="8" l="1"/>
  <c r="S10" i="8" l="1"/>
  <c r="L3" i="8"/>
  <c r="T7" i="8"/>
  <c r="S26" i="8" l="1"/>
  <c r="S3" i="8" s="1"/>
  <c r="T10" i="8"/>
  <c r="U7" i="8"/>
  <c r="U10" i="8" s="1"/>
  <c r="U26" i="8" s="1"/>
  <c r="U33" i="8" s="1"/>
  <c r="T21" i="9" l="1"/>
  <c r="T25" i="9"/>
  <c r="T26" i="8"/>
  <c r="T3" i="8" s="1"/>
  <c r="U3" i="8"/>
</calcChain>
</file>

<file path=xl/sharedStrings.xml><?xml version="1.0" encoding="utf-8"?>
<sst xmlns="http://schemas.openxmlformats.org/spreadsheetml/2006/main" count="127" uniqueCount="85">
  <si>
    <t>Type of Construction</t>
  </si>
  <si>
    <t>Description</t>
  </si>
  <si>
    <t>S. No.</t>
  </si>
  <si>
    <t>Year of Construction</t>
  </si>
  <si>
    <t>Plinth Rate (per sq. ft.)</t>
  </si>
  <si>
    <t>Year of Valuation</t>
  </si>
  <si>
    <t>Salvage Value</t>
  </si>
  <si>
    <t>Depreciation</t>
  </si>
  <si>
    <t>Gross Replacement Value</t>
  </si>
  <si>
    <t>Depeciation</t>
  </si>
  <si>
    <t>Depreciated Replacement Value</t>
  </si>
  <si>
    <t>Economic Life (in Yrs.)</t>
  </si>
  <si>
    <t>Height 
(in ft.)</t>
  </si>
  <si>
    <t>No. of floors</t>
  </si>
  <si>
    <t>Area
 (Sq.Mtr)</t>
  </si>
  <si>
    <t>Area 
(Sq.Ft.)</t>
  </si>
  <si>
    <t>Value</t>
  </si>
  <si>
    <t>Age
 (in Yrs.)</t>
  </si>
  <si>
    <t>Notes:</t>
  </si>
  <si>
    <t>Height 
(in mt.)</t>
  </si>
  <si>
    <t>Round Up</t>
  </si>
  <si>
    <t>RV</t>
  </si>
  <si>
    <t>DSV</t>
  </si>
  <si>
    <t>Insurable
 value</t>
  </si>
  <si>
    <t>Area 
(in sq. mt)</t>
  </si>
  <si>
    <t>G.F</t>
  </si>
  <si>
    <t xml:space="preserve">G.F </t>
  </si>
  <si>
    <t>Total
(l&amp;b)</t>
  </si>
  <si>
    <t>Govt. Guideline rate</t>
  </si>
  <si>
    <t>Sl. No.</t>
  </si>
  <si>
    <t>Rate/Sq. mt.</t>
  </si>
  <si>
    <t>Plot No.</t>
  </si>
  <si>
    <t>Lease Period
(in Yrs.)</t>
  </si>
  <si>
    <t>G-157</t>
  </si>
  <si>
    <t>G-139</t>
  </si>
  <si>
    <t>G-141</t>
  </si>
  <si>
    <t>G-158</t>
  </si>
  <si>
    <t>G-140</t>
  </si>
  <si>
    <t>TOTAL</t>
  </si>
  <si>
    <t>Old Val. Report</t>
  </si>
  <si>
    <t>Plot No. G-158</t>
  </si>
  <si>
    <t xml:space="preserve">Structure -1 </t>
  </si>
  <si>
    <t>RCC</t>
  </si>
  <si>
    <t>Tin shed</t>
  </si>
  <si>
    <t>Structure-1</t>
  </si>
  <si>
    <t>First floor</t>
  </si>
  <si>
    <t>RCC Building</t>
  </si>
  <si>
    <t>G+1</t>
  </si>
  <si>
    <t>Office &amp; Lab.</t>
  </si>
  <si>
    <t>Godown</t>
  </si>
  <si>
    <t>Shed</t>
  </si>
  <si>
    <t>Plot No. G-139</t>
  </si>
  <si>
    <t>Tin Shed</t>
  </si>
  <si>
    <t>Building</t>
  </si>
  <si>
    <t>Plot No. G-141</t>
  </si>
  <si>
    <t>Plot No. G-140</t>
  </si>
  <si>
    <t>G.F.</t>
  </si>
  <si>
    <t>Plot No. G-157</t>
  </si>
  <si>
    <t>G+2</t>
  </si>
  <si>
    <t>Valuation of Buildings/Structures of M/s Vanya Edible Oils &amp; Refineries Pvt. Ltd., UPSIDC Industrial Area, Tehsil-Dhaulana, Dist.-Hapur, Uttar Pradesh</t>
  </si>
  <si>
    <t>3. The condition of the buildings/sheds are average.</t>
  </si>
  <si>
    <t>2. Building calculation has been done by depreciated replacement cost approach.</t>
  </si>
  <si>
    <t>Rate/Sq.mt.</t>
  </si>
  <si>
    <t>Area 
(in sq.mt.)</t>
  </si>
  <si>
    <t>Area 
(in sq. ft)</t>
  </si>
  <si>
    <t xml:space="preserve"> Insurance value</t>
  </si>
  <si>
    <t>Lease Deed
No</t>
  </si>
  <si>
    <t>Name of Owner</t>
  </si>
  <si>
    <t>Nitin Gupta</t>
  </si>
  <si>
    <t>M.S. shed with Iron plate</t>
  </si>
  <si>
    <t>Total area as per OVR (Sq. mt.)</t>
  </si>
  <si>
    <t>Total area as per OVR (Sq. ft.)</t>
  </si>
  <si>
    <t>Lease deed Dated</t>
  </si>
  <si>
    <t>FAR</t>
  </si>
  <si>
    <t>Land area
(in sq. mt.)</t>
  </si>
  <si>
    <t>Ground coverage 55% (in sq. mt.)</t>
  </si>
  <si>
    <t>Total area can be 
constructed</t>
  </si>
  <si>
    <t>Total cons. Ground cov. Area</t>
  </si>
  <si>
    <t>Left area to be considered</t>
  </si>
  <si>
    <t>Have to consider total area in this case</t>
  </si>
  <si>
    <t>Total area that can constructed as per 
FAR</t>
  </si>
  <si>
    <t>https://eservices.onlineupsidc.com/doc/UPSIDALandBuildingRegulations2018updated.pdf</t>
  </si>
  <si>
    <t xml:space="preserve">Land </t>
  </si>
  <si>
    <t>SHED</t>
  </si>
  <si>
    <t>1. The Building Area has been considered from the physical measurement done at site and as per building bye laws of UPSIDA. No measurement details has been shared from client's end.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</si>
</sst>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&quot;₹&quot;\ * #,##0_ ;_ &quot;₹&quot;\ * \-#,##0_ ;_ &quot;₹&quot;\ * &quot;-&quot;??_ ;_ @_ 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2">
    <xf numFmtId="0" fontId="0" fillId="0" borderId="0" xfId="0"/>
    <xf numFmtId="43" fontId="0" fillId="0" borderId="0" xfId="1" applyFont="1"/>
    <xf numFmtId="0" fontId="3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3" fontId="1" fillId="0" borderId="0" xfId="1" applyFont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43" fontId="5" fillId="4" borderId="1" xfId="1" applyFont="1" applyFill="1" applyBorder="1" applyAlignment="1">
      <alignment vertical="center"/>
    </xf>
    <xf numFmtId="165" fontId="0" fillId="0" borderId="0" xfId="1" applyNumberFormat="1" applyFont="1"/>
    <xf numFmtId="165" fontId="6" fillId="3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  <xf numFmtId="165" fontId="5" fillId="4" borderId="1" xfId="1" applyNumberFormat="1" applyFont="1" applyFill="1" applyBorder="1" applyAlignment="1">
      <alignment vertical="center"/>
    </xf>
    <xf numFmtId="43" fontId="0" fillId="0" borderId="0" xfId="0" applyNumberFormat="1"/>
    <xf numFmtId="0" fontId="1" fillId="0" borderId="0" xfId="0" applyFont="1"/>
    <xf numFmtId="0" fontId="0" fillId="0" borderId="1" xfId="0" applyBorder="1"/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43" fontId="7" fillId="8" borderId="1" xfId="1" applyFont="1" applyFill="1" applyBorder="1" applyAlignment="1">
      <alignment horizontal="center" vertical="center"/>
    </xf>
    <xf numFmtId="165" fontId="5" fillId="8" borderId="1" xfId="1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9" fontId="5" fillId="8" borderId="1" xfId="0" applyNumberFormat="1" applyFont="1" applyFill="1" applyBorder="1" applyAlignment="1">
      <alignment horizontal="center" vertical="center"/>
    </xf>
    <xf numFmtId="43" fontId="5" fillId="8" borderId="1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3" fontId="7" fillId="0" borderId="5" xfId="1" applyFont="1" applyBorder="1" applyAlignment="1">
      <alignment horizontal="center" vertical="center"/>
    </xf>
    <xf numFmtId="165" fontId="7" fillId="0" borderId="5" xfId="1" applyNumberFormat="1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/>
    </xf>
    <xf numFmtId="165" fontId="7" fillId="0" borderId="6" xfId="1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43" fontId="5" fillId="8" borderId="1" xfId="0" applyNumberFormat="1" applyFont="1" applyFill="1" applyBorder="1" applyAlignment="1">
      <alignment vertical="center"/>
    </xf>
    <xf numFmtId="165" fontId="5" fillId="8" borderId="1" xfId="0" applyNumberFormat="1" applyFont="1" applyFill="1" applyBorder="1" applyAlignment="1">
      <alignment vertical="center"/>
    </xf>
    <xf numFmtId="43" fontId="0" fillId="0" borderId="0" xfId="1" applyFont="1" applyFill="1" applyBorder="1"/>
    <xf numFmtId="165" fontId="0" fillId="0" borderId="0" xfId="1" applyNumberFormat="1" applyFont="1" applyFill="1" applyBorder="1"/>
    <xf numFmtId="0" fontId="3" fillId="0" borderId="0" xfId="0" applyFont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9" fontId="0" fillId="0" borderId="0" xfId="0" applyNumberFormat="1"/>
    <xf numFmtId="0" fontId="8" fillId="0" borderId="0" xfId="0" applyFont="1"/>
    <xf numFmtId="2" fontId="0" fillId="0" borderId="1" xfId="0" applyNumberFormat="1" applyBorder="1"/>
    <xf numFmtId="2" fontId="1" fillId="0" borderId="1" xfId="0" applyNumberFormat="1" applyFont="1" applyBorder="1"/>
    <xf numFmtId="165" fontId="0" fillId="0" borderId="1" xfId="1" applyNumberFormat="1" applyFont="1" applyBorder="1"/>
    <xf numFmtId="0" fontId="1" fillId="9" borderId="1" xfId="0" applyFont="1" applyFill="1" applyBorder="1"/>
    <xf numFmtId="2" fontId="0" fillId="0" borderId="2" xfId="0" applyNumberFormat="1" applyBorder="1"/>
    <xf numFmtId="2" fontId="1" fillId="0" borderId="2" xfId="0" applyNumberFormat="1" applyFont="1" applyBorder="1"/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/>
    <xf numFmtId="0" fontId="1" fillId="12" borderId="1" xfId="0" applyFont="1" applyFill="1" applyBorder="1" applyAlignment="1">
      <alignment horizontal="center" wrapText="1"/>
    </xf>
    <xf numFmtId="0" fontId="1" fillId="12" borderId="1" xfId="0" applyFont="1" applyFill="1" applyBorder="1" applyAlignment="1">
      <alignment horizontal="center"/>
    </xf>
    <xf numFmtId="0" fontId="0" fillId="14" borderId="1" xfId="0" applyFill="1" applyBorder="1"/>
    <xf numFmtId="43" fontId="0" fillId="14" borderId="1" xfId="0" applyNumberFormat="1" applyFill="1" applyBorder="1"/>
    <xf numFmtId="0" fontId="0" fillId="13" borderId="1" xfId="0" applyFill="1" applyBorder="1"/>
    <xf numFmtId="43" fontId="0" fillId="13" borderId="1" xfId="0" applyNumberFormat="1" applyFill="1" applyBorder="1"/>
    <xf numFmtId="0" fontId="0" fillId="10" borderId="1" xfId="0" applyFill="1" applyBorder="1"/>
    <xf numFmtId="43" fontId="0" fillId="10" borderId="1" xfId="0" applyNumberFormat="1" applyFill="1" applyBorder="1"/>
    <xf numFmtId="0" fontId="0" fillId="11" borderId="1" xfId="0" applyFill="1" applyBorder="1"/>
    <xf numFmtId="43" fontId="0" fillId="11" borderId="1" xfId="0" applyNumberFormat="1" applyFill="1" applyBorder="1"/>
    <xf numFmtId="0" fontId="0" fillId="15" borderId="1" xfId="0" applyFill="1" applyBorder="1"/>
    <xf numFmtId="164" fontId="3" fillId="0" borderId="1" xfId="0" applyNumberFormat="1" applyFont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165" fontId="0" fillId="0" borderId="1" xfId="0" applyNumberFormat="1" applyBorder="1"/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165" fontId="1" fillId="0" borderId="0" xfId="1" applyNumberFormat="1" applyFont="1"/>
    <xf numFmtId="165" fontId="6" fillId="0" borderId="1" xfId="1" applyNumberFormat="1" applyFont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vertical="center"/>
    </xf>
    <xf numFmtId="165" fontId="3" fillId="0" borderId="0" xfId="1" applyNumberFormat="1" applyFont="1" applyAlignment="1">
      <alignment horizontal="center" vertical="center" wrapText="1"/>
    </xf>
    <xf numFmtId="165" fontId="1" fillId="0" borderId="0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opLeftCell="I26" zoomScaleNormal="100" workbookViewId="0">
      <selection activeCell="O26" sqref="O26"/>
    </sheetView>
  </sheetViews>
  <sheetFormatPr defaultRowHeight="15" x14ac:dyDescent="0.25"/>
  <cols>
    <col min="4" max="4" width="5.28515625" customWidth="1"/>
    <col min="5" max="5" width="14.28515625" customWidth="1"/>
    <col min="6" max="6" width="7.5703125" bestFit="1" customWidth="1"/>
    <col min="7" max="7" width="14" customWidth="1"/>
    <col min="8" max="8" width="12.5703125" customWidth="1"/>
    <col min="9" max="9" width="8.140625" style="1" customWidth="1"/>
    <col min="10" max="10" width="9.140625" customWidth="1"/>
    <col min="11" max="11" width="9.7109375" style="16" customWidth="1"/>
    <col min="12" max="12" width="10" bestFit="1" customWidth="1"/>
    <col min="13" max="13" width="9.7109375" customWidth="1"/>
    <col min="14" max="14" width="11.42578125" customWidth="1"/>
    <col min="15" max="15" width="8.7109375" customWidth="1"/>
    <col min="16" max="16" width="8.85546875" customWidth="1"/>
    <col min="17" max="17" width="13.28515625" style="1" customWidth="1"/>
    <col min="18" max="18" width="10" style="16" customWidth="1"/>
    <col min="19" max="19" width="17.28515625" style="16" customWidth="1"/>
    <col min="20" max="20" width="15" style="16" customWidth="1"/>
    <col min="21" max="21" width="16" style="16" customWidth="1"/>
    <col min="22" max="22" width="15.7109375" customWidth="1"/>
    <col min="23" max="23" width="15.42578125" customWidth="1"/>
    <col min="24" max="24" width="35.5703125" customWidth="1"/>
    <col min="25" max="25" width="36.5703125" customWidth="1"/>
    <col min="26" max="27" width="9.140625" customWidth="1"/>
    <col min="29" max="32" width="13.28515625" bestFit="1" customWidth="1"/>
  </cols>
  <sheetData>
    <row r="1" spans="1:32" ht="30" x14ac:dyDescent="0.25">
      <c r="X1" s="71" t="s">
        <v>74</v>
      </c>
      <c r="Y1" s="72">
        <v>517.5</v>
      </c>
      <c r="AA1" t="s">
        <v>81</v>
      </c>
    </row>
    <row r="2" spans="1:32" x14ac:dyDescent="0.25">
      <c r="X2" s="73" t="s">
        <v>75</v>
      </c>
      <c r="Y2" s="72">
        <f>0.55*Y1</f>
        <v>284.625</v>
      </c>
    </row>
    <row r="3" spans="1:32" x14ac:dyDescent="0.25">
      <c r="K3" s="107">
        <f>K26</f>
        <v>1398.22</v>
      </c>
      <c r="L3" s="6">
        <f>L26</f>
        <v>15044.8472</v>
      </c>
      <c r="S3" s="107">
        <f>S26</f>
        <v>17671341.68</v>
      </c>
      <c r="T3" s="107">
        <f>T26</f>
        <v>3499420.4619999998</v>
      </c>
      <c r="U3" s="107">
        <f>U26</f>
        <v>14171921.217999998</v>
      </c>
      <c r="X3" s="74" t="s">
        <v>73</v>
      </c>
      <c r="Y3" s="72">
        <v>0.8</v>
      </c>
    </row>
    <row r="4" spans="1:32" ht="38.25" customHeight="1" x14ac:dyDescent="0.25">
      <c r="D4" s="87" t="s">
        <v>59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X4" s="73" t="s">
        <v>80</v>
      </c>
      <c r="Y4" s="74">
        <f>Y3*Y1</f>
        <v>414</v>
      </c>
    </row>
    <row r="5" spans="1:32" ht="36.75" customHeight="1" x14ac:dyDescent="0.25">
      <c r="D5" s="7" t="s">
        <v>2</v>
      </c>
      <c r="E5" s="7" t="s">
        <v>1</v>
      </c>
      <c r="F5" s="8" t="s">
        <v>13</v>
      </c>
      <c r="G5" s="8" t="s">
        <v>0</v>
      </c>
      <c r="H5" s="8" t="s">
        <v>3</v>
      </c>
      <c r="I5" s="9" t="s">
        <v>19</v>
      </c>
      <c r="J5" s="8" t="s">
        <v>12</v>
      </c>
      <c r="K5" s="17" t="s">
        <v>14</v>
      </c>
      <c r="L5" s="8" t="s">
        <v>15</v>
      </c>
      <c r="M5" s="8" t="s">
        <v>5</v>
      </c>
      <c r="N5" s="8" t="s">
        <v>11</v>
      </c>
      <c r="O5" s="8" t="s">
        <v>17</v>
      </c>
      <c r="P5" s="8" t="s">
        <v>6</v>
      </c>
      <c r="Q5" s="9" t="s">
        <v>7</v>
      </c>
      <c r="R5" s="17" t="s">
        <v>4</v>
      </c>
      <c r="S5" s="17" t="s">
        <v>8</v>
      </c>
      <c r="T5" s="17" t="s">
        <v>9</v>
      </c>
      <c r="U5" s="17" t="s">
        <v>10</v>
      </c>
      <c r="V5" s="9" t="s">
        <v>70</v>
      </c>
      <c r="W5" s="9" t="s">
        <v>71</v>
      </c>
      <c r="AB5" s="4" t="s">
        <v>39</v>
      </c>
      <c r="AC5" s="4" t="s">
        <v>16</v>
      </c>
      <c r="AD5" s="4" t="s">
        <v>82</v>
      </c>
      <c r="AE5" s="4" t="s">
        <v>53</v>
      </c>
      <c r="AF5" s="84"/>
    </row>
    <row r="6" spans="1:32" ht="12.75" customHeight="1" x14ac:dyDescent="0.25">
      <c r="D6" s="93" t="s">
        <v>40</v>
      </c>
      <c r="E6" s="94"/>
      <c r="F6" s="29"/>
      <c r="G6" s="29"/>
      <c r="H6" s="29"/>
      <c r="I6" s="30"/>
      <c r="J6" s="29"/>
      <c r="K6" s="108"/>
      <c r="L6" s="29"/>
      <c r="M6" s="29"/>
      <c r="N6" s="29"/>
      <c r="O6" s="29"/>
      <c r="P6" s="29"/>
      <c r="Q6" s="30"/>
      <c r="R6" s="31"/>
      <c r="S6" s="31"/>
      <c r="T6" s="31"/>
      <c r="U6" s="31"/>
      <c r="V6" s="22"/>
      <c r="W6" s="22"/>
      <c r="AB6" s="24" t="s">
        <v>33</v>
      </c>
      <c r="AC6" s="67">
        <v>10800000</v>
      </c>
      <c r="AD6" s="67">
        <v>7762500</v>
      </c>
      <c r="AE6" s="86">
        <f>AC6-AD6</f>
        <v>3037500</v>
      </c>
    </row>
    <row r="7" spans="1:32" ht="13.5" customHeight="1" x14ac:dyDescent="0.25">
      <c r="D7" s="10">
        <v>1</v>
      </c>
      <c r="E7" s="11" t="s">
        <v>41</v>
      </c>
      <c r="F7" s="10" t="s">
        <v>25</v>
      </c>
      <c r="G7" s="11" t="s">
        <v>42</v>
      </c>
      <c r="H7" s="10">
        <v>2014</v>
      </c>
      <c r="I7" s="12">
        <f>J7/3.28</f>
        <v>2.7439024390243905</v>
      </c>
      <c r="J7" s="10">
        <v>9</v>
      </c>
      <c r="K7" s="18">
        <f>30*6.5</f>
        <v>195</v>
      </c>
      <c r="L7" s="18">
        <f>K7*10.76</f>
        <v>2098.1999999999998</v>
      </c>
      <c r="M7" s="10">
        <v>2024</v>
      </c>
      <c r="N7" s="10">
        <v>60</v>
      </c>
      <c r="O7" s="10">
        <f>M7-H7</f>
        <v>10</v>
      </c>
      <c r="P7" s="13">
        <v>0.1</v>
      </c>
      <c r="Q7" s="12">
        <f>(1-P7)/N7</f>
        <v>1.5000000000000001E-2</v>
      </c>
      <c r="R7" s="18">
        <v>1400</v>
      </c>
      <c r="S7" s="18">
        <f>R7*L7</f>
        <v>2937479.9999999995</v>
      </c>
      <c r="T7" s="18">
        <f>S7*Q7*IF(O7&gt;N7,N7,O7)</f>
        <v>440622</v>
      </c>
      <c r="U7" s="18">
        <f t="shared" ref="U7:U14" si="0">S7-T7</f>
        <v>2496857.9999999995</v>
      </c>
      <c r="V7" s="22"/>
      <c r="W7" s="22"/>
      <c r="X7" s="75" t="s">
        <v>76</v>
      </c>
      <c r="Y7" s="75">
        <f>Y3*Y1</f>
        <v>414</v>
      </c>
      <c r="AB7" s="24" t="s">
        <v>34</v>
      </c>
      <c r="AC7" s="67">
        <v>10300000</v>
      </c>
      <c r="AD7" s="67">
        <v>7762500</v>
      </c>
      <c r="AE7" s="86">
        <f>AC7-AD7</f>
        <v>2537500</v>
      </c>
    </row>
    <row r="8" spans="1:32" ht="14.25" customHeight="1" x14ac:dyDescent="0.25">
      <c r="A8" t="s">
        <v>42</v>
      </c>
      <c r="B8" s="20">
        <f>K9+K12+K13+K18+K7</f>
        <v>390.92</v>
      </c>
      <c r="D8" s="10">
        <v>2</v>
      </c>
      <c r="E8" s="11" t="s">
        <v>44</v>
      </c>
      <c r="F8" s="10" t="s">
        <v>45</v>
      </c>
      <c r="G8" s="11" t="s">
        <v>43</v>
      </c>
      <c r="H8" s="10">
        <v>2014</v>
      </c>
      <c r="I8" s="12">
        <f t="shared" ref="I8:I14" si="1">J8/3.28</f>
        <v>2.7439024390243905</v>
      </c>
      <c r="J8" s="10">
        <v>9</v>
      </c>
      <c r="K8" s="18">
        <v>130</v>
      </c>
      <c r="L8" s="18">
        <f>K8*10.76</f>
        <v>1398.8</v>
      </c>
      <c r="M8" s="10">
        <v>2024</v>
      </c>
      <c r="N8" s="10">
        <v>45</v>
      </c>
      <c r="O8" s="10">
        <f>M8-H8</f>
        <v>10</v>
      </c>
      <c r="P8" s="13">
        <v>0.1</v>
      </c>
      <c r="Q8" s="12">
        <f t="shared" ref="Q8:Q13" si="2">(1-P8)/N8</f>
        <v>0.02</v>
      </c>
      <c r="R8" s="18">
        <v>1000</v>
      </c>
      <c r="S8" s="18">
        <f t="shared" ref="S8:S14" si="3">R8*L8</f>
        <v>1398800</v>
      </c>
      <c r="T8" s="18">
        <f t="shared" ref="T8:T13" si="4">S8*Q8*IF(O8&gt;N8,N8,O8)</f>
        <v>279760</v>
      </c>
      <c r="U8" s="18">
        <f t="shared" si="0"/>
        <v>1119040</v>
      </c>
      <c r="V8" s="22"/>
      <c r="W8" s="22"/>
      <c r="X8" s="75" t="s">
        <v>77</v>
      </c>
      <c r="Y8" s="76">
        <f>(K7+K9)</f>
        <v>255</v>
      </c>
      <c r="AB8" s="24" t="s">
        <v>35</v>
      </c>
      <c r="AC8" s="67">
        <v>9700000</v>
      </c>
      <c r="AD8" s="67">
        <v>7762500</v>
      </c>
      <c r="AE8" s="86">
        <f>AC8-AD8</f>
        <v>1937500</v>
      </c>
    </row>
    <row r="9" spans="1:32" ht="14.25" customHeight="1" x14ac:dyDescent="0.25">
      <c r="A9" t="s">
        <v>83</v>
      </c>
      <c r="B9" s="20">
        <f>K8+K14+K17+K21+K24</f>
        <v>1007.3</v>
      </c>
      <c r="D9" s="10">
        <v>3</v>
      </c>
      <c r="E9" s="11" t="s">
        <v>46</v>
      </c>
      <c r="F9" s="10" t="s">
        <v>47</v>
      </c>
      <c r="G9" s="11" t="s">
        <v>42</v>
      </c>
      <c r="H9" s="10">
        <v>2014</v>
      </c>
      <c r="I9" s="12">
        <f t="shared" si="1"/>
        <v>4.5731707317073171</v>
      </c>
      <c r="J9" s="10">
        <v>15</v>
      </c>
      <c r="K9" s="18">
        <f>7.5*4*2</f>
        <v>60</v>
      </c>
      <c r="L9" s="18">
        <f>K9*10.76</f>
        <v>645.6</v>
      </c>
      <c r="M9" s="10">
        <v>2024</v>
      </c>
      <c r="N9" s="10">
        <v>60</v>
      </c>
      <c r="O9" s="10">
        <f>M9-H9</f>
        <v>10</v>
      </c>
      <c r="P9" s="13">
        <v>0.1</v>
      </c>
      <c r="Q9" s="12">
        <f t="shared" si="2"/>
        <v>1.5000000000000001E-2</v>
      </c>
      <c r="R9" s="18">
        <v>1400</v>
      </c>
      <c r="S9" s="18">
        <f t="shared" si="3"/>
        <v>903840</v>
      </c>
      <c r="T9" s="18">
        <f t="shared" si="4"/>
        <v>135576</v>
      </c>
      <c r="U9" s="18">
        <f t="shared" si="0"/>
        <v>768264</v>
      </c>
      <c r="V9" s="22"/>
      <c r="W9" s="22"/>
      <c r="X9" s="75" t="s">
        <v>78</v>
      </c>
      <c r="Y9" s="76">
        <f>Y7-Y8</f>
        <v>159</v>
      </c>
      <c r="AB9" s="24" t="s">
        <v>36</v>
      </c>
      <c r="AC9" s="67">
        <v>11100000</v>
      </c>
      <c r="AD9" s="67">
        <v>7762500</v>
      </c>
      <c r="AE9" s="86">
        <f>AC9-AD9</f>
        <v>3337500</v>
      </c>
    </row>
    <row r="10" spans="1:32" ht="12.75" customHeight="1" x14ac:dyDescent="0.25">
      <c r="B10" s="20">
        <f>SUM(B8:B9)</f>
        <v>1398.22</v>
      </c>
      <c r="D10" s="97" t="s">
        <v>38</v>
      </c>
      <c r="E10" s="98"/>
      <c r="F10" s="98"/>
      <c r="G10" s="99"/>
      <c r="H10" s="36"/>
      <c r="I10" s="37"/>
      <c r="J10" s="36"/>
      <c r="K10" s="38">
        <f t="shared" ref="K10:L10" si="5">SUM(K7:K9)</f>
        <v>385</v>
      </c>
      <c r="L10" s="38">
        <f t="shared" si="5"/>
        <v>4142.6000000000004</v>
      </c>
      <c r="M10" s="39"/>
      <c r="N10" s="39"/>
      <c r="O10" s="39"/>
      <c r="P10" s="40"/>
      <c r="Q10" s="41"/>
      <c r="R10" s="38"/>
      <c r="S10" s="38">
        <f>SUM(S7:S9)</f>
        <v>5240120</v>
      </c>
      <c r="T10" s="38">
        <f t="shared" ref="T10:U10" si="6">SUM(T7:T9)</f>
        <v>855958</v>
      </c>
      <c r="U10" s="38">
        <f t="shared" si="6"/>
        <v>4384162</v>
      </c>
      <c r="V10" s="68">
        <v>404.38</v>
      </c>
      <c r="W10" s="66">
        <f>10.76*V10</f>
        <v>4351.1287999999995</v>
      </c>
      <c r="AB10" s="24" t="s">
        <v>37</v>
      </c>
      <c r="AC10" s="67">
        <v>10000000</v>
      </c>
      <c r="AD10" s="67">
        <v>7762500</v>
      </c>
      <c r="AE10" s="86">
        <f>AC10-AD10</f>
        <v>2237500</v>
      </c>
    </row>
    <row r="11" spans="1:32" ht="13.5" customHeight="1" x14ac:dyDescent="0.25">
      <c r="D11" s="95" t="s">
        <v>51</v>
      </c>
      <c r="E11" s="96"/>
      <c r="F11" s="10"/>
      <c r="G11" s="11"/>
      <c r="H11" s="10"/>
      <c r="I11" s="12"/>
      <c r="J11" s="10"/>
      <c r="K11" s="32"/>
      <c r="L11" s="32"/>
      <c r="M11" s="33"/>
      <c r="N11" s="33"/>
      <c r="O11" s="33"/>
      <c r="P11" s="34"/>
      <c r="Q11" s="35"/>
      <c r="R11" s="32"/>
      <c r="S11" s="32"/>
      <c r="T11" s="32"/>
      <c r="U11" s="32"/>
      <c r="V11" s="22"/>
      <c r="W11" s="65"/>
      <c r="AB11" s="22"/>
      <c r="AC11" s="28">
        <f>SUM(AC6:AC10)</f>
        <v>51900000</v>
      </c>
      <c r="AD11" s="28">
        <f>SUM(AD6:AD10)</f>
        <v>38812500</v>
      </c>
      <c r="AE11" s="28">
        <f>SUM(AE6:AE10)</f>
        <v>13087500</v>
      </c>
      <c r="AF11" s="85">
        <f>AE11+AD11</f>
        <v>51900000</v>
      </c>
    </row>
    <row r="12" spans="1:32" x14ac:dyDescent="0.25">
      <c r="D12" s="10">
        <v>4</v>
      </c>
      <c r="E12" s="11" t="s">
        <v>48</v>
      </c>
      <c r="F12" s="10" t="s">
        <v>26</v>
      </c>
      <c r="G12" s="11" t="s">
        <v>42</v>
      </c>
      <c r="H12" s="10">
        <v>2014</v>
      </c>
      <c r="I12" s="12">
        <f t="shared" si="1"/>
        <v>2.7439024390243905</v>
      </c>
      <c r="J12" s="10">
        <v>9</v>
      </c>
      <c r="K12" s="18">
        <v>65</v>
      </c>
      <c r="L12" s="18">
        <f t="shared" ref="L12:L14" si="7">K12*10.76</f>
        <v>699.4</v>
      </c>
      <c r="M12" s="10">
        <v>2024</v>
      </c>
      <c r="N12" s="10">
        <v>60</v>
      </c>
      <c r="O12" s="10">
        <f>M12-H12</f>
        <v>10</v>
      </c>
      <c r="P12" s="13">
        <v>0.1</v>
      </c>
      <c r="Q12" s="12">
        <f t="shared" si="2"/>
        <v>1.5000000000000001E-2</v>
      </c>
      <c r="R12" s="18">
        <v>1400</v>
      </c>
      <c r="S12" s="18">
        <f t="shared" si="3"/>
        <v>979160</v>
      </c>
      <c r="T12" s="18">
        <f t="shared" si="4"/>
        <v>146874</v>
      </c>
      <c r="U12" s="18">
        <f t="shared" si="0"/>
        <v>832286</v>
      </c>
      <c r="V12" s="22"/>
      <c r="W12" s="65"/>
      <c r="X12" s="77" t="s">
        <v>76</v>
      </c>
      <c r="Y12" s="77">
        <f>Y7</f>
        <v>414</v>
      </c>
    </row>
    <row r="13" spans="1:32" ht="12.75" customHeight="1" x14ac:dyDescent="0.25">
      <c r="D13" s="10">
        <v>5</v>
      </c>
      <c r="E13" s="11" t="s">
        <v>49</v>
      </c>
      <c r="F13" s="10" t="s">
        <v>25</v>
      </c>
      <c r="G13" s="11" t="s">
        <v>42</v>
      </c>
      <c r="H13" s="10">
        <v>2014</v>
      </c>
      <c r="I13" s="12">
        <f t="shared" si="1"/>
        <v>2.7439024390243905</v>
      </c>
      <c r="J13" s="10">
        <v>9</v>
      </c>
      <c r="K13" s="18">
        <v>45</v>
      </c>
      <c r="L13" s="18">
        <f t="shared" si="7"/>
        <v>484.2</v>
      </c>
      <c r="M13" s="10">
        <v>2024</v>
      </c>
      <c r="N13" s="10">
        <v>60</v>
      </c>
      <c r="O13" s="10">
        <f>M13-H13</f>
        <v>10</v>
      </c>
      <c r="P13" s="13">
        <v>0.1</v>
      </c>
      <c r="Q13" s="12">
        <f t="shared" si="2"/>
        <v>1.5000000000000001E-2</v>
      </c>
      <c r="R13" s="18">
        <v>1400</v>
      </c>
      <c r="S13" s="18">
        <f t="shared" si="3"/>
        <v>677880</v>
      </c>
      <c r="T13" s="18">
        <f t="shared" si="4"/>
        <v>101682</v>
      </c>
      <c r="U13" s="18">
        <f t="shared" si="0"/>
        <v>576198</v>
      </c>
      <c r="V13" s="22"/>
      <c r="W13" s="65"/>
      <c r="X13" s="77" t="s">
        <v>77</v>
      </c>
      <c r="Y13" s="78">
        <f>K12+K13+K14</f>
        <v>166</v>
      </c>
    </row>
    <row r="14" spans="1:32" ht="13.5" customHeight="1" x14ac:dyDescent="0.25">
      <c r="D14" s="10">
        <v>6</v>
      </c>
      <c r="E14" s="11" t="s">
        <v>50</v>
      </c>
      <c r="F14" s="10" t="s">
        <v>25</v>
      </c>
      <c r="G14" s="11" t="s">
        <v>43</v>
      </c>
      <c r="H14" s="10">
        <v>2014</v>
      </c>
      <c r="I14" s="12">
        <f t="shared" si="1"/>
        <v>6.0975609756097562</v>
      </c>
      <c r="J14" s="10">
        <v>20</v>
      </c>
      <c r="K14" s="18">
        <v>56</v>
      </c>
      <c r="L14" s="18">
        <f t="shared" si="7"/>
        <v>602.55999999999995</v>
      </c>
      <c r="M14" s="10">
        <v>2024</v>
      </c>
      <c r="N14" s="10">
        <v>40</v>
      </c>
      <c r="O14" s="10">
        <f>M14-H14</f>
        <v>10</v>
      </c>
      <c r="P14" s="13">
        <v>0.1</v>
      </c>
      <c r="Q14" s="12">
        <f>(1-P14)/N14</f>
        <v>2.2499999999999999E-2</v>
      </c>
      <c r="R14" s="18">
        <v>1100</v>
      </c>
      <c r="S14" s="18">
        <f t="shared" si="3"/>
        <v>662815.99999999988</v>
      </c>
      <c r="T14" s="18">
        <f>S14*Q14*IF(O14&gt;N14,N14,O14)</f>
        <v>149133.59999999998</v>
      </c>
      <c r="U14" s="18">
        <f t="shared" si="0"/>
        <v>513682.39999999991</v>
      </c>
      <c r="V14" s="22"/>
      <c r="W14" s="65"/>
      <c r="X14" s="77" t="s">
        <v>79</v>
      </c>
      <c r="Y14" s="77"/>
    </row>
    <row r="15" spans="1:32" ht="13.5" customHeight="1" x14ac:dyDescent="0.25">
      <c r="D15" s="97" t="s">
        <v>38</v>
      </c>
      <c r="E15" s="98"/>
      <c r="F15" s="98"/>
      <c r="G15" s="99"/>
      <c r="H15" s="39"/>
      <c r="I15" s="41"/>
      <c r="J15" s="39"/>
      <c r="K15" s="38">
        <f t="shared" ref="K15:L15" si="8">SUM(K12:K14)</f>
        <v>166</v>
      </c>
      <c r="L15" s="38">
        <f t="shared" si="8"/>
        <v>1786.1599999999999</v>
      </c>
      <c r="M15" s="39"/>
      <c r="N15" s="39"/>
      <c r="O15" s="39"/>
      <c r="P15" s="40"/>
      <c r="Q15" s="41"/>
      <c r="R15" s="38"/>
      <c r="S15" s="38">
        <f t="shared" ref="S15:U15" si="9">SUM(S12:S14)</f>
        <v>2319856</v>
      </c>
      <c r="T15" s="38">
        <f t="shared" si="9"/>
        <v>397689.59999999998</v>
      </c>
      <c r="U15" s="38">
        <f t="shared" si="9"/>
        <v>1922166.4</v>
      </c>
      <c r="V15" s="68">
        <v>275</v>
      </c>
      <c r="W15" s="66">
        <f>10.76*V15</f>
        <v>2959</v>
      </c>
    </row>
    <row r="16" spans="1:32" ht="12.75" customHeight="1" x14ac:dyDescent="0.25">
      <c r="D16" s="95" t="s">
        <v>55</v>
      </c>
      <c r="E16" s="96"/>
      <c r="F16" s="10"/>
      <c r="G16" s="11"/>
      <c r="H16" s="10"/>
      <c r="I16" s="12"/>
      <c r="J16" s="10"/>
      <c r="K16" s="18"/>
      <c r="L16" s="18"/>
      <c r="M16" s="10"/>
      <c r="N16" s="10"/>
      <c r="O16" s="10"/>
      <c r="P16" s="13"/>
      <c r="Q16" s="12"/>
      <c r="R16" s="18"/>
      <c r="S16" s="18"/>
      <c r="T16" s="18"/>
      <c r="U16" s="18"/>
      <c r="V16" s="22"/>
      <c r="W16" s="65"/>
      <c r="X16" s="79" t="s">
        <v>76</v>
      </c>
      <c r="Y16" s="79">
        <v>414</v>
      </c>
    </row>
    <row r="17" spans="4:30" ht="15" customHeight="1" x14ac:dyDescent="0.25">
      <c r="D17" s="33">
        <v>7</v>
      </c>
      <c r="E17" s="10" t="s">
        <v>50</v>
      </c>
      <c r="F17" s="10" t="s">
        <v>25</v>
      </c>
      <c r="G17" s="11" t="s">
        <v>52</v>
      </c>
      <c r="H17" s="10">
        <v>2014</v>
      </c>
      <c r="I17" s="12">
        <f>J17/3.28</f>
        <v>4.5731707317073171</v>
      </c>
      <c r="J17" s="10">
        <v>15</v>
      </c>
      <c r="K17" s="18">
        <f>7.8*23.5</f>
        <v>183.29999999999998</v>
      </c>
      <c r="L17" s="18">
        <f>10.76*K17</f>
        <v>1972.3079999999998</v>
      </c>
      <c r="M17" s="10">
        <v>2024</v>
      </c>
      <c r="N17" s="10">
        <v>40</v>
      </c>
      <c r="O17" s="10">
        <f t="shared" ref="O17:O18" si="10">M17-H17</f>
        <v>10</v>
      </c>
      <c r="P17" s="13">
        <v>0.1</v>
      </c>
      <c r="Q17" s="12">
        <f t="shared" ref="Q17:Q18" si="11">(1-P17)/N17</f>
        <v>2.2499999999999999E-2</v>
      </c>
      <c r="R17" s="18">
        <v>1100</v>
      </c>
      <c r="S17" s="18">
        <f t="shared" ref="S17:S18" si="12">R17*L17</f>
        <v>2169538.7999999998</v>
      </c>
      <c r="T17" s="18">
        <f t="shared" ref="T17:T18" si="13">S17*Q17*IF(O17&gt;N17,N17,O17)</f>
        <v>488146.22999999992</v>
      </c>
      <c r="U17" s="18">
        <f t="shared" ref="U17:U18" si="14">S17-T17</f>
        <v>1681392.5699999998</v>
      </c>
      <c r="V17" s="22"/>
      <c r="W17" s="65"/>
      <c r="X17" s="79" t="s">
        <v>77</v>
      </c>
      <c r="Y17" s="80">
        <f>K17+K18</f>
        <v>209.21999999999997</v>
      </c>
    </row>
    <row r="18" spans="4:30" ht="15" customHeight="1" x14ac:dyDescent="0.25">
      <c r="D18" s="33">
        <v>8</v>
      </c>
      <c r="E18" s="10" t="s">
        <v>53</v>
      </c>
      <c r="F18" s="10" t="s">
        <v>25</v>
      </c>
      <c r="G18" s="11" t="s">
        <v>42</v>
      </c>
      <c r="H18" s="10">
        <v>2014</v>
      </c>
      <c r="I18" s="12">
        <f>J18/3.28</f>
        <v>2.4390243902439024</v>
      </c>
      <c r="J18" s="10">
        <v>8</v>
      </c>
      <c r="K18" s="18">
        <f>2.4*10.8</f>
        <v>25.92</v>
      </c>
      <c r="L18" s="18">
        <f>10.76*K18</f>
        <v>278.89920000000001</v>
      </c>
      <c r="M18" s="10">
        <v>2024</v>
      </c>
      <c r="N18" s="10">
        <v>60</v>
      </c>
      <c r="O18" s="10">
        <f t="shared" si="10"/>
        <v>10</v>
      </c>
      <c r="P18" s="13">
        <v>0.1</v>
      </c>
      <c r="Q18" s="12">
        <f t="shared" si="11"/>
        <v>1.5000000000000001E-2</v>
      </c>
      <c r="R18" s="18">
        <v>1400</v>
      </c>
      <c r="S18" s="18">
        <f t="shared" si="12"/>
        <v>390458.88</v>
      </c>
      <c r="T18" s="18">
        <f t="shared" si="13"/>
        <v>58568.832000000002</v>
      </c>
      <c r="U18" s="18">
        <f t="shared" si="14"/>
        <v>331890.04800000001</v>
      </c>
      <c r="V18" s="22"/>
      <c r="W18" s="65"/>
      <c r="X18" s="79" t="s">
        <v>79</v>
      </c>
      <c r="Y18" s="79"/>
    </row>
    <row r="19" spans="4:30" ht="12" customHeight="1" x14ac:dyDescent="0.25">
      <c r="D19" s="97" t="s">
        <v>38</v>
      </c>
      <c r="E19" s="98"/>
      <c r="F19" s="98"/>
      <c r="G19" s="99"/>
      <c r="H19" s="39"/>
      <c r="I19" s="41"/>
      <c r="J19" s="39"/>
      <c r="K19" s="38">
        <f t="shared" ref="K19:L19" si="15">SUM(K17:K18)</f>
        <v>209.21999999999997</v>
      </c>
      <c r="L19" s="38">
        <f t="shared" si="15"/>
        <v>2251.2071999999998</v>
      </c>
      <c r="M19" s="39"/>
      <c r="N19" s="39"/>
      <c r="O19" s="39"/>
      <c r="P19" s="40"/>
      <c r="Q19" s="41"/>
      <c r="R19" s="38"/>
      <c r="S19" s="38">
        <f t="shared" ref="S19:U19" si="16">SUM(S17:S18)</f>
        <v>2559997.6799999997</v>
      </c>
      <c r="T19" s="38">
        <f t="shared" si="16"/>
        <v>546715.06199999992</v>
      </c>
      <c r="U19" s="38">
        <f t="shared" si="16"/>
        <v>2013282.6179999998</v>
      </c>
      <c r="V19" s="68">
        <v>284.63</v>
      </c>
      <c r="W19" s="66">
        <f>10.76*V19</f>
        <v>3062.6187999999997</v>
      </c>
    </row>
    <row r="20" spans="4:30" ht="15" customHeight="1" x14ac:dyDescent="0.25">
      <c r="D20" s="95" t="s">
        <v>54</v>
      </c>
      <c r="E20" s="96"/>
      <c r="F20" s="10"/>
      <c r="G20" s="11"/>
      <c r="H20" s="10"/>
      <c r="I20" s="12"/>
      <c r="J20" s="10"/>
      <c r="K20" s="18"/>
      <c r="L20" s="18"/>
      <c r="M20" s="10"/>
      <c r="N20" s="10"/>
      <c r="O20" s="10"/>
      <c r="P20" s="13"/>
      <c r="Q20" s="12"/>
      <c r="R20" s="18"/>
      <c r="S20" s="18"/>
      <c r="T20" s="18"/>
      <c r="U20" s="18"/>
      <c r="V20" s="22"/>
      <c r="W20" s="69"/>
      <c r="X20" s="81" t="s">
        <v>76</v>
      </c>
      <c r="Y20" s="81">
        <f>Y16</f>
        <v>414</v>
      </c>
    </row>
    <row r="21" spans="4:30" ht="25.5" customHeight="1" x14ac:dyDescent="0.25">
      <c r="D21" s="42">
        <v>9</v>
      </c>
      <c r="E21" s="42" t="s">
        <v>50</v>
      </c>
      <c r="F21" s="43" t="s">
        <v>56</v>
      </c>
      <c r="G21" s="44" t="s">
        <v>52</v>
      </c>
      <c r="H21" s="43">
        <v>2014</v>
      </c>
      <c r="I21" s="45">
        <f>J21/3.28</f>
        <v>6.0975609756097562</v>
      </c>
      <c r="J21" s="43">
        <v>20</v>
      </c>
      <c r="K21" s="46">
        <f>14*16</f>
        <v>224</v>
      </c>
      <c r="L21" s="46">
        <f>K21*10.76</f>
        <v>2410.2399999999998</v>
      </c>
      <c r="M21" s="43">
        <v>2024</v>
      </c>
      <c r="N21" s="43">
        <v>40</v>
      </c>
      <c r="O21" s="43">
        <f t="shared" ref="O21" si="17">M21-H21</f>
        <v>10</v>
      </c>
      <c r="P21" s="47">
        <v>0.1</v>
      </c>
      <c r="Q21" s="45">
        <f t="shared" ref="Q21" si="18">(1-P21)/N21</f>
        <v>2.2499999999999999E-2</v>
      </c>
      <c r="R21" s="46">
        <v>1100</v>
      </c>
      <c r="S21" s="46">
        <f t="shared" ref="S21" si="19">R21*L21</f>
        <v>2651263.9999999995</v>
      </c>
      <c r="T21" s="46">
        <f t="shared" ref="T21" si="20">S21*Q21*IF(O21&gt;N21,N21,O21)</f>
        <v>596534.39999999991</v>
      </c>
      <c r="U21" s="46">
        <f t="shared" ref="U21" si="21">S21-T21</f>
        <v>2054729.5999999996</v>
      </c>
      <c r="V21" s="22"/>
      <c r="W21" s="69"/>
      <c r="X21" s="81" t="s">
        <v>77</v>
      </c>
      <c r="Y21" s="82">
        <f>K21</f>
        <v>224</v>
      </c>
    </row>
    <row r="22" spans="4:30" s="22" customFormat="1" ht="13.5" customHeight="1" x14ac:dyDescent="0.25">
      <c r="D22" s="97" t="s">
        <v>38</v>
      </c>
      <c r="E22" s="98"/>
      <c r="F22" s="98"/>
      <c r="G22" s="99"/>
      <c r="H22" s="53"/>
      <c r="I22" s="53"/>
      <c r="J22" s="53"/>
      <c r="K22" s="109">
        <f t="shared" ref="K22:L22" si="22">SUM(K21)</f>
        <v>224</v>
      </c>
      <c r="L22" s="54">
        <f t="shared" si="22"/>
        <v>2410.2399999999998</v>
      </c>
      <c r="M22" s="53"/>
      <c r="N22" s="53"/>
      <c r="O22" s="53"/>
      <c r="P22" s="53"/>
      <c r="Q22" s="53"/>
      <c r="R22" s="53"/>
      <c r="S22" s="55">
        <f t="shared" ref="S22:U22" si="23">SUM(S21)</f>
        <v>2651263.9999999995</v>
      </c>
      <c r="T22" s="55">
        <f t="shared" si="23"/>
        <v>596534.39999999991</v>
      </c>
      <c r="U22" s="55">
        <f t="shared" si="23"/>
        <v>2054729.5999999996</v>
      </c>
      <c r="V22" s="68">
        <v>240</v>
      </c>
      <c r="W22" s="70">
        <f>10.76*V22</f>
        <v>2582.4</v>
      </c>
      <c r="X22"/>
      <c r="Y22"/>
      <c r="Z22"/>
      <c r="AA22"/>
      <c r="AB22"/>
      <c r="AC22"/>
      <c r="AD22"/>
    </row>
    <row r="23" spans="4:30" ht="13.5" customHeight="1" x14ac:dyDescent="0.25">
      <c r="D23" s="95" t="s">
        <v>57</v>
      </c>
      <c r="E23" s="96"/>
      <c r="F23" s="48"/>
      <c r="G23" s="49"/>
      <c r="H23" s="48"/>
      <c r="I23" s="50"/>
      <c r="J23" s="48"/>
      <c r="K23" s="51"/>
      <c r="L23" s="51"/>
      <c r="M23" s="48"/>
      <c r="N23" s="48"/>
      <c r="O23" s="48"/>
      <c r="P23" s="52"/>
      <c r="Q23" s="50"/>
      <c r="R23" s="51"/>
      <c r="S23" s="51"/>
      <c r="T23" s="51"/>
      <c r="U23" s="51"/>
      <c r="V23" s="22"/>
      <c r="W23" s="69"/>
      <c r="X23" s="83" t="s">
        <v>76</v>
      </c>
      <c r="Y23" s="83">
        <f>Y20</f>
        <v>414</v>
      </c>
    </row>
    <row r="24" spans="4:30" ht="25.5" customHeight="1" x14ac:dyDescent="0.25">
      <c r="D24" s="33">
        <v>10</v>
      </c>
      <c r="E24" s="33" t="s">
        <v>50</v>
      </c>
      <c r="F24" s="10" t="s">
        <v>58</v>
      </c>
      <c r="G24" s="11" t="s">
        <v>69</v>
      </c>
      <c r="H24" s="10">
        <v>2014</v>
      </c>
      <c r="I24" s="45">
        <f>J24/3.28</f>
        <v>4.5731707317073171</v>
      </c>
      <c r="J24" s="10">
        <v>15</v>
      </c>
      <c r="K24" s="18">
        <v>414</v>
      </c>
      <c r="L24" s="18">
        <f>10.76*K24</f>
        <v>4454.6400000000003</v>
      </c>
      <c r="M24" s="10">
        <v>2024</v>
      </c>
      <c r="N24" s="10">
        <v>40</v>
      </c>
      <c r="O24" s="43">
        <f t="shared" ref="O24" si="24">M24-H24</f>
        <v>10</v>
      </c>
      <c r="P24" s="47">
        <v>0.1</v>
      </c>
      <c r="Q24" s="45">
        <f t="shared" ref="Q24" si="25">(1-P24)/N24</f>
        <v>2.2499999999999999E-2</v>
      </c>
      <c r="R24" s="46">
        <v>1100</v>
      </c>
      <c r="S24" s="46">
        <f t="shared" ref="S24" si="26">R24*L24</f>
        <v>4900104</v>
      </c>
      <c r="T24" s="46">
        <f t="shared" ref="T24" si="27">S24*Q24*IF(O24&gt;N24,N24,O24)</f>
        <v>1102523.3999999999</v>
      </c>
      <c r="U24" s="46">
        <f t="shared" ref="U24" si="28">S24-T24</f>
        <v>3797580.6</v>
      </c>
      <c r="V24" s="22"/>
      <c r="W24" s="69"/>
      <c r="X24" s="83" t="s">
        <v>77</v>
      </c>
      <c r="Y24" s="83">
        <f>20*14</f>
        <v>280</v>
      </c>
    </row>
    <row r="25" spans="4:30" ht="12.75" customHeight="1" x14ac:dyDescent="0.25">
      <c r="D25" s="97" t="s">
        <v>38</v>
      </c>
      <c r="E25" s="98"/>
      <c r="F25" s="98"/>
      <c r="G25" s="99"/>
      <c r="H25" s="53"/>
      <c r="I25" s="53"/>
      <c r="J25" s="53"/>
      <c r="K25" s="109">
        <f t="shared" ref="K25:L25" si="29">SUM(K24)</f>
        <v>414</v>
      </c>
      <c r="L25" s="54">
        <f t="shared" si="29"/>
        <v>4454.6400000000003</v>
      </c>
      <c r="M25" s="53"/>
      <c r="N25" s="53"/>
      <c r="O25" s="53"/>
      <c r="P25" s="53"/>
      <c r="Q25" s="53"/>
      <c r="R25" s="53"/>
      <c r="S25" s="55">
        <f t="shared" ref="S25:U25" si="30">SUM(S24)</f>
        <v>4900104</v>
      </c>
      <c r="T25" s="55">
        <f t="shared" si="30"/>
        <v>1102523.3999999999</v>
      </c>
      <c r="U25" s="55">
        <f t="shared" si="30"/>
        <v>3797580.6</v>
      </c>
      <c r="V25" s="68">
        <v>379.38</v>
      </c>
      <c r="W25" s="70">
        <f>10.76*V25</f>
        <v>4082.1288</v>
      </c>
      <c r="X25" s="83" t="s">
        <v>78</v>
      </c>
      <c r="Y25" s="83">
        <f>Y23-Y24</f>
        <v>134</v>
      </c>
    </row>
    <row r="26" spans="4:30" ht="24.75" customHeight="1" x14ac:dyDescent="0.25">
      <c r="D26" s="102" t="s">
        <v>38</v>
      </c>
      <c r="E26" s="102"/>
      <c r="F26" s="102"/>
      <c r="G26" s="102"/>
      <c r="H26" s="102"/>
      <c r="I26" s="102"/>
      <c r="J26" s="102"/>
      <c r="K26" s="19">
        <f>K25+K22+K19+K15+K10</f>
        <v>1398.22</v>
      </c>
      <c r="L26" s="15">
        <f>L25+L22+L19+L15+L10</f>
        <v>15044.8472</v>
      </c>
      <c r="M26" s="14"/>
      <c r="N26" s="14"/>
      <c r="O26" s="14"/>
      <c r="P26" s="14"/>
      <c r="Q26" s="15"/>
      <c r="R26" s="19"/>
      <c r="S26" s="19">
        <f t="shared" ref="S26:U26" si="31">S25+S22+S19+S15+S10</f>
        <v>17671341.68</v>
      </c>
      <c r="T26" s="19">
        <f t="shared" si="31"/>
        <v>3499420.4619999998</v>
      </c>
      <c r="U26" s="19">
        <f t="shared" si="31"/>
        <v>14171921.217999998</v>
      </c>
      <c r="V26" s="22"/>
      <c r="W26" s="22"/>
    </row>
    <row r="27" spans="4:30" x14ac:dyDescent="0.25">
      <c r="D27" s="88" t="s">
        <v>18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</row>
    <row r="28" spans="4:30" ht="32.25" customHeight="1" x14ac:dyDescent="0.25">
      <c r="D28" s="89" t="s">
        <v>84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</row>
    <row r="29" spans="4:30" ht="15.75" customHeight="1" x14ac:dyDescent="0.25">
      <c r="D29" s="90" t="s">
        <v>61</v>
      </c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2"/>
    </row>
    <row r="30" spans="4:30" x14ac:dyDescent="0.25">
      <c r="D30" s="100" t="s">
        <v>60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</row>
    <row r="31" spans="4:30" x14ac:dyDescent="0.25">
      <c r="D31" s="100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0"/>
      <c r="U31" s="100"/>
    </row>
    <row r="32" spans="4:30" x14ac:dyDescent="0.25">
      <c r="I32" s="56"/>
      <c r="Q32" s="56"/>
      <c r="R32" s="57"/>
      <c r="S32" s="57"/>
    </row>
    <row r="33" spans="5:21" x14ac:dyDescent="0.25">
      <c r="E33" s="58"/>
      <c r="F33" s="58"/>
      <c r="G33" s="58"/>
      <c r="H33" s="58"/>
      <c r="I33" s="59"/>
      <c r="J33" s="58"/>
      <c r="K33" s="110"/>
      <c r="L33" s="58"/>
      <c r="M33" s="58"/>
      <c r="N33" s="58"/>
      <c r="O33" s="59"/>
      <c r="P33" s="60"/>
      <c r="Q33" s="61"/>
      <c r="R33" s="62"/>
      <c r="S33" s="111" t="s">
        <v>65</v>
      </c>
      <c r="U33" s="16">
        <f>0.8*U26</f>
        <v>11337536.974399999</v>
      </c>
    </row>
    <row r="34" spans="5:21" x14ac:dyDescent="0.25">
      <c r="E34" s="5"/>
      <c r="I34" s="56"/>
      <c r="N34" s="63"/>
      <c r="Q34" s="56"/>
      <c r="R34" s="57"/>
      <c r="S34" s="57"/>
    </row>
  </sheetData>
  <mergeCells count="17">
    <mergeCell ref="D31:U31"/>
    <mergeCell ref="D30:U30"/>
    <mergeCell ref="D26:J26"/>
    <mergeCell ref="D4:U4"/>
    <mergeCell ref="D27:U27"/>
    <mergeCell ref="D28:U28"/>
    <mergeCell ref="D29:U29"/>
    <mergeCell ref="D6:E6"/>
    <mergeCell ref="D11:E11"/>
    <mergeCell ref="D10:G10"/>
    <mergeCell ref="D15:G15"/>
    <mergeCell ref="D16:E16"/>
    <mergeCell ref="D19:G19"/>
    <mergeCell ref="D20:E20"/>
    <mergeCell ref="D22:G22"/>
    <mergeCell ref="D23:E23"/>
    <mergeCell ref="D25:G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Z25"/>
  <sheetViews>
    <sheetView tabSelected="1" topLeftCell="F7" workbookViewId="0">
      <selection activeCell="T22" sqref="T22"/>
    </sheetView>
  </sheetViews>
  <sheetFormatPr defaultRowHeight="15" x14ac:dyDescent="0.25"/>
  <cols>
    <col min="4" max="4" width="6.42578125" customWidth="1"/>
    <col min="5" max="7" width="12.85546875" customWidth="1"/>
    <col min="8" max="9" width="9.5703125" customWidth="1"/>
    <col min="10" max="11" width="12.140625" customWidth="1"/>
    <col min="12" max="12" width="13.85546875" style="3" customWidth="1"/>
    <col min="13" max="13" width="15.85546875" style="3" bestFit="1" customWidth="1"/>
    <col min="17" max="17" width="14.5703125" bestFit="1" customWidth="1"/>
    <col min="18" max="18" width="14.28515625" bestFit="1" customWidth="1"/>
    <col min="19" max="19" width="13.28515625" bestFit="1" customWidth="1"/>
    <col min="20" max="20" width="14.28515625" bestFit="1" customWidth="1"/>
    <col min="21" max="21" width="13.28515625" bestFit="1" customWidth="1"/>
    <col min="24" max="24" width="10" bestFit="1" customWidth="1"/>
  </cols>
  <sheetData>
    <row r="4" spans="4:26" ht="42.75" customHeight="1" x14ac:dyDescent="0.25">
      <c r="D4" s="2" t="s">
        <v>29</v>
      </c>
      <c r="E4" s="2" t="s">
        <v>66</v>
      </c>
      <c r="F4" s="2" t="s">
        <v>72</v>
      </c>
      <c r="G4" s="2" t="s">
        <v>67</v>
      </c>
      <c r="H4" s="2" t="s">
        <v>31</v>
      </c>
      <c r="I4" s="2" t="s">
        <v>32</v>
      </c>
      <c r="J4" s="2" t="s">
        <v>24</v>
      </c>
      <c r="K4" s="2" t="s">
        <v>64</v>
      </c>
      <c r="L4" s="4" t="s">
        <v>30</v>
      </c>
      <c r="M4" s="4" t="s">
        <v>16</v>
      </c>
    </row>
    <row r="5" spans="4:26" x14ac:dyDescent="0.25">
      <c r="D5" s="24">
        <v>1</v>
      </c>
      <c r="E5" s="24">
        <v>5452</v>
      </c>
      <c r="F5" s="25">
        <v>38041</v>
      </c>
      <c r="G5" s="25" t="s">
        <v>68</v>
      </c>
      <c r="H5" s="24" t="s">
        <v>33</v>
      </c>
      <c r="I5" s="24">
        <v>90</v>
      </c>
      <c r="J5" s="24">
        <v>517.5</v>
      </c>
      <c r="K5" s="24">
        <f>10.76*J5</f>
        <v>5568.3</v>
      </c>
      <c r="L5" s="26">
        <v>15300</v>
      </c>
      <c r="M5" s="26">
        <f>L5*J5</f>
        <v>7917750</v>
      </c>
      <c r="W5">
        <f>34.5*15</f>
        <v>517.5</v>
      </c>
    </row>
    <row r="6" spans="4:26" x14ac:dyDescent="0.25">
      <c r="D6" s="24">
        <v>2</v>
      </c>
      <c r="E6" s="24">
        <v>5453</v>
      </c>
      <c r="F6" s="25">
        <v>36901</v>
      </c>
      <c r="G6" s="25" t="s">
        <v>68</v>
      </c>
      <c r="H6" s="24" t="s">
        <v>34</v>
      </c>
      <c r="I6" s="24">
        <v>90</v>
      </c>
      <c r="J6" s="24">
        <v>517.5</v>
      </c>
      <c r="K6" s="24">
        <f t="shared" ref="K6:K9" si="0">10.76*J6</f>
        <v>5568.3</v>
      </c>
      <c r="L6" s="26">
        <v>15300</v>
      </c>
      <c r="M6" s="26">
        <f t="shared" ref="M6:M9" si="1">L6*J6</f>
        <v>7917750</v>
      </c>
    </row>
    <row r="7" spans="4:26" x14ac:dyDescent="0.25">
      <c r="D7" s="24">
        <v>3</v>
      </c>
      <c r="E7" s="24">
        <v>3399</v>
      </c>
      <c r="F7" s="25">
        <v>38057</v>
      </c>
      <c r="G7" s="25" t="s">
        <v>68</v>
      </c>
      <c r="H7" s="24" t="s">
        <v>35</v>
      </c>
      <c r="I7" s="24">
        <v>90</v>
      </c>
      <c r="J7" s="24">
        <v>517.5</v>
      </c>
      <c r="K7" s="24">
        <f t="shared" si="0"/>
        <v>5568.3</v>
      </c>
      <c r="L7" s="26">
        <v>15300</v>
      </c>
      <c r="M7" s="26">
        <f t="shared" si="1"/>
        <v>7917750</v>
      </c>
    </row>
    <row r="8" spans="4:26" x14ac:dyDescent="0.25">
      <c r="D8" s="24">
        <v>4</v>
      </c>
      <c r="E8" s="24">
        <v>6564</v>
      </c>
      <c r="F8" s="25">
        <v>38430</v>
      </c>
      <c r="G8" s="25" t="s">
        <v>68</v>
      </c>
      <c r="H8" s="24" t="s">
        <v>36</v>
      </c>
      <c r="I8" s="24">
        <v>90</v>
      </c>
      <c r="J8" s="24">
        <v>517.5</v>
      </c>
      <c r="K8" s="24">
        <f t="shared" si="0"/>
        <v>5568.3</v>
      </c>
      <c r="L8" s="26">
        <v>15300</v>
      </c>
      <c r="M8" s="26">
        <f t="shared" si="1"/>
        <v>7917750</v>
      </c>
      <c r="Y8">
        <f>13000*4046.86</f>
        <v>52609180</v>
      </c>
      <c r="Z8">
        <f>13000/10.76</f>
        <v>1208.1784386617101</v>
      </c>
    </row>
    <row r="9" spans="4:26" x14ac:dyDescent="0.25">
      <c r="D9" s="24">
        <v>5</v>
      </c>
      <c r="E9" s="24">
        <v>6565</v>
      </c>
      <c r="F9" s="25">
        <v>36901</v>
      </c>
      <c r="G9" s="25" t="s">
        <v>68</v>
      </c>
      <c r="H9" s="24" t="s">
        <v>37</v>
      </c>
      <c r="I9" s="24">
        <v>90</v>
      </c>
      <c r="J9" s="24">
        <v>517.5</v>
      </c>
      <c r="K9" s="24">
        <f t="shared" si="0"/>
        <v>5568.3</v>
      </c>
      <c r="L9" s="26">
        <v>15300</v>
      </c>
      <c r="M9" s="26">
        <f t="shared" si="1"/>
        <v>7917750</v>
      </c>
    </row>
    <row r="10" spans="4:26" ht="25.5" customHeight="1" x14ac:dyDescent="0.25">
      <c r="D10" s="103" t="s">
        <v>38</v>
      </c>
      <c r="E10" s="104"/>
      <c r="F10" s="104"/>
      <c r="G10" s="104"/>
      <c r="H10" s="104"/>
      <c r="I10" s="105"/>
      <c r="J10" s="27">
        <f>SUM(J5:J9)</f>
        <v>2587.5</v>
      </c>
      <c r="K10" s="27">
        <f>SUM(K5:K9)</f>
        <v>27841.5</v>
      </c>
      <c r="L10" s="28"/>
      <c r="M10" s="28">
        <f t="shared" ref="M10" si="2">SUM(M5:M9)</f>
        <v>39588750</v>
      </c>
      <c r="O10">
        <v>6</v>
      </c>
    </row>
    <row r="12" spans="4:26" ht="26.25" customHeight="1" x14ac:dyDescent="0.25">
      <c r="J12">
        <f>J10*10.76</f>
        <v>27841.5</v>
      </c>
      <c r="Q12" s="64"/>
      <c r="R12" s="106" t="s">
        <v>28</v>
      </c>
      <c r="S12" s="106"/>
      <c r="T12" s="106"/>
    </row>
    <row r="13" spans="4:26" ht="34.5" customHeight="1" x14ac:dyDescent="0.25">
      <c r="R13" s="23" t="s">
        <v>63</v>
      </c>
      <c r="S13" s="23" t="s">
        <v>62</v>
      </c>
      <c r="T13" s="23" t="s">
        <v>16</v>
      </c>
    </row>
    <row r="14" spans="4:26" ht="26.25" customHeight="1" x14ac:dyDescent="0.25">
      <c r="R14" s="22">
        <f>J10</f>
        <v>2587.5</v>
      </c>
      <c r="S14" s="22">
        <v>4500</v>
      </c>
      <c r="T14" s="22">
        <f>S14*R14</f>
        <v>11643750</v>
      </c>
    </row>
    <row r="15" spans="4:26" ht="30" customHeight="1" x14ac:dyDescent="0.25"/>
    <row r="16" spans="4:26" x14ac:dyDescent="0.25">
      <c r="O16">
        <f>0.9*17000</f>
        <v>15300</v>
      </c>
      <c r="Y16" s="21"/>
      <c r="Z16" s="21"/>
    </row>
    <row r="20" spans="19:20" ht="31.5" customHeight="1" x14ac:dyDescent="0.25"/>
    <row r="21" spans="19:20" ht="30" x14ac:dyDescent="0.25">
      <c r="S21" s="5" t="s">
        <v>27</v>
      </c>
      <c r="T21" s="20">
        <f>M10+'valuation Building'!U26</f>
        <v>53760671.217999995</v>
      </c>
    </row>
    <row r="22" spans="19:20" x14ac:dyDescent="0.25">
      <c r="S22" t="s">
        <v>20</v>
      </c>
      <c r="T22">
        <v>53700000</v>
      </c>
    </row>
    <row r="23" spans="19:20" x14ac:dyDescent="0.25">
      <c r="S23" t="s">
        <v>21</v>
      </c>
      <c r="T23">
        <f>0.85*T22</f>
        <v>45645000</v>
      </c>
    </row>
    <row r="24" spans="19:20" x14ac:dyDescent="0.25">
      <c r="S24" t="s">
        <v>22</v>
      </c>
      <c r="T24">
        <f>0.75*T22</f>
        <v>40275000</v>
      </c>
    </row>
    <row r="25" spans="19:20" ht="30" x14ac:dyDescent="0.25">
      <c r="S25" s="5" t="s">
        <v>23</v>
      </c>
      <c r="T25" s="20">
        <f>0.8*'valuation Building'!U26</f>
        <v>11337536.974399999</v>
      </c>
    </row>
  </sheetData>
  <mergeCells count="2">
    <mergeCell ref="D10:I10"/>
    <mergeCell ref="R12:T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3" sqref="I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 Building</vt:lpstr>
      <vt:lpstr>Land valuation</vt:lpstr>
      <vt:lpstr>Allotment &amp; govt. guide. rate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Avinash S. Vairat</dc:creator>
  <cp:lastModifiedBy>Anirban Roy</cp:lastModifiedBy>
  <cp:lastPrinted>2023-11-29T13:34:25Z</cp:lastPrinted>
  <dcterms:created xsi:type="dcterms:W3CDTF">2020-01-16T11:18:29Z</dcterms:created>
  <dcterms:modified xsi:type="dcterms:W3CDTF">2024-03-08T12:05:45Z</dcterms:modified>
</cp:coreProperties>
</file>