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Deepak Singh\January-Mar 2024\VIS(2023-24)-PL711-612-936 Secure meter\VIS(2023-24)-PL711-612-936\report\"/>
    </mc:Choice>
  </mc:AlternateContent>
  <bookViews>
    <workbookView xWindow="0" yWindow="0" windowWidth="24000" windowHeight="8775" activeTab="2"/>
  </bookViews>
  <sheets>
    <sheet name="Sheet1" sheetId="1" r:id="rId1"/>
    <sheet name="Sheet3" sheetId="3" r:id="rId2"/>
    <sheet name="Calculations" sheetId="4" r:id="rId3"/>
  </sheets>
  <definedNames>
    <definedName name="_xlnm._FilterDatabase" localSheetId="0" hidden="1">Sheet1!$B$4:$S$19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F10" i="4"/>
  <c r="F8" i="4"/>
  <c r="E30" i="1"/>
  <c r="E29" i="1"/>
  <c r="E28" i="1"/>
  <c r="D30" i="1"/>
  <c r="D28" i="1"/>
  <c r="D29" i="1" l="1"/>
  <c r="E25" i="1"/>
  <c r="L25" i="1"/>
  <c r="I25" i="1"/>
  <c r="E15" i="1"/>
  <c r="O25" i="1" l="1"/>
  <c r="P25" i="1" s="1"/>
  <c r="R25" i="1" s="1"/>
  <c r="N15" i="3"/>
  <c r="F3" i="4"/>
  <c r="F29" i="1" l="1"/>
  <c r="D7" i="3" l="1"/>
  <c r="E7" i="3" s="1"/>
  <c r="D6" i="3"/>
  <c r="E6" i="3" s="1"/>
  <c r="A3" i="4"/>
  <c r="E3" i="4" l="1"/>
  <c r="J8" i="1" l="1"/>
  <c r="J9" i="1"/>
  <c r="J10" i="1"/>
  <c r="J11" i="1"/>
  <c r="J12" i="1"/>
  <c r="J13" i="1"/>
  <c r="J14" i="1"/>
  <c r="M8" i="1"/>
  <c r="M9" i="1"/>
  <c r="M10" i="1"/>
  <c r="M11" i="1"/>
  <c r="M12" i="1"/>
  <c r="M13" i="1"/>
  <c r="M14" i="1"/>
  <c r="F6" i="1"/>
  <c r="F7" i="1"/>
  <c r="F8" i="1"/>
  <c r="O8" i="1" s="1"/>
  <c r="F9" i="1"/>
  <c r="O9" i="1" s="1"/>
  <c r="F10" i="1"/>
  <c r="O10" i="1" s="1"/>
  <c r="F11" i="1"/>
  <c r="O11" i="1" s="1"/>
  <c r="F12" i="1"/>
  <c r="O12" i="1" s="1"/>
  <c r="F13" i="1"/>
  <c r="O13" i="1" s="1"/>
  <c r="F14" i="1"/>
  <c r="O14" i="1" s="1"/>
  <c r="F5" i="1"/>
  <c r="P10" i="1" l="1"/>
  <c r="P14" i="1"/>
  <c r="Q14" i="1" s="1"/>
  <c r="P12" i="1"/>
  <c r="Q12" i="1" s="1"/>
  <c r="S12" i="1" s="1"/>
  <c r="P9" i="1"/>
  <c r="Q9" i="1" s="1"/>
  <c r="S9" i="1" s="1"/>
  <c r="F15" i="1"/>
  <c r="P8" i="1"/>
  <c r="Q8" i="1" s="1"/>
  <c r="S8" i="1" s="1"/>
  <c r="P13" i="1"/>
  <c r="Q13" i="1" s="1"/>
  <c r="S13" i="1" s="1"/>
  <c r="P11" i="1"/>
  <c r="Q11" i="1" s="1"/>
  <c r="S11" i="1" s="1"/>
  <c r="Q10" i="1"/>
  <c r="S10" i="1" s="1"/>
  <c r="M5" i="1"/>
  <c r="G3" i="4" l="1"/>
  <c r="F6" i="4" s="1"/>
  <c r="C3" i="4" l="1"/>
  <c r="B6" i="4" s="1"/>
  <c r="O6" i="1"/>
  <c r="O7" i="1"/>
  <c r="O5" i="1"/>
  <c r="R15" i="1"/>
  <c r="J6" i="1"/>
  <c r="J7" i="1"/>
  <c r="J5" i="1"/>
  <c r="I32" i="1"/>
  <c r="H7" i="3" l="1"/>
  <c r="H6" i="3"/>
  <c r="O15" i="1"/>
  <c r="F13" i="4" s="1"/>
  <c r="M6" i="1"/>
  <c r="P6" i="1" s="1"/>
  <c r="Q6" i="1" s="1"/>
  <c r="S6" i="1" s="1"/>
  <c r="M7" i="1"/>
  <c r="P7" i="1" s="1"/>
  <c r="Q7" i="1" s="1"/>
  <c r="S7" i="1" s="1"/>
  <c r="S14" i="1"/>
  <c r="P5" i="1"/>
  <c r="Q5" i="1" s="1"/>
  <c r="S5" i="1" s="1"/>
  <c r="H8" i="3" l="1"/>
  <c r="B7" i="4" s="1"/>
  <c r="B9" i="4" s="1"/>
  <c r="B10" i="4" s="1"/>
  <c r="S15" i="1"/>
  <c r="F7" i="4" s="1"/>
  <c r="F9" i="4" s="1"/>
  <c r="B12" i="4" l="1"/>
  <c r="B11" i="4"/>
  <c r="F11" i="4"/>
  <c r="F12" i="4"/>
</calcChain>
</file>

<file path=xl/sharedStrings.xml><?xml version="1.0" encoding="utf-8"?>
<sst xmlns="http://schemas.openxmlformats.org/spreadsheetml/2006/main" count="123" uniqueCount="86">
  <si>
    <t>SR. No.</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</si>
  <si>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</si>
  <si>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</si>
  <si>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</si>
  <si>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</si>
  <si>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</si>
  <si>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</si>
  <si>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</si>
  <si>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</si>
  <si>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</si>
  <si>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</si>
  <si>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</si>
  <si>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Discounting Factor</t>
  </si>
  <si>
    <t>Depreciated Replacement Market Value
(INR)</t>
  </si>
  <si>
    <t>TOTAL</t>
  </si>
  <si>
    <r>
      <t>Area</t>
    </r>
    <r>
      <rPr>
        <b/>
        <sz val="10"/>
        <rFont val="Calibri"/>
        <family val="2"/>
        <scheme val="minor"/>
      </rPr>
      <t xml:space="preserve"> (in sq. mtr.)</t>
    </r>
  </si>
  <si>
    <t>RCC structure bounded by brick wall</t>
  </si>
  <si>
    <t>Depriciation Factor</t>
  </si>
  <si>
    <t>Particular</t>
  </si>
  <si>
    <t>Govt guidline rate for construction(Per SQM)</t>
  </si>
  <si>
    <t>Guidline Value</t>
  </si>
  <si>
    <t>Particulars</t>
  </si>
  <si>
    <t>R.C.C</t>
  </si>
  <si>
    <t>Tin Shed</t>
  </si>
  <si>
    <t>Tin Shed and Tin Sheet Roof</t>
  </si>
  <si>
    <t>Land</t>
  </si>
  <si>
    <t>Rate</t>
  </si>
  <si>
    <t>Value</t>
  </si>
  <si>
    <t xml:space="preserve"> -   </t>
  </si>
  <si>
    <t>land</t>
  </si>
  <si>
    <t>Building</t>
  </si>
  <si>
    <t>Aesthetic</t>
  </si>
  <si>
    <t>Fair market</t>
  </si>
  <si>
    <t>Round off</t>
  </si>
  <si>
    <t>Realizable</t>
  </si>
  <si>
    <t>Distress</t>
  </si>
  <si>
    <t>FMV</t>
  </si>
  <si>
    <t>Govt.</t>
  </si>
  <si>
    <t>Depreciation amount
(INR)</t>
  </si>
  <si>
    <t xml:space="preserve">Depreciation factor
 </t>
  </si>
  <si>
    <t>2. Construction year of the plant has been taken from the information provided by the client during site survey .</t>
  </si>
  <si>
    <t>RCC</t>
  </si>
  <si>
    <t>~ 13</t>
  </si>
  <si>
    <t>3. The valuation is done by considering the depreciated replacement cost approach.</t>
  </si>
  <si>
    <t>Notes:</t>
  </si>
  <si>
    <t>West Block</t>
  </si>
  <si>
    <t>East Block</t>
  </si>
  <si>
    <t>Moulding Plant</t>
  </si>
  <si>
    <t>Central Ware House (G+1)</t>
  </si>
  <si>
    <t>Canteen (G+1)</t>
  </si>
  <si>
    <t>Utility Building - 1</t>
  </si>
  <si>
    <t>Utility Building - 2</t>
  </si>
  <si>
    <t>Scrap Building</t>
  </si>
  <si>
    <t>First Aid Room</t>
  </si>
  <si>
    <t>Guard Room</t>
  </si>
  <si>
    <r>
      <t xml:space="preserve">Area 
</t>
    </r>
    <r>
      <rPr>
        <b/>
        <i/>
        <sz val="10"/>
        <rFont val="Calibri"/>
        <family val="2"/>
        <scheme val="minor"/>
      </rPr>
      <t>(in sq.mtr)</t>
    </r>
  </si>
  <si>
    <t>GI shed on Sheet Cladding</t>
  </si>
  <si>
    <t>~ 14</t>
  </si>
  <si>
    <t>~ 25</t>
  </si>
  <si>
    <t>~ 12 (each)</t>
  </si>
  <si>
    <t>~ 13 (each)</t>
  </si>
  <si>
    <t>BUILDING VALUATION FOR M/S. SECURE METER LTD. UDAIPUR</t>
  </si>
  <si>
    <t>1. All the details pertaining to the building area statement such as area, floor,type of structure etc. haS been taken as per the Old Valuation report and information provided by client during survey.</t>
  </si>
  <si>
    <t>4.All the building and structures belongs to M/s. Secure Meter Ltd. Udaipur</t>
  </si>
  <si>
    <t xml:space="preserve"> </t>
  </si>
  <si>
    <t>Insurance</t>
  </si>
  <si>
    <t>S.no</t>
  </si>
  <si>
    <t>Plot No.</t>
  </si>
  <si>
    <t>No. of plots</t>
  </si>
  <si>
    <t>Area</t>
  </si>
  <si>
    <t>Ownership</t>
  </si>
  <si>
    <t>G-421 to 432, G1-390 to 396 &amp; H-381 to 389.</t>
  </si>
  <si>
    <t>F-378 to 380</t>
  </si>
  <si>
    <t>Total</t>
  </si>
  <si>
    <t>~ 15</t>
  </si>
  <si>
    <t>~ 17</t>
  </si>
  <si>
    <t>~ 9</t>
  </si>
  <si>
    <t>~ 10</t>
  </si>
  <si>
    <t>Bit</t>
  </si>
  <si>
    <r>
      <t xml:space="preserve">Area 
</t>
    </r>
    <r>
      <rPr>
        <b/>
        <i/>
        <sz val="10"/>
        <rFont val="Calibri"/>
        <family val="2"/>
        <scheme val="minor"/>
      </rPr>
      <t>(in running mtr)</t>
    </r>
  </si>
  <si>
    <t>Rcc</t>
  </si>
  <si>
    <r>
      <t xml:space="preserve">Plinth Area  Rate 
</t>
    </r>
    <r>
      <rPr>
        <b/>
        <i/>
        <sz val="10"/>
        <rFont val="Calibri"/>
        <family val="2"/>
        <scheme val="minor"/>
      </rPr>
      <t>(in per running mtr</t>
    </r>
  </si>
  <si>
    <t>Boundary wall</t>
  </si>
  <si>
    <t>Road</t>
  </si>
  <si>
    <t>road Value</t>
  </si>
  <si>
    <t>Asthetic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</si>
</sst>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 #,##0.00_ ;_ * \-#,##0.00_ ;_ * &quot;-&quot;??_ ;_ @_ "/>
    <numFmt numFmtId="165" formatCode="_ * #,##0_ ;_ * \-#,##0_ ;_ * &quot;-&quot;??_ ;_ @_ "/>
    <numFmt numFmtId="166" formatCode="_ * #,##0.000_ ;_ * \-#,##0.000_ ;_ * &quot;-&quot;??_ ;_ @_ "/>
    <numFmt numFmtId="167" formatCode="_ * #,##0.0000_ ;_ * \-#,##0.0000_ ;_ *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b/>
      <sz val="10"/>
      <name val="Calibri"/>
      <family val="2"/>
      <scheme val="minor"/>
    </font>
    <font>
      <b/>
      <sz val="12"/>
      <color theme="1"/>
      <name val="Calibri"/>
      <family val="2"/>
      <scheme val="minor"/>
    </font>
    <font>
      <sz val="11"/>
      <name val="Calibri"/>
      <family val="2"/>
      <scheme val="minor"/>
    </font>
    <font>
      <b/>
      <sz val="10"/>
      <color theme="1"/>
      <name val="Arial"/>
      <family val="2"/>
    </font>
    <font>
      <i/>
      <sz val="10"/>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49998474074526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164" fontId="1" fillId="0" borderId="0" applyFont="0" applyFill="0" applyBorder="0" applyAlignment="0" applyProtection="0"/>
  </cellStyleXfs>
  <cellXfs count="89">
    <xf numFmtId="0" fontId="0" fillId="0" borderId="0" xfId="0"/>
    <xf numFmtId="0" fontId="0" fillId="0" borderId="0" xfId="0" applyAlignment="1">
      <alignment wrapText="1"/>
    </xf>
    <xf numFmtId="165" fontId="0" fillId="0" borderId="0" xfId="1" applyNumberFormat="1" applyFont="1"/>
    <xf numFmtId="164" fontId="0" fillId="0" borderId="0" xfId="0" applyNumberFormat="1"/>
    <xf numFmtId="164" fontId="0" fillId="0" borderId="0" xfId="1" applyFont="1"/>
    <xf numFmtId="0" fontId="0" fillId="0" borderId="13" xfId="0" applyBorder="1" applyAlignment="1">
      <alignment horizontal="center" vertical="center" wrapText="1"/>
    </xf>
    <xf numFmtId="0" fontId="0" fillId="4" borderId="0" xfId="0" applyFill="1"/>
    <xf numFmtId="0" fontId="4" fillId="4" borderId="5" xfId="0" applyFont="1" applyFill="1" applyBorder="1" applyAlignment="1">
      <alignment horizontal="center" vertical="center" wrapText="1"/>
    </xf>
    <xf numFmtId="164" fontId="4" fillId="4" borderId="5" xfId="1" applyFont="1" applyFill="1" applyBorder="1" applyAlignment="1">
      <alignment horizontal="center" vertical="center" wrapText="1"/>
    </xf>
    <xf numFmtId="164" fontId="4" fillId="4" borderId="4" xfId="1" applyFont="1" applyFill="1" applyBorder="1" applyAlignment="1">
      <alignment horizontal="center" vertical="center" wrapText="1"/>
    </xf>
    <xf numFmtId="0" fontId="9" fillId="4" borderId="4" xfId="0" applyFont="1" applyFill="1" applyBorder="1" applyAlignment="1">
      <alignment horizontal="center" vertical="center" wrapText="1"/>
    </xf>
    <xf numFmtId="9" fontId="9" fillId="4" borderId="4"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164" fontId="4" fillId="3" borderId="16" xfId="1" applyFont="1" applyFill="1" applyBorder="1" applyAlignment="1">
      <alignment horizontal="center" vertical="center" wrapText="1"/>
    </xf>
    <xf numFmtId="165" fontId="4" fillId="3" borderId="17" xfId="1"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wrapText="1"/>
    </xf>
    <xf numFmtId="164" fontId="0" fillId="0" borderId="10" xfId="1" applyFont="1" applyBorder="1" applyAlignment="1">
      <alignment horizontal="center" vertical="center"/>
    </xf>
    <xf numFmtId="164" fontId="1" fillId="0" borderId="10" xfId="1" applyFill="1" applyBorder="1" applyAlignment="1">
      <alignment horizontal="center" vertical="center" wrapText="1"/>
    </xf>
    <xf numFmtId="165" fontId="0" fillId="0" borderId="10" xfId="1" applyNumberFormat="1" applyFont="1" applyBorder="1" applyAlignment="1">
      <alignment horizontal="center" vertical="center" wrapText="1"/>
    </xf>
    <xf numFmtId="166" fontId="0" fillId="0" borderId="10" xfId="1" applyNumberFormat="1" applyFont="1" applyBorder="1" applyAlignment="1">
      <alignment horizontal="center" vertical="center" wrapText="1"/>
    </xf>
    <xf numFmtId="165" fontId="1" fillId="0" borderId="11" xfId="1" applyNumberFormat="1" applyFill="1" applyBorder="1" applyAlignment="1">
      <alignment horizontal="center" vertical="center" wrapText="1"/>
    </xf>
    <xf numFmtId="165" fontId="1" fillId="0" borderId="14" xfId="1" applyNumberFormat="1" applyFill="1" applyBorder="1" applyAlignment="1">
      <alignment horizontal="center" vertical="center" wrapText="1"/>
    </xf>
    <xf numFmtId="164" fontId="0" fillId="0" borderId="13" xfId="1" applyFont="1" applyBorder="1" applyAlignment="1">
      <alignment horizontal="center" vertical="center"/>
    </xf>
    <xf numFmtId="165" fontId="0" fillId="0" borderId="13" xfId="1" applyNumberFormat="1" applyFont="1" applyBorder="1" applyAlignment="1">
      <alignment horizontal="center" vertical="center" wrapText="1"/>
    </xf>
    <xf numFmtId="166" fontId="0" fillId="0" borderId="13" xfId="1" applyNumberFormat="1" applyFont="1" applyBorder="1" applyAlignment="1">
      <alignment horizontal="center" vertical="center" wrapText="1"/>
    </xf>
    <xf numFmtId="167" fontId="0" fillId="0" borderId="0" xfId="0" applyNumberFormat="1"/>
    <xf numFmtId="0" fontId="0" fillId="0" borderId="12" xfId="0" applyBorder="1" applyAlignment="1">
      <alignment horizontal="center" vertical="center"/>
    </xf>
    <xf numFmtId="165" fontId="2" fillId="0" borderId="21" xfId="1" applyNumberFormat="1" applyFont="1" applyBorder="1"/>
    <xf numFmtId="165" fontId="9" fillId="4" borderId="4" xfId="1" applyNumberFormat="1" applyFont="1" applyFill="1" applyBorder="1" applyAlignment="1">
      <alignment horizontal="center" vertical="center" wrapText="1"/>
    </xf>
    <xf numFmtId="4" fontId="0" fillId="0" borderId="0" xfId="0" applyNumberFormat="1"/>
    <xf numFmtId="0" fontId="0" fillId="0" borderId="22" xfId="0" applyBorder="1"/>
    <xf numFmtId="0" fontId="0" fillId="0" borderId="24" xfId="0" applyBorder="1"/>
    <xf numFmtId="3" fontId="0" fillId="0" borderId="25" xfId="0" applyNumberFormat="1" applyBorder="1"/>
    <xf numFmtId="0" fontId="0" fillId="0" borderId="18" xfId="0" applyBorder="1"/>
    <xf numFmtId="3" fontId="0" fillId="0" borderId="26" xfId="0" applyNumberFormat="1" applyBorder="1"/>
    <xf numFmtId="0" fontId="0" fillId="0" borderId="27" xfId="0" applyBorder="1"/>
    <xf numFmtId="0" fontId="0" fillId="0" borderId="23" xfId="0" applyBorder="1"/>
    <xf numFmtId="3" fontId="0" fillId="0" borderId="19" xfId="0" applyNumberFormat="1" applyBorder="1"/>
    <xf numFmtId="165" fontId="4" fillId="4" borderId="5" xfId="1" applyNumberFormat="1" applyFont="1" applyFill="1" applyBorder="1" applyAlignment="1">
      <alignment horizontal="center" vertical="center" wrapText="1"/>
    </xf>
    <xf numFmtId="165" fontId="9" fillId="4" borderId="4" xfId="0" applyNumberFormat="1" applyFont="1" applyFill="1" applyBorder="1" applyAlignment="1">
      <alignment horizontal="center" vertical="center" wrapText="1"/>
    </xf>
    <xf numFmtId="2" fontId="9" fillId="4" borderId="4" xfId="0" applyNumberFormat="1" applyFont="1" applyFill="1" applyBorder="1" applyAlignment="1">
      <alignment horizontal="center" vertical="center" wrapText="1"/>
    </xf>
    <xf numFmtId="9" fontId="0" fillId="0" borderId="0" xfId="0" applyNumberFormat="1"/>
    <xf numFmtId="3" fontId="10" fillId="0" borderId="0" xfId="0" applyNumberFormat="1" applyFont="1"/>
    <xf numFmtId="165" fontId="0" fillId="0" borderId="0" xfId="0" applyNumberFormat="1"/>
    <xf numFmtId="166" fontId="0" fillId="0" borderId="0" xfId="1" applyNumberFormat="1" applyFont="1"/>
    <xf numFmtId="43" fontId="0" fillId="0" borderId="0" xfId="0" applyNumberFormat="1"/>
    <xf numFmtId="165" fontId="0" fillId="0" borderId="25" xfId="1" applyNumberFormat="1" applyFont="1" applyBorder="1"/>
    <xf numFmtId="165" fontId="10" fillId="0" borderId="0" xfId="1" applyNumberFormat="1" applyFont="1"/>
    <xf numFmtId="0" fontId="9" fillId="0" borderId="4" xfId="0" applyFont="1" applyBorder="1" applyAlignment="1">
      <alignment horizontal="center" vertical="center" wrapText="1"/>
    </xf>
    <xf numFmtId="165" fontId="9" fillId="4" borderId="4" xfId="1" applyNumberFormat="1" applyFont="1" applyFill="1" applyBorder="1" applyAlignment="1">
      <alignment horizontal="center" wrapText="1"/>
    </xf>
    <xf numFmtId="165" fontId="9" fillId="4" borderId="4" xfId="1" applyNumberFormat="1" applyFont="1" applyFill="1" applyBorder="1" applyAlignment="1">
      <alignment vertical="center" wrapText="1"/>
    </xf>
    <xf numFmtId="165" fontId="9" fillId="0" borderId="4" xfId="1" applyNumberFormat="1" applyFont="1" applyBorder="1" applyAlignment="1">
      <alignment horizontal="center" vertical="center" wrapText="1"/>
    </xf>
    <xf numFmtId="3" fontId="9" fillId="4" borderId="4" xfId="0" applyNumberFormat="1" applyFont="1" applyFill="1" applyBorder="1" applyAlignment="1">
      <alignment horizontal="center" vertical="center" wrapText="1"/>
    </xf>
    <xf numFmtId="1" fontId="0" fillId="0" borderId="0" xfId="0" applyNumberFormat="1"/>
    <xf numFmtId="0" fontId="4" fillId="5" borderId="4" xfId="0" applyFont="1" applyFill="1" applyBorder="1" applyAlignment="1">
      <alignment horizontal="center" vertical="center" wrapText="1"/>
    </xf>
    <xf numFmtId="3" fontId="4" fillId="4" borderId="5" xfId="0" applyNumberFormat="1" applyFont="1" applyFill="1" applyBorder="1" applyAlignment="1">
      <alignment horizontal="center" vertical="center" wrapText="1"/>
    </xf>
    <xf numFmtId="165" fontId="4" fillId="0" borderId="5" xfId="1" applyNumberFormat="1" applyFont="1" applyFill="1" applyBorder="1" applyAlignment="1">
      <alignment horizontal="center" vertical="center" wrapText="1"/>
    </xf>
    <xf numFmtId="0" fontId="12" fillId="6" borderId="4" xfId="0" applyFont="1" applyFill="1" applyBorder="1" applyAlignment="1">
      <alignment horizontal="center"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2" fillId="3" borderId="4" xfId="0" applyFont="1" applyFill="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8" fillId="3" borderId="6" xfId="0" applyFont="1"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5" fontId="4" fillId="0" borderId="4" xfId="1" applyNumberFormat="1" applyFont="1" applyBorder="1" applyAlignment="1">
      <alignment horizontal="center" vertical="center" wrapText="1"/>
    </xf>
    <xf numFmtId="0" fontId="2" fillId="0" borderId="4" xfId="0" applyFont="1" applyBorder="1"/>
    <xf numFmtId="165" fontId="2" fillId="0" borderId="4" xfId="0" applyNumberFormat="1" applyFont="1" applyBorder="1"/>
    <xf numFmtId="165" fontId="2" fillId="0" borderId="4" xfId="1"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42"/>
  <sheetViews>
    <sheetView zoomScale="85" zoomScaleNormal="85" workbookViewId="0">
      <selection activeCell="E29" sqref="E29"/>
    </sheetView>
  </sheetViews>
  <sheetFormatPr defaultRowHeight="15" x14ac:dyDescent="0.25"/>
  <cols>
    <col min="1" max="1" width="7.42578125" customWidth="1"/>
    <col min="2" max="2" width="6.28515625" customWidth="1"/>
    <col min="3" max="3" width="15" customWidth="1"/>
    <col min="4" max="4" width="14" style="1" customWidth="1"/>
    <col min="5" max="5" width="12.42578125" style="1" customWidth="1"/>
    <col min="6" max="6" width="11.7109375" customWidth="1"/>
    <col min="7" max="7" width="14.42578125" style="6" customWidth="1"/>
    <col min="8" max="8" width="15.42578125" customWidth="1"/>
    <col min="9" max="9" width="9.5703125" customWidth="1"/>
    <col min="10" max="10" width="10.42578125" customWidth="1"/>
    <col min="11" max="11" width="11" customWidth="1"/>
    <col min="12" max="12" width="7.85546875" customWidth="1"/>
    <col min="13" max="13" width="11.85546875" customWidth="1"/>
    <col min="14" max="14" width="18.7109375" customWidth="1"/>
    <col min="15" max="15" width="15.42578125" customWidth="1"/>
    <col min="16" max="16" width="12.42578125" customWidth="1"/>
    <col min="17" max="17" width="13.42578125" customWidth="1"/>
    <col min="18" max="18" width="11.7109375" customWidth="1"/>
    <col min="19" max="19" width="15.28515625" customWidth="1"/>
    <col min="20" max="20" width="10.28515625" bestFit="1" customWidth="1"/>
    <col min="21" max="21" width="14.28515625" style="2" bestFit="1" customWidth="1"/>
    <col min="22" max="22" width="15.42578125" bestFit="1" customWidth="1"/>
    <col min="23" max="23" width="14.42578125" bestFit="1" customWidth="1"/>
    <col min="24" max="24" width="15.42578125" bestFit="1" customWidth="1"/>
    <col min="25" max="25" width="22.28515625" customWidth="1"/>
    <col min="26" max="26" width="14.42578125" bestFit="1" customWidth="1"/>
    <col min="27" max="27" width="10.28515625" bestFit="1" customWidth="1"/>
    <col min="30" max="30" width="14.42578125" bestFit="1" customWidth="1"/>
  </cols>
  <sheetData>
    <row r="3" spans="2:24" ht="29.25" customHeight="1" x14ac:dyDescent="0.25">
      <c r="B3" s="70" t="s">
        <v>61</v>
      </c>
      <c r="C3" s="71"/>
      <c r="D3" s="71"/>
      <c r="E3" s="71"/>
      <c r="F3" s="71"/>
      <c r="G3" s="71"/>
      <c r="H3" s="71"/>
      <c r="I3" s="71"/>
      <c r="J3" s="71"/>
      <c r="K3" s="71"/>
      <c r="L3" s="71"/>
      <c r="M3" s="71"/>
      <c r="N3" s="71"/>
      <c r="O3" s="71"/>
      <c r="P3" s="71"/>
      <c r="Q3" s="71"/>
      <c r="R3" s="71"/>
      <c r="S3" s="72"/>
      <c r="U3" s="47"/>
    </row>
    <row r="4" spans="2:24" ht="60" x14ac:dyDescent="0.25">
      <c r="B4" s="57" t="s">
        <v>0</v>
      </c>
      <c r="C4" s="57" t="s">
        <v>21</v>
      </c>
      <c r="D4" s="57" t="s">
        <v>1</v>
      </c>
      <c r="E4" s="57" t="s">
        <v>55</v>
      </c>
      <c r="F4" s="57" t="s">
        <v>2</v>
      </c>
      <c r="G4" s="57" t="s">
        <v>3</v>
      </c>
      <c r="H4" s="57" t="s">
        <v>4</v>
      </c>
      <c r="I4" s="57" t="s">
        <v>5</v>
      </c>
      <c r="J4" s="57" t="s">
        <v>6</v>
      </c>
      <c r="K4" s="57" t="s">
        <v>7</v>
      </c>
      <c r="L4" s="57" t="s">
        <v>8</v>
      </c>
      <c r="M4" s="57" t="s">
        <v>9</v>
      </c>
      <c r="N4" s="57" t="s">
        <v>10</v>
      </c>
      <c r="O4" s="57" t="s">
        <v>11</v>
      </c>
      <c r="P4" s="57" t="s">
        <v>39</v>
      </c>
      <c r="Q4" s="57" t="s">
        <v>38</v>
      </c>
      <c r="R4" s="57" t="s">
        <v>12</v>
      </c>
      <c r="S4" s="57" t="s">
        <v>13</v>
      </c>
      <c r="U4"/>
      <c r="X4" s="44"/>
    </row>
    <row r="5" spans="2:24" x14ac:dyDescent="0.25">
      <c r="B5" s="10">
        <v>1</v>
      </c>
      <c r="C5" s="10" t="s">
        <v>45</v>
      </c>
      <c r="D5" s="10" t="s">
        <v>41</v>
      </c>
      <c r="E5" s="55">
        <v>10941.19</v>
      </c>
      <c r="F5" s="55">
        <f t="shared" ref="F5:F14" si="0">E5*10.7639</f>
        <v>117769.87504100001</v>
      </c>
      <c r="G5" s="51" t="s">
        <v>42</v>
      </c>
      <c r="H5" s="12">
        <v>2015</v>
      </c>
      <c r="I5" s="10">
        <v>2024</v>
      </c>
      <c r="J5" s="10">
        <f>I5-H5</f>
        <v>9</v>
      </c>
      <c r="K5" s="10">
        <v>65</v>
      </c>
      <c r="L5" s="11">
        <v>0.1</v>
      </c>
      <c r="M5" s="10">
        <f t="shared" ref="M5:M14" si="1">(1-L5)/K5</f>
        <v>1.3846153846153847E-2</v>
      </c>
      <c r="N5" s="51">
        <v>1800</v>
      </c>
      <c r="O5" s="52">
        <f>N5*F5</f>
        <v>211985775.0738</v>
      </c>
      <c r="P5" s="43">
        <f>M5*J5</f>
        <v>0.12461538461538461</v>
      </c>
      <c r="Q5" s="10">
        <f>O5*P5</f>
        <v>26416688.893812001</v>
      </c>
      <c r="R5" s="10"/>
      <c r="S5" s="54">
        <f>O5-Q5</f>
        <v>185569086.179988</v>
      </c>
      <c r="U5"/>
    </row>
    <row r="6" spans="2:24" x14ac:dyDescent="0.25">
      <c r="B6" s="10">
        <v>2</v>
      </c>
      <c r="C6" s="10" t="s">
        <v>46</v>
      </c>
      <c r="D6" s="10" t="s">
        <v>41</v>
      </c>
      <c r="E6" s="55">
        <v>13593.74</v>
      </c>
      <c r="F6" s="55">
        <f t="shared" si="0"/>
        <v>146321.65798600001</v>
      </c>
      <c r="G6" s="51" t="s">
        <v>57</v>
      </c>
      <c r="H6" s="12">
        <v>2012</v>
      </c>
      <c r="I6" s="10">
        <v>2024</v>
      </c>
      <c r="J6" s="10">
        <f t="shared" ref="J6:J14" si="2">I6-H6</f>
        <v>12</v>
      </c>
      <c r="K6" s="10">
        <v>65</v>
      </c>
      <c r="L6" s="11">
        <v>0.1</v>
      </c>
      <c r="M6" s="10">
        <f t="shared" si="1"/>
        <v>1.3846153846153847E-2</v>
      </c>
      <c r="N6" s="51">
        <v>1800</v>
      </c>
      <c r="O6" s="53">
        <f t="shared" ref="O6:O14" si="3">N6*F6</f>
        <v>263378984.3748</v>
      </c>
      <c r="P6" s="43">
        <f t="shared" ref="P6" si="4">M6*J6</f>
        <v>0.16615384615384615</v>
      </c>
      <c r="Q6" s="10">
        <f t="shared" ref="Q6" si="5">O6*P6</f>
        <v>43761431.24996677</v>
      </c>
      <c r="R6" s="10"/>
      <c r="S6" s="54">
        <f t="shared" ref="S6:S14" si="6">O6-Q6</f>
        <v>219617553.12483323</v>
      </c>
      <c r="U6"/>
    </row>
    <row r="7" spans="2:24" x14ac:dyDescent="0.25">
      <c r="B7" s="10">
        <v>3</v>
      </c>
      <c r="C7" s="10" t="s">
        <v>47</v>
      </c>
      <c r="D7" s="10" t="s">
        <v>41</v>
      </c>
      <c r="E7" s="55">
        <v>1500</v>
      </c>
      <c r="F7" s="55">
        <f t="shared" si="0"/>
        <v>16145.849999999999</v>
      </c>
      <c r="G7" s="51" t="s">
        <v>58</v>
      </c>
      <c r="H7" s="12">
        <v>2014</v>
      </c>
      <c r="I7" s="10">
        <v>2024</v>
      </c>
      <c r="J7" s="10">
        <f t="shared" si="2"/>
        <v>10</v>
      </c>
      <c r="K7" s="10">
        <v>65</v>
      </c>
      <c r="L7" s="11">
        <v>0.1</v>
      </c>
      <c r="M7" s="10">
        <f t="shared" si="1"/>
        <v>1.3846153846153847E-2</v>
      </c>
      <c r="N7" s="51">
        <v>1800</v>
      </c>
      <c r="O7" s="31">
        <f t="shared" si="3"/>
        <v>29062529.999999996</v>
      </c>
      <c r="P7" s="43">
        <f>M7*J7</f>
        <v>0.13846153846153847</v>
      </c>
      <c r="Q7" s="42">
        <f>O7*P7</f>
        <v>4024042.615384615</v>
      </c>
      <c r="R7" s="10"/>
      <c r="S7" s="54">
        <f t="shared" si="6"/>
        <v>25038487.38461538</v>
      </c>
      <c r="U7" t="s">
        <v>64</v>
      </c>
    </row>
    <row r="8" spans="2:24" ht="30" x14ac:dyDescent="0.25">
      <c r="B8" s="10">
        <v>4</v>
      </c>
      <c r="C8" s="10" t="s">
        <v>48</v>
      </c>
      <c r="D8" s="10" t="s">
        <v>41</v>
      </c>
      <c r="E8" s="55">
        <v>3000</v>
      </c>
      <c r="F8" s="55">
        <f t="shared" si="0"/>
        <v>32291.699999999997</v>
      </c>
      <c r="G8" s="51" t="s">
        <v>59</v>
      </c>
      <c r="H8" s="12">
        <v>2014</v>
      </c>
      <c r="I8" s="10">
        <v>2024</v>
      </c>
      <c r="J8" s="10">
        <f t="shared" si="2"/>
        <v>10</v>
      </c>
      <c r="K8" s="10">
        <v>65</v>
      </c>
      <c r="L8" s="11">
        <v>0.1</v>
      </c>
      <c r="M8" s="10">
        <f t="shared" si="1"/>
        <v>1.3846153846153847E-2</v>
      </c>
      <c r="N8" s="51">
        <v>1800</v>
      </c>
      <c r="O8" s="31">
        <f t="shared" si="3"/>
        <v>58125059.999999993</v>
      </c>
      <c r="P8" s="43">
        <f t="shared" ref="P8:P14" si="7">M8*J8</f>
        <v>0.13846153846153847</v>
      </c>
      <c r="Q8" s="42">
        <f t="shared" ref="Q8:Q14" si="8">O8*P8</f>
        <v>8048085.2307692301</v>
      </c>
      <c r="R8" s="10"/>
      <c r="S8" s="54">
        <f t="shared" si="6"/>
        <v>50076974.769230761</v>
      </c>
      <c r="U8"/>
    </row>
    <row r="9" spans="2:24" x14ac:dyDescent="0.25">
      <c r="B9" s="10">
        <v>5</v>
      </c>
      <c r="C9" s="10" t="s">
        <v>49</v>
      </c>
      <c r="D9" s="10" t="s">
        <v>41</v>
      </c>
      <c r="E9" s="55">
        <v>2055.37</v>
      </c>
      <c r="F9" s="55">
        <f t="shared" si="0"/>
        <v>22123.797143</v>
      </c>
      <c r="G9" s="51" t="s">
        <v>60</v>
      </c>
      <c r="H9" s="12">
        <v>2014</v>
      </c>
      <c r="I9" s="10">
        <v>2024</v>
      </c>
      <c r="J9" s="10">
        <f t="shared" si="2"/>
        <v>10</v>
      </c>
      <c r="K9" s="10">
        <v>65</v>
      </c>
      <c r="L9" s="11">
        <v>0.1</v>
      </c>
      <c r="M9" s="10">
        <f t="shared" si="1"/>
        <v>1.3846153846153847E-2</v>
      </c>
      <c r="N9" s="51">
        <v>1800</v>
      </c>
      <c r="O9" s="31">
        <f t="shared" si="3"/>
        <v>39822834.8574</v>
      </c>
      <c r="P9" s="43">
        <f t="shared" si="7"/>
        <v>0.13846153846153847</v>
      </c>
      <c r="Q9" s="42">
        <f t="shared" si="8"/>
        <v>5513930.9802553849</v>
      </c>
      <c r="R9" s="10"/>
      <c r="S9" s="54">
        <f t="shared" si="6"/>
        <v>34308903.877144612</v>
      </c>
      <c r="U9"/>
    </row>
    <row r="10" spans="2:24" ht="30" x14ac:dyDescent="0.25">
      <c r="B10" s="10">
        <v>6</v>
      </c>
      <c r="C10" s="10" t="s">
        <v>50</v>
      </c>
      <c r="D10" s="10" t="s">
        <v>41</v>
      </c>
      <c r="E10" s="55">
        <v>323.3</v>
      </c>
      <c r="F10" s="55">
        <f t="shared" si="0"/>
        <v>3479.9688700000002</v>
      </c>
      <c r="G10" s="51" t="s">
        <v>74</v>
      </c>
      <c r="H10" s="12">
        <v>2014</v>
      </c>
      <c r="I10" s="10">
        <v>2024</v>
      </c>
      <c r="J10" s="10">
        <f t="shared" si="2"/>
        <v>10</v>
      </c>
      <c r="K10" s="10">
        <v>65</v>
      </c>
      <c r="L10" s="11">
        <v>0.1</v>
      </c>
      <c r="M10" s="10">
        <f t="shared" si="1"/>
        <v>1.3846153846153847E-2</v>
      </c>
      <c r="N10" s="51">
        <v>1800</v>
      </c>
      <c r="O10" s="31">
        <f t="shared" si="3"/>
        <v>6263943.966</v>
      </c>
      <c r="P10" s="43">
        <f t="shared" si="7"/>
        <v>0.13846153846153847</v>
      </c>
      <c r="Q10" s="42">
        <f t="shared" si="8"/>
        <v>867315.31836923084</v>
      </c>
      <c r="R10" s="10"/>
      <c r="S10" s="54">
        <f t="shared" si="6"/>
        <v>5396628.6476307688</v>
      </c>
      <c r="U10"/>
    </row>
    <row r="11" spans="2:24" ht="30" x14ac:dyDescent="0.25">
      <c r="B11" s="10">
        <v>7</v>
      </c>
      <c r="C11" s="10" t="s">
        <v>51</v>
      </c>
      <c r="D11" s="10" t="s">
        <v>41</v>
      </c>
      <c r="E11" s="55">
        <v>341.69</v>
      </c>
      <c r="F11" s="55">
        <f t="shared" si="0"/>
        <v>3677.9169910000001</v>
      </c>
      <c r="G11" s="51" t="s">
        <v>74</v>
      </c>
      <c r="H11" s="12">
        <v>2014</v>
      </c>
      <c r="I11" s="10">
        <v>2024</v>
      </c>
      <c r="J11" s="10">
        <f t="shared" si="2"/>
        <v>10</v>
      </c>
      <c r="K11" s="10">
        <v>65</v>
      </c>
      <c r="L11" s="11">
        <v>0.1</v>
      </c>
      <c r="M11" s="10">
        <f t="shared" si="1"/>
        <v>1.3846153846153847E-2</v>
      </c>
      <c r="N11" s="51">
        <v>1800</v>
      </c>
      <c r="O11" s="31">
        <f t="shared" si="3"/>
        <v>6620250.5838000001</v>
      </c>
      <c r="P11" s="43">
        <f t="shared" si="7"/>
        <v>0.13846153846153847</v>
      </c>
      <c r="Q11" s="42">
        <f t="shared" si="8"/>
        <v>916650.08083384624</v>
      </c>
      <c r="R11" s="10"/>
      <c r="S11" s="54">
        <f t="shared" si="6"/>
        <v>5703600.5029661544</v>
      </c>
      <c r="U11"/>
    </row>
    <row r="12" spans="2:24" ht="45" x14ac:dyDescent="0.25">
      <c r="B12" s="10">
        <v>8</v>
      </c>
      <c r="C12" s="10" t="s">
        <v>52</v>
      </c>
      <c r="D12" s="10" t="s">
        <v>56</v>
      </c>
      <c r="E12" s="55">
        <v>50.07</v>
      </c>
      <c r="F12" s="55">
        <f t="shared" si="0"/>
        <v>538.94847300000004</v>
      </c>
      <c r="G12" s="51" t="s">
        <v>75</v>
      </c>
      <c r="H12" s="12">
        <v>2017</v>
      </c>
      <c r="I12" s="10">
        <v>2024</v>
      </c>
      <c r="J12" s="10">
        <f t="shared" si="2"/>
        <v>7</v>
      </c>
      <c r="K12" s="10">
        <v>45</v>
      </c>
      <c r="L12" s="11">
        <v>0.1</v>
      </c>
      <c r="M12" s="10">
        <f t="shared" si="1"/>
        <v>0.02</v>
      </c>
      <c r="N12" s="51">
        <v>1000</v>
      </c>
      <c r="O12" s="31">
        <f t="shared" si="3"/>
        <v>538948.473</v>
      </c>
      <c r="P12" s="43">
        <f t="shared" si="7"/>
        <v>0.14000000000000001</v>
      </c>
      <c r="Q12" s="42">
        <f t="shared" si="8"/>
        <v>75452.786220000009</v>
      </c>
      <c r="R12" s="10"/>
      <c r="S12" s="54">
        <f t="shared" si="6"/>
        <v>463495.68677999999</v>
      </c>
      <c r="U12"/>
    </row>
    <row r="13" spans="2:24" x14ac:dyDescent="0.25">
      <c r="B13" s="10">
        <v>9</v>
      </c>
      <c r="C13" s="10" t="s">
        <v>53</v>
      </c>
      <c r="D13" s="10" t="s">
        <v>41</v>
      </c>
      <c r="E13" s="55">
        <v>74.319999999999993</v>
      </c>
      <c r="F13" s="55">
        <f t="shared" si="0"/>
        <v>799.97304799999995</v>
      </c>
      <c r="G13" s="51" t="s">
        <v>76</v>
      </c>
      <c r="H13" s="12">
        <v>2015</v>
      </c>
      <c r="I13" s="10">
        <v>2024</v>
      </c>
      <c r="J13" s="10">
        <f t="shared" si="2"/>
        <v>9</v>
      </c>
      <c r="K13" s="10">
        <v>65</v>
      </c>
      <c r="L13" s="11">
        <v>0.1</v>
      </c>
      <c r="M13" s="10">
        <f t="shared" si="1"/>
        <v>1.3846153846153847E-2</v>
      </c>
      <c r="N13" s="51">
        <v>1800</v>
      </c>
      <c r="O13" s="31">
        <f t="shared" si="3"/>
        <v>1439951.4863999998</v>
      </c>
      <c r="P13" s="43">
        <f t="shared" si="7"/>
        <v>0.12461538461538461</v>
      </c>
      <c r="Q13" s="42">
        <f t="shared" si="8"/>
        <v>179440.10830523074</v>
      </c>
      <c r="R13" s="10"/>
      <c r="S13" s="54">
        <f t="shared" si="6"/>
        <v>1260511.3780947691</v>
      </c>
      <c r="U13"/>
    </row>
    <row r="14" spans="2:24" ht="42.75" customHeight="1" x14ac:dyDescent="0.25">
      <c r="B14" s="10">
        <v>10</v>
      </c>
      <c r="C14" s="10" t="s">
        <v>54</v>
      </c>
      <c r="D14" s="10" t="s">
        <v>56</v>
      </c>
      <c r="E14" s="55">
        <v>60.11</v>
      </c>
      <c r="F14" s="55">
        <f t="shared" si="0"/>
        <v>647.01802899999996</v>
      </c>
      <c r="G14" s="51" t="s">
        <v>77</v>
      </c>
      <c r="H14" s="12">
        <v>2015</v>
      </c>
      <c r="I14" s="10">
        <v>2024</v>
      </c>
      <c r="J14" s="10">
        <f t="shared" si="2"/>
        <v>9</v>
      </c>
      <c r="K14" s="10">
        <v>45</v>
      </c>
      <c r="L14" s="11">
        <v>0.1</v>
      </c>
      <c r="M14" s="10">
        <f t="shared" si="1"/>
        <v>0.02</v>
      </c>
      <c r="N14" s="51">
        <v>1000</v>
      </c>
      <c r="O14" s="31">
        <f t="shared" si="3"/>
        <v>647018.02899999998</v>
      </c>
      <c r="P14" s="43">
        <f t="shared" si="7"/>
        <v>0.18</v>
      </c>
      <c r="Q14" s="42">
        <f t="shared" si="8"/>
        <v>116463.24522</v>
      </c>
      <c r="R14" s="10"/>
      <c r="S14" s="54">
        <f t="shared" si="6"/>
        <v>530554.78377999994</v>
      </c>
      <c r="U14"/>
    </row>
    <row r="15" spans="2:24" ht="24" customHeight="1" x14ac:dyDescent="0.25">
      <c r="B15" s="7"/>
      <c r="C15" s="7"/>
      <c r="D15" s="7"/>
      <c r="E15" s="58">
        <f>SUM(E5:E14)</f>
        <v>31939.789999999997</v>
      </c>
      <c r="F15" s="59">
        <f>SUM(F5:F14)</f>
        <v>343796.70558100007</v>
      </c>
      <c r="G15" s="8"/>
      <c r="H15" s="9"/>
      <c r="I15" s="8"/>
      <c r="J15" s="8"/>
      <c r="K15" s="8"/>
      <c r="L15" s="8"/>
      <c r="M15" s="8"/>
      <c r="N15" s="8"/>
      <c r="O15" s="41">
        <f>SUM(O5:O14)</f>
        <v>617885296.84420002</v>
      </c>
      <c r="P15" s="8"/>
      <c r="Q15" s="8"/>
      <c r="R15" s="8">
        <f>SUM(R5:R14)</f>
        <v>0</v>
      </c>
      <c r="S15" s="41">
        <f>SUM(S5:S14)</f>
        <v>527965796.3350637</v>
      </c>
      <c r="U15"/>
      <c r="V15" s="3"/>
    </row>
    <row r="16" spans="2:24" x14ac:dyDescent="0.25">
      <c r="B16" s="73" t="s">
        <v>44</v>
      </c>
      <c r="C16" s="74"/>
      <c r="D16" s="74"/>
      <c r="E16" s="74"/>
      <c r="F16" s="74"/>
      <c r="G16" s="74"/>
      <c r="H16" s="74"/>
      <c r="I16" s="74"/>
      <c r="J16" s="74"/>
      <c r="K16" s="74"/>
      <c r="L16" s="74"/>
      <c r="M16" s="74"/>
      <c r="N16" s="74"/>
      <c r="O16" s="74"/>
      <c r="P16" s="74"/>
      <c r="Q16" s="74"/>
      <c r="R16" s="74"/>
      <c r="S16" s="75"/>
      <c r="U16"/>
      <c r="X16" s="4"/>
    </row>
    <row r="17" spans="2:33" ht="29.25" customHeight="1" x14ac:dyDescent="0.25">
      <c r="B17" s="67" t="s">
        <v>62</v>
      </c>
      <c r="C17" s="68"/>
      <c r="D17" s="68"/>
      <c r="E17" s="68"/>
      <c r="F17" s="68"/>
      <c r="G17" s="68"/>
      <c r="H17" s="68"/>
      <c r="I17" s="68"/>
      <c r="J17" s="68"/>
      <c r="K17" s="68"/>
      <c r="L17" s="68"/>
      <c r="M17" s="68"/>
      <c r="N17" s="68"/>
      <c r="O17" s="68"/>
      <c r="P17" s="68"/>
      <c r="Q17" s="68"/>
      <c r="R17" s="68"/>
      <c r="S17" s="69"/>
      <c r="U17"/>
      <c r="X17" s="4"/>
      <c r="Y17" s="4"/>
      <c r="Z17" s="4"/>
      <c r="AA17" s="4"/>
      <c r="AB17" s="4"/>
      <c r="AC17" s="4"/>
      <c r="AD17" s="4"/>
      <c r="AE17" s="4"/>
      <c r="AF17" s="4"/>
      <c r="AG17" s="4"/>
    </row>
    <row r="18" spans="2:33" ht="15" customHeight="1" x14ac:dyDescent="0.25">
      <c r="B18" s="67" t="s">
        <v>40</v>
      </c>
      <c r="C18" s="68"/>
      <c r="D18" s="68"/>
      <c r="E18" s="68"/>
      <c r="F18" s="68"/>
      <c r="G18" s="68"/>
      <c r="H18" s="68"/>
      <c r="I18" s="68"/>
      <c r="J18" s="68"/>
      <c r="K18" s="68"/>
      <c r="L18" s="68"/>
      <c r="M18" s="68"/>
      <c r="N18" s="68"/>
      <c r="O18" s="68"/>
      <c r="P18" s="68"/>
      <c r="Q18" s="68"/>
      <c r="R18" s="68"/>
      <c r="S18" s="69"/>
      <c r="U18"/>
      <c r="X18" s="4"/>
      <c r="Y18" s="4"/>
      <c r="Z18" s="4"/>
      <c r="AA18" s="4"/>
      <c r="AB18" s="4"/>
      <c r="AC18" s="4"/>
      <c r="AD18" s="4"/>
      <c r="AE18" s="4"/>
      <c r="AF18" s="4"/>
      <c r="AG18" s="4"/>
    </row>
    <row r="19" spans="2:33" ht="18" customHeight="1" x14ac:dyDescent="0.25">
      <c r="B19" s="67" t="s">
        <v>43</v>
      </c>
      <c r="C19" s="68"/>
      <c r="D19" s="68"/>
      <c r="E19" s="68"/>
      <c r="F19" s="68"/>
      <c r="G19" s="68"/>
      <c r="H19" s="68"/>
      <c r="I19" s="68"/>
      <c r="J19" s="68"/>
      <c r="K19" s="68"/>
      <c r="L19" s="68"/>
      <c r="M19" s="68"/>
      <c r="N19" s="68"/>
      <c r="O19" s="68"/>
      <c r="P19" s="68"/>
      <c r="Q19" s="68"/>
      <c r="R19" s="68"/>
      <c r="S19" s="69"/>
      <c r="U19"/>
      <c r="Y19" s="4"/>
      <c r="Z19" s="4"/>
      <c r="AA19" s="4"/>
      <c r="AB19" s="4"/>
      <c r="AC19" s="4"/>
      <c r="AD19" s="4"/>
      <c r="AE19" s="4"/>
      <c r="AF19" s="4"/>
      <c r="AG19" s="4"/>
    </row>
    <row r="20" spans="2:33" x14ac:dyDescent="0.25">
      <c r="B20" s="64" t="s">
        <v>63</v>
      </c>
      <c r="C20" s="65"/>
      <c r="D20" s="65"/>
      <c r="E20" s="65"/>
      <c r="F20" s="65"/>
      <c r="G20" s="65"/>
      <c r="H20" s="65"/>
      <c r="I20" s="65"/>
      <c r="J20" s="65"/>
      <c r="K20" s="65"/>
      <c r="L20" s="65"/>
      <c r="M20" s="65"/>
      <c r="N20" s="65"/>
      <c r="O20" s="65"/>
      <c r="P20" s="65"/>
      <c r="Q20" s="65"/>
      <c r="R20" s="65"/>
      <c r="S20" s="66"/>
      <c r="U20"/>
      <c r="Y20" s="4"/>
      <c r="Z20" s="4"/>
      <c r="AA20" s="4"/>
      <c r="AB20" s="4"/>
      <c r="AC20" s="4"/>
      <c r="AD20" s="4"/>
      <c r="AE20" s="4"/>
      <c r="AF20" s="4"/>
      <c r="AG20" s="4"/>
    </row>
    <row r="21" spans="2:33" x14ac:dyDescent="0.25">
      <c r="D21"/>
      <c r="E21"/>
      <c r="G21"/>
      <c r="O21" s="48"/>
      <c r="U21"/>
      <c r="Y21" s="4"/>
      <c r="Z21" s="4"/>
      <c r="AA21" s="4"/>
      <c r="AB21" s="4"/>
      <c r="AC21" s="4"/>
      <c r="AD21" s="4"/>
      <c r="AE21" s="4"/>
      <c r="AF21" s="4"/>
      <c r="AG21" s="4"/>
    </row>
    <row r="22" spans="2:33" ht="28.5" customHeight="1" x14ac:dyDescent="0.25">
      <c r="D22"/>
      <c r="E22"/>
      <c r="G22"/>
      <c r="S22" s="4"/>
      <c r="U22"/>
      <c r="Y22" s="4"/>
      <c r="Z22" s="4"/>
      <c r="AA22" s="4"/>
      <c r="AB22" s="4"/>
      <c r="AC22" s="4"/>
      <c r="AD22" s="4"/>
      <c r="AE22" s="4"/>
      <c r="AF22" s="4"/>
      <c r="AG22" s="4"/>
    </row>
    <row r="23" spans="2:33" x14ac:dyDescent="0.25">
      <c r="C23" s="2"/>
      <c r="D23"/>
      <c r="E23"/>
      <c r="G23"/>
      <c r="U23"/>
      <c r="Y23" s="4"/>
      <c r="Z23" s="4"/>
      <c r="AA23" s="4"/>
      <c r="AB23" s="4"/>
      <c r="AC23" s="4"/>
      <c r="AD23" s="4"/>
      <c r="AE23" s="4"/>
      <c r="AF23" s="4"/>
      <c r="AG23" s="4"/>
    </row>
    <row r="24" spans="2:33" ht="81.75" customHeight="1" x14ac:dyDescent="0.25">
      <c r="B24" s="57" t="s">
        <v>21</v>
      </c>
      <c r="C24" s="57" t="s">
        <v>1</v>
      </c>
      <c r="D24" s="57" t="s">
        <v>79</v>
      </c>
      <c r="E24" s="57" t="s">
        <v>2</v>
      </c>
      <c r="F24" s="57" t="s">
        <v>3</v>
      </c>
      <c r="G24" s="57" t="s">
        <v>4</v>
      </c>
      <c r="H24" s="57" t="s">
        <v>5</v>
      </c>
      <c r="I24" s="57" t="s">
        <v>6</v>
      </c>
      <c r="J24" s="57" t="s">
        <v>7</v>
      </c>
      <c r="K24" s="57" t="s">
        <v>8</v>
      </c>
      <c r="L24" s="57" t="s">
        <v>9</v>
      </c>
      <c r="M24" s="57" t="s">
        <v>81</v>
      </c>
      <c r="N24" s="57" t="s">
        <v>11</v>
      </c>
      <c r="O24" s="57" t="s">
        <v>39</v>
      </c>
      <c r="P24" s="57" t="s">
        <v>38</v>
      </c>
      <c r="Q24" s="57" t="s">
        <v>12</v>
      </c>
      <c r="R24" s="57" t="s">
        <v>13</v>
      </c>
      <c r="U24"/>
      <c r="Y24" s="4"/>
      <c r="Z24" s="4"/>
      <c r="AA24" s="4"/>
      <c r="AB24" s="4"/>
      <c r="AC24" s="4"/>
      <c r="AD24" s="4"/>
      <c r="AE24" s="4"/>
      <c r="AF24" s="4"/>
      <c r="AG24" s="4"/>
    </row>
    <row r="25" spans="2:33" ht="67.5" customHeight="1" x14ac:dyDescent="0.25">
      <c r="B25" s="10" t="s">
        <v>82</v>
      </c>
      <c r="C25" s="10" t="s">
        <v>80</v>
      </c>
      <c r="D25" s="55">
        <v>900</v>
      </c>
      <c r="E25" s="55">
        <f>D25*3.28</f>
        <v>2952</v>
      </c>
      <c r="F25" s="51" t="s">
        <v>76</v>
      </c>
      <c r="G25" s="12">
        <v>2014</v>
      </c>
      <c r="H25" s="10">
        <v>2024</v>
      </c>
      <c r="I25" s="10">
        <f>H25-G25</f>
        <v>10</v>
      </c>
      <c r="J25" s="10">
        <v>30</v>
      </c>
      <c r="K25" s="11">
        <v>0.05</v>
      </c>
      <c r="L25" s="10">
        <f>(1-K25)/J25</f>
        <v>3.1666666666666662E-2</v>
      </c>
      <c r="M25" s="51">
        <v>7000</v>
      </c>
      <c r="N25" s="52">
        <f>M25*D25</f>
        <v>6300000</v>
      </c>
      <c r="O25" s="43">
        <f>L25*I25</f>
        <v>0.31666666666666665</v>
      </c>
      <c r="P25" s="10">
        <f>N25*O25</f>
        <v>1995000</v>
      </c>
      <c r="Q25" s="10"/>
      <c r="R25" s="54">
        <f>N25-P25</f>
        <v>4305000</v>
      </c>
      <c r="U25"/>
    </row>
    <row r="26" spans="2:33" ht="15" customHeight="1" x14ac:dyDescent="0.25">
      <c r="B26" t="s">
        <v>83</v>
      </c>
      <c r="C26" t="s">
        <v>78</v>
      </c>
      <c r="D26">
        <v>700</v>
      </c>
      <c r="E26"/>
      <c r="G26"/>
      <c r="U26"/>
    </row>
    <row r="27" spans="2:33" x14ac:dyDescent="0.25">
      <c r="D27"/>
      <c r="E27"/>
      <c r="G27"/>
      <c r="U27"/>
    </row>
    <row r="28" spans="2:33" x14ac:dyDescent="0.25">
      <c r="C28" s="86" t="s">
        <v>82</v>
      </c>
      <c r="D28" s="85">
        <f>R25</f>
        <v>4305000</v>
      </c>
      <c r="E28" s="87">
        <f>ROUND(D28,-5)</f>
        <v>4300000</v>
      </c>
      <c r="G28"/>
      <c r="U28"/>
    </row>
    <row r="29" spans="2:33" x14ac:dyDescent="0.25">
      <c r="C29" s="86" t="s">
        <v>84</v>
      </c>
      <c r="D29" s="88">
        <f>700*10*1500</f>
        <v>10500000</v>
      </c>
      <c r="E29" s="87">
        <f>ROUND(D29,-7)</f>
        <v>10000000</v>
      </c>
      <c r="F29" s="46">
        <f>D29+R25</f>
        <v>14805000</v>
      </c>
      <c r="G29"/>
      <c r="U29"/>
    </row>
    <row r="30" spans="2:33" x14ac:dyDescent="0.25">
      <c r="C30" s="86" t="s">
        <v>85</v>
      </c>
      <c r="D30" s="87">
        <f>SUM(D28:D29)</f>
        <v>14805000</v>
      </c>
      <c r="E30" s="87">
        <f>SUM(E28:E29)</f>
        <v>14300000</v>
      </c>
      <c r="G30"/>
      <c r="U30"/>
    </row>
    <row r="32" spans="2:33" x14ac:dyDescent="0.25">
      <c r="I32">
        <f>11000*0.7</f>
        <v>7699.9999999999991</v>
      </c>
    </row>
    <row r="33" spans="9:16" x14ac:dyDescent="0.25">
      <c r="I33" s="2"/>
      <c r="J33" s="3"/>
      <c r="K33" s="3"/>
      <c r="O33" s="3"/>
      <c r="P33" s="3"/>
    </row>
    <row r="36" spans="9:16" x14ac:dyDescent="0.25">
      <c r="J36" s="3"/>
      <c r="K36" s="3"/>
      <c r="O36" s="3"/>
      <c r="P36" s="3"/>
    </row>
    <row r="41" spans="9:16" x14ac:dyDescent="0.25">
      <c r="J41" s="2"/>
    </row>
    <row r="42" spans="9:16" x14ac:dyDescent="0.25">
      <c r="P42" s="2"/>
    </row>
  </sheetData>
  <autoFilter ref="B4:S19"/>
  <mergeCells count="6">
    <mergeCell ref="B20:S20"/>
    <mergeCell ref="B19:S19"/>
    <mergeCell ref="B3:S3"/>
    <mergeCell ref="B16:S16"/>
    <mergeCell ref="B17:S17"/>
    <mergeCell ref="B18:S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5"/>
  <sheetViews>
    <sheetView topLeftCell="A10" workbookViewId="0">
      <selection activeCell="K12" sqref="K12:N15"/>
    </sheetView>
  </sheetViews>
  <sheetFormatPr defaultRowHeight="15" x14ac:dyDescent="0.25"/>
  <cols>
    <col min="1" max="1" width="5.85546875" customWidth="1"/>
    <col min="2" max="2" width="11.5703125" bestFit="1" customWidth="1"/>
    <col min="3" max="3" width="12.85546875" bestFit="1" customWidth="1"/>
    <col min="4" max="4" width="10" style="4" bestFit="1" customWidth="1"/>
    <col min="5" max="5" width="11.5703125" style="4" bestFit="1" customWidth="1"/>
    <col min="6" max="6" width="17.7109375" style="4" bestFit="1" customWidth="1"/>
    <col min="7" max="7" width="11.85546875" style="4" bestFit="1" customWidth="1"/>
    <col min="8" max="8" width="15.85546875" style="2" customWidth="1"/>
    <col min="12" max="12" width="40.7109375" customWidth="1"/>
    <col min="13" max="13" width="11.28515625" bestFit="1" customWidth="1"/>
    <col min="15" max="15" width="10.7109375" bestFit="1" customWidth="1"/>
    <col min="17" max="17" width="15.28515625" bestFit="1" customWidth="1"/>
  </cols>
  <sheetData>
    <row r="3" spans="1:17" ht="15.75" thickBot="1" x14ac:dyDescent="0.3"/>
    <row r="4" spans="1:17" ht="16.5" thickBot="1" x14ac:dyDescent="0.3">
      <c r="A4" s="76" t="s">
        <v>20</v>
      </c>
      <c r="B4" s="77"/>
      <c r="C4" s="77"/>
      <c r="D4" s="77"/>
      <c r="E4" s="77"/>
      <c r="F4" s="77"/>
      <c r="G4" s="77"/>
      <c r="H4" s="78"/>
    </row>
    <row r="5" spans="1:17" ht="60.75" thickBot="1" x14ac:dyDescent="0.3">
      <c r="A5" s="13" t="s">
        <v>0</v>
      </c>
      <c r="B5" s="14" t="s">
        <v>18</v>
      </c>
      <c r="C5" s="14" t="s">
        <v>1</v>
      </c>
      <c r="D5" s="15" t="s">
        <v>15</v>
      </c>
      <c r="E5" s="15" t="s">
        <v>2</v>
      </c>
      <c r="F5" s="15" t="s">
        <v>19</v>
      </c>
      <c r="G5" s="15" t="s">
        <v>17</v>
      </c>
      <c r="H5" s="16" t="s">
        <v>20</v>
      </c>
    </row>
    <row r="6" spans="1:17" ht="50.1" customHeight="1" thickBot="1" x14ac:dyDescent="0.3">
      <c r="A6" s="17">
        <v>1</v>
      </c>
      <c r="B6" s="18" t="s">
        <v>22</v>
      </c>
      <c r="C6" s="18" t="s">
        <v>16</v>
      </c>
      <c r="D6" s="19">
        <f>Sheet1!E5+Sheet1!E6+Sheet1!E7+Sheet1!E8+Sheet1!E9+Sheet1!E10+Sheet1!E11+Sheet1!E13</f>
        <v>31829.609999999997</v>
      </c>
      <c r="E6" s="20">
        <f>D6*10.7639</f>
        <v>342610.73907899996</v>
      </c>
      <c r="F6" s="21"/>
      <c r="G6" s="22"/>
      <c r="H6" s="23">
        <f>G6*F6*D6</f>
        <v>0</v>
      </c>
      <c r="P6" s="28"/>
      <c r="Q6" s="4"/>
    </row>
    <row r="7" spans="1:17" ht="50.1" customHeight="1" thickBot="1" x14ac:dyDescent="0.3">
      <c r="A7" s="29">
        <v>2</v>
      </c>
      <c r="B7" s="5" t="s">
        <v>23</v>
      </c>
      <c r="C7" s="5" t="s">
        <v>24</v>
      </c>
      <c r="D7" s="25">
        <f>Sheet1!E12+Sheet1!E14</f>
        <v>110.18</v>
      </c>
      <c r="E7" s="20">
        <f>D7*10.7639</f>
        <v>1185.966502</v>
      </c>
      <c r="F7" s="26"/>
      <c r="G7" s="27"/>
      <c r="H7" s="24">
        <f>G7*F7*D7</f>
        <v>0</v>
      </c>
      <c r="P7" s="28"/>
      <c r="Q7" s="4"/>
    </row>
    <row r="8" spans="1:17" ht="15.75" thickBot="1" x14ac:dyDescent="0.3">
      <c r="A8" s="79" t="s">
        <v>14</v>
      </c>
      <c r="B8" s="80"/>
      <c r="C8" s="80"/>
      <c r="D8" s="80"/>
      <c r="E8" s="80"/>
      <c r="F8" s="80"/>
      <c r="G8" s="81"/>
      <c r="H8" s="30">
        <f>SUM(H6+H7)</f>
        <v>0</v>
      </c>
    </row>
    <row r="12" spans="1:17" ht="44.25" customHeight="1" x14ac:dyDescent="0.25">
      <c r="K12" s="60" t="s">
        <v>66</v>
      </c>
      <c r="L12" s="60" t="s">
        <v>67</v>
      </c>
      <c r="M12" s="60" t="s">
        <v>68</v>
      </c>
      <c r="N12" s="60" t="s">
        <v>69</v>
      </c>
      <c r="O12" t="s">
        <v>70</v>
      </c>
    </row>
    <row r="13" spans="1:17" x14ac:dyDescent="0.25">
      <c r="K13" s="61">
        <v>1</v>
      </c>
      <c r="L13" s="61" t="s">
        <v>71</v>
      </c>
      <c r="M13" s="61">
        <v>28</v>
      </c>
      <c r="N13" s="61">
        <v>35126</v>
      </c>
    </row>
    <row r="14" spans="1:17" x14ac:dyDescent="0.25">
      <c r="K14" s="61">
        <v>2</v>
      </c>
      <c r="L14" s="61" t="s">
        <v>72</v>
      </c>
      <c r="M14" s="61">
        <v>3</v>
      </c>
      <c r="N14" s="61">
        <v>8332</v>
      </c>
    </row>
    <row r="15" spans="1:17" x14ac:dyDescent="0.25">
      <c r="K15" s="62">
        <v>3</v>
      </c>
      <c r="L15" s="63" t="s">
        <v>73</v>
      </c>
      <c r="M15" s="63">
        <v>31</v>
      </c>
      <c r="N15" s="63">
        <f>SUM(N13:N14)</f>
        <v>43458</v>
      </c>
    </row>
  </sheetData>
  <mergeCells count="2">
    <mergeCell ref="A4:H4"/>
    <mergeCell ref="A8:G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workbookViewId="0">
      <selection activeCell="F13" sqref="F13"/>
    </sheetView>
  </sheetViews>
  <sheetFormatPr defaultRowHeight="15" x14ac:dyDescent="0.25"/>
  <cols>
    <col min="1" max="1" width="11" bestFit="1" customWidth="1"/>
    <col min="2" max="2" width="15.28515625" bestFit="1" customWidth="1"/>
    <col min="3" max="3" width="11.7109375" bestFit="1" customWidth="1"/>
    <col min="5" max="5" width="11" bestFit="1" customWidth="1"/>
    <col min="6" max="6" width="15.28515625" bestFit="1" customWidth="1"/>
    <col min="7" max="7" width="16.85546875" bestFit="1" customWidth="1"/>
    <col min="9" max="9" width="14.42578125" bestFit="1" customWidth="1"/>
    <col min="10" max="11" width="10" bestFit="1" customWidth="1"/>
  </cols>
  <sheetData>
    <row r="1" spans="1:9" ht="15.75" thickBot="1" x14ac:dyDescent="0.3">
      <c r="A1" s="82" t="s">
        <v>37</v>
      </c>
      <c r="B1" s="83"/>
      <c r="C1" s="84"/>
      <c r="E1" s="82" t="s">
        <v>36</v>
      </c>
      <c r="F1" s="83"/>
      <c r="G1" s="84"/>
    </row>
    <row r="2" spans="1:9" x14ac:dyDescent="0.25">
      <c r="A2" s="33" t="s">
        <v>25</v>
      </c>
      <c r="B2" s="38" t="s">
        <v>26</v>
      </c>
      <c r="C2" s="39" t="s">
        <v>27</v>
      </c>
      <c r="E2" s="33" t="s">
        <v>25</v>
      </c>
      <c r="F2" s="38" t="s">
        <v>26</v>
      </c>
      <c r="G2" s="39" t="s">
        <v>27</v>
      </c>
    </row>
    <row r="3" spans="1:9" ht="15.75" thickBot="1" x14ac:dyDescent="0.3">
      <c r="A3" s="36">
        <f>35126+8332</f>
        <v>43458</v>
      </c>
      <c r="B3" s="40">
        <v>3500</v>
      </c>
      <c r="C3" s="37">
        <f>B3*A3</f>
        <v>152103000</v>
      </c>
      <c r="E3" s="36">
        <f>35126+8332</f>
        <v>43458</v>
      </c>
      <c r="F3" s="40">
        <f>12000*0.9</f>
        <v>10800</v>
      </c>
      <c r="G3" s="37">
        <f>F3*E3</f>
        <v>469346400</v>
      </c>
    </row>
    <row r="4" spans="1:9" ht="15.75" thickBot="1" x14ac:dyDescent="0.3">
      <c r="C4" s="37"/>
      <c r="F4" t="s">
        <v>28</v>
      </c>
    </row>
    <row r="5" spans="1:9" ht="15.75" thickBot="1" x14ac:dyDescent="0.3"/>
    <row r="6" spans="1:9" x14ac:dyDescent="0.25">
      <c r="A6" s="33" t="s">
        <v>29</v>
      </c>
      <c r="B6" s="45">
        <f>C3</f>
        <v>152103000</v>
      </c>
      <c r="E6" s="33" t="s">
        <v>29</v>
      </c>
      <c r="F6" s="50">
        <f>G3</f>
        <v>469346400</v>
      </c>
      <c r="G6" s="4"/>
    </row>
    <row r="7" spans="1:9" x14ac:dyDescent="0.25">
      <c r="A7" s="34" t="s">
        <v>30</v>
      </c>
      <c r="B7" s="45">
        <f>Sheet3!H8</f>
        <v>0</v>
      </c>
      <c r="E7" s="34" t="s">
        <v>30</v>
      </c>
      <c r="F7" s="49">
        <f>Sheet1!S15</f>
        <v>527965796.3350637</v>
      </c>
      <c r="G7" s="4"/>
    </row>
    <row r="8" spans="1:9" x14ac:dyDescent="0.25">
      <c r="A8" s="34" t="s">
        <v>31</v>
      </c>
      <c r="B8" s="35"/>
      <c r="E8" s="34" t="s">
        <v>31</v>
      </c>
      <c r="F8" s="35">
        <f>Sheet1!E30</f>
        <v>14300000</v>
      </c>
      <c r="G8" s="4"/>
    </row>
    <row r="9" spans="1:9" x14ac:dyDescent="0.25">
      <c r="A9" s="34" t="s">
        <v>32</v>
      </c>
      <c r="B9" s="35">
        <f>SUM(B6:B8)</f>
        <v>152103000</v>
      </c>
      <c r="E9" s="34" t="s">
        <v>32</v>
      </c>
      <c r="F9" s="35">
        <f>SUM(F6:F8)</f>
        <v>1011612196.3350637</v>
      </c>
      <c r="G9" s="4"/>
    </row>
    <row r="10" spans="1:9" x14ac:dyDescent="0.25">
      <c r="A10" s="34"/>
      <c r="B10" s="35">
        <f>ROUND(B9,-5)</f>
        <v>152100000</v>
      </c>
      <c r="E10" s="34" t="s">
        <v>33</v>
      </c>
      <c r="F10" s="35">
        <f>ROUND(F9,-7)</f>
        <v>1010000000</v>
      </c>
      <c r="G10" s="3"/>
      <c r="I10" s="32"/>
    </row>
    <row r="11" spans="1:9" x14ac:dyDescent="0.25">
      <c r="A11" s="34"/>
      <c r="B11" s="35">
        <f>0.85*B10</f>
        <v>129285000</v>
      </c>
      <c r="E11" s="34" t="s">
        <v>34</v>
      </c>
      <c r="F11" s="35">
        <f>0.85*F10</f>
        <v>858500000</v>
      </c>
      <c r="G11" s="48"/>
      <c r="I11" s="32"/>
    </row>
    <row r="12" spans="1:9" ht="15.75" thickBot="1" x14ac:dyDescent="0.3">
      <c r="A12" s="36"/>
      <c r="B12" s="37">
        <f>0.75*B10</f>
        <v>114075000</v>
      </c>
      <c r="E12" s="36" t="s">
        <v>35</v>
      </c>
      <c r="F12" s="37">
        <f>0.75*F10</f>
        <v>757500000</v>
      </c>
      <c r="G12" s="48"/>
    </row>
    <row r="13" spans="1:9" x14ac:dyDescent="0.25">
      <c r="E13" s="34" t="s">
        <v>65</v>
      </c>
      <c r="F13" s="56">
        <f>0.8*Sheet1!O15</f>
        <v>494308237.47536004</v>
      </c>
    </row>
    <row r="16" spans="1:9" x14ac:dyDescent="0.25">
      <c r="B16" s="2"/>
    </row>
  </sheetData>
  <mergeCells count="2">
    <mergeCell ref="E1:G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Deepak Singh</cp:lastModifiedBy>
  <dcterms:created xsi:type="dcterms:W3CDTF">2022-11-04T05:05:51Z</dcterms:created>
  <dcterms:modified xsi:type="dcterms:W3CDTF">2024-03-21T12:58:46Z</dcterms:modified>
</cp:coreProperties>
</file>