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Y:\Files For Review\Rajani Gupta Ma'am\March Month 2024\VIS(2023-24)-PL711-612-937-Secure meters-Solan\"/>
    </mc:Choice>
  </mc:AlternateContent>
  <xr:revisionPtr revIDLastSave="0" documentId="13_ncr:1_{393C7B7D-680B-4154-9AA2-3264B31C57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in" sheetId="4" r:id="rId1"/>
    <sheet name="Sheet1" sheetId="5" r:id="rId2"/>
    <sheet name="Sheet2" sheetId="3" r:id="rId3"/>
    <sheet name="Sheet3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3" i="4" l="1"/>
  <c r="X24" i="4" s="1"/>
  <c r="G11" i="4"/>
  <c r="M10" i="4"/>
  <c r="M9" i="4"/>
  <c r="M8" i="4"/>
  <c r="M7" i="4"/>
  <c r="P8" i="4"/>
  <c r="R8" i="4" s="1"/>
  <c r="O10" i="4"/>
  <c r="O9" i="4"/>
  <c r="P9" i="4" s="1"/>
  <c r="O8" i="4"/>
  <c r="O7" i="4"/>
  <c r="P7" i="4" s="1"/>
  <c r="G10" i="4"/>
  <c r="G9" i="4"/>
  <c r="G8" i="4"/>
  <c r="G7" i="4"/>
  <c r="F11" i="4"/>
  <c r="W50" i="4"/>
  <c r="R50" i="4"/>
  <c r="R51" i="4" s="1"/>
  <c r="R52" i="4" s="1"/>
  <c r="M14" i="3"/>
  <c r="G10" i="3"/>
  <c r="G11" i="3" s="1"/>
  <c r="G9" i="3"/>
  <c r="G6" i="4"/>
  <c r="O22" i="4"/>
  <c r="R9" i="4" l="1"/>
  <c r="R7" i="4"/>
  <c r="P10" i="4"/>
  <c r="R10" i="4" s="1"/>
  <c r="X15" i="4"/>
  <c r="N18" i="4"/>
  <c r="L14" i="6" l="1"/>
  <c r="T7" i="4" l="1"/>
  <c r="T6" i="4"/>
  <c r="X32" i="4"/>
  <c r="M6" i="4"/>
  <c r="J6" i="4"/>
  <c r="O6" i="4" l="1"/>
  <c r="T11" i="4"/>
  <c r="I3" i="3"/>
  <c r="G3" i="3"/>
  <c r="D3" i="3"/>
  <c r="O11" i="4" l="1"/>
  <c r="X38" i="4" s="1"/>
  <c r="P6" i="4"/>
  <c r="R6" i="4" s="1"/>
  <c r="J3" i="3"/>
  <c r="K3" i="3" s="1"/>
  <c r="M3" i="3" s="1"/>
  <c r="R11" i="4" l="1"/>
  <c r="X25" i="4" s="1"/>
  <c r="X28" i="4" s="1"/>
  <c r="X34" i="4" s="1"/>
  <c r="X35" i="4" s="1"/>
  <c r="P11" i="4"/>
  <c r="X36" i="4" l="1"/>
</calcChain>
</file>

<file path=xl/sharedStrings.xml><?xml version="1.0" encoding="utf-8"?>
<sst xmlns="http://schemas.openxmlformats.org/spreadsheetml/2006/main" count="85" uniqueCount="63">
  <si>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</si>
  <si>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</si>
  <si>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</si>
  <si>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</si>
  <si>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</si>
  <si>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</si>
  <si>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Gross Replacement Value
(INR)</t>
  </si>
  <si>
    <t xml:space="preserve">Depreciation
(INR) </t>
  </si>
  <si>
    <t>Depreciated Value
(INR)</t>
  </si>
  <si>
    <t>Depreciated Replacement Market Value
(INR)</t>
  </si>
  <si>
    <t>Remarks: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</si>
  <si>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</si>
  <si>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</si>
  <si>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</si>
  <si>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</si>
  <si>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</si>
  <si>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</si>
  <si>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</si>
  <si>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 xml:space="preserve">Year of Construction </t>
  </si>
  <si>
    <t>Sr. No.</t>
  </si>
  <si>
    <t>3. Age of construction taken from the information as per documents provided to us.</t>
  </si>
  <si>
    <t>building</t>
  </si>
  <si>
    <t>wall</t>
  </si>
  <si>
    <t>FMV</t>
  </si>
  <si>
    <t>round off</t>
  </si>
  <si>
    <t>ins</t>
  </si>
  <si>
    <t>RV</t>
  </si>
  <si>
    <t>DV</t>
  </si>
  <si>
    <t>Built-up area (in sq.mtr)</t>
  </si>
  <si>
    <t>Circle</t>
  </si>
  <si>
    <t>Total</t>
  </si>
  <si>
    <t>Buit-up area 
(in sq ft)</t>
  </si>
  <si>
    <t>Plinth Area  Rate 
(INR per sq feet)</t>
  </si>
  <si>
    <t>land value</t>
  </si>
  <si>
    <t>Area</t>
  </si>
  <si>
    <t>Rate</t>
  </si>
  <si>
    <t>land area</t>
  </si>
  <si>
    <t>Land value</t>
  </si>
  <si>
    <t>Circle Vaue
(INR)</t>
  </si>
  <si>
    <t>Circle Rate
(INR per sq mtr.)</t>
  </si>
  <si>
    <t>Premium</t>
  </si>
  <si>
    <t>Height 
(in ft.)</t>
  </si>
  <si>
    <t xml:space="preserve">RCC </t>
  </si>
  <si>
    <t>10'</t>
  </si>
  <si>
    <t xml:space="preserve"> M/S SECURE METER PVT. LTD. SOLAN</t>
  </si>
  <si>
    <t>PARTICULARS</t>
  </si>
  <si>
    <t>7M Wide road</t>
  </si>
  <si>
    <t>3.5M WIDE ROAD</t>
  </si>
  <si>
    <t>M</t>
  </si>
  <si>
    <t>1 Bigha=</t>
  </si>
  <si>
    <t>13 bigha=</t>
  </si>
  <si>
    <t>sq.mtr</t>
  </si>
  <si>
    <t>13 bigha 1 biswa=</t>
  </si>
  <si>
    <t>1 Biswa =</t>
  </si>
  <si>
    <t>As per Convertion Table</t>
  </si>
  <si>
    <t>GF</t>
  </si>
  <si>
    <t>FF</t>
  </si>
  <si>
    <t>SF</t>
  </si>
  <si>
    <t>1st  Basement</t>
  </si>
  <si>
    <t>2nd  Basement</t>
  </si>
  <si>
    <t>1. All the details pertaing to the building area statement such as area, floor, etc has been taken from the map provided to us.</t>
  </si>
  <si>
    <t xml:space="preserve">2.The maintinence of the building was not good as per site survey observation. </t>
  </si>
  <si>
    <t>Deteoration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</si>
</sst>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_ [$₹-4009]\ * #,##0_ ;_ [$₹-4009]\ * \-#,##0_ ;_ [$₹-4009]\ * &quot;-&quot;??_ ;_ @_ "/>
    <numFmt numFmtId="168" formatCode="&quot;₹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2" fillId="0" borderId="1" xfId="6" applyNumberFormat="1" applyFont="1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/>
    </xf>
    <xf numFmtId="9" fontId="2" fillId="5" borderId="1" xfId="3" applyNumberFormat="1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7" fontId="0" fillId="0" borderId="1" xfId="5" applyNumberFormat="1" applyFont="1" applyBorder="1" applyAlignment="1">
      <alignment vertical="center"/>
    </xf>
    <xf numFmtId="167" fontId="0" fillId="0" borderId="0" xfId="0" applyNumberFormat="1"/>
    <xf numFmtId="166" fontId="0" fillId="0" borderId="1" xfId="6" applyNumberFormat="1" applyFont="1" applyBorder="1" applyAlignment="1">
      <alignment horizontal="right" vertical="center" wrapText="1"/>
    </xf>
    <xf numFmtId="166" fontId="0" fillId="0" borderId="0" xfId="6" applyNumberFormat="1" applyFont="1"/>
    <xf numFmtId="0" fontId="2" fillId="0" borderId="0" xfId="0" applyFont="1"/>
    <xf numFmtId="0" fontId="0" fillId="0" borderId="1" xfId="0" applyBorder="1"/>
    <xf numFmtId="166" fontId="0" fillId="0" borderId="1" xfId="6" applyNumberFormat="1" applyFont="1" applyBorder="1"/>
    <xf numFmtId="165" fontId="2" fillId="0" borderId="0" xfId="0" applyNumberFormat="1" applyFont="1"/>
    <xf numFmtId="1" fontId="0" fillId="0" borderId="0" xfId="0" applyNumberFormat="1"/>
    <xf numFmtId="2" fontId="0" fillId="0" borderId="1" xfId="6" applyNumberFormat="1" applyFont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166" fontId="0" fillId="0" borderId="1" xfId="6" applyNumberFormat="1" applyFont="1" applyFill="1" applyBorder="1" applyAlignment="1">
      <alignment vertical="center" wrapText="1"/>
    </xf>
    <xf numFmtId="2" fontId="0" fillId="0" borderId="1" xfId="6" applyNumberFormat="1" applyFont="1" applyBorder="1" applyAlignment="1">
      <alignment horizontal="center" vertical="center" wrapText="1"/>
    </xf>
    <xf numFmtId="2" fontId="0" fillId="0" borderId="0" xfId="0" applyNumberFormat="1"/>
    <xf numFmtId="43" fontId="2" fillId="0" borderId="0" xfId="6" applyFont="1"/>
    <xf numFmtId="165" fontId="2" fillId="0" borderId="1" xfId="1" applyNumberFormat="1" applyFont="1" applyBorder="1" applyAlignment="1">
      <alignment horizontal="center" vertical="center"/>
    </xf>
    <xf numFmtId="4" fontId="10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43" fontId="11" fillId="0" borderId="1" xfId="6" applyFont="1" applyBorder="1" applyAlignment="1">
      <alignment horizontal="center" vertical="center" wrapText="1"/>
    </xf>
    <xf numFmtId="166" fontId="11" fillId="0" borderId="1" xfId="6" applyNumberFormat="1" applyFont="1" applyBorder="1" applyAlignment="1">
      <alignment horizontal="center" vertical="center" wrapText="1"/>
    </xf>
    <xf numFmtId="43" fontId="0" fillId="0" borderId="1" xfId="6" applyFont="1" applyBorder="1" applyAlignment="1">
      <alignment vertical="center" wrapText="1"/>
    </xf>
    <xf numFmtId="0" fontId="1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4" fontId="0" fillId="0" borderId="0" xfId="0" applyNumberFormat="1"/>
    <xf numFmtId="3" fontId="0" fillId="0" borderId="0" xfId="0" applyNumberFormat="1"/>
    <xf numFmtId="168" fontId="2" fillId="0" borderId="0" xfId="0" applyNumberFormat="1" applyFont="1"/>
    <xf numFmtId="44" fontId="2" fillId="0" borderId="0" xfId="6" applyNumberFormat="1" applyFont="1"/>
    <xf numFmtId="4" fontId="2" fillId="0" borderId="0" xfId="0" applyNumberFormat="1" applyFont="1"/>
    <xf numFmtId="43" fontId="2" fillId="0" borderId="0" xfId="0" applyNumberFormat="1" applyFont="1" applyAlignment="1">
      <alignment horizontal="center"/>
    </xf>
    <xf numFmtId="166" fontId="2" fillId="0" borderId="0" xfId="6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0" fillId="0" borderId="0" xfId="0" applyNumberFormat="1"/>
    <xf numFmtId="0" fontId="1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6" fontId="2" fillId="0" borderId="3" xfId="6" applyNumberFormat="1" applyFont="1" applyBorder="1" applyAlignment="1">
      <alignment horizontal="center" vertical="center" wrapText="1"/>
    </xf>
    <xf numFmtId="166" fontId="2" fillId="0" borderId="4" xfId="6" applyNumberFormat="1" applyFont="1" applyBorder="1" applyAlignment="1">
      <alignment horizontal="center" vertical="center" wrapText="1"/>
    </xf>
    <xf numFmtId="166" fontId="2" fillId="0" borderId="5" xfId="6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X63"/>
  <sheetViews>
    <sheetView tabSelected="1" topLeftCell="D10" zoomScaleNormal="100" workbookViewId="0">
      <selection activeCell="Y26" sqref="Y26"/>
    </sheetView>
  </sheetViews>
  <sheetFormatPr defaultRowHeight="15" x14ac:dyDescent="0.25"/>
  <cols>
    <col min="2" max="2" width="7.28515625" customWidth="1"/>
    <col min="3" max="3" width="14.42578125" customWidth="1"/>
    <col min="4" max="4" width="8.140625" customWidth="1"/>
    <col min="5" max="5" width="8.85546875" customWidth="1"/>
    <col min="6" max="6" width="10.28515625" customWidth="1"/>
    <col min="7" max="7" width="11.140625" customWidth="1"/>
    <col min="8" max="8" width="9" customWidth="1"/>
    <col min="9" max="9" width="7.42578125" customWidth="1"/>
    <col min="10" max="10" width="9.42578125" customWidth="1"/>
    <col min="11" max="11" width="7.7109375" customWidth="1"/>
    <col min="12" max="12" width="10.140625" hidden="1" customWidth="1"/>
    <col min="13" max="13" width="13.7109375" hidden="1" customWidth="1"/>
    <col min="14" max="14" width="10.5703125" customWidth="1"/>
    <col min="15" max="15" width="14.28515625" customWidth="1"/>
    <col min="16" max="16" width="12.85546875" customWidth="1"/>
    <col min="17" max="17" width="9.28515625" hidden="1" customWidth="1"/>
    <col min="18" max="18" width="17.42578125" customWidth="1"/>
    <col min="19" max="19" width="11.7109375" hidden="1" customWidth="1"/>
    <col min="20" max="20" width="15.5703125" hidden="1" customWidth="1"/>
    <col min="23" max="23" width="21.140625" customWidth="1"/>
    <col min="24" max="24" width="36.5703125" customWidth="1"/>
  </cols>
  <sheetData>
    <row r="4" spans="2:24" ht="20.25" customHeight="1" x14ac:dyDescent="0.25">
      <c r="B4" s="59" t="s">
        <v>44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1"/>
    </row>
    <row r="5" spans="2:24" ht="90" x14ac:dyDescent="0.25">
      <c r="B5" s="13" t="s">
        <v>19</v>
      </c>
      <c r="C5" s="1" t="s">
        <v>45</v>
      </c>
      <c r="D5" s="1" t="s">
        <v>41</v>
      </c>
      <c r="E5" s="1" t="s">
        <v>0</v>
      </c>
      <c r="F5" s="1" t="s">
        <v>28</v>
      </c>
      <c r="G5" s="1" t="s">
        <v>31</v>
      </c>
      <c r="H5" s="1" t="s">
        <v>18</v>
      </c>
      <c r="I5" s="15" t="s">
        <v>1</v>
      </c>
      <c r="J5" s="1" t="s">
        <v>2</v>
      </c>
      <c r="K5" s="1" t="s">
        <v>3</v>
      </c>
      <c r="L5" s="15" t="s">
        <v>4</v>
      </c>
      <c r="M5" s="15" t="s">
        <v>5</v>
      </c>
      <c r="N5" s="1" t="s">
        <v>32</v>
      </c>
      <c r="O5" s="1" t="s">
        <v>6</v>
      </c>
      <c r="P5" s="15" t="s">
        <v>7</v>
      </c>
      <c r="Q5" s="14" t="s">
        <v>62</v>
      </c>
      <c r="R5" s="1" t="s">
        <v>9</v>
      </c>
      <c r="S5" s="1" t="s">
        <v>39</v>
      </c>
      <c r="T5" s="1" t="s">
        <v>38</v>
      </c>
    </row>
    <row r="6" spans="2:24" x14ac:dyDescent="0.25">
      <c r="B6" s="2">
        <v>1</v>
      </c>
      <c r="C6" s="2" t="s">
        <v>58</v>
      </c>
      <c r="D6" s="16" t="s">
        <v>43</v>
      </c>
      <c r="E6" s="2" t="s">
        <v>42</v>
      </c>
      <c r="F6" s="28">
        <v>573.84</v>
      </c>
      <c r="G6" s="26">
        <f>10.7639*F6</f>
        <v>6176.7563760000003</v>
      </c>
      <c r="H6" s="16">
        <v>2005</v>
      </c>
      <c r="I6" s="2">
        <v>2024</v>
      </c>
      <c r="J6" s="2">
        <f t="shared" ref="J6:J7" si="0">I6-H6</f>
        <v>19</v>
      </c>
      <c r="K6" s="2">
        <v>65</v>
      </c>
      <c r="L6" s="3">
        <v>0.1</v>
      </c>
      <c r="M6" s="4">
        <f>(1-L6)/K6</f>
        <v>1.3846153846153847E-2</v>
      </c>
      <c r="N6" s="29">
        <v>1200</v>
      </c>
      <c r="O6" s="40">
        <f>N6*G6</f>
        <v>7412107.6512000002</v>
      </c>
      <c r="P6" s="30">
        <f>O6*M6*IF(J6&gt;K6,K6,J6)</f>
        <v>1949954.4743926153</v>
      </c>
      <c r="Q6" s="74">
        <v>0.05</v>
      </c>
      <c r="R6" s="40">
        <f t="shared" ref="R6:R9" si="1">(O6-P6)*(1-Q6)</f>
        <v>5189045.5179670155</v>
      </c>
      <c r="S6" s="23"/>
      <c r="T6" s="19">
        <f>S6*F6</f>
        <v>0</v>
      </c>
    </row>
    <row r="7" spans="2:24" x14ac:dyDescent="0.25">
      <c r="B7" s="2">
        <v>2</v>
      </c>
      <c r="C7" s="2" t="s">
        <v>59</v>
      </c>
      <c r="D7" s="16" t="s">
        <v>43</v>
      </c>
      <c r="E7" s="2" t="s">
        <v>42</v>
      </c>
      <c r="F7" s="28">
        <v>906.14</v>
      </c>
      <c r="G7" s="26">
        <f>10.7639*F7</f>
        <v>9753.6003459999993</v>
      </c>
      <c r="H7" s="16">
        <v>2005</v>
      </c>
      <c r="I7" s="2">
        <v>2024</v>
      </c>
      <c r="J7" s="2">
        <v>19</v>
      </c>
      <c r="K7" s="2">
        <v>65</v>
      </c>
      <c r="L7" s="3">
        <v>0.1</v>
      </c>
      <c r="M7" s="4">
        <f>(1-L7)/K7</f>
        <v>1.3846153846153847E-2</v>
      </c>
      <c r="N7" s="29">
        <v>1200</v>
      </c>
      <c r="O7" s="40">
        <f>N7*G7</f>
        <v>11704320.415199999</v>
      </c>
      <c r="P7" s="30">
        <f>O7*M7*IF(J7&gt;K7,K7,J7)</f>
        <v>3079136.6015372304</v>
      </c>
      <c r="Q7" s="74">
        <v>0.05</v>
      </c>
      <c r="R7" s="40">
        <f t="shared" si="1"/>
        <v>8193924.6229796289</v>
      </c>
      <c r="S7" s="23"/>
      <c r="T7" s="19">
        <f t="shared" ref="T7" si="2">S7*F7</f>
        <v>0</v>
      </c>
      <c r="W7" s="21" t="s">
        <v>29</v>
      </c>
    </row>
    <row r="8" spans="2:24" x14ac:dyDescent="0.25">
      <c r="B8" s="2">
        <v>3</v>
      </c>
      <c r="C8" s="27" t="s">
        <v>55</v>
      </c>
      <c r="D8" s="16" t="s">
        <v>43</v>
      </c>
      <c r="E8" s="2" t="s">
        <v>42</v>
      </c>
      <c r="F8" s="28">
        <v>2400.13</v>
      </c>
      <c r="G8" s="26">
        <f>10.7639*F8</f>
        <v>25834.759307</v>
      </c>
      <c r="H8" s="16">
        <v>2005</v>
      </c>
      <c r="I8" s="2">
        <v>2024</v>
      </c>
      <c r="J8" s="2">
        <v>19</v>
      </c>
      <c r="K8" s="2">
        <v>65</v>
      </c>
      <c r="L8" s="3">
        <v>0.1</v>
      </c>
      <c r="M8" s="4">
        <f>(1-L8)/K8</f>
        <v>1.3846153846153847E-2</v>
      </c>
      <c r="N8" s="29">
        <v>1400</v>
      </c>
      <c r="O8" s="40">
        <f>N8*G8</f>
        <v>36168663.029799998</v>
      </c>
      <c r="P8" s="30">
        <f>O8*M8*IF(J8&gt;K8,K8,J8)</f>
        <v>9515140.5816858448</v>
      </c>
      <c r="Q8" s="74">
        <v>0.05</v>
      </c>
      <c r="R8" s="40">
        <f t="shared" si="1"/>
        <v>25320846.325708445</v>
      </c>
      <c r="S8" s="23"/>
      <c r="T8" s="19"/>
      <c r="W8" s="21"/>
    </row>
    <row r="9" spans="2:24" x14ac:dyDescent="0.25">
      <c r="B9" s="2">
        <v>4</v>
      </c>
      <c r="C9" s="27" t="s">
        <v>56</v>
      </c>
      <c r="D9" s="16" t="s">
        <v>43</v>
      </c>
      <c r="E9" s="2" t="s">
        <v>42</v>
      </c>
      <c r="F9" s="28">
        <v>2320.14</v>
      </c>
      <c r="G9" s="26">
        <f>10.7639*F9</f>
        <v>24973.754945999997</v>
      </c>
      <c r="H9" s="16">
        <v>2005</v>
      </c>
      <c r="I9" s="2">
        <v>2024</v>
      </c>
      <c r="J9" s="2">
        <v>19</v>
      </c>
      <c r="K9" s="2">
        <v>65</v>
      </c>
      <c r="L9" s="3">
        <v>0.1</v>
      </c>
      <c r="M9" s="4">
        <f>(1-L9)/K9</f>
        <v>1.3846153846153847E-2</v>
      </c>
      <c r="N9" s="29">
        <v>1400</v>
      </c>
      <c r="O9" s="40">
        <f>N9*G9</f>
        <v>34963256.924399994</v>
      </c>
      <c r="P9" s="30">
        <f>O9*M9*IF(J9&gt;K9,K9,J9)</f>
        <v>9198026.0524190757</v>
      </c>
      <c r="Q9" s="74">
        <v>0.05</v>
      </c>
      <c r="R9" s="40">
        <f t="shared" si="1"/>
        <v>24476969.328381874</v>
      </c>
      <c r="S9" s="23"/>
      <c r="T9" s="19"/>
      <c r="W9" s="21"/>
    </row>
    <row r="10" spans="2:24" x14ac:dyDescent="0.25">
      <c r="B10" s="72">
        <v>5</v>
      </c>
      <c r="C10" s="27" t="s">
        <v>57</v>
      </c>
      <c r="D10" s="16" t="s">
        <v>43</v>
      </c>
      <c r="E10" s="2" t="s">
        <v>42</v>
      </c>
      <c r="F10" s="28">
        <v>2320.14</v>
      </c>
      <c r="G10" s="26">
        <f>10.7639*F10</f>
        <v>24973.754945999997</v>
      </c>
      <c r="H10" s="16">
        <v>2005</v>
      </c>
      <c r="I10" s="2">
        <v>2024</v>
      </c>
      <c r="J10" s="73">
        <v>19</v>
      </c>
      <c r="K10" s="2">
        <v>65</v>
      </c>
      <c r="L10" s="3">
        <v>0.1</v>
      </c>
      <c r="M10" s="4">
        <f>(1-L10)/K10</f>
        <v>1.3846153846153847E-2</v>
      </c>
      <c r="N10" s="29">
        <v>1400</v>
      </c>
      <c r="O10" s="40">
        <f>N10*G10</f>
        <v>34963256.924399994</v>
      </c>
      <c r="P10" s="30">
        <f>O10*M10*IF(J10&gt;K10,K10,J10)</f>
        <v>9198026.0524190757</v>
      </c>
      <c r="Q10" s="74">
        <v>0.05</v>
      </c>
      <c r="R10" s="40">
        <f>(O10-P10)*(1-Q10)</f>
        <v>24476969.328381874</v>
      </c>
      <c r="S10" s="23"/>
      <c r="T10" s="19"/>
      <c r="W10" s="21"/>
    </row>
    <row r="11" spans="2:24" ht="40.5" customHeight="1" x14ac:dyDescent="0.25">
      <c r="B11" s="62" t="s">
        <v>30</v>
      </c>
      <c r="C11" s="63"/>
      <c r="D11" s="63"/>
      <c r="E11" s="64"/>
      <c r="F11" s="38">
        <f>SUM(F6:F10)</f>
        <v>8520.39</v>
      </c>
      <c r="G11" s="38">
        <f>SUM(G6:G10)</f>
        <v>91712.625920999999</v>
      </c>
      <c r="H11" s="65"/>
      <c r="I11" s="66"/>
      <c r="J11" s="66"/>
      <c r="K11" s="66"/>
      <c r="L11" s="66"/>
      <c r="M11" s="66"/>
      <c r="N11" s="67"/>
      <c r="O11" s="39">
        <f>SUM(O6:O10)</f>
        <v>125211604.94499999</v>
      </c>
      <c r="P11" s="12">
        <f>SUM(P6:P10)</f>
        <v>32940283.762453839</v>
      </c>
      <c r="Q11" s="12">
        <v>0</v>
      </c>
      <c r="R11" s="39">
        <f>SUM(R6:R10)</f>
        <v>87657755.123418838</v>
      </c>
      <c r="S11" s="22"/>
      <c r="T11" s="12">
        <f>SUM(T6:T9)</f>
        <v>0</v>
      </c>
      <c r="W11" s="21" t="s">
        <v>29</v>
      </c>
      <c r="X11" s="20"/>
    </row>
    <row r="12" spans="2:24" x14ac:dyDescent="0.25">
      <c r="B12" s="42" t="s">
        <v>10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4"/>
      <c r="S12" s="36"/>
      <c r="T12" s="36"/>
      <c r="W12" t="s">
        <v>36</v>
      </c>
      <c r="X12" s="49">
        <v>9820.25</v>
      </c>
    </row>
    <row r="13" spans="2:24" ht="15" customHeight="1" x14ac:dyDescent="0.25">
      <c r="B13" s="68" t="s">
        <v>60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70"/>
      <c r="S13" s="37"/>
      <c r="T13" s="37"/>
      <c r="W13" t="s">
        <v>37</v>
      </c>
      <c r="X13">
        <v>1956</v>
      </c>
    </row>
    <row r="14" spans="2:24" ht="15" customHeight="1" x14ac:dyDescent="0.25">
      <c r="B14" s="68" t="s">
        <v>61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70"/>
      <c r="S14" s="37"/>
      <c r="T14" s="37"/>
      <c r="W14" t="s">
        <v>21</v>
      </c>
      <c r="X14" s="12"/>
    </row>
    <row r="15" spans="2:24" ht="15" customHeight="1" x14ac:dyDescent="0.25">
      <c r="B15" s="56" t="s">
        <v>20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8"/>
      <c r="S15" s="35"/>
      <c r="T15" s="35"/>
      <c r="W15" t="s">
        <v>37</v>
      </c>
      <c r="X15" s="47">
        <f>X12*X13</f>
        <v>19208409</v>
      </c>
    </row>
    <row r="16" spans="2:24" ht="15.75" customHeight="1" x14ac:dyDescent="0.25"/>
    <row r="18" spans="7:24" x14ac:dyDescent="0.25">
      <c r="J18">
        <v>28000</v>
      </c>
      <c r="K18" s="45">
        <v>10.7639</v>
      </c>
      <c r="N18" s="41">
        <f>J18*K18</f>
        <v>301389.2</v>
      </c>
    </row>
    <row r="19" spans="7:24" x14ac:dyDescent="0.25">
      <c r="N19" s="20"/>
    </row>
    <row r="21" spans="7:24" ht="14.25" customHeight="1" x14ac:dyDescent="0.25">
      <c r="O21">
        <v>2349.65</v>
      </c>
      <c r="W21" s="21" t="s">
        <v>23</v>
      </c>
    </row>
    <row r="22" spans="7:24" ht="15" customHeight="1" x14ac:dyDescent="0.25">
      <c r="O22">
        <f>O21*10.7639</f>
        <v>25291.397635000001</v>
      </c>
      <c r="W22" s="21" t="s">
        <v>35</v>
      </c>
      <c r="X22" s="48">
        <v>5700</v>
      </c>
    </row>
    <row r="23" spans="7:24" ht="15" customHeight="1" x14ac:dyDescent="0.25">
      <c r="W23" s="50" t="s">
        <v>34</v>
      </c>
      <c r="X23" s="49">
        <f>9820.25</f>
        <v>9820.25</v>
      </c>
    </row>
    <row r="24" spans="7:24" x14ac:dyDescent="0.25">
      <c r="W24" s="51" t="s">
        <v>33</v>
      </c>
      <c r="X24" s="48">
        <f>X23*X22</f>
        <v>55975425</v>
      </c>
    </row>
    <row r="25" spans="7:24" x14ac:dyDescent="0.25">
      <c r="J25" s="25"/>
      <c r="N25" s="25"/>
      <c r="W25" s="50" t="s">
        <v>21</v>
      </c>
      <c r="X25" s="24">
        <f>$R$11</f>
        <v>87657755.123418838</v>
      </c>
    </row>
    <row r="26" spans="7:24" x14ac:dyDescent="0.25">
      <c r="R26" s="21"/>
      <c r="W26" s="52" t="s">
        <v>22</v>
      </c>
      <c r="X26" s="33">
        <v>1430000</v>
      </c>
    </row>
    <row r="27" spans="7:24" x14ac:dyDescent="0.25">
      <c r="R27" s="21"/>
      <c r="W27" s="52" t="s">
        <v>40</v>
      </c>
      <c r="X27" s="34">
        <v>0</v>
      </c>
    </row>
    <row r="28" spans="7:24" x14ac:dyDescent="0.25">
      <c r="W28" s="50" t="s">
        <v>23</v>
      </c>
      <c r="X28" s="24">
        <f>X27+X26+X25+X24</f>
        <v>145063180.12341884</v>
      </c>
    </row>
    <row r="30" spans="7:24" x14ac:dyDescent="0.25">
      <c r="X30" s="17"/>
    </row>
    <row r="32" spans="7:24" x14ac:dyDescent="0.25">
      <c r="G32" s="31"/>
      <c r="X32" s="18">
        <f>X31+X30</f>
        <v>0</v>
      </c>
    </row>
    <row r="34" spans="15:24" x14ac:dyDescent="0.25">
      <c r="W34" s="21" t="s">
        <v>24</v>
      </c>
      <c r="X34" s="24">
        <f>ROUND(X28,-5)</f>
        <v>145100000</v>
      </c>
    </row>
    <row r="35" spans="15:24" x14ac:dyDescent="0.25">
      <c r="W35" s="21" t="s">
        <v>26</v>
      </c>
      <c r="X35" s="24">
        <f>0.85*X34</f>
        <v>123335000</v>
      </c>
    </row>
    <row r="36" spans="15:24" x14ac:dyDescent="0.25">
      <c r="W36" s="21" t="s">
        <v>27</v>
      </c>
      <c r="X36" s="24">
        <f>X34*0.75</f>
        <v>108825000</v>
      </c>
    </row>
    <row r="37" spans="15:24" x14ac:dyDescent="0.25">
      <c r="W37" s="21"/>
    </row>
    <row r="38" spans="15:24" ht="15.75" x14ac:dyDescent="0.25">
      <c r="W38" s="21" t="s">
        <v>25</v>
      </c>
      <c r="X38" s="39">
        <f>0.8*O11</f>
        <v>100169283.956</v>
      </c>
    </row>
    <row r="40" spans="15:24" x14ac:dyDescent="0.25">
      <c r="W40" s="25"/>
    </row>
    <row r="47" spans="15:24" x14ac:dyDescent="0.25">
      <c r="O47" s="55" t="s">
        <v>54</v>
      </c>
      <c r="P47" s="55"/>
      <c r="Q47" s="55"/>
      <c r="R47" s="55"/>
      <c r="S47" s="55"/>
      <c r="T47" s="55"/>
      <c r="U47" s="55"/>
    </row>
    <row r="48" spans="15:24" x14ac:dyDescent="0.25">
      <c r="O48" t="s">
        <v>49</v>
      </c>
      <c r="R48">
        <v>752.51</v>
      </c>
      <c r="U48" t="s">
        <v>51</v>
      </c>
      <c r="W48">
        <v>73594</v>
      </c>
      <c r="X48" s="21"/>
    </row>
    <row r="49" spans="15:24" x14ac:dyDescent="0.25">
      <c r="O49" t="s">
        <v>53</v>
      </c>
      <c r="R49">
        <v>37.619999999999997</v>
      </c>
      <c r="U49" t="s">
        <v>51</v>
      </c>
      <c r="W49">
        <v>37.619999999999997</v>
      </c>
    </row>
    <row r="50" spans="15:24" x14ac:dyDescent="0.25">
      <c r="O50" t="s">
        <v>50</v>
      </c>
      <c r="R50">
        <f>R48*13</f>
        <v>9782.6299999999992</v>
      </c>
      <c r="U50" t="s">
        <v>51</v>
      </c>
      <c r="W50">
        <f>W48/W49</f>
        <v>1956.2466772993091</v>
      </c>
    </row>
    <row r="51" spans="15:24" x14ac:dyDescent="0.25">
      <c r="O51" s="21" t="s">
        <v>52</v>
      </c>
      <c r="P51" s="21"/>
      <c r="Q51" s="21"/>
      <c r="R51" s="21">
        <f>R50+R49</f>
        <v>9820.25</v>
      </c>
      <c r="S51" s="21"/>
      <c r="T51" s="21"/>
      <c r="U51" s="21" t="s">
        <v>51</v>
      </c>
      <c r="X51" s="21"/>
    </row>
    <row r="52" spans="15:24" x14ac:dyDescent="0.25">
      <c r="R52">
        <f>10.7639*R51</f>
        <v>105704.188975</v>
      </c>
      <c r="X52" s="21"/>
    </row>
    <row r="54" spans="15:24" x14ac:dyDescent="0.25">
      <c r="X54" s="32"/>
    </row>
    <row r="63" spans="15:24" x14ac:dyDescent="0.25">
      <c r="X63" s="46"/>
    </row>
  </sheetData>
  <mergeCells count="7">
    <mergeCell ref="O47:U47"/>
    <mergeCell ref="B15:R15"/>
    <mergeCell ref="B4:T4"/>
    <mergeCell ref="B11:E11"/>
    <mergeCell ref="H11:N11"/>
    <mergeCell ref="B13:R13"/>
    <mergeCell ref="B14:R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"/>
  <sheetViews>
    <sheetView workbookViewId="0">
      <selection activeCell="M3" sqref="M3"/>
    </sheetView>
  </sheetViews>
  <sheetFormatPr defaultRowHeight="15" x14ac:dyDescent="0.25"/>
  <cols>
    <col min="1" max="1" width="8.7109375" bestFit="1" customWidth="1"/>
    <col min="2" max="2" width="13.7109375" customWidth="1"/>
    <col min="3" max="3" width="12.85546875" customWidth="1"/>
    <col min="4" max="4" width="10.7109375" customWidth="1"/>
    <col min="5" max="5" width="16" customWidth="1"/>
    <col min="6" max="6" width="21.28515625" customWidth="1"/>
    <col min="7" max="7" width="21" customWidth="1"/>
    <col min="8" max="8" width="9.5703125" customWidth="1"/>
    <col min="9" max="9" width="13" customWidth="1"/>
    <col min="10" max="10" width="12.7109375" customWidth="1"/>
    <col min="11" max="11" width="11.5703125" customWidth="1"/>
    <col min="12" max="12" width="11.85546875" hidden="1" customWidth="1"/>
    <col min="13" max="13" width="15.85546875" customWidth="1"/>
  </cols>
  <sheetData>
    <row r="1" spans="1:13" ht="15.75" x14ac:dyDescent="0.25">
      <c r="A1" s="71" t="s">
        <v>11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104.25" x14ac:dyDescent="0.25">
      <c r="A2" s="5" t="s">
        <v>16</v>
      </c>
      <c r="B2" s="5" t="s">
        <v>12</v>
      </c>
      <c r="C2" s="5" t="s">
        <v>1</v>
      </c>
      <c r="D2" s="5" t="s">
        <v>13</v>
      </c>
      <c r="E2" s="5" t="s">
        <v>14</v>
      </c>
      <c r="F2" s="5" t="s">
        <v>4</v>
      </c>
      <c r="G2" s="5" t="s">
        <v>5</v>
      </c>
      <c r="H2" s="5" t="s">
        <v>17</v>
      </c>
      <c r="I2" s="5" t="s">
        <v>6</v>
      </c>
      <c r="J2" s="5" t="s">
        <v>7</v>
      </c>
      <c r="K2" s="5" t="s">
        <v>8</v>
      </c>
      <c r="L2" s="5" t="s">
        <v>15</v>
      </c>
      <c r="M2" s="5" t="s">
        <v>9</v>
      </c>
    </row>
    <row r="3" spans="1:13" x14ac:dyDescent="0.25">
      <c r="A3" s="6">
        <v>400</v>
      </c>
      <c r="B3" s="7">
        <v>2005</v>
      </c>
      <c r="C3" s="7">
        <v>2024</v>
      </c>
      <c r="D3" s="7">
        <f>C3-B3</f>
        <v>19</v>
      </c>
      <c r="E3" s="7">
        <v>60</v>
      </c>
      <c r="F3" s="8">
        <v>0.1</v>
      </c>
      <c r="G3" s="9">
        <f>(1-F3)/E3</f>
        <v>1.5000000000000001E-2</v>
      </c>
      <c r="H3" s="10">
        <v>5000</v>
      </c>
      <c r="I3" s="10">
        <f>H3*A3</f>
        <v>2000000</v>
      </c>
      <c r="J3" s="10">
        <f>I3*G3*D3</f>
        <v>570000.00000000012</v>
      </c>
      <c r="K3" s="10">
        <f>MAX(I3-J3,0)</f>
        <v>1430000</v>
      </c>
      <c r="L3" s="11">
        <v>0</v>
      </c>
      <c r="M3" s="10">
        <f>IF(K3&gt;F3*I3,K3*(1-L3),I3*F3)</f>
        <v>1430000</v>
      </c>
    </row>
    <row r="9" spans="1:13" x14ac:dyDescent="0.25">
      <c r="C9" s="54" t="s">
        <v>46</v>
      </c>
      <c r="D9">
        <v>120</v>
      </c>
      <c r="E9" t="s">
        <v>48</v>
      </c>
      <c r="F9">
        <v>750</v>
      </c>
      <c r="G9">
        <f>F9*D9</f>
        <v>90000</v>
      </c>
    </row>
    <row r="10" spans="1:13" ht="24.75" x14ac:dyDescent="0.25">
      <c r="C10" s="54" t="s">
        <v>47</v>
      </c>
      <c r="D10">
        <v>128</v>
      </c>
      <c r="E10" t="s">
        <v>48</v>
      </c>
      <c r="F10">
        <v>1500</v>
      </c>
      <c r="G10">
        <f>F10*D10</f>
        <v>192000</v>
      </c>
    </row>
    <row r="11" spans="1:13" x14ac:dyDescent="0.25">
      <c r="D11">
        <v>24.68</v>
      </c>
      <c r="G11">
        <f>G10+G9</f>
        <v>282000</v>
      </c>
    </row>
    <row r="12" spans="1:13" x14ac:dyDescent="0.25">
      <c r="D12">
        <v>19.2</v>
      </c>
      <c r="M12" s="46">
        <v>45000000</v>
      </c>
    </row>
    <row r="13" spans="1:13" x14ac:dyDescent="0.25">
      <c r="D13">
        <v>6.85</v>
      </c>
      <c r="M13" s="20">
        <v>13</v>
      </c>
    </row>
    <row r="14" spans="1:13" x14ac:dyDescent="0.25">
      <c r="D14">
        <v>12.34</v>
      </c>
      <c r="M14" s="53">
        <f>M13*M12</f>
        <v>585000000</v>
      </c>
    </row>
  </sheetData>
  <mergeCells count="1">
    <mergeCell ref="A1:M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J14:L14"/>
  <sheetViews>
    <sheetView workbookViewId="0">
      <selection activeCell="K1" sqref="K1"/>
    </sheetView>
  </sheetViews>
  <sheetFormatPr defaultRowHeight="15" x14ac:dyDescent="0.25"/>
  <cols>
    <col min="12" max="12" width="12" bestFit="1" customWidth="1"/>
  </cols>
  <sheetData>
    <row r="14" spans="10:12" x14ac:dyDescent="0.25">
      <c r="J14">
        <v>4580</v>
      </c>
      <c r="K14">
        <v>81143.59</v>
      </c>
      <c r="L14">
        <f>J14*K14</f>
        <v>371637642.19999999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Rajani Gupta</cp:lastModifiedBy>
  <dcterms:created xsi:type="dcterms:W3CDTF">2022-07-28T09:17:09Z</dcterms:created>
  <dcterms:modified xsi:type="dcterms:W3CDTF">2024-04-01T12:56:42Z</dcterms:modified>
</cp:coreProperties>
</file>