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inancialanalyst3\Desktop\VIS(2023-24)-PL715-616-943 NOMURA BIO CNG TEV STUDY\RKA WORKING MARCH 2024\v2 post reviewed report and model\"/>
    </mc:Choice>
  </mc:AlternateContent>
  <bookViews>
    <workbookView xWindow="0" yWindow="0" windowWidth="20490" windowHeight="7755" tabRatio="951" activeTab="5"/>
  </bookViews>
  <sheets>
    <sheet name="Det CoP_MOF" sheetId="1" r:id="rId1"/>
    <sheet name="CoP-MoF" sheetId="2" r:id="rId2"/>
    <sheet name="Det Assump" sheetId="3" r:id="rId3"/>
    <sheet name="Assump" sheetId="4" r:id="rId4"/>
    <sheet name="Sheet2" sheetId="27" state="hidden" r:id="rId5"/>
    <sheet name="P &amp; L" sheetId="5" r:id="rId6"/>
    <sheet name="BS" sheetId="6" r:id="rId7"/>
    <sheet name="Cash Flow" sheetId="7" r:id="rId8"/>
    <sheet name="BEP" sheetId="25" r:id="rId9"/>
    <sheet name="IRR" sheetId="24" r:id="rId10"/>
    <sheet name="DSCR" sheetId="8" r:id="rId11"/>
    <sheet name="Loan Assumptions" sheetId="23" r:id="rId12"/>
    <sheet name="TL Schd" sheetId="22" r:id="rId13"/>
    <sheet name="Ratio" sheetId="10" r:id="rId14"/>
    <sheet name="WC" sheetId="11" r:id="rId15"/>
    <sheet name="PBP-IRR" sheetId="12" state="hidden" r:id="rId16"/>
    <sheet name="NPV" sheetId="13" state="hidden" r:id="rId17"/>
    <sheet name="P E" sheetId="15" state="hidden" r:id="rId18"/>
    <sheet name="PE" sheetId="16" state="hidden" r:id="rId19"/>
    <sheet name="Tax" sheetId="26" r:id="rId20"/>
    <sheet name="Depr" sheetId="19" r:id="rId21"/>
    <sheet name="sal &amp; wages" sheetId="17" r:id="rId22"/>
    <sheet name="Sheet1" sheetId="18" state="hidden" r:id="rId23"/>
  </sheets>
  <definedNames>
    <definedName name="A">'P &amp; L'!$B$1</definedName>
    <definedName name="Z_22475485_DA09_46DB_978D_BB94CE1E5597_.wvu.Cols" localSheetId="10" hidden="1">DSCR!#REF!,DSCR!$JB:$JB,DSCR!$SX:$SX,DSCR!$ACT:$ACT,DSCR!$AMP:$AMP,DSCR!$AWL:$AWL,DSCR!$BGH:$BGH,DSCR!$BQD:$BQD,DSCR!$BZZ:$BZZ,DSCR!$CJV:$CJV,DSCR!$CTR:$CTR,DSCR!$DDN:$DDN,DSCR!$DNJ:$DNJ,DSCR!$DXF:$DXF,DSCR!$EHB:$EHB,DSCR!$EQX:$EQX,DSCR!$FAT:$FAT,DSCR!$FKP:$FKP,DSCR!$FUL:$FUL,DSCR!$GEH:$GEH,DSCR!$GOD:$GOD,DSCR!$GXZ:$GXZ,DSCR!$HHV:$HHV,DSCR!$HRR:$HRR,DSCR!$IBN:$IBN,DSCR!$ILJ:$ILJ,DSCR!$IVF:$IVF,DSCR!$JFB:$JFB,DSCR!$JOX:$JOX,DSCR!$JYT:$JYT,DSCR!$KIP:$KIP,DSCR!$KSL:$KSL,DSCR!$LCH:$LCH,DSCR!$LMD:$LMD,DSCR!$LVZ:$LVZ,DSCR!$MFV:$MFV,DSCR!$MPR:$MPR,DSCR!$MZN:$MZN,DSCR!$NJJ:$NJJ,DSCR!$NTF:$NTF,DSCR!$ODB:$ODB,DSCR!$OMX:$OMX,DSCR!$OWT:$OWT,DSCR!$PGP:$PGP,DSCR!$PQL:$PQL,DSCR!$QAH:$QAH,DSCR!$QKD:$QKD,DSCR!$QTZ:$QTZ,DSCR!$RDV:$RDV,DSCR!$RNR:$RNR,DSCR!$RXN:$RXN,DSCR!$SHJ:$SHJ,DSCR!$SRF:$SRF,DSCR!$TBB:$TBB,DSCR!$TKX:$TKX,DSCR!$TUT:$TUT,DSCR!$UEP:$UEP,DSCR!$UOL:$UOL,DSCR!$UYH:$UYH,DSCR!$VID:$VID,DSCR!$VRZ:$VRZ,DSCR!$WBV:$WBV,DSCR!$WLR:$WLR,DSCR!$WVN:$WVN</definedName>
    <definedName name="Z_22475485_DA09_46DB_978D_BB94CE1E5597_.wvu.Rows" localSheetId="0" hidden="1">'Det CoP_MOF'!$6:$8,'Det CoP_MOF'!$182:$188</definedName>
    <definedName name="Z_22475485_DA09_46DB_978D_BB94CE1E5597_.wvu.Rows" localSheetId="5" hidden="1">'P &amp; L'!$1:$1</definedName>
    <definedName name="Z_22475485_DA09_46DB_978D_BB94CE1E5597_.wvu.Rows" localSheetId="15" hidden="1">'PBP-IRR'!$15:$21</definedName>
    <definedName name="Z_22475485_DA09_46DB_978D_BB94CE1E5597_.wvu.Rows" localSheetId="13" hidden="1">Ratio!$45:$50</definedName>
  </definedNames>
  <calcPr calcId="152511"/>
  <customWorkbookViews>
    <customWorkbookView name="DELL - Personal View" guid="{22475485-DA09-46DB-978D-BB94CE1E5597}" mergeInterval="0" personalView="1" maximized="1" xWindow="1" yWindow="1" windowWidth="1122" windowHeight="538"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24" l="1"/>
  <c r="B65" i="24" s="1"/>
  <c r="B66" i="24" s="1"/>
  <c r="B67" i="24" s="1"/>
  <c r="B68" i="24" s="1"/>
  <c r="B69" i="24" s="1"/>
  <c r="B70" i="24" s="1"/>
  <c r="B71" i="24" s="1"/>
  <c r="B72" i="24" s="1"/>
  <c r="B73" i="24" s="1"/>
  <c r="B74" i="24" s="1"/>
  <c r="B63" i="24"/>
  <c r="C53" i="24"/>
  <c r="E52" i="24" l="1"/>
  <c r="F52" i="24" s="1"/>
  <c r="G52" i="24" s="1"/>
  <c r="H52" i="24" s="1"/>
  <c r="I52" i="24" s="1"/>
  <c r="J52" i="24" s="1"/>
  <c r="K52" i="24" s="1"/>
  <c r="L52" i="24" s="1"/>
  <c r="M52" i="24" s="1"/>
  <c r="N52" i="24" s="1"/>
  <c r="O52" i="24" s="1"/>
  <c r="C10" i="24"/>
  <c r="C8" i="24"/>
  <c r="C7" i="24"/>
  <c r="C6" i="24"/>
  <c r="F5" i="24"/>
  <c r="G5" i="24" s="1"/>
  <c r="H5" i="24" s="1"/>
  <c r="I5" i="24" s="1"/>
  <c r="J5" i="24" s="1"/>
  <c r="K5" i="24" s="1"/>
  <c r="L5" i="24" s="1"/>
  <c r="M5" i="24" s="1"/>
  <c r="N5" i="24" s="1"/>
  <c r="O5" i="24" s="1"/>
  <c r="O4" i="24"/>
  <c r="O50" i="24" s="1"/>
  <c r="D4" i="24"/>
  <c r="E4" i="24"/>
  <c r="F4" i="24"/>
  <c r="G4" i="24"/>
  <c r="H4" i="24"/>
  <c r="I4" i="24"/>
  <c r="J4" i="24"/>
  <c r="K4" i="24"/>
  <c r="L4" i="24"/>
  <c r="M4" i="24"/>
  <c r="N4" i="24"/>
  <c r="C4" i="24"/>
  <c r="C15" i="24"/>
  <c r="E8" i="6" l="1"/>
  <c r="E6" i="22"/>
  <c r="D6" i="6"/>
  <c r="F11" i="2" l="1"/>
  <c r="D38" i="24"/>
  <c r="D40" i="24" s="1"/>
  <c r="E9" i="7"/>
  <c r="C11" i="6"/>
  <c r="C13" i="6"/>
  <c r="C22" i="6"/>
  <c r="C25" i="6"/>
  <c r="C26" i="6"/>
  <c r="C28" i="6"/>
  <c r="E28" i="6" l="1"/>
  <c r="E6" i="6"/>
  <c r="E7" i="7" s="1"/>
  <c r="F9" i="6"/>
  <c r="G9" i="6" s="1"/>
  <c r="H9" i="6" s="1"/>
  <c r="I9" i="6" s="1"/>
  <c r="J9" i="6" s="1"/>
  <c r="K9" i="6" s="1"/>
  <c r="L9" i="6" s="1"/>
  <c r="M9" i="6" s="1"/>
  <c r="N9" i="6" s="1"/>
  <c r="O9" i="6" s="1"/>
  <c r="D57" i="24" l="1"/>
  <c r="C57" i="24"/>
  <c r="H16" i="3" l="1"/>
  <c r="H17" i="3" s="1"/>
  <c r="F6" i="5" l="1"/>
  <c r="G6" i="5" s="1"/>
  <c r="H6" i="5" s="1"/>
  <c r="I6" i="5" s="1"/>
  <c r="J6" i="5" s="1"/>
  <c r="K6" i="5" s="1"/>
  <c r="L6" i="5" s="1"/>
  <c r="M6" i="5" s="1"/>
  <c r="N6" i="5" s="1"/>
  <c r="O6" i="5" s="1"/>
  <c r="I6" i="2" l="1"/>
  <c r="I9" i="2"/>
  <c r="D55" i="3"/>
  <c r="J21" i="1" l="1"/>
  <c r="J22" i="1"/>
  <c r="J19" i="1"/>
  <c r="E32" i="27" l="1"/>
  <c r="E33" i="27" s="1"/>
  <c r="O18" i="27" l="1"/>
  <c r="Q18" i="27" s="1"/>
  <c r="O15" i="27"/>
  <c r="Q15" i="27" s="1"/>
  <c r="O12" i="27"/>
  <c r="Q12" i="27" s="1"/>
  <c r="O9" i="27"/>
  <c r="Q9" i="27" s="1"/>
  <c r="G10" i="3"/>
  <c r="G11" i="3"/>
  <c r="I174" i="1"/>
  <c r="I35" i="3" l="1"/>
  <c r="J35" i="3" s="1"/>
  <c r="F35" i="3"/>
  <c r="H36" i="3"/>
  <c r="H37" i="3" s="1"/>
  <c r="C50" i="24"/>
  <c r="C38" i="24"/>
  <c r="E38" i="24" s="1"/>
  <c r="F38" i="24" l="1"/>
  <c r="F40" i="24" s="1"/>
  <c r="E40" i="24"/>
  <c r="G38" i="24"/>
  <c r="C40" i="24"/>
  <c r="D49" i="3"/>
  <c r="F17" i="4" s="1"/>
  <c r="I54" i="3"/>
  <c r="G54" i="3"/>
  <c r="H38" i="24" l="1"/>
  <c r="G40" i="24"/>
  <c r="D5" i="4"/>
  <c r="F111" i="22"/>
  <c r="H14" i="2"/>
  <c r="F11" i="26"/>
  <c r="G5" i="26"/>
  <c r="H5" i="26" s="1"/>
  <c r="I5" i="26" s="1"/>
  <c r="J5" i="26" s="1"/>
  <c r="K5" i="26" s="1"/>
  <c r="L5" i="26" s="1"/>
  <c r="M5" i="26" s="1"/>
  <c r="N5" i="26" s="1"/>
  <c r="O5" i="26" s="1"/>
  <c r="P5" i="26" s="1"/>
  <c r="Q5" i="26" s="1"/>
  <c r="I38" i="24" l="1"/>
  <c r="H40" i="24"/>
  <c r="O11" i="7"/>
  <c r="G153" i="1"/>
  <c r="G101" i="1"/>
  <c r="G19" i="1"/>
  <c r="C22" i="25"/>
  <c r="D18" i="25"/>
  <c r="D22" i="25" s="1"/>
  <c r="C17" i="25"/>
  <c r="D4" i="25"/>
  <c r="D17" i="25" s="1"/>
  <c r="J38" i="24" l="1"/>
  <c r="I40" i="24"/>
  <c r="E18" i="25"/>
  <c r="E22" i="25" s="1"/>
  <c r="E23" i="25" s="1"/>
  <c r="E4" i="25"/>
  <c r="F18" i="25"/>
  <c r="K38" i="24" l="1"/>
  <c r="J40" i="24"/>
  <c r="G18" i="25"/>
  <c r="F22" i="25"/>
  <c r="F23" i="25" s="1"/>
  <c r="F4" i="25"/>
  <c r="E17" i="25"/>
  <c r="L38" i="24" l="1"/>
  <c r="K40" i="24"/>
  <c r="G4" i="25"/>
  <c r="F17" i="25"/>
  <c r="H18" i="25"/>
  <c r="G22" i="25"/>
  <c r="G23" i="25" s="1"/>
  <c r="M38" i="24" l="1"/>
  <c r="L40" i="24"/>
  <c r="H22" i="25"/>
  <c r="H23" i="25" s="1"/>
  <c r="I18" i="25"/>
  <c r="G17" i="25"/>
  <c r="H4" i="25"/>
  <c r="N38" i="24" l="1"/>
  <c r="M40" i="24"/>
  <c r="J18" i="25"/>
  <c r="J22" i="25" s="1"/>
  <c r="I22" i="25"/>
  <c r="I23" i="25" s="1"/>
  <c r="J23" i="25" s="1"/>
  <c r="I4" i="25"/>
  <c r="H17" i="25"/>
  <c r="O38" i="24" l="1"/>
  <c r="O40" i="24" s="1"/>
  <c r="N40" i="24"/>
  <c r="J4" i="25"/>
  <c r="I17" i="25"/>
  <c r="K4" i="25" l="1"/>
  <c r="L4" i="25" s="1"/>
  <c r="M4" i="25" s="1"/>
  <c r="N4" i="25" s="1"/>
  <c r="J17" i="25"/>
  <c r="C23" i="24" l="1"/>
  <c r="D19" i="24"/>
  <c r="E19" i="24" s="1"/>
  <c r="C18" i="24"/>
  <c r="E50" i="24" l="1"/>
  <c r="D50" i="24"/>
  <c r="E18" i="24"/>
  <c r="F50" i="24"/>
  <c r="F19" i="24"/>
  <c r="E23" i="24"/>
  <c r="E24" i="24" s="1"/>
  <c r="D23" i="24"/>
  <c r="D18" i="24"/>
  <c r="F23" i="24" l="1"/>
  <c r="F24" i="24" s="1"/>
  <c r="G19" i="24"/>
  <c r="G50" i="24"/>
  <c r="F18" i="24"/>
  <c r="G18" i="24" l="1"/>
  <c r="H50" i="24"/>
  <c r="H19" i="24"/>
  <c r="G23" i="24"/>
  <c r="G24" i="24" s="1"/>
  <c r="I50" i="24" l="1"/>
  <c r="H18" i="24"/>
  <c r="H23" i="24"/>
  <c r="H24" i="24" s="1"/>
  <c r="I19" i="24"/>
  <c r="I18" i="24" l="1"/>
  <c r="J50" i="24"/>
  <c r="J19" i="24"/>
  <c r="J23" i="24" s="1"/>
  <c r="I23" i="24"/>
  <c r="I24" i="24" s="1"/>
  <c r="J24" i="24" s="1"/>
  <c r="J18" i="24" l="1"/>
  <c r="K50" i="24" l="1"/>
  <c r="E43" i="22"/>
  <c r="F8" i="7"/>
  <c r="E27" i="8"/>
  <c r="E26" i="8"/>
  <c r="D28" i="8"/>
  <c r="G18" i="4"/>
  <c r="E32" i="22"/>
  <c r="E33" i="22" s="1"/>
  <c r="E34" i="22" s="1"/>
  <c r="E35" i="22" s="1"/>
  <c r="E36" i="22" s="1"/>
  <c r="E37" i="22" s="1"/>
  <c r="F18" i="5"/>
  <c r="G18" i="5" s="1"/>
  <c r="H18" i="5" s="1"/>
  <c r="I18" i="5" s="1"/>
  <c r="J18" i="5" s="1"/>
  <c r="K18" i="5" s="1"/>
  <c r="L18" i="5" s="1"/>
  <c r="M18" i="5" s="1"/>
  <c r="N18" i="5" s="1"/>
  <c r="O18" i="5" s="1"/>
  <c r="E5" i="10"/>
  <c r="F5" i="10"/>
  <c r="G5" i="10" s="1"/>
  <c r="H5" i="10" s="1"/>
  <c r="I5" i="10" s="1"/>
  <c r="J5" i="10" s="1"/>
  <c r="K5" i="10" s="1"/>
  <c r="L5" i="10" s="1"/>
  <c r="M5" i="10" s="1"/>
  <c r="N5" i="10" s="1"/>
  <c r="O5" i="10" s="1"/>
  <c r="D14" i="2"/>
  <c r="D16" i="2" s="1"/>
  <c r="D19" i="2" s="1"/>
  <c r="E22" i="11"/>
  <c r="F22" i="11" s="1"/>
  <c r="G22" i="11" s="1"/>
  <c r="H22" i="11" s="1"/>
  <c r="I22" i="11" s="1"/>
  <c r="J22" i="11" s="1"/>
  <c r="K22" i="11" s="1"/>
  <c r="L22" i="11" s="1"/>
  <c r="M22" i="11" s="1"/>
  <c r="N22" i="11" s="1"/>
  <c r="O22" i="11" s="1"/>
  <c r="G30" i="1"/>
  <c r="G27" i="1"/>
  <c r="D6" i="4"/>
  <c r="C50" i="10"/>
  <c r="G13" i="7"/>
  <c r="F7" i="12" s="1"/>
  <c r="A31" i="22"/>
  <c r="A44" i="22" s="1"/>
  <c r="A57" i="22" s="1"/>
  <c r="A62" i="22" s="1"/>
  <c r="A67" i="22" s="1"/>
  <c r="A72" i="22" s="1"/>
  <c r="A77" i="22" s="1"/>
  <c r="A82" i="22" s="1"/>
  <c r="A87" i="22" s="1"/>
  <c r="A92" i="22" s="1"/>
  <c r="A97" i="22" s="1"/>
  <c r="D5" i="11"/>
  <c r="E5" i="11" s="1"/>
  <c r="F5" i="11" s="1"/>
  <c r="G5" i="11" s="1"/>
  <c r="H5" i="11" s="1"/>
  <c r="I5" i="11" s="1"/>
  <c r="J5" i="11" s="1"/>
  <c r="K5" i="11" s="1"/>
  <c r="L5" i="11" s="1"/>
  <c r="M5" i="11" s="1"/>
  <c r="N5" i="11" s="1"/>
  <c r="O5" i="11" s="1"/>
  <c r="D23" i="19"/>
  <c r="E23" i="19" s="1"/>
  <c r="F23" i="19" s="1"/>
  <c r="G23" i="19" s="1"/>
  <c r="H23" i="19" s="1"/>
  <c r="I23" i="19" s="1"/>
  <c r="J23" i="19" s="1"/>
  <c r="K23" i="19" s="1"/>
  <c r="L23" i="19" s="1"/>
  <c r="M23" i="19" s="1"/>
  <c r="N23" i="19" s="1"/>
  <c r="D12" i="19"/>
  <c r="E12" i="19" s="1"/>
  <c r="F12" i="19" s="1"/>
  <c r="G12" i="19" s="1"/>
  <c r="H12" i="19" s="1"/>
  <c r="I12" i="19" s="1"/>
  <c r="J12" i="19" s="1"/>
  <c r="K12" i="19" s="1"/>
  <c r="L12" i="19" s="1"/>
  <c r="M12" i="19" s="1"/>
  <c r="N12" i="19" s="1"/>
  <c r="F113" i="22"/>
  <c r="G113" i="22" s="1"/>
  <c r="H113" i="22" s="1"/>
  <c r="I113" i="22" s="1"/>
  <c r="J113" i="22" s="1"/>
  <c r="K113" i="22" s="1"/>
  <c r="L113" i="22" s="1"/>
  <c r="M113" i="22" s="1"/>
  <c r="N113" i="22" s="1"/>
  <c r="O113" i="22" s="1"/>
  <c r="P113" i="22" s="1"/>
  <c r="E5" i="5"/>
  <c r="F5" i="5" s="1"/>
  <c r="G5" i="5" s="1"/>
  <c r="H5" i="5" s="1"/>
  <c r="I5" i="5" s="1"/>
  <c r="J5" i="5" s="1"/>
  <c r="K5" i="5" s="1"/>
  <c r="L5" i="5" s="1"/>
  <c r="M5" i="5" s="1"/>
  <c r="N5" i="5" s="1"/>
  <c r="O5" i="5" s="1"/>
  <c r="D3" i="6"/>
  <c r="E3" i="6" s="1"/>
  <c r="F3" i="6" s="1"/>
  <c r="G3" i="6" s="1"/>
  <c r="H3" i="6" s="1"/>
  <c r="I3" i="6" s="1"/>
  <c r="J3" i="6" s="1"/>
  <c r="K3" i="6" s="1"/>
  <c r="L3" i="6" s="1"/>
  <c r="M3" i="6" s="1"/>
  <c r="N3" i="6" s="1"/>
  <c r="O3" i="6" s="1"/>
  <c r="D3" i="7"/>
  <c r="E3" i="7" s="1"/>
  <c r="F3" i="7" s="1"/>
  <c r="G3" i="7" s="1"/>
  <c r="H3" i="7" s="1"/>
  <c r="I3" i="7" s="1"/>
  <c r="J3" i="7" s="1"/>
  <c r="K3" i="7" s="1"/>
  <c r="L3" i="7" s="1"/>
  <c r="M3" i="7" s="1"/>
  <c r="N3" i="7" s="1"/>
  <c r="O3" i="7" s="1"/>
  <c r="D4" i="8"/>
  <c r="E4" i="8" s="1"/>
  <c r="F4" i="8" s="1"/>
  <c r="G4" i="8" s="1"/>
  <c r="H4" i="8" s="1"/>
  <c r="I4" i="8" s="1"/>
  <c r="J4" i="8" s="1"/>
  <c r="K4" i="8" s="1"/>
  <c r="L4" i="8" s="1"/>
  <c r="M4" i="8" s="1"/>
  <c r="N4" i="8" s="1"/>
  <c r="E4" i="22"/>
  <c r="F4" i="22" s="1"/>
  <c r="G4" i="22" s="1"/>
  <c r="H4" i="22" s="1"/>
  <c r="I4" i="22" s="1"/>
  <c r="J4" i="22" s="1"/>
  <c r="K4" i="22" s="1"/>
  <c r="L4" i="22" s="1"/>
  <c r="M4" i="22" s="1"/>
  <c r="N4" i="22" s="1"/>
  <c r="O4" i="22" s="1"/>
  <c r="P4" i="22" s="1"/>
  <c r="G159" i="1"/>
  <c r="G124" i="1"/>
  <c r="G86" i="1"/>
  <c r="G92" i="1" s="1"/>
  <c r="G84" i="1"/>
  <c r="G67" i="1"/>
  <c r="D64" i="3"/>
  <c r="D7" i="4"/>
  <c r="E114" i="22"/>
  <c r="E115" i="22" s="1"/>
  <c r="E119" i="22" s="1"/>
  <c r="D10" i="2"/>
  <c r="F179" i="1"/>
  <c r="G179" i="1" s="1"/>
  <c r="G21" i="1"/>
  <c r="D50" i="3"/>
  <c r="G59" i="1"/>
  <c r="G57" i="1"/>
  <c r="H117" i="22"/>
  <c r="H14" i="12"/>
  <c r="C21" i="16"/>
  <c r="C27" i="16"/>
  <c r="C26" i="16"/>
  <c r="D5" i="2"/>
  <c r="C31" i="16" s="1"/>
  <c r="E20" i="11"/>
  <c r="F20" i="11" s="1"/>
  <c r="G20" i="11" s="1"/>
  <c r="H20" i="11" s="1"/>
  <c r="I20" i="11" s="1"/>
  <c r="J20" i="11" s="1"/>
  <c r="K20" i="11" s="1"/>
  <c r="L20" i="11" s="1"/>
  <c r="M20" i="11" s="1"/>
  <c r="N20" i="11" s="1"/>
  <c r="O20" i="11" s="1"/>
  <c r="E30" i="11"/>
  <c r="E15" i="11"/>
  <c r="F15" i="11" s="1"/>
  <c r="G15" i="11" s="1"/>
  <c r="H15" i="11" s="1"/>
  <c r="I15" i="11" s="1"/>
  <c r="J15" i="11" s="1"/>
  <c r="K15" i="11" s="1"/>
  <c r="L15" i="11" s="1"/>
  <c r="M15" i="11" s="1"/>
  <c r="N15" i="11" s="1"/>
  <c r="O15" i="11" s="1"/>
  <c r="F25" i="17"/>
  <c r="C26" i="17"/>
  <c r="C24" i="16"/>
  <c r="C23" i="16"/>
  <c r="C22" i="16"/>
  <c r="E24" i="11"/>
  <c r="F24" i="11" s="1"/>
  <c r="G24" i="11" s="1"/>
  <c r="H24" i="11" s="1"/>
  <c r="I24" i="11" s="1"/>
  <c r="J24" i="11" s="1"/>
  <c r="K24" i="11" s="1"/>
  <c r="L24" i="11" s="1"/>
  <c r="M24" i="11" s="1"/>
  <c r="N24" i="11" s="1"/>
  <c r="O24" i="11" s="1"/>
  <c r="F30" i="11"/>
  <c r="G30" i="11" s="1"/>
  <c r="H30" i="11" s="1"/>
  <c r="I30" i="11" s="1"/>
  <c r="J30" i="11" s="1"/>
  <c r="K30" i="11" s="1"/>
  <c r="L30" i="11" s="1"/>
  <c r="M30" i="11" s="1"/>
  <c r="N30" i="11" s="1"/>
  <c r="O30" i="11" s="1"/>
  <c r="C18" i="17"/>
  <c r="D51" i="3"/>
  <c r="F7" i="4" s="1"/>
  <c r="G7" i="4" s="1"/>
  <c r="F16" i="4"/>
  <c r="G16" i="4" s="1"/>
  <c r="E13" i="5" s="1"/>
  <c r="D45" i="3"/>
  <c r="D30" i="3"/>
  <c r="D56" i="3" s="1"/>
  <c r="G58" i="1"/>
  <c r="G156" i="1"/>
  <c r="B7" i="12"/>
  <c r="C7" i="12"/>
  <c r="C4" i="16"/>
  <c r="C15" i="16" s="1"/>
  <c r="C20" i="16"/>
  <c r="D7" i="12"/>
  <c r="C13" i="18"/>
  <c r="B13" i="18"/>
  <c r="E11" i="18"/>
  <c r="E10" i="18"/>
  <c r="E9" i="18"/>
  <c r="E8" i="18"/>
  <c r="E7" i="18"/>
  <c r="E6" i="18"/>
  <c r="D6" i="18"/>
  <c r="E5" i="18"/>
  <c r="E4" i="18"/>
  <c r="D4" i="18"/>
  <c r="E3" i="18"/>
  <c r="E2" i="18"/>
  <c r="C25" i="13"/>
  <c r="C26" i="13" s="1"/>
  <c r="C27" i="13" s="1"/>
  <c r="E24" i="13"/>
  <c r="C6" i="13"/>
  <c r="E6" i="13" s="1"/>
  <c r="E5" i="13"/>
  <c r="G7" i="12"/>
  <c r="C7" i="16"/>
  <c r="C17" i="16" s="1"/>
  <c r="C6" i="16"/>
  <c r="C16" i="16" s="1"/>
  <c r="C5" i="16"/>
  <c r="C21" i="15"/>
  <c r="C20" i="15"/>
  <c r="C19" i="15"/>
  <c r="C18" i="15"/>
  <c r="C17" i="15"/>
  <c r="C16" i="15"/>
  <c r="H7" i="12"/>
  <c r="F24" i="17"/>
  <c r="F23" i="17"/>
  <c r="F22" i="17"/>
  <c r="F21" i="17"/>
  <c r="F17" i="17"/>
  <c r="F16" i="17"/>
  <c r="F15" i="17"/>
  <c r="F14" i="17"/>
  <c r="F13" i="17"/>
  <c r="C10" i="17"/>
  <c r="F9" i="17"/>
  <c r="F8" i="17"/>
  <c r="F7" i="17"/>
  <c r="G35" i="4"/>
  <c r="G30" i="4"/>
  <c r="G29" i="4"/>
  <c r="G28" i="4"/>
  <c r="G21" i="4"/>
  <c r="G22" i="4"/>
  <c r="D54" i="3"/>
  <c r="F13" i="4" s="1"/>
  <c r="D53" i="3"/>
  <c r="F6" i="4"/>
  <c r="D48" i="3"/>
  <c r="F5" i="4"/>
  <c r="G5" i="4" s="1"/>
  <c r="E8" i="5" s="1"/>
  <c r="G17" i="4"/>
  <c r="C13" i="16"/>
  <c r="C14" i="15"/>
  <c r="C11" i="16"/>
  <c r="C12" i="15"/>
  <c r="G6" i="4"/>
  <c r="D26" i="3"/>
  <c r="C8" i="16" s="1"/>
  <c r="C18" i="16" s="1"/>
  <c r="G173" i="1"/>
  <c r="G172" i="1"/>
  <c r="G171" i="1"/>
  <c r="G170" i="1"/>
  <c r="G169" i="1"/>
  <c r="G168" i="1"/>
  <c r="G167" i="1"/>
  <c r="G158" i="1"/>
  <c r="G157" i="1"/>
  <c r="G152" i="1"/>
  <c r="G151" i="1"/>
  <c r="G129" i="1"/>
  <c r="G130" i="1" s="1"/>
  <c r="G53" i="1"/>
  <c r="G55" i="1" s="1"/>
  <c r="G46" i="1"/>
  <c r="G45" i="1"/>
  <c r="G41" i="1"/>
  <c r="G40" i="1"/>
  <c r="G39" i="1"/>
  <c r="G38" i="1"/>
  <c r="G37" i="1"/>
  <c r="G36" i="1"/>
  <c r="G35" i="1"/>
  <c r="G34" i="1"/>
  <c r="G31" i="1"/>
  <c r="G26" i="1"/>
  <c r="G29" i="1"/>
  <c r="G28" i="1"/>
  <c r="G25" i="1"/>
  <c r="G24" i="1"/>
  <c r="G23" i="1"/>
  <c r="G22" i="1"/>
  <c r="G20" i="1"/>
  <c r="G18" i="1"/>
  <c r="G17" i="1"/>
  <c r="G16" i="1"/>
  <c r="G15" i="1"/>
  <c r="G14" i="1"/>
  <c r="G13" i="1"/>
  <c r="G12" i="1"/>
  <c r="F12" i="4"/>
  <c r="C42" i="16"/>
  <c r="C46" i="16" s="1"/>
  <c r="C12" i="7"/>
  <c r="D12" i="11"/>
  <c r="C20" i="7"/>
  <c r="C19" i="7"/>
  <c r="G41" i="4"/>
  <c r="D41" i="4" s="1"/>
  <c r="G42" i="4"/>
  <c r="I6" i="12"/>
  <c r="I12" i="12"/>
  <c r="I13" i="12" s="1"/>
  <c r="J6" i="12"/>
  <c r="J12" i="12" s="1"/>
  <c r="J13" i="12" s="1"/>
  <c r="K6" i="12"/>
  <c r="K12" i="12" s="1"/>
  <c r="K13" i="12" s="1"/>
  <c r="C37" i="16"/>
  <c r="G178" i="1"/>
  <c r="K11" i="7"/>
  <c r="C11" i="7"/>
  <c r="L11" i="7"/>
  <c r="M11" i="7"/>
  <c r="N11" i="7"/>
  <c r="J11" i="7"/>
  <c r="D15" i="22"/>
  <c r="C41" i="16"/>
  <c r="D26" i="2"/>
  <c r="C5" i="12"/>
  <c r="E23" i="22"/>
  <c r="F23" i="22" s="1"/>
  <c r="G23" i="22" s="1"/>
  <c r="D7" i="22"/>
  <c r="C18" i="7" s="1"/>
  <c r="F22" i="22"/>
  <c r="G22" i="22" s="1"/>
  <c r="C10" i="7"/>
  <c r="B6" i="12"/>
  <c r="B12" i="12" s="1"/>
  <c r="C6" i="7"/>
  <c r="C7" i="6" s="1"/>
  <c r="D14" i="5" l="1"/>
  <c r="E14" i="5"/>
  <c r="F26" i="17"/>
  <c r="D34" i="4" s="1"/>
  <c r="G34" i="4" s="1"/>
  <c r="C7" i="13"/>
  <c r="C8" i="13" s="1"/>
  <c r="C9" i="13" s="1"/>
  <c r="C13" i="15"/>
  <c r="E9" i="5"/>
  <c r="E25" i="13"/>
  <c r="E13" i="18"/>
  <c r="E95" i="22"/>
  <c r="E85" i="22"/>
  <c r="E75" i="22"/>
  <c r="E65" i="22"/>
  <c r="D30" i="22"/>
  <c r="D6" i="22" s="1"/>
  <c r="E104" i="22"/>
  <c r="E99" i="22"/>
  <c r="E94" i="22"/>
  <c r="E89" i="22"/>
  <c r="E84" i="22"/>
  <c r="E79" i="22"/>
  <c r="E74" i="22"/>
  <c r="E69" i="22"/>
  <c r="E64" i="22"/>
  <c r="E61" i="22"/>
  <c r="E103" i="22"/>
  <c r="E98" i="22"/>
  <c r="E93" i="22"/>
  <c r="E88" i="22"/>
  <c r="E83" i="22"/>
  <c r="E78" i="22"/>
  <c r="E73" i="22"/>
  <c r="E68" i="22"/>
  <c r="E63" i="22"/>
  <c r="E58" i="22"/>
  <c r="E100" i="22"/>
  <c r="E90" i="22"/>
  <c r="E80" i="22"/>
  <c r="E70" i="22"/>
  <c r="E60" i="22"/>
  <c r="E101" i="22"/>
  <c r="E96" i="22"/>
  <c r="E91" i="22"/>
  <c r="E86" i="22"/>
  <c r="E81" i="22"/>
  <c r="E76" i="22"/>
  <c r="E71" i="22"/>
  <c r="E66" i="22"/>
  <c r="E59" i="22"/>
  <c r="E27" i="13"/>
  <c r="C28" i="13"/>
  <c r="G13" i="4"/>
  <c r="I13" i="4"/>
  <c r="J13" i="4" s="1"/>
  <c r="J15" i="4" s="1"/>
  <c r="J16" i="4" s="1"/>
  <c r="J17" i="4" s="1"/>
  <c r="D9" i="5"/>
  <c r="C51" i="16"/>
  <c r="F18" i="17"/>
  <c r="D13" i="6"/>
  <c r="E13" i="6" s="1"/>
  <c r="F13" i="6" s="1"/>
  <c r="G13" i="6" s="1"/>
  <c r="H13" i="6" s="1"/>
  <c r="I13" i="6" s="1"/>
  <c r="J13" i="6" s="1"/>
  <c r="K13" i="6" s="1"/>
  <c r="L13" i="6" s="1"/>
  <c r="M13" i="6" s="1"/>
  <c r="N13" i="6" s="1"/>
  <c r="O13" i="6" s="1"/>
  <c r="G12" i="4"/>
  <c r="I12" i="4"/>
  <c r="E26" i="13"/>
  <c r="C12" i="16"/>
  <c r="E7" i="12"/>
  <c r="G160" i="1"/>
  <c r="G11" i="2"/>
  <c r="G8" i="2"/>
  <c r="C55" i="24"/>
  <c r="C76" i="24" s="1"/>
  <c r="F10" i="17"/>
  <c r="L50" i="24"/>
  <c r="F7" i="5"/>
  <c r="F9" i="5" s="1"/>
  <c r="G42" i="1"/>
  <c r="G154" i="1"/>
  <c r="D25" i="5"/>
  <c r="E28" i="8"/>
  <c r="B8" i="12"/>
  <c r="D19" i="5"/>
  <c r="E19" i="5"/>
  <c r="G14" i="4"/>
  <c r="C50" i="16"/>
  <c r="C49" i="16"/>
  <c r="G8" i="4"/>
  <c r="C52" i="16" s="1"/>
  <c r="D8" i="5"/>
  <c r="G181" i="1"/>
  <c r="F32" i="4"/>
  <c r="G32" i="4" s="1"/>
  <c r="E55" i="22"/>
  <c r="E51" i="22"/>
  <c r="E54" i="22"/>
  <c r="E52" i="22"/>
  <c r="E56" i="22"/>
  <c r="E53" i="22"/>
  <c r="F114" i="22"/>
  <c r="E24" i="22"/>
  <c r="E25" i="22" s="1"/>
  <c r="E26" i="22" s="1"/>
  <c r="D20" i="22"/>
  <c r="F20" i="22" s="1"/>
  <c r="E7" i="22"/>
  <c r="C12" i="6" s="1"/>
  <c r="C37" i="6" s="1"/>
  <c r="D13" i="5"/>
  <c r="D8" i="11" s="1"/>
  <c r="D21" i="11" s="1"/>
  <c r="E8" i="11"/>
  <c r="E21" i="11" s="1"/>
  <c r="C15" i="15"/>
  <c r="G19" i="4"/>
  <c r="G23" i="4" s="1"/>
  <c r="C53" i="16" s="1"/>
  <c r="C14" i="16"/>
  <c r="F19" i="17"/>
  <c r="D33" i="4" s="1"/>
  <c r="G33" i="4" s="1"/>
  <c r="C19" i="17"/>
  <c r="C6" i="19"/>
  <c r="D27" i="22"/>
  <c r="D23" i="2"/>
  <c r="B5" i="12" s="1"/>
  <c r="B11" i="12" s="1"/>
  <c r="B13" i="12" s="1"/>
  <c r="G174" i="1"/>
  <c r="D9" i="2"/>
  <c r="E21" i="7" s="1"/>
  <c r="G60" i="1"/>
  <c r="G162" i="1" s="1"/>
  <c r="G47" i="1"/>
  <c r="G32" i="1"/>
  <c r="I117" i="22"/>
  <c r="F19" i="5" l="1"/>
  <c r="F13" i="5"/>
  <c r="F8" i="11" s="1"/>
  <c r="F21" i="11" s="1"/>
  <c r="F8" i="5"/>
  <c r="D10" i="5"/>
  <c r="D6" i="11" s="1"/>
  <c r="D37" i="4"/>
  <c r="G37" i="4" s="1"/>
  <c r="E20" i="5"/>
  <c r="D12" i="5"/>
  <c r="D7" i="11" s="1"/>
  <c r="D13" i="11" s="1"/>
  <c r="E12" i="5"/>
  <c r="E7" i="11" s="1"/>
  <c r="E7" i="13"/>
  <c r="E8" i="13"/>
  <c r="G7" i="5"/>
  <c r="G14" i="5" s="1"/>
  <c r="I173" i="1"/>
  <c r="D8" i="2"/>
  <c r="C5" i="19" s="1"/>
  <c r="M50" i="24"/>
  <c r="N50" i="24"/>
  <c r="C10" i="13"/>
  <c r="E9" i="13"/>
  <c r="F10" i="5"/>
  <c r="F42" i="5" s="1"/>
  <c r="C29" i="13"/>
  <c r="E28" i="13"/>
  <c r="F12" i="5"/>
  <c r="F14" i="5"/>
  <c r="G12" i="5"/>
  <c r="G7" i="11" s="1"/>
  <c r="G13" i="11" s="1"/>
  <c r="G19" i="11" s="1"/>
  <c r="E10" i="5"/>
  <c r="E42" i="5" s="1"/>
  <c r="G163" i="1"/>
  <c r="G164" i="1" s="1"/>
  <c r="G31" i="4" s="1"/>
  <c r="G36" i="4" s="1"/>
  <c r="E17" i="5" s="1"/>
  <c r="F31" i="4"/>
  <c r="D11" i="10"/>
  <c r="C11" i="8"/>
  <c r="C8" i="8"/>
  <c r="J7" i="22"/>
  <c r="H12" i="6" s="1"/>
  <c r="F7" i="22"/>
  <c r="D12" i="6" s="1"/>
  <c r="C40" i="16"/>
  <c r="C43" i="16" s="1"/>
  <c r="F25" i="22"/>
  <c r="G25" i="22" s="1"/>
  <c r="I7" i="22"/>
  <c r="G12" i="6" s="1"/>
  <c r="G7" i="22"/>
  <c r="F18" i="7" s="1"/>
  <c r="F33" i="5" s="1"/>
  <c r="N7" i="22"/>
  <c r="L12" i="8" s="1"/>
  <c r="M7" i="22"/>
  <c r="L18" i="7" s="1"/>
  <c r="L33" i="5" s="1"/>
  <c r="L7" i="22"/>
  <c r="J12" i="8" s="1"/>
  <c r="H7" i="22"/>
  <c r="G18" i="7" s="1"/>
  <c r="G33" i="5" s="1"/>
  <c r="K7" i="22"/>
  <c r="F24" i="22"/>
  <c r="G24" i="22" s="1"/>
  <c r="G20" i="22"/>
  <c r="F115" i="22"/>
  <c r="G114" i="22"/>
  <c r="C12" i="8"/>
  <c r="D18" i="7"/>
  <c r="D33" i="5" s="1"/>
  <c r="F26" i="22"/>
  <c r="G26" i="22" s="1"/>
  <c r="E27" i="22"/>
  <c r="E28" i="22" s="1"/>
  <c r="E29" i="22" s="1"/>
  <c r="E30" i="22" s="1"/>
  <c r="E19" i="2"/>
  <c r="C35" i="16"/>
  <c r="D11" i="7"/>
  <c r="F49" i="1"/>
  <c r="J117" i="22"/>
  <c r="D42" i="5" l="1"/>
  <c r="E53" i="5" s="1"/>
  <c r="D38" i="10"/>
  <c r="D18" i="10"/>
  <c r="C5" i="25"/>
  <c r="E15" i="5"/>
  <c r="D6" i="25" s="1"/>
  <c r="E16" i="11"/>
  <c r="E14" i="11" s="1"/>
  <c r="E13" i="11"/>
  <c r="E19" i="11" s="1"/>
  <c r="G16" i="11"/>
  <c r="G14" i="11" s="1"/>
  <c r="G31" i="11" s="1"/>
  <c r="H7" i="5"/>
  <c r="H12" i="5" s="1"/>
  <c r="C34" i="16"/>
  <c r="G19" i="5"/>
  <c r="G9" i="5"/>
  <c r="G13" i="5"/>
  <c r="G8" i="11" s="1"/>
  <c r="G21" i="11" s="1"/>
  <c r="G8" i="5"/>
  <c r="E29" i="13"/>
  <c r="C30" i="13"/>
  <c r="E30" i="13" s="1"/>
  <c r="C11" i="13"/>
  <c r="E10" i="13"/>
  <c r="E18" i="10"/>
  <c r="H9" i="5"/>
  <c r="D5" i="25"/>
  <c r="E6" i="11"/>
  <c r="E29" i="11" s="1"/>
  <c r="E38" i="10"/>
  <c r="G49" i="1"/>
  <c r="G50" i="1" s="1"/>
  <c r="G175" i="1" s="1"/>
  <c r="I172" i="1" s="1"/>
  <c r="I175" i="1" s="1"/>
  <c r="I46" i="1"/>
  <c r="D16" i="11"/>
  <c r="D14" i="11" s="1"/>
  <c r="D31" i="11" s="1"/>
  <c r="F38" i="10"/>
  <c r="E5" i="25"/>
  <c r="F6" i="11"/>
  <c r="F29" i="11" s="1"/>
  <c r="F25" i="6" s="1"/>
  <c r="F18" i="10"/>
  <c r="F119" i="22"/>
  <c r="E25" i="5" s="1"/>
  <c r="D29" i="11"/>
  <c r="D25" i="6" s="1"/>
  <c r="D19" i="11"/>
  <c r="F53" i="5"/>
  <c r="D15" i="5"/>
  <c r="C6" i="25" s="1"/>
  <c r="F7" i="11"/>
  <c r="F15" i="5"/>
  <c r="F12" i="6"/>
  <c r="E18" i="7"/>
  <c r="E33" i="5" s="1"/>
  <c r="I18" i="7"/>
  <c r="I33" i="5" s="1"/>
  <c r="H12" i="8"/>
  <c r="D12" i="8"/>
  <c r="F12" i="8"/>
  <c r="G12" i="8"/>
  <c r="H18" i="7"/>
  <c r="H33" i="5" s="1"/>
  <c r="K12" i="6"/>
  <c r="M18" i="7"/>
  <c r="M33" i="5" s="1"/>
  <c r="K18" i="7"/>
  <c r="K33" i="5" s="1"/>
  <c r="E12" i="6"/>
  <c r="E12" i="8"/>
  <c r="L12" i="6"/>
  <c r="J12" i="6"/>
  <c r="K12" i="8"/>
  <c r="I12" i="6"/>
  <c r="J18" i="7"/>
  <c r="J33" i="5" s="1"/>
  <c r="I12" i="8"/>
  <c r="G115" i="22"/>
  <c r="G119" i="22" s="1"/>
  <c r="F25" i="5" s="1"/>
  <c r="H114" i="22"/>
  <c r="F27" i="22"/>
  <c r="D28" i="22" s="1"/>
  <c r="F28" i="22" s="1"/>
  <c r="D29" i="22" s="1"/>
  <c r="F29" i="22" s="1"/>
  <c r="E39" i="10"/>
  <c r="E11" i="7"/>
  <c r="F20" i="5"/>
  <c r="D28" i="6"/>
  <c r="D7" i="2"/>
  <c r="D17" i="5"/>
  <c r="G38" i="4"/>
  <c r="G39" i="4" s="1"/>
  <c r="G43" i="4" s="1"/>
  <c r="F17" i="5"/>
  <c r="G17" i="5"/>
  <c r="C54" i="16"/>
  <c r="C55" i="16" s="1"/>
  <c r="K117" i="22"/>
  <c r="F30" i="22"/>
  <c r="D32" i="22" s="1"/>
  <c r="C7" i="25" l="1"/>
  <c r="C10" i="25" s="1"/>
  <c r="D19" i="7"/>
  <c r="D10" i="24"/>
  <c r="D7" i="25"/>
  <c r="D10" i="25" s="1"/>
  <c r="H17" i="5"/>
  <c r="H9" i="11" s="1"/>
  <c r="H23" i="11" s="1"/>
  <c r="H14" i="5"/>
  <c r="H13" i="5"/>
  <c r="H8" i="11" s="1"/>
  <c r="H21" i="11" s="1"/>
  <c r="I7" i="5"/>
  <c r="I17" i="5" s="1"/>
  <c r="H19" i="5"/>
  <c r="D6" i="2"/>
  <c r="C32" i="16" s="1"/>
  <c r="H8" i="5"/>
  <c r="H10" i="5" s="1"/>
  <c r="E31" i="11"/>
  <c r="E26" i="6" s="1"/>
  <c r="F12" i="11"/>
  <c r="G10" i="5"/>
  <c r="G15" i="5"/>
  <c r="C12" i="13"/>
  <c r="E11" i="13"/>
  <c r="H7" i="11"/>
  <c r="H15" i="5"/>
  <c r="I12" i="5"/>
  <c r="J7" i="5"/>
  <c r="I8" i="5"/>
  <c r="I19" i="5"/>
  <c r="E40" i="10"/>
  <c r="E52" i="10" s="1"/>
  <c r="C33" i="16"/>
  <c r="E7" i="2"/>
  <c r="E12" i="11"/>
  <c r="E25" i="6"/>
  <c r="F10" i="24" s="1"/>
  <c r="H12" i="11"/>
  <c r="E11" i="10"/>
  <c r="D11" i="8"/>
  <c r="D8" i="8"/>
  <c r="G26" i="6"/>
  <c r="F11" i="10"/>
  <c r="E11" i="8"/>
  <c r="E8" i="8"/>
  <c r="G27" i="22"/>
  <c r="D39" i="10"/>
  <c r="D40" i="10" s="1"/>
  <c r="D52" i="10" s="1"/>
  <c r="E6" i="25"/>
  <c r="E7" i="25" s="1"/>
  <c r="E10" i="25" s="1"/>
  <c r="F39" i="10"/>
  <c r="F40" i="10" s="1"/>
  <c r="F52" i="10" s="1"/>
  <c r="F13" i="11"/>
  <c r="F16" i="11"/>
  <c r="F14" i="11" s="1"/>
  <c r="G29" i="22"/>
  <c r="G28" i="22"/>
  <c r="H115" i="22"/>
  <c r="H119" i="22" s="1"/>
  <c r="G25" i="5" s="1"/>
  <c r="I114" i="22"/>
  <c r="G30" i="22"/>
  <c r="D20" i="7"/>
  <c r="D26" i="6"/>
  <c r="D33" i="11"/>
  <c r="F11" i="7"/>
  <c r="G20" i="5"/>
  <c r="G21" i="5" s="1"/>
  <c r="C3" i="19"/>
  <c r="C4" i="19"/>
  <c r="F17" i="13"/>
  <c r="F36" i="13" s="1"/>
  <c r="I9" i="11"/>
  <c r="I23" i="11" s="1"/>
  <c r="D9" i="11"/>
  <c r="D23" i="11" s="1"/>
  <c r="D26" i="11" s="1"/>
  <c r="D11" i="6" s="1"/>
  <c r="D21" i="5"/>
  <c r="E9" i="11"/>
  <c r="E23" i="11" s="1"/>
  <c r="E26" i="11" s="1"/>
  <c r="E11" i="6" s="1"/>
  <c r="E21" i="5"/>
  <c r="G9" i="11"/>
  <c r="G23" i="11" s="1"/>
  <c r="G26" i="11" s="1"/>
  <c r="G11" i="6" s="1"/>
  <c r="F21" i="5"/>
  <c r="F9" i="11"/>
  <c r="F23" i="11" s="1"/>
  <c r="L117" i="22"/>
  <c r="F32" i="22"/>
  <c r="D33" i="22" s="1"/>
  <c r="D8" i="22"/>
  <c r="E5" i="22" s="1"/>
  <c r="C8" i="7"/>
  <c r="C8" i="6" s="1"/>
  <c r="F19" i="7" l="1"/>
  <c r="E10" i="24"/>
  <c r="H42" i="5"/>
  <c r="H6" i="11"/>
  <c r="H29" i="11" s="1"/>
  <c r="H25" i="6" s="1"/>
  <c r="E25" i="10"/>
  <c r="E37" i="6"/>
  <c r="E12" i="7"/>
  <c r="D37" i="6"/>
  <c r="D12" i="7"/>
  <c r="D25" i="10"/>
  <c r="G25" i="10"/>
  <c r="G37" i="6"/>
  <c r="E33" i="11"/>
  <c r="E35" i="11" s="1"/>
  <c r="E36" i="11" s="1"/>
  <c r="E37" i="11" s="1"/>
  <c r="E40" i="11" s="1"/>
  <c r="E20" i="7"/>
  <c r="I9" i="5"/>
  <c r="I10" i="5" s="1"/>
  <c r="I18" i="10" s="1"/>
  <c r="D35" i="11"/>
  <c r="D36" i="11" s="1"/>
  <c r="D37" i="11" s="1"/>
  <c r="I13" i="5"/>
  <c r="I8" i="11" s="1"/>
  <c r="I21" i="11" s="1"/>
  <c r="I14" i="5"/>
  <c r="H18" i="10"/>
  <c r="H38" i="10"/>
  <c r="G5" i="25"/>
  <c r="G39" i="10"/>
  <c r="F6" i="25"/>
  <c r="G6" i="11"/>
  <c r="G29" i="11" s="1"/>
  <c r="F5" i="25"/>
  <c r="G38" i="10"/>
  <c r="G18" i="10"/>
  <c r="G42" i="5"/>
  <c r="G53" i="5" s="1"/>
  <c r="E12" i="13"/>
  <c r="C13" i="13"/>
  <c r="E19" i="7"/>
  <c r="H13" i="11"/>
  <c r="H19" i="11" s="1"/>
  <c r="H16" i="11"/>
  <c r="H14" i="11" s="1"/>
  <c r="J12" i="5"/>
  <c r="K7" i="5"/>
  <c r="J14" i="5"/>
  <c r="J13" i="5"/>
  <c r="J8" i="11" s="1"/>
  <c r="J21" i="11" s="1"/>
  <c r="J19" i="5"/>
  <c r="J8" i="5"/>
  <c r="J9" i="5"/>
  <c r="J17" i="5"/>
  <c r="I7" i="11"/>
  <c r="G6" i="25"/>
  <c r="H39" i="10"/>
  <c r="H40" i="10" s="1"/>
  <c r="H52" i="10" s="1"/>
  <c r="F19" i="11"/>
  <c r="G11" i="10"/>
  <c r="F11" i="8"/>
  <c r="F8" i="8"/>
  <c r="D9" i="22"/>
  <c r="G12" i="11"/>
  <c r="F31" i="11"/>
  <c r="F28" i="6"/>
  <c r="D10" i="22"/>
  <c r="I115" i="22"/>
  <c r="I119" i="22" s="1"/>
  <c r="H25" i="5" s="1"/>
  <c r="J114" i="22"/>
  <c r="C7" i="19"/>
  <c r="G11" i="7"/>
  <c r="H20" i="5"/>
  <c r="I20" i="5" s="1"/>
  <c r="I11" i="7" s="1"/>
  <c r="E8" i="25"/>
  <c r="F41" i="10"/>
  <c r="F53" i="10" s="1"/>
  <c r="F54" i="10" s="1"/>
  <c r="F22" i="5"/>
  <c r="F23" i="5" s="1"/>
  <c r="F43" i="5" s="1"/>
  <c r="D8" i="25"/>
  <c r="E41" i="10"/>
  <c r="E53" i="10" s="1"/>
  <c r="E54" i="10" s="1"/>
  <c r="E22" i="5"/>
  <c r="E23" i="5" s="1"/>
  <c r="E43" i="5" s="1"/>
  <c r="F8" i="25"/>
  <c r="G22" i="5"/>
  <c r="G23" i="5" s="1"/>
  <c r="G43" i="5" s="1"/>
  <c r="G41" i="10"/>
  <c r="C8" i="25"/>
  <c r="D22" i="5"/>
  <c r="D23" i="5" s="1"/>
  <c r="D43" i="5" s="1"/>
  <c r="D41" i="10"/>
  <c r="D53" i="10" s="1"/>
  <c r="D54" i="10" s="1"/>
  <c r="M117" i="22"/>
  <c r="F33" i="22"/>
  <c r="D34" i="22" s="1"/>
  <c r="C21" i="10"/>
  <c r="G32" i="22"/>
  <c r="H26" i="11" l="1"/>
  <c r="H11" i="6" s="1"/>
  <c r="F7" i="25"/>
  <c r="F10" i="25" s="1"/>
  <c r="F26" i="11"/>
  <c r="F11" i="6" s="1"/>
  <c r="F25" i="10" s="1"/>
  <c r="I15" i="5"/>
  <c r="H6" i="25" s="1"/>
  <c r="I21" i="5"/>
  <c r="H5" i="25"/>
  <c r="J10" i="5"/>
  <c r="I5" i="25" s="1"/>
  <c r="G25" i="6"/>
  <c r="G10" i="24" s="1"/>
  <c r="G33" i="11"/>
  <c r="G35" i="11" s="1"/>
  <c r="G36" i="11" s="1"/>
  <c r="G37" i="11" s="1"/>
  <c r="I38" i="10"/>
  <c r="I42" i="5"/>
  <c r="I53" i="5" s="1"/>
  <c r="I6" i="11"/>
  <c r="I29" i="11" s="1"/>
  <c r="I25" i="6" s="1"/>
  <c r="G7" i="25"/>
  <c r="G10" i="25" s="1"/>
  <c r="G40" i="10"/>
  <c r="G52" i="10" s="1"/>
  <c r="H53" i="5"/>
  <c r="C14" i="13"/>
  <c r="E14" i="13" s="1"/>
  <c r="E13" i="13"/>
  <c r="D11" i="22"/>
  <c r="J38" i="10"/>
  <c r="K12" i="5"/>
  <c r="L7" i="5"/>
  <c r="K14" i="5"/>
  <c r="K9" i="5"/>
  <c r="K13" i="5"/>
  <c r="K8" i="11" s="1"/>
  <c r="K21" i="11" s="1"/>
  <c r="K19" i="5"/>
  <c r="K8" i="5"/>
  <c r="K17" i="5"/>
  <c r="J7" i="11"/>
  <c r="J15" i="5"/>
  <c r="J21" i="5"/>
  <c r="J9" i="11"/>
  <c r="J23" i="11" s="1"/>
  <c r="H31" i="11"/>
  <c r="I12" i="11"/>
  <c r="I16" i="11"/>
  <c r="I14" i="11" s="1"/>
  <c r="I13" i="11"/>
  <c r="I19" i="11" s="1"/>
  <c r="F47" i="5"/>
  <c r="H11" i="10"/>
  <c r="G11" i="8"/>
  <c r="G8" i="8"/>
  <c r="D47" i="5"/>
  <c r="G47" i="5"/>
  <c r="E47" i="5"/>
  <c r="F26" i="6"/>
  <c r="F33" i="11"/>
  <c r="G20" i="7"/>
  <c r="F20" i="7"/>
  <c r="F22" i="7" s="1"/>
  <c r="G28" i="6"/>
  <c r="J115" i="22"/>
  <c r="J119" i="22" s="1"/>
  <c r="I25" i="5" s="1"/>
  <c r="K114" i="22"/>
  <c r="G33" i="22"/>
  <c r="H11" i="7"/>
  <c r="H21" i="5"/>
  <c r="D9" i="25"/>
  <c r="D11" i="25"/>
  <c r="D12" i="25" s="1"/>
  <c r="F37" i="5"/>
  <c r="F6" i="10"/>
  <c r="D37" i="5"/>
  <c r="D6" i="10"/>
  <c r="E9" i="25"/>
  <c r="E11" i="25"/>
  <c r="E12" i="25" s="1"/>
  <c r="C11" i="25"/>
  <c r="C12" i="25" s="1"/>
  <c r="C9" i="25"/>
  <c r="G37" i="5"/>
  <c r="G6" i="10"/>
  <c r="E37" i="5"/>
  <c r="E6" i="10"/>
  <c r="N117" i="22"/>
  <c r="C15" i="10"/>
  <c r="F34" i="22"/>
  <c r="D35" i="22" s="1"/>
  <c r="F9" i="25" l="1"/>
  <c r="I19" i="7"/>
  <c r="I10" i="24"/>
  <c r="H10" i="24"/>
  <c r="I39" i="10"/>
  <c r="I40" i="10" s="1"/>
  <c r="I52" i="10" s="1"/>
  <c r="F35" i="11"/>
  <c r="F36" i="11" s="1"/>
  <c r="F37" i="11" s="1"/>
  <c r="J6" i="11"/>
  <c r="J29" i="11" s="1"/>
  <c r="J25" i="6" s="1"/>
  <c r="F37" i="6"/>
  <c r="H7" i="25"/>
  <c r="H10" i="25" s="1"/>
  <c r="H37" i="6"/>
  <c r="H25" i="10"/>
  <c r="H12" i="7"/>
  <c r="I26" i="11"/>
  <c r="I11" i="6" s="1"/>
  <c r="I12" i="7" s="1"/>
  <c r="F12" i="7"/>
  <c r="G12" i="7"/>
  <c r="F11" i="25"/>
  <c r="F12" i="25" s="1"/>
  <c r="J42" i="5"/>
  <c r="J53" i="5" s="1"/>
  <c r="J18" i="10"/>
  <c r="H8" i="25"/>
  <c r="I41" i="10"/>
  <c r="I22" i="5"/>
  <c r="I23" i="5" s="1"/>
  <c r="G53" i="10"/>
  <c r="G54" i="10" s="1"/>
  <c r="G19" i="7"/>
  <c r="G22" i="7" s="1"/>
  <c r="H19" i="7"/>
  <c r="J12" i="11"/>
  <c r="I31" i="11"/>
  <c r="L12" i="5"/>
  <c r="M7" i="5"/>
  <c r="L14" i="5"/>
  <c r="L19" i="5"/>
  <c r="L9" i="5"/>
  <c r="L8" i="5"/>
  <c r="L13" i="5"/>
  <c r="L8" i="11" s="1"/>
  <c r="L21" i="11" s="1"/>
  <c r="L17" i="5"/>
  <c r="K21" i="5"/>
  <c r="K9" i="11"/>
  <c r="K23" i="11" s="1"/>
  <c r="J39" i="10"/>
  <c r="J40" i="10" s="1"/>
  <c r="J52" i="10" s="1"/>
  <c r="I6" i="25"/>
  <c r="I7" i="25" s="1"/>
  <c r="J22" i="5"/>
  <c r="J23" i="5" s="1"/>
  <c r="J41" i="10"/>
  <c r="I8" i="25"/>
  <c r="J16" i="11"/>
  <c r="J14" i="11" s="1"/>
  <c r="J13" i="11"/>
  <c r="J19" i="11" s="1"/>
  <c r="K7" i="11"/>
  <c r="K15" i="5"/>
  <c r="H33" i="11"/>
  <c r="H35" i="11" s="1"/>
  <c r="H26" i="6"/>
  <c r="H20" i="7"/>
  <c r="K10" i="5"/>
  <c r="I11" i="10"/>
  <c r="H11" i="8"/>
  <c r="H8" i="8"/>
  <c r="H28" i="6"/>
  <c r="I28" i="6" s="1"/>
  <c r="J28" i="6" s="1"/>
  <c r="K28" i="6" s="1"/>
  <c r="L28" i="6" s="1"/>
  <c r="M28" i="6" s="1"/>
  <c r="N28" i="6" s="1"/>
  <c r="O28" i="6" s="1"/>
  <c r="L114" i="22"/>
  <c r="K115" i="22"/>
  <c r="K119" i="22" s="1"/>
  <c r="J25" i="5" s="1"/>
  <c r="F35" i="22"/>
  <c r="G8" i="25"/>
  <c r="H22" i="5"/>
  <c r="H23" i="5" s="1"/>
  <c r="H43" i="5" s="1"/>
  <c r="H41" i="10"/>
  <c r="H53" i="10" s="1"/>
  <c r="H54" i="10" s="1"/>
  <c r="O117" i="22"/>
  <c r="P117" i="22" s="1"/>
  <c r="C16" i="10"/>
  <c r="G34" i="22"/>
  <c r="I53" i="10" l="1"/>
  <c r="I54" i="10" s="1"/>
  <c r="J19" i="7"/>
  <c r="J10" i="24"/>
  <c r="H9" i="25"/>
  <c r="H11" i="25"/>
  <c r="H12" i="25" s="1"/>
  <c r="I37" i="6"/>
  <c r="I25" i="10"/>
  <c r="J26" i="11"/>
  <c r="J11" i="6" s="1"/>
  <c r="H22" i="7"/>
  <c r="I43" i="5"/>
  <c r="I47" i="5" s="1"/>
  <c r="I6" i="10"/>
  <c r="I37" i="5"/>
  <c r="J53" i="10"/>
  <c r="J54" i="10" s="1"/>
  <c r="K13" i="11"/>
  <c r="K19" i="11" s="1"/>
  <c r="K16" i="11"/>
  <c r="K14" i="11" s="1"/>
  <c r="I10" i="25"/>
  <c r="I9" i="25"/>
  <c r="L7" i="11"/>
  <c r="L15" i="5"/>
  <c r="H36" i="11"/>
  <c r="H37" i="11" s="1"/>
  <c r="L9" i="11"/>
  <c r="L23" i="11" s="1"/>
  <c r="L21" i="5"/>
  <c r="I33" i="11"/>
  <c r="I35" i="11" s="1"/>
  <c r="I26" i="6"/>
  <c r="I20" i="7"/>
  <c r="I22" i="7" s="1"/>
  <c r="K42" i="5"/>
  <c r="K53" i="5" s="1"/>
  <c r="K6" i="11"/>
  <c r="K29" i="11" s="1"/>
  <c r="J5" i="25"/>
  <c r="K38" i="10"/>
  <c r="K18" i="10"/>
  <c r="J31" i="11"/>
  <c r="K12" i="11"/>
  <c r="K39" i="10"/>
  <c r="J6" i="25"/>
  <c r="K22" i="5"/>
  <c r="K23" i="5" s="1"/>
  <c r="I11" i="25"/>
  <c r="I12" i="25" s="1"/>
  <c r="J43" i="5"/>
  <c r="J47" i="5" s="1"/>
  <c r="J37" i="5"/>
  <c r="J6" i="10"/>
  <c r="J8" i="25"/>
  <c r="K41" i="10"/>
  <c r="L10" i="5"/>
  <c r="M12" i="5"/>
  <c r="M14" i="5"/>
  <c r="N7" i="5"/>
  <c r="M8" i="5"/>
  <c r="M19" i="5"/>
  <c r="M9" i="5"/>
  <c r="M13" i="5"/>
  <c r="M8" i="11" s="1"/>
  <c r="M21" i="11" s="1"/>
  <c r="M17" i="5"/>
  <c r="J11" i="10"/>
  <c r="I11" i="8"/>
  <c r="I8" i="8"/>
  <c r="H47" i="5"/>
  <c r="L115" i="22"/>
  <c r="L119" i="22" s="1"/>
  <c r="K25" i="5" s="1"/>
  <c r="M114" i="22"/>
  <c r="G35" i="22"/>
  <c r="D36" i="22"/>
  <c r="F36" i="22" s="1"/>
  <c r="D37" i="22" s="1"/>
  <c r="F37" i="22" s="1"/>
  <c r="D38" i="22" s="1"/>
  <c r="H37" i="5"/>
  <c r="H6" i="10"/>
  <c r="G11" i="25"/>
  <c r="G12" i="25" s="1"/>
  <c r="G9" i="25"/>
  <c r="J37" i="6" l="1"/>
  <c r="J12" i="7"/>
  <c r="J25" i="10"/>
  <c r="K26" i="11"/>
  <c r="K11" i="6" s="1"/>
  <c r="K8" i="25"/>
  <c r="L41" i="10"/>
  <c r="K6" i="25"/>
  <c r="L39" i="10"/>
  <c r="L22" i="5"/>
  <c r="L23" i="5" s="1"/>
  <c r="K31" i="11"/>
  <c r="K33" i="11" s="1"/>
  <c r="L12" i="11"/>
  <c r="I36" i="11"/>
  <c r="I37" i="11" s="1"/>
  <c r="M7" i="11"/>
  <c r="M15" i="5"/>
  <c r="K43" i="5"/>
  <c r="K47" i="5" s="1"/>
  <c r="K37" i="5"/>
  <c r="K6" i="10"/>
  <c r="K40" i="10"/>
  <c r="K52" i="10" s="1"/>
  <c r="L13" i="11"/>
  <c r="L19" i="11" s="1"/>
  <c r="L16" i="11"/>
  <c r="L14" i="11" s="1"/>
  <c r="N12" i="5"/>
  <c r="O7" i="5"/>
  <c r="N14" i="5"/>
  <c r="N8" i="5"/>
  <c r="N19" i="5"/>
  <c r="N13" i="5"/>
  <c r="N8" i="11" s="1"/>
  <c r="N21" i="11" s="1"/>
  <c r="N9" i="5"/>
  <c r="N17" i="5"/>
  <c r="K25" i="6"/>
  <c r="K10" i="24" s="1"/>
  <c r="M9" i="11"/>
  <c r="M23" i="11" s="1"/>
  <c r="M21" i="5"/>
  <c r="M10" i="5"/>
  <c r="L6" i="11"/>
  <c r="L29" i="11" s="1"/>
  <c r="K5" i="25"/>
  <c r="L38" i="10"/>
  <c r="L18" i="10"/>
  <c r="L42" i="5"/>
  <c r="L53" i="5" s="1"/>
  <c r="J26" i="6"/>
  <c r="J20" i="7"/>
  <c r="J22" i="7" s="1"/>
  <c r="J33" i="11"/>
  <c r="J35" i="11" s="1"/>
  <c r="J7" i="25"/>
  <c r="K11" i="10"/>
  <c r="J8" i="8"/>
  <c r="J11" i="8"/>
  <c r="M115" i="22"/>
  <c r="M119" i="22" s="1"/>
  <c r="L25" i="5" s="1"/>
  <c r="N114" i="22"/>
  <c r="G36" i="22"/>
  <c r="G37" i="22"/>
  <c r="F38" i="22"/>
  <c r="D39" i="22" s="1"/>
  <c r="K35" i="11" l="1"/>
  <c r="K36" i="11" s="1"/>
  <c r="K37" i="11" s="1"/>
  <c r="K37" i="6"/>
  <c r="K12" i="7"/>
  <c r="K25" i="10"/>
  <c r="L26" i="11"/>
  <c r="L11" i="6" s="1"/>
  <c r="N10" i="5"/>
  <c r="N38" i="10" s="1"/>
  <c r="K7" i="25"/>
  <c r="K10" i="25" s="1"/>
  <c r="L40" i="10"/>
  <c r="L52" i="10" s="1"/>
  <c r="M41" i="10"/>
  <c r="L8" i="25"/>
  <c r="O12" i="5"/>
  <c r="O14" i="5"/>
  <c r="O13" i="5"/>
  <c r="O8" i="11" s="1"/>
  <c r="O21" i="11" s="1"/>
  <c r="O9" i="5"/>
  <c r="O8" i="5"/>
  <c r="O19" i="5"/>
  <c r="O17" i="5"/>
  <c r="M12" i="11"/>
  <c r="L31" i="11"/>
  <c r="L33" i="11" s="1"/>
  <c r="L35" i="11" s="1"/>
  <c r="L43" i="5"/>
  <c r="L47" i="5" s="1"/>
  <c r="L6" i="10"/>
  <c r="L37" i="5"/>
  <c r="K19" i="7"/>
  <c r="N7" i="11"/>
  <c r="N15" i="5"/>
  <c r="N21" i="5"/>
  <c r="N9" i="11"/>
  <c r="N23" i="11" s="1"/>
  <c r="L6" i="25"/>
  <c r="M39" i="10"/>
  <c r="M22" i="5"/>
  <c r="M23" i="5" s="1"/>
  <c r="K53" i="10"/>
  <c r="K54" i="10" s="1"/>
  <c r="J10" i="25"/>
  <c r="J9" i="25"/>
  <c r="L25" i="6"/>
  <c r="J36" i="11"/>
  <c r="J37" i="11" s="1"/>
  <c r="M38" i="10"/>
  <c r="M18" i="10"/>
  <c r="M42" i="5"/>
  <c r="M53" i="5" s="1"/>
  <c r="L5" i="25"/>
  <c r="M6" i="11"/>
  <c r="M29" i="11" s="1"/>
  <c r="J11" i="25"/>
  <c r="J12" i="25" s="1"/>
  <c r="M13" i="11"/>
  <c r="M19" i="11" s="1"/>
  <c r="M16" i="11"/>
  <c r="M14" i="11" s="1"/>
  <c r="K20" i="7"/>
  <c r="K26" i="6"/>
  <c r="L11" i="10"/>
  <c r="K11" i="8"/>
  <c r="K8" i="8"/>
  <c r="O114" i="22"/>
  <c r="N115" i="22"/>
  <c r="N119" i="22" s="1"/>
  <c r="M25" i="5" s="1"/>
  <c r="G38" i="22"/>
  <c r="F39" i="22"/>
  <c r="D40" i="22" s="1"/>
  <c r="L19" i="7" l="1"/>
  <c r="L10" i="24"/>
  <c r="K9" i="25"/>
  <c r="K11" i="25"/>
  <c r="K12" i="25" s="1"/>
  <c r="L53" i="10"/>
  <c r="L54" i="10" s="1"/>
  <c r="L37" i="6"/>
  <c r="L25" i="10"/>
  <c r="L12" i="7"/>
  <c r="M5" i="25"/>
  <c r="N6" i="11"/>
  <c r="N29" i="11" s="1"/>
  <c r="N25" i="6" s="1"/>
  <c r="M26" i="11"/>
  <c r="M11" i="6" s="1"/>
  <c r="M12" i="7" s="1"/>
  <c r="N42" i="5"/>
  <c r="N53" i="5" s="1"/>
  <c r="N18" i="10"/>
  <c r="K22" i="7"/>
  <c r="L36" i="11"/>
  <c r="L37" i="11" s="1"/>
  <c r="M25" i="6"/>
  <c r="M43" i="5"/>
  <c r="M47" i="5" s="1"/>
  <c r="M6" i="10"/>
  <c r="M37" i="5"/>
  <c r="N39" i="10"/>
  <c r="N40" i="10" s="1"/>
  <c r="N52" i="10" s="1"/>
  <c r="M6" i="25"/>
  <c r="N22" i="5"/>
  <c r="N23" i="5" s="1"/>
  <c r="O21" i="5"/>
  <c r="O9" i="11"/>
  <c r="O23" i="11" s="1"/>
  <c r="M31" i="11"/>
  <c r="M33" i="11" s="1"/>
  <c r="M35" i="11" s="1"/>
  <c r="M36" i="11" s="1"/>
  <c r="M37" i="11" s="1"/>
  <c r="N12" i="11"/>
  <c r="L7" i="25"/>
  <c r="L11" i="25" s="1"/>
  <c r="L12" i="25" s="1"/>
  <c r="M40" i="10"/>
  <c r="M52" i="10" s="1"/>
  <c r="N41" i="10"/>
  <c r="M8" i="25"/>
  <c r="N13" i="11"/>
  <c r="N19" i="11" s="1"/>
  <c r="N16" i="11"/>
  <c r="N14" i="11" s="1"/>
  <c r="L20" i="7"/>
  <c r="L22" i="7" s="1"/>
  <c r="L26" i="6"/>
  <c r="O10" i="5"/>
  <c r="O7" i="11"/>
  <c r="O15" i="5"/>
  <c r="M11" i="10"/>
  <c r="L11" i="8"/>
  <c r="L8" i="8"/>
  <c r="O115" i="22"/>
  <c r="O119" i="22" s="1"/>
  <c r="N25" i="5" s="1"/>
  <c r="P114" i="22"/>
  <c r="P115" i="22" s="1"/>
  <c r="P119" i="22" s="1"/>
  <c r="O25" i="5" s="1"/>
  <c r="F40" i="22"/>
  <c r="D41" i="22" s="1"/>
  <c r="G39" i="22"/>
  <c r="M19" i="7" l="1"/>
  <c r="M10" i="24"/>
  <c r="N10" i="24"/>
  <c r="M7" i="25"/>
  <c r="M9" i="25" s="1"/>
  <c r="N26" i="11"/>
  <c r="N11" i="6" s="1"/>
  <c r="N12" i="7" s="1"/>
  <c r="N19" i="7"/>
  <c r="O13" i="11"/>
  <c r="O19" i="11" s="1"/>
  <c r="O16" i="11"/>
  <c r="O14" i="11" s="1"/>
  <c r="O31" i="11" s="1"/>
  <c r="N6" i="10"/>
  <c r="N43" i="5"/>
  <c r="N47" i="5" s="1"/>
  <c r="N37" i="5"/>
  <c r="O42" i="5"/>
  <c r="O53" i="5" s="1"/>
  <c r="D54" i="5" s="1"/>
  <c r="O18" i="10"/>
  <c r="O6" i="11"/>
  <c r="O29" i="11" s="1"/>
  <c r="N5" i="25"/>
  <c r="O38" i="10"/>
  <c r="L10" i="25"/>
  <c r="L9" i="25"/>
  <c r="O41" i="10"/>
  <c r="N8" i="25"/>
  <c r="O39" i="10"/>
  <c r="O22" i="5"/>
  <c r="O23" i="5" s="1"/>
  <c r="N6" i="25"/>
  <c r="N53" i="10"/>
  <c r="N54" i="10" s="1"/>
  <c r="M26" i="6"/>
  <c r="M20" i="7"/>
  <c r="N31" i="11"/>
  <c r="O12" i="11"/>
  <c r="M53" i="10"/>
  <c r="M54" i="10" s="1"/>
  <c r="N11" i="10"/>
  <c r="M11" i="8"/>
  <c r="M8" i="8"/>
  <c r="O11" i="10"/>
  <c r="N11" i="8"/>
  <c r="N8" i="8"/>
  <c r="F41" i="22"/>
  <c r="D42" i="22" s="1"/>
  <c r="G40" i="22"/>
  <c r="M10" i="25" l="1"/>
  <c r="M11" i="25"/>
  <c r="M12" i="25" s="1"/>
  <c r="M22" i="7"/>
  <c r="O26" i="11"/>
  <c r="O11" i="6" s="1"/>
  <c r="N7" i="25"/>
  <c r="N11" i="25" s="1"/>
  <c r="N12" i="25" s="1"/>
  <c r="O20" i="7"/>
  <c r="O26" i="6"/>
  <c r="O37" i="5"/>
  <c r="O43" i="5"/>
  <c r="O47" i="5" s="1"/>
  <c r="D48" i="5" s="1"/>
  <c r="O6" i="10"/>
  <c r="N26" i="6"/>
  <c r="N20" i="7"/>
  <c r="N33" i="11"/>
  <c r="N35" i="11" s="1"/>
  <c r="N36" i="11" s="1"/>
  <c r="N37" i="11" s="1"/>
  <c r="O40" i="10"/>
  <c r="O52" i="10" s="1"/>
  <c r="O25" i="6"/>
  <c r="O10" i="24" s="1"/>
  <c r="O33" i="11"/>
  <c r="O35" i="11" s="1"/>
  <c r="F42" i="22"/>
  <c r="G41" i="22"/>
  <c r="N9" i="25" l="1"/>
  <c r="O37" i="6"/>
  <c r="O12" i="7"/>
  <c r="O25" i="10"/>
  <c r="N10" i="25"/>
  <c r="D43" i="22"/>
  <c r="O36" i="11"/>
  <c r="O37" i="11" s="1"/>
  <c r="O19" i="7"/>
  <c r="O53" i="10"/>
  <c r="O54" i="10" s="1"/>
  <c r="G42" i="22"/>
  <c r="F43" i="22" l="1"/>
  <c r="D45" i="22" s="1"/>
  <c r="F45" i="22" s="1"/>
  <c r="D46" i="22" s="1"/>
  <c r="E8" i="22"/>
  <c r="F5" i="22" s="1"/>
  <c r="D8" i="7"/>
  <c r="D8" i="6" s="1"/>
  <c r="D21" i="10" s="1"/>
  <c r="G43" i="22" l="1"/>
  <c r="D20" i="10"/>
  <c r="D15" i="10"/>
  <c r="D16" i="10" s="1"/>
  <c r="G45" i="22"/>
  <c r="F46" i="22"/>
  <c r="D47" i="22" s="1"/>
  <c r="E9" i="22" l="1"/>
  <c r="E10" i="22"/>
  <c r="G46" i="22"/>
  <c r="F47" i="22"/>
  <c r="D48" i="22" s="1"/>
  <c r="E11" i="22" l="1"/>
  <c r="D24" i="5" s="1"/>
  <c r="C7" i="8" s="1"/>
  <c r="C10" i="8" s="1"/>
  <c r="C13" i="8" s="1"/>
  <c r="D27" i="19"/>
  <c r="G47" i="22"/>
  <c r="F48" i="22"/>
  <c r="D49" i="22" s="1"/>
  <c r="D10" i="10" l="1"/>
  <c r="D33" i="10" s="1"/>
  <c r="D42" i="10"/>
  <c r="D28" i="19"/>
  <c r="D29" i="19" s="1"/>
  <c r="E27" i="19" s="1"/>
  <c r="E28" i="19" s="1"/>
  <c r="E29" i="19" s="1"/>
  <c r="F27" i="19" s="1"/>
  <c r="F28" i="19" s="1"/>
  <c r="F29" i="19" s="1"/>
  <c r="G27" i="19" s="1"/>
  <c r="G28" i="19" s="1"/>
  <c r="G29" i="19" s="1"/>
  <c r="H27" i="19" s="1"/>
  <c r="H28" i="19" s="1"/>
  <c r="H29" i="19" s="1"/>
  <c r="I27" i="19" s="1"/>
  <c r="I28" i="19" s="1"/>
  <c r="I29" i="19" s="1"/>
  <c r="J27" i="19" s="1"/>
  <c r="J28" i="19" s="1"/>
  <c r="J29" i="19" s="1"/>
  <c r="K27" i="19" s="1"/>
  <c r="K28" i="19" s="1"/>
  <c r="K29" i="19" s="1"/>
  <c r="L27" i="19" s="1"/>
  <c r="L28" i="19" s="1"/>
  <c r="L29" i="19" s="1"/>
  <c r="M27" i="19" s="1"/>
  <c r="M28" i="19" s="1"/>
  <c r="M29" i="19" s="1"/>
  <c r="N27" i="19" s="1"/>
  <c r="N28" i="19" s="1"/>
  <c r="N29" i="19" s="1"/>
  <c r="G48" i="22"/>
  <c r="F49" i="22" l="1"/>
  <c r="D50" i="22" s="1"/>
  <c r="F50" i="22" l="1"/>
  <c r="D51" i="22" s="1"/>
  <c r="G49" i="22"/>
  <c r="G50" i="22" l="1"/>
  <c r="F51" i="22"/>
  <c r="D52" i="22" s="1"/>
  <c r="G186" i="1" l="1"/>
  <c r="Q10" i="22"/>
  <c r="G51" i="22"/>
  <c r="F52" i="22"/>
  <c r="D53" i="22" s="1"/>
  <c r="G187" i="1" l="1"/>
  <c r="G188" i="1" s="1"/>
  <c r="D11" i="2"/>
  <c r="D22" i="10"/>
  <c r="D36" i="10" s="1"/>
  <c r="G52" i="22"/>
  <c r="F53" i="22"/>
  <c r="D54" i="22" s="1"/>
  <c r="D12" i="2" l="1"/>
  <c r="D5" i="19" s="1"/>
  <c r="F5" i="19" s="1"/>
  <c r="G53" i="22"/>
  <c r="D13" i="10"/>
  <c r="F54" i="22"/>
  <c r="D55" i="22" s="1"/>
  <c r="E19" i="6" l="1"/>
  <c r="G5" i="19"/>
  <c r="D3" i="19"/>
  <c r="F3" i="19" s="1"/>
  <c r="D4" i="19"/>
  <c r="F4" i="19" s="1"/>
  <c r="G4" i="19" s="1"/>
  <c r="D18" i="6" s="1"/>
  <c r="D6" i="19"/>
  <c r="F6" i="19" s="1"/>
  <c r="G6" i="19" s="1"/>
  <c r="C30" i="19"/>
  <c r="F19" i="6"/>
  <c r="G19" i="6" s="1"/>
  <c r="H19" i="6" s="1"/>
  <c r="I19" i="6" s="1"/>
  <c r="J19" i="6" s="1"/>
  <c r="K19" i="6" s="1"/>
  <c r="L19" i="6" s="1"/>
  <c r="M19" i="6" s="1"/>
  <c r="N19" i="6" s="1"/>
  <c r="O19" i="6" s="1"/>
  <c r="E12" i="2"/>
  <c r="G189" i="1"/>
  <c r="G190" i="1" s="1"/>
  <c r="C36" i="16"/>
  <c r="C38" i="16" s="1"/>
  <c r="C45" i="16" s="1"/>
  <c r="C47" i="16" s="1"/>
  <c r="G54" i="22"/>
  <c r="F55" i="22"/>
  <c r="D56" i="22" s="1"/>
  <c r="E17" i="6" l="1"/>
  <c r="G3" i="19"/>
  <c r="C19" i="6"/>
  <c r="D19" i="6"/>
  <c r="C20" i="6"/>
  <c r="D20" i="6"/>
  <c r="C31" i="19"/>
  <c r="C32" i="19" s="1"/>
  <c r="D30" i="19" s="1"/>
  <c r="D31" i="19" s="1"/>
  <c r="D32" i="19" s="1"/>
  <c r="E30" i="19" s="1"/>
  <c r="E31" i="19" s="1"/>
  <c r="E32" i="19" s="1"/>
  <c r="F30" i="19" s="1"/>
  <c r="F31" i="19" s="1"/>
  <c r="F32" i="19" s="1"/>
  <c r="G30" i="19" s="1"/>
  <c r="G31" i="19" s="1"/>
  <c r="G32" i="19" s="1"/>
  <c r="H30" i="19" s="1"/>
  <c r="H31" i="19" s="1"/>
  <c r="H32" i="19" s="1"/>
  <c r="I30" i="19" s="1"/>
  <c r="I31" i="19" s="1"/>
  <c r="I32" i="19" s="1"/>
  <c r="J30" i="19" s="1"/>
  <c r="J31" i="19" s="1"/>
  <c r="J32" i="19" s="1"/>
  <c r="K30" i="19" s="1"/>
  <c r="K31" i="19" s="1"/>
  <c r="K32" i="19" s="1"/>
  <c r="L30" i="19" s="1"/>
  <c r="L31" i="19" s="1"/>
  <c r="L32" i="19" s="1"/>
  <c r="M30" i="19" s="1"/>
  <c r="M31" i="19" s="1"/>
  <c r="M32" i="19" s="1"/>
  <c r="N30" i="19" s="1"/>
  <c r="N31" i="19" s="1"/>
  <c r="N32" i="19" s="1"/>
  <c r="E8" i="7"/>
  <c r="F8" i="22"/>
  <c r="G5" i="22" s="1"/>
  <c r="G8" i="22" s="1"/>
  <c r="H5" i="22" s="1"/>
  <c r="H8" i="22" s="1"/>
  <c r="I5" i="22" s="1"/>
  <c r="I8" i="22" s="1"/>
  <c r="J5" i="22" s="1"/>
  <c r="J8" i="22" s="1"/>
  <c r="K5" i="22" s="1"/>
  <c r="K8" i="22" s="1"/>
  <c r="L5" i="22" s="1"/>
  <c r="L8" i="22" s="1"/>
  <c r="M5" i="22" s="1"/>
  <c r="M8" i="22" s="1"/>
  <c r="N5" i="22" s="1"/>
  <c r="N8" i="22" s="1"/>
  <c r="O5" i="22" s="1"/>
  <c r="C33" i="19"/>
  <c r="E20" i="6"/>
  <c r="F20" i="6" s="1"/>
  <c r="G20" i="6" s="1"/>
  <c r="H20" i="6" s="1"/>
  <c r="I20" i="6" s="1"/>
  <c r="J20" i="6" s="1"/>
  <c r="K20" i="6" s="1"/>
  <c r="L20" i="6" s="1"/>
  <c r="M20" i="6" s="1"/>
  <c r="N20" i="6" s="1"/>
  <c r="O20" i="6" s="1"/>
  <c r="C27" i="19"/>
  <c r="E18" i="6"/>
  <c r="F18" i="6" s="1"/>
  <c r="G18" i="6" s="1"/>
  <c r="H18" i="6" s="1"/>
  <c r="I18" i="6" s="1"/>
  <c r="J18" i="6" s="1"/>
  <c r="K18" i="6" s="1"/>
  <c r="L18" i="6" s="1"/>
  <c r="M18" i="6" s="1"/>
  <c r="N18" i="6" s="1"/>
  <c r="O18" i="6" s="1"/>
  <c r="D7" i="19"/>
  <c r="C17" i="19"/>
  <c r="C18" i="19" s="1"/>
  <c r="C15" i="19"/>
  <c r="C16" i="19" s="1"/>
  <c r="F7" i="19"/>
  <c r="C24" i="19"/>
  <c r="C25" i="19" s="1"/>
  <c r="C13" i="19"/>
  <c r="C9" i="19" s="1"/>
  <c r="G55" i="22"/>
  <c r="F56" i="22"/>
  <c r="D58" i="22" s="1"/>
  <c r="C21" i="6" l="1"/>
  <c r="C11" i="24" s="1"/>
  <c r="D17" i="6"/>
  <c r="G7" i="19"/>
  <c r="C28" i="19"/>
  <c r="C29" i="19" s="1"/>
  <c r="C34" i="19"/>
  <c r="E21" i="10"/>
  <c r="E15" i="10"/>
  <c r="E16" i="10" s="1"/>
  <c r="E20" i="10"/>
  <c r="F8" i="6"/>
  <c r="D17" i="19"/>
  <c r="D18" i="19" s="1"/>
  <c r="D15" i="19"/>
  <c r="D16" i="19" s="1"/>
  <c r="C14" i="19"/>
  <c r="C19" i="19" s="1"/>
  <c r="D13" i="19"/>
  <c r="D14" i="19" s="1"/>
  <c r="D21" i="6"/>
  <c r="F58" i="22"/>
  <c r="D59" i="22" s="1"/>
  <c r="G56" i="22"/>
  <c r="F9" i="22" s="1"/>
  <c r="C23" i="6" l="1"/>
  <c r="C17" i="7"/>
  <c r="C22" i="7" s="1"/>
  <c r="C7" i="7" s="1"/>
  <c r="C37" i="19"/>
  <c r="F8" i="26" s="1"/>
  <c r="C35" i="19"/>
  <c r="D33" i="19" s="1"/>
  <c r="E17" i="19"/>
  <c r="E18" i="19" s="1"/>
  <c r="F21" i="10"/>
  <c r="G8" i="6"/>
  <c r="F20" i="10"/>
  <c r="F15" i="10"/>
  <c r="F16" i="10" s="1"/>
  <c r="E15" i="19"/>
  <c r="F15" i="19" s="1"/>
  <c r="C26" i="19"/>
  <c r="D11" i="24"/>
  <c r="D17" i="7"/>
  <c r="D22" i="7" s="1"/>
  <c r="E13" i="19"/>
  <c r="E21" i="6"/>
  <c r="F17" i="6"/>
  <c r="D26" i="5"/>
  <c r="D8" i="24" s="1"/>
  <c r="F7" i="26"/>
  <c r="G58" i="22"/>
  <c r="F11" i="22"/>
  <c r="F59" i="22"/>
  <c r="D60" i="22" s="1"/>
  <c r="E17" i="7" l="1"/>
  <c r="E22" i="7" s="1"/>
  <c r="E11" i="24"/>
  <c r="C6" i="6"/>
  <c r="C14" i="7"/>
  <c r="C24" i="7" s="1"/>
  <c r="C25" i="7" s="1"/>
  <c r="D34" i="19"/>
  <c r="D35" i="19" s="1"/>
  <c r="C40" i="6"/>
  <c r="C19" i="10"/>
  <c r="D24" i="19"/>
  <c r="D25" i="19" s="1"/>
  <c r="D37" i="19" s="1"/>
  <c r="G8" i="26" s="1"/>
  <c r="C36" i="19"/>
  <c r="F17" i="19"/>
  <c r="G17" i="19" s="1"/>
  <c r="D19" i="19"/>
  <c r="E26" i="5" s="1"/>
  <c r="G21" i="10"/>
  <c r="G20" i="10"/>
  <c r="H8" i="6"/>
  <c r="G15" i="10"/>
  <c r="G16" i="10" s="1"/>
  <c r="E16" i="19"/>
  <c r="F13" i="19"/>
  <c r="E14" i="19"/>
  <c r="C6" i="8"/>
  <c r="D44" i="5"/>
  <c r="D43" i="10"/>
  <c r="D44" i="10" s="1"/>
  <c r="D51" i="10" s="1"/>
  <c r="D31" i="5"/>
  <c r="D10" i="7" s="1"/>
  <c r="D22" i="6"/>
  <c r="D27" i="5"/>
  <c r="G17" i="6"/>
  <c r="F21" i="6"/>
  <c r="F11" i="24" s="1"/>
  <c r="F16" i="19"/>
  <c r="G15" i="19"/>
  <c r="G59" i="22"/>
  <c r="E24" i="5"/>
  <c r="F60" i="22"/>
  <c r="D61" i="22" s="1"/>
  <c r="D49" i="5" l="1"/>
  <c r="D6" i="24"/>
  <c r="D6" i="8"/>
  <c r="E8" i="24"/>
  <c r="C27" i="6"/>
  <c r="C24" i="6" s="1"/>
  <c r="D23" i="7"/>
  <c r="E33" i="19"/>
  <c r="E34" i="19" s="1"/>
  <c r="E35" i="19" s="1"/>
  <c r="F33" i="19" s="1"/>
  <c r="F34" i="19" s="1"/>
  <c r="F35" i="19" s="1"/>
  <c r="G33" i="19" s="1"/>
  <c r="G34" i="19" s="1"/>
  <c r="G35" i="19" s="1"/>
  <c r="H33" i="19" s="1"/>
  <c r="H34" i="19" s="1"/>
  <c r="H35" i="19" s="1"/>
  <c r="I33" i="19" s="1"/>
  <c r="I34" i="19" s="1"/>
  <c r="I35" i="19" s="1"/>
  <c r="J33" i="19" s="1"/>
  <c r="J34" i="19" s="1"/>
  <c r="J35" i="19" s="1"/>
  <c r="K33" i="19" s="1"/>
  <c r="K34" i="19" s="1"/>
  <c r="K35" i="19" s="1"/>
  <c r="L33" i="19" s="1"/>
  <c r="L34" i="19" s="1"/>
  <c r="L35" i="19" s="1"/>
  <c r="M33" i="19" s="1"/>
  <c r="M34" i="19" s="1"/>
  <c r="M35" i="19" s="1"/>
  <c r="N33" i="19" s="1"/>
  <c r="N34" i="19" s="1"/>
  <c r="N35" i="19" s="1"/>
  <c r="C34" i="6"/>
  <c r="C39" i="6"/>
  <c r="C41" i="6" s="1"/>
  <c r="C14" i="6"/>
  <c r="C33" i="6" s="1"/>
  <c r="D7" i="7"/>
  <c r="C13" i="10"/>
  <c r="C22" i="10"/>
  <c r="C36" i="10" s="1"/>
  <c r="C14" i="10"/>
  <c r="C17" i="10" s="1"/>
  <c r="C35" i="10" s="1"/>
  <c r="C12" i="10"/>
  <c r="F18" i="19"/>
  <c r="G7" i="26"/>
  <c r="H21" i="10"/>
  <c r="H20" i="10"/>
  <c r="H15" i="10"/>
  <c r="H16" i="10" s="1"/>
  <c r="I8" i="6"/>
  <c r="E19" i="19"/>
  <c r="F26" i="5" s="1"/>
  <c r="F8" i="24" s="1"/>
  <c r="G16" i="19"/>
  <c r="H15" i="19"/>
  <c r="F6" i="26"/>
  <c r="D8" i="10"/>
  <c r="D7" i="10"/>
  <c r="G21" i="6"/>
  <c r="G11" i="24" s="1"/>
  <c r="H17" i="6"/>
  <c r="G13" i="19"/>
  <c r="F14" i="19"/>
  <c r="E22" i="6"/>
  <c r="D23" i="6"/>
  <c r="D26" i="19"/>
  <c r="D36" i="19" s="1"/>
  <c r="G18" i="19"/>
  <c r="H17" i="19"/>
  <c r="E44" i="5"/>
  <c r="E31" i="5"/>
  <c r="E10" i="7" s="1"/>
  <c r="E43" i="10"/>
  <c r="G60" i="22"/>
  <c r="D7" i="8"/>
  <c r="D10" i="8" s="1"/>
  <c r="D13" i="8" s="1"/>
  <c r="E42" i="10"/>
  <c r="E10" i="10"/>
  <c r="E33" i="10" s="1"/>
  <c r="E27" i="5"/>
  <c r="G6" i="26" s="1"/>
  <c r="F61" i="22"/>
  <c r="D63" i="22" s="1"/>
  <c r="F19" i="19" l="1"/>
  <c r="E49" i="5"/>
  <c r="E6" i="24"/>
  <c r="C35" i="6"/>
  <c r="C36" i="6"/>
  <c r="C38" i="6" s="1"/>
  <c r="C29" i="6"/>
  <c r="C31" i="6" s="1"/>
  <c r="E44" i="10"/>
  <c r="E51" i="10" s="1"/>
  <c r="G9" i="26"/>
  <c r="H7" i="26"/>
  <c r="D19" i="10"/>
  <c r="D32" i="10" s="1"/>
  <c r="D40" i="6"/>
  <c r="I21" i="10"/>
  <c r="I15" i="10"/>
  <c r="I16" i="10" s="1"/>
  <c r="I20" i="10"/>
  <c r="J8" i="6"/>
  <c r="F9" i="26"/>
  <c r="I17" i="19"/>
  <c r="H18" i="19"/>
  <c r="F22" i="6"/>
  <c r="E23" i="6"/>
  <c r="I17" i="6"/>
  <c r="H21" i="6"/>
  <c r="H11" i="24" s="1"/>
  <c r="G26" i="5"/>
  <c r="G8" i="24" s="1"/>
  <c r="I7" i="26"/>
  <c r="I15" i="19"/>
  <c r="H16" i="19"/>
  <c r="E24" i="19"/>
  <c r="H13" i="19"/>
  <c r="G14" i="19"/>
  <c r="G19" i="19" s="1"/>
  <c r="E6" i="8"/>
  <c r="F44" i="5"/>
  <c r="F31" i="5"/>
  <c r="F10" i="7" s="1"/>
  <c r="F43" i="10"/>
  <c r="G61" i="22"/>
  <c r="G9" i="22" s="1"/>
  <c r="E8" i="10"/>
  <c r="E7" i="10"/>
  <c r="F63" i="22"/>
  <c r="D64" i="22" s="1"/>
  <c r="F49" i="5" l="1"/>
  <c r="F6" i="24"/>
  <c r="E19" i="10"/>
  <c r="E32" i="10" s="1"/>
  <c r="E40" i="6"/>
  <c r="J21" i="10"/>
  <c r="J20" i="10"/>
  <c r="K8" i="6"/>
  <c r="J15" i="10"/>
  <c r="J16" i="10" s="1"/>
  <c r="J15" i="19"/>
  <c r="I16" i="19"/>
  <c r="I18" i="19"/>
  <c r="J17" i="19"/>
  <c r="I13" i="19"/>
  <c r="H14" i="19"/>
  <c r="H19" i="19" s="1"/>
  <c r="F6" i="8"/>
  <c r="G44" i="5"/>
  <c r="G43" i="10"/>
  <c r="G31" i="5"/>
  <c r="G10" i="7" s="1"/>
  <c r="J17" i="6"/>
  <c r="I21" i="6"/>
  <c r="I11" i="24" s="1"/>
  <c r="E25" i="19"/>
  <c r="E37" i="19" s="1"/>
  <c r="H8" i="26" s="1"/>
  <c r="H26" i="5"/>
  <c r="H8" i="24" s="1"/>
  <c r="J7" i="26"/>
  <c r="G22" i="6"/>
  <c r="F23" i="6"/>
  <c r="F10" i="26"/>
  <c r="G10" i="26" s="1"/>
  <c r="F12" i="26"/>
  <c r="G63" i="22"/>
  <c r="G11" i="22"/>
  <c r="F64" i="22"/>
  <c r="D65" i="22" s="1"/>
  <c r="G49" i="5" l="1"/>
  <c r="G6" i="24"/>
  <c r="F19" i="10"/>
  <c r="F32" i="10" s="1"/>
  <c r="F40" i="6"/>
  <c r="K21" i="10"/>
  <c r="K15" i="10"/>
  <c r="K16" i="10" s="1"/>
  <c r="K20" i="10"/>
  <c r="L8" i="6"/>
  <c r="G6" i="8"/>
  <c r="H44" i="5"/>
  <c r="H31" i="5"/>
  <c r="H10" i="7" s="1"/>
  <c r="H43" i="10"/>
  <c r="J18" i="19"/>
  <c r="K17" i="19"/>
  <c r="E26" i="19"/>
  <c r="E36" i="19" s="1"/>
  <c r="H22" i="6"/>
  <c r="H23" i="6" s="1"/>
  <c r="G23" i="6"/>
  <c r="I26" i="5"/>
  <c r="K7" i="26"/>
  <c r="J21" i="6"/>
  <c r="J11" i="24" s="1"/>
  <c r="K17" i="6"/>
  <c r="F13" i="26"/>
  <c r="G11" i="26"/>
  <c r="G12" i="26" s="1"/>
  <c r="F14" i="26"/>
  <c r="I14" i="19"/>
  <c r="I19" i="19" s="1"/>
  <c r="J13" i="19"/>
  <c r="K15" i="19"/>
  <c r="J16" i="19"/>
  <c r="G64" i="22"/>
  <c r="F24" i="5"/>
  <c r="F65" i="22"/>
  <c r="D66" i="22" s="1"/>
  <c r="I43" i="10" l="1"/>
  <c r="I8" i="24"/>
  <c r="H49" i="5"/>
  <c r="H6" i="24"/>
  <c r="G19" i="10"/>
  <c r="G32" i="10" s="1"/>
  <c r="G40" i="6"/>
  <c r="H19" i="10"/>
  <c r="H32" i="10" s="1"/>
  <c r="H40" i="6"/>
  <c r="L21" i="10"/>
  <c r="L15" i="10"/>
  <c r="L16" i="10" s="1"/>
  <c r="L20" i="10"/>
  <c r="I31" i="5"/>
  <c r="I10" i="7" s="1"/>
  <c r="F15" i="26"/>
  <c r="D28" i="5" s="1"/>
  <c r="K16" i="19"/>
  <c r="L15" i="19"/>
  <c r="G13" i="26"/>
  <c r="G14" i="26"/>
  <c r="H11" i="26"/>
  <c r="F24" i="19"/>
  <c r="I22" i="6"/>
  <c r="I23" i="6" s="1"/>
  <c r="J14" i="19"/>
  <c r="J19" i="19" s="1"/>
  <c r="K13" i="19"/>
  <c r="H6" i="8"/>
  <c r="I44" i="5"/>
  <c r="L17" i="19"/>
  <c r="K18" i="19"/>
  <c r="J26" i="5"/>
  <c r="J8" i="24" s="1"/>
  <c r="L7" i="26"/>
  <c r="L17" i="6"/>
  <c r="K21" i="6"/>
  <c r="K11" i="24" s="1"/>
  <c r="G65" i="22"/>
  <c r="F10" i="10"/>
  <c r="F33" i="10" s="1"/>
  <c r="F27" i="5"/>
  <c r="H6" i="26" s="1"/>
  <c r="H9" i="26" s="1"/>
  <c r="F42" i="10"/>
  <c r="F44" i="10" s="1"/>
  <c r="F51" i="10" s="1"/>
  <c r="E7" i="8"/>
  <c r="E10" i="8" s="1"/>
  <c r="E13" i="8" s="1"/>
  <c r="F66" i="22"/>
  <c r="D68" i="22" s="1"/>
  <c r="C9" i="24" l="1"/>
  <c r="D7" i="24"/>
  <c r="D9" i="24" s="1"/>
  <c r="D12" i="24" s="1"/>
  <c r="D42" i="24" s="1"/>
  <c r="D45" i="24" s="1"/>
  <c r="I49" i="5"/>
  <c r="I6" i="24"/>
  <c r="C12" i="24"/>
  <c r="C42" i="24" s="1"/>
  <c r="C45" i="24" s="1"/>
  <c r="I19" i="10"/>
  <c r="I32" i="10" s="1"/>
  <c r="I40" i="6"/>
  <c r="D29" i="5"/>
  <c r="F25" i="19"/>
  <c r="F37" i="19" s="1"/>
  <c r="I8" i="26" s="1"/>
  <c r="G15" i="26"/>
  <c r="E28" i="5" s="1"/>
  <c r="E7" i="24" s="1"/>
  <c r="E9" i="24" s="1"/>
  <c r="E12" i="24" s="1"/>
  <c r="E42" i="24" s="1"/>
  <c r="E45" i="24" s="1"/>
  <c r="L13" i="19"/>
  <c r="K14" i="19"/>
  <c r="K19" i="19" s="1"/>
  <c r="M15" i="19"/>
  <c r="L16" i="19"/>
  <c r="M17" i="6"/>
  <c r="L21" i="6"/>
  <c r="L11" i="24" s="1"/>
  <c r="I6" i="8"/>
  <c r="J44" i="5"/>
  <c r="M17" i="19"/>
  <c r="L18" i="19"/>
  <c r="K26" i="5"/>
  <c r="K8" i="24" s="1"/>
  <c r="M7" i="26"/>
  <c r="G66" i="22"/>
  <c r="H9" i="22" s="1"/>
  <c r="H11" i="22" s="1"/>
  <c r="G24" i="5" s="1"/>
  <c r="F7" i="8" s="1"/>
  <c r="F10" i="8" s="1"/>
  <c r="F13" i="8" s="1"/>
  <c r="H10" i="26"/>
  <c r="H12" i="26"/>
  <c r="F7" i="10"/>
  <c r="F8" i="10"/>
  <c r="F68" i="22"/>
  <c r="D69" i="22" s="1"/>
  <c r="J49" i="5" l="1"/>
  <c r="J6" i="24"/>
  <c r="C5" i="8"/>
  <c r="C9" i="8" s="1"/>
  <c r="C14" i="8" s="1"/>
  <c r="D31" i="10" s="1"/>
  <c r="D53" i="24"/>
  <c r="D45" i="5"/>
  <c r="D51" i="5" s="1"/>
  <c r="D9" i="10"/>
  <c r="D27" i="10" s="1"/>
  <c r="C6" i="12"/>
  <c r="C8" i="12" s="1"/>
  <c r="D32" i="5"/>
  <c r="D34" i="5" s="1"/>
  <c r="D35" i="5" s="1"/>
  <c r="D6" i="7"/>
  <c r="D14" i="7" s="1"/>
  <c r="D24" i="7" s="1"/>
  <c r="D25" i="7" s="1"/>
  <c r="D38" i="5"/>
  <c r="E29" i="5"/>
  <c r="F26" i="19"/>
  <c r="N17" i="19"/>
  <c r="N18" i="19" s="1"/>
  <c r="M18" i="19"/>
  <c r="N17" i="6"/>
  <c r="M21" i="6"/>
  <c r="M11" i="24" s="1"/>
  <c r="L14" i="19"/>
  <c r="L19" i="19" s="1"/>
  <c r="M13" i="19"/>
  <c r="C12" i="12"/>
  <c r="C13" i="12" s="1"/>
  <c r="C54" i="24"/>
  <c r="L26" i="5"/>
  <c r="L8" i="24" s="1"/>
  <c r="N7" i="26"/>
  <c r="K44" i="5"/>
  <c r="J6" i="8"/>
  <c r="N15" i="19"/>
  <c r="N16" i="19" s="1"/>
  <c r="M16" i="19"/>
  <c r="G68" i="22"/>
  <c r="H14" i="26"/>
  <c r="I11" i="26"/>
  <c r="H13" i="26"/>
  <c r="G10" i="10"/>
  <c r="G33" i="10" s="1"/>
  <c r="G42" i="10"/>
  <c r="G44" i="10" s="1"/>
  <c r="G51" i="10" s="1"/>
  <c r="G27" i="5"/>
  <c r="F69" i="22"/>
  <c r="D70" i="22" s="1"/>
  <c r="J31" i="5"/>
  <c r="J10" i="7" s="1"/>
  <c r="J43" i="10"/>
  <c r="J22" i="6"/>
  <c r="K49" i="5" l="1"/>
  <c r="K6" i="24"/>
  <c r="E32" i="5"/>
  <c r="E34" i="5" s="1"/>
  <c r="E35" i="5" s="1"/>
  <c r="E53" i="24"/>
  <c r="G24" i="19"/>
  <c r="G25" i="19" s="1"/>
  <c r="G37" i="19" s="1"/>
  <c r="J8" i="26" s="1"/>
  <c r="F36" i="19"/>
  <c r="D6" i="12"/>
  <c r="D8" i="12" s="1"/>
  <c r="D29" i="10"/>
  <c r="D7" i="6"/>
  <c r="D34" i="6" s="1"/>
  <c r="E9" i="10"/>
  <c r="E27" i="10" s="1"/>
  <c r="E38" i="5"/>
  <c r="E6" i="7"/>
  <c r="E14" i="7" s="1"/>
  <c r="D5" i="8"/>
  <c r="E45" i="5"/>
  <c r="E51" i="5" s="1"/>
  <c r="E23" i="7"/>
  <c r="D27" i="6"/>
  <c r="N21" i="6"/>
  <c r="N11" i="24" s="1"/>
  <c r="O17" i="6"/>
  <c r="O21" i="6" s="1"/>
  <c r="M14" i="19"/>
  <c r="M19" i="19" s="1"/>
  <c r="N13" i="19"/>
  <c r="N14" i="19" s="1"/>
  <c r="N19" i="19" s="1"/>
  <c r="L44" i="5"/>
  <c r="K6" i="8"/>
  <c r="M26" i="5"/>
  <c r="M8" i="24" s="1"/>
  <c r="O7" i="26"/>
  <c r="H15" i="26"/>
  <c r="F28" i="5" s="1"/>
  <c r="F7" i="24" s="1"/>
  <c r="F9" i="24" s="1"/>
  <c r="F12" i="24" s="1"/>
  <c r="F42" i="24" s="1"/>
  <c r="F45" i="24" s="1"/>
  <c r="G69" i="22"/>
  <c r="I6" i="26"/>
  <c r="G7" i="10"/>
  <c r="G8" i="10"/>
  <c r="F70" i="22"/>
  <c r="D71" i="22" s="1"/>
  <c r="J23" i="6"/>
  <c r="O11" i="24" l="1"/>
  <c r="L49" i="5"/>
  <c r="L6" i="24"/>
  <c r="E7" i="6"/>
  <c r="E34" i="6" s="1"/>
  <c r="E42" i="6" s="1"/>
  <c r="D12" i="10"/>
  <c r="D28" i="10" s="1"/>
  <c r="D39" i="6"/>
  <c r="D41" i="6" s="1"/>
  <c r="D14" i="6"/>
  <c r="D33" i="6" s="1"/>
  <c r="D35" i="6" s="1"/>
  <c r="D14" i="10"/>
  <c r="D17" i="10" s="1"/>
  <c r="D35" i="10" s="1"/>
  <c r="D12" i="12"/>
  <c r="D13" i="12" s="1"/>
  <c r="D9" i="8"/>
  <c r="D14" i="8" s="1"/>
  <c r="J19" i="10"/>
  <c r="J32" i="10" s="1"/>
  <c r="J40" i="6"/>
  <c r="G26" i="19"/>
  <c r="G36" i="19" s="1"/>
  <c r="L6" i="8"/>
  <c r="M44" i="5"/>
  <c r="N26" i="5"/>
  <c r="N8" i="24" s="1"/>
  <c r="P7" i="26"/>
  <c r="D24" i="10"/>
  <c r="D34" i="10" s="1"/>
  <c r="D24" i="6"/>
  <c r="Q7" i="26"/>
  <c r="O26" i="5"/>
  <c r="O8" i="24" s="1"/>
  <c r="G70" i="22"/>
  <c r="F29" i="5"/>
  <c r="F53" i="24" s="1"/>
  <c r="I9" i="26"/>
  <c r="K43" i="10"/>
  <c r="K31" i="5"/>
  <c r="K10" i="7" s="1"/>
  <c r="K22" i="6"/>
  <c r="F71" i="22"/>
  <c r="D73" i="22" s="1"/>
  <c r="M49" i="5" l="1"/>
  <c r="M6" i="24"/>
  <c r="D54" i="24"/>
  <c r="E54" i="24" s="1"/>
  <c r="F54" i="24" s="1"/>
  <c r="E31" i="10"/>
  <c r="E39" i="6"/>
  <c r="E41" i="6" s="1"/>
  <c r="D30" i="10"/>
  <c r="D29" i="6"/>
  <c r="D31" i="6" s="1"/>
  <c r="D36" i="6"/>
  <c r="D38" i="6" s="1"/>
  <c r="H24" i="19"/>
  <c r="H25" i="19" s="1"/>
  <c r="H37" i="19" s="1"/>
  <c r="K8" i="26" s="1"/>
  <c r="N43" i="10"/>
  <c r="M6" i="8"/>
  <c r="N44" i="5"/>
  <c r="O44" i="5"/>
  <c r="N6" i="8"/>
  <c r="O43" i="10"/>
  <c r="F32" i="5"/>
  <c r="F34" i="5" s="1"/>
  <c r="F35" i="5" s="1"/>
  <c r="F45" i="5"/>
  <c r="F51" i="5" s="1"/>
  <c r="E5" i="8"/>
  <c r="G71" i="22"/>
  <c r="I9" i="22" s="1"/>
  <c r="I11" i="22" s="1"/>
  <c r="H24" i="5" s="1"/>
  <c r="F6" i="7"/>
  <c r="F7" i="6" s="1"/>
  <c r="E6" i="12"/>
  <c r="C9" i="12" s="1"/>
  <c r="F38" i="5"/>
  <c r="F9" i="10"/>
  <c r="F27" i="10" s="1"/>
  <c r="I10" i="26"/>
  <c r="I12" i="26"/>
  <c r="F73" i="22"/>
  <c r="D74" i="22" s="1"/>
  <c r="K23" i="6"/>
  <c r="L22" i="6"/>
  <c r="N49" i="5" l="1"/>
  <c r="N6" i="24"/>
  <c r="O49" i="5"/>
  <c r="D50" i="5" s="1"/>
  <c r="O6" i="24"/>
  <c r="K19" i="10"/>
  <c r="K32" i="10" s="1"/>
  <c r="K40" i="6"/>
  <c r="H26" i="19"/>
  <c r="H36" i="19" s="1"/>
  <c r="E9" i="8"/>
  <c r="E14" i="8" s="1"/>
  <c r="E8" i="12"/>
  <c r="D9" i="12"/>
  <c r="G73" i="22"/>
  <c r="E12" i="12"/>
  <c r="E13" i="12" s="1"/>
  <c r="J11" i="26"/>
  <c r="I13" i="26"/>
  <c r="I14" i="26"/>
  <c r="H27" i="5"/>
  <c r="J6" i="26" s="1"/>
  <c r="G7" i="8"/>
  <c r="G10" i="8" s="1"/>
  <c r="G13" i="8" s="1"/>
  <c r="H10" i="10"/>
  <c r="H33" i="10" s="1"/>
  <c r="H42" i="10"/>
  <c r="H44" i="10" s="1"/>
  <c r="H51" i="10" s="1"/>
  <c r="L43" i="10"/>
  <c r="L31" i="5"/>
  <c r="L10" i="7" s="1"/>
  <c r="L23" i="6"/>
  <c r="F74" i="22"/>
  <c r="D75" i="22" s="1"/>
  <c r="L19" i="10" l="1"/>
  <c r="L32" i="10" s="1"/>
  <c r="L40" i="6"/>
  <c r="I24" i="19"/>
  <c r="F31" i="10"/>
  <c r="G74" i="22"/>
  <c r="I15" i="26"/>
  <c r="G28" i="5" s="1"/>
  <c r="G7" i="24" s="1"/>
  <c r="G9" i="24" s="1"/>
  <c r="G12" i="24" s="1"/>
  <c r="G42" i="24" s="1"/>
  <c r="G45" i="24" s="1"/>
  <c r="J9" i="26"/>
  <c r="J10" i="26" s="1"/>
  <c r="F75" i="22"/>
  <c r="D76" i="22" s="1"/>
  <c r="H8" i="10"/>
  <c r="H7" i="10"/>
  <c r="I25" i="19" l="1"/>
  <c r="I37" i="19" s="1"/>
  <c r="L8" i="26" s="1"/>
  <c r="G75" i="22"/>
  <c r="J12" i="26"/>
  <c r="J14" i="26" s="1"/>
  <c r="G29" i="5"/>
  <c r="G53" i="24" s="1"/>
  <c r="G54" i="24" s="1"/>
  <c r="F76" i="22"/>
  <c r="D78" i="22" s="1"/>
  <c r="M43" i="10"/>
  <c r="M31" i="5"/>
  <c r="M10" i="7" s="1"/>
  <c r="M22" i="6"/>
  <c r="G45" i="5" l="1"/>
  <c r="G51" i="5" s="1"/>
  <c r="I26" i="19"/>
  <c r="G76" i="22"/>
  <c r="J9" i="22" s="1"/>
  <c r="J11" i="22" s="1"/>
  <c r="I24" i="5" s="1"/>
  <c r="J13" i="26"/>
  <c r="J15" i="26" s="1"/>
  <c r="K11" i="26"/>
  <c r="G9" i="10"/>
  <c r="G6" i="7"/>
  <c r="F6" i="12"/>
  <c r="G32" i="5"/>
  <c r="G34" i="5" s="1"/>
  <c r="G35" i="5" s="1"/>
  <c r="F5" i="8"/>
  <c r="G38" i="5"/>
  <c r="M23" i="6"/>
  <c r="F78" i="22"/>
  <c r="G78" i="22" s="1"/>
  <c r="J24" i="19" l="1"/>
  <c r="J25" i="19" s="1"/>
  <c r="J37" i="19" s="1"/>
  <c r="M8" i="26" s="1"/>
  <c r="I36" i="19"/>
  <c r="M19" i="10"/>
  <c r="M40" i="6"/>
  <c r="F9" i="8"/>
  <c r="F14" i="8" s="1"/>
  <c r="H28" i="5"/>
  <c r="H7" i="24" s="1"/>
  <c r="H9" i="24" s="1"/>
  <c r="H12" i="24" s="1"/>
  <c r="H42" i="24" s="1"/>
  <c r="H45" i="24" s="1"/>
  <c r="D79" i="22"/>
  <c r="F79" i="22" s="1"/>
  <c r="D80" i="22" s="1"/>
  <c r="G27" i="10"/>
  <c r="F8" i="12"/>
  <c r="F12" i="12"/>
  <c r="F13" i="12" s="1"/>
  <c r="G7" i="6"/>
  <c r="H7" i="8"/>
  <c r="H10" i="8" s="1"/>
  <c r="H13" i="8" s="1"/>
  <c r="I42" i="10"/>
  <c r="I44" i="10" s="1"/>
  <c r="I51" i="10" s="1"/>
  <c r="I27" i="5"/>
  <c r="K6" i="26" s="1"/>
  <c r="I10" i="10"/>
  <c r="I33" i="10" s="1"/>
  <c r="J26" i="19" l="1"/>
  <c r="G31" i="10"/>
  <c r="H29" i="5"/>
  <c r="H53" i="24" s="1"/>
  <c r="H54" i="24" s="1"/>
  <c r="G79" i="22"/>
  <c r="K9" i="26"/>
  <c r="F80" i="22"/>
  <c r="D81" i="22" s="1"/>
  <c r="N31" i="5"/>
  <c r="N10" i="7" s="1"/>
  <c r="N22" i="6"/>
  <c r="I8" i="10"/>
  <c r="I7" i="10"/>
  <c r="K24" i="19" l="1"/>
  <c r="K25" i="19" s="1"/>
  <c r="K37" i="19" s="1"/>
  <c r="N8" i="26" s="1"/>
  <c r="J36" i="19"/>
  <c r="H38" i="5"/>
  <c r="H32" i="5"/>
  <c r="H34" i="5" s="1"/>
  <c r="H35" i="5" s="1"/>
  <c r="H6" i="7"/>
  <c r="H7" i="6" s="1"/>
  <c r="H45" i="5"/>
  <c r="H51" i="5" s="1"/>
  <c r="G5" i="8"/>
  <c r="H9" i="10"/>
  <c r="H27" i="10" s="1"/>
  <c r="G80" i="22"/>
  <c r="G6" i="12"/>
  <c r="G12" i="12" s="1"/>
  <c r="G13" i="12" s="1"/>
  <c r="K10" i="26"/>
  <c r="K12" i="26"/>
  <c r="N23" i="6"/>
  <c r="F81" i="22"/>
  <c r="D83" i="22" s="1"/>
  <c r="N19" i="10" l="1"/>
  <c r="N40" i="6"/>
  <c r="K26" i="19"/>
  <c r="K36" i="19" s="1"/>
  <c r="G9" i="8"/>
  <c r="G14" i="8" s="1"/>
  <c r="G8" i="12"/>
  <c r="G81" i="22"/>
  <c r="K9" i="22" s="1"/>
  <c r="K11" i="22" s="1"/>
  <c r="J24" i="5" s="1"/>
  <c r="J10" i="10" s="1"/>
  <c r="J33" i="10" s="1"/>
  <c r="K13" i="26"/>
  <c r="L11" i="26"/>
  <c r="K14" i="26"/>
  <c r="O22" i="6"/>
  <c r="O23" i="6" s="1"/>
  <c r="O31" i="5"/>
  <c r="O10" i="7" s="1"/>
  <c r="F83" i="22"/>
  <c r="D84" i="22" s="1"/>
  <c r="O19" i="10" l="1"/>
  <c r="O40" i="6"/>
  <c r="L24" i="19"/>
  <c r="L25" i="19" s="1"/>
  <c r="L37" i="19" s="1"/>
  <c r="O8" i="26" s="1"/>
  <c r="H31" i="10"/>
  <c r="G83" i="22"/>
  <c r="K15" i="26"/>
  <c r="I28" i="5" s="1"/>
  <c r="I7" i="24" s="1"/>
  <c r="I9" i="24" s="1"/>
  <c r="I12" i="24" s="1"/>
  <c r="I42" i="24" s="1"/>
  <c r="I45" i="24" s="1"/>
  <c r="J42" i="10"/>
  <c r="J44" i="10" s="1"/>
  <c r="J51" i="10" s="1"/>
  <c r="I7" i="8"/>
  <c r="I10" i="8" s="1"/>
  <c r="I13" i="8" s="1"/>
  <c r="J27" i="5"/>
  <c r="F84" i="22"/>
  <c r="D85" i="22" s="1"/>
  <c r="L26" i="19" l="1"/>
  <c r="L36" i="19" s="1"/>
  <c r="G84" i="22"/>
  <c r="I29" i="5"/>
  <c r="I53" i="24" s="1"/>
  <c r="I54" i="24" s="1"/>
  <c r="L6" i="26"/>
  <c r="J8" i="10"/>
  <c r="J7" i="10"/>
  <c r="F85" i="22"/>
  <c r="D86" i="22" s="1"/>
  <c r="I45" i="5" l="1"/>
  <c r="I51" i="5" s="1"/>
  <c r="M24" i="19"/>
  <c r="M25" i="19" s="1"/>
  <c r="M37" i="19" s="1"/>
  <c r="P8" i="26" s="1"/>
  <c r="G85" i="22"/>
  <c r="I32" i="5"/>
  <c r="I34" i="5" s="1"/>
  <c r="I35" i="5" s="1"/>
  <c r="I6" i="7"/>
  <c r="I9" i="10"/>
  <c r="H5" i="8"/>
  <c r="I38" i="5"/>
  <c r="H6" i="12"/>
  <c r="L9" i="26"/>
  <c r="F86" i="22"/>
  <c r="D88" i="22" s="1"/>
  <c r="M26" i="19" l="1"/>
  <c r="M36" i="19" s="1"/>
  <c r="H9" i="8"/>
  <c r="H14" i="8" s="1"/>
  <c r="I31" i="10" s="1"/>
  <c r="G86" i="22"/>
  <c r="L9" i="22" s="1"/>
  <c r="L11" i="22" s="1"/>
  <c r="K24" i="5" s="1"/>
  <c r="I7" i="6"/>
  <c r="I27" i="10"/>
  <c r="H12" i="12"/>
  <c r="H8" i="12"/>
  <c r="I8" i="12" s="1"/>
  <c r="J8" i="12" s="1"/>
  <c r="K8" i="12" s="1"/>
  <c r="L10" i="26"/>
  <c r="L12" i="26"/>
  <c r="F88" i="22"/>
  <c r="D89" i="22" s="1"/>
  <c r="N24" i="19" l="1"/>
  <c r="N25" i="19" s="1"/>
  <c r="N37" i="19" s="1"/>
  <c r="Q8" i="26" s="1"/>
  <c r="G88" i="22"/>
  <c r="H13" i="12"/>
  <c r="K14" i="12" s="1"/>
  <c r="D5" i="13" a="1"/>
  <c r="M11" i="26"/>
  <c r="L13" i="26"/>
  <c r="L14" i="26"/>
  <c r="F89" i="22"/>
  <c r="D90" i="22" s="1"/>
  <c r="K42" i="10"/>
  <c r="K44" i="10" s="1"/>
  <c r="K51" i="10" s="1"/>
  <c r="K27" i="5"/>
  <c r="M6" i="26" s="1"/>
  <c r="J7" i="8"/>
  <c r="J10" i="8" s="1"/>
  <c r="J13" i="8" s="1"/>
  <c r="K10" i="10"/>
  <c r="K33" i="10" s="1"/>
  <c r="N26" i="19" l="1"/>
  <c r="N36" i="19" s="1"/>
  <c r="G89" i="22"/>
  <c r="D8" i="13"/>
  <c r="D10" i="13"/>
  <c r="D12" i="13"/>
  <c r="F12" i="13" s="1"/>
  <c r="D6" i="13"/>
  <c r="D11" i="13"/>
  <c r="D14" i="13"/>
  <c r="F14" i="13" s="1"/>
  <c r="D5" i="13"/>
  <c r="D13" i="13"/>
  <c r="F13" i="13" s="1"/>
  <c r="D7" i="13"/>
  <c r="D9" i="13"/>
  <c r="M9" i="26"/>
  <c r="M10" i="26" s="1"/>
  <c r="L15" i="26"/>
  <c r="J28" i="5" s="1"/>
  <c r="J7" i="24" s="1"/>
  <c r="J9" i="24" s="1"/>
  <c r="J12" i="24" s="1"/>
  <c r="J42" i="24" s="1"/>
  <c r="J45" i="24" s="1"/>
  <c r="K8" i="10"/>
  <c r="K7" i="10"/>
  <c r="F90" i="22"/>
  <c r="D91" i="22" s="1"/>
  <c r="O7" i="22"/>
  <c r="G90" i="22" l="1"/>
  <c r="D27" i="13"/>
  <c r="F27" i="13" s="1"/>
  <c r="F8" i="13"/>
  <c r="F6" i="13"/>
  <c r="D25" i="13"/>
  <c r="F25" i="13" s="1"/>
  <c r="D28" i="13"/>
  <c r="F28" i="13" s="1"/>
  <c r="F9" i="13"/>
  <c r="F10" i="13"/>
  <c r="D29" i="13"/>
  <c r="F29" i="13" s="1"/>
  <c r="F7" i="13"/>
  <c r="D26" i="13"/>
  <c r="F26" i="13" s="1"/>
  <c r="F11" i="13"/>
  <c r="D30" i="13"/>
  <c r="F30" i="13" s="1"/>
  <c r="M12" i="26"/>
  <c r="M13" i="26" s="1"/>
  <c r="J29" i="5"/>
  <c r="J53" i="24" s="1"/>
  <c r="J54" i="24" s="1"/>
  <c r="D24" i="13"/>
  <c r="F24" i="13" s="1"/>
  <c r="F5" i="13"/>
  <c r="F91" i="22"/>
  <c r="D93" i="22" s="1"/>
  <c r="N18" i="7"/>
  <c r="M12" i="8"/>
  <c r="O8" i="22"/>
  <c r="P5" i="22" s="1"/>
  <c r="M12" i="6"/>
  <c r="M37" i="6" s="1"/>
  <c r="J45" i="5" l="1"/>
  <c r="J51" i="5" s="1"/>
  <c r="G91" i="22"/>
  <c r="M9" i="22" s="1"/>
  <c r="M11" i="22" s="1"/>
  <c r="L24" i="5" s="1"/>
  <c r="L27" i="5" s="1"/>
  <c r="N6" i="26" s="1"/>
  <c r="F35" i="13"/>
  <c r="F37" i="13" s="1"/>
  <c r="F16" i="13"/>
  <c r="F18" i="13" s="1"/>
  <c r="M14" i="26"/>
  <c r="M15" i="26" s="1"/>
  <c r="K28" i="5" s="1"/>
  <c r="K7" i="24" s="1"/>
  <c r="K9" i="24" s="1"/>
  <c r="K12" i="24" s="1"/>
  <c r="K42" i="24" s="1"/>
  <c r="K45" i="24" s="1"/>
  <c r="N11" i="26"/>
  <c r="J38" i="5"/>
  <c r="J32" i="5"/>
  <c r="J34" i="5" s="1"/>
  <c r="J35" i="5" s="1"/>
  <c r="J6" i="7"/>
  <c r="J9" i="10"/>
  <c r="I5" i="8"/>
  <c r="F93" i="22"/>
  <c r="D94" i="22" s="1"/>
  <c r="N22" i="7"/>
  <c r="N33" i="5"/>
  <c r="M8" i="6"/>
  <c r="M21" i="10" s="1"/>
  <c r="M25" i="10"/>
  <c r="C56" i="24" l="1"/>
  <c r="I9" i="8"/>
  <c r="I14" i="8" s="1"/>
  <c r="J31" i="10" s="1"/>
  <c r="G93" i="22"/>
  <c r="K29" i="5"/>
  <c r="K53" i="24" s="1"/>
  <c r="K54" i="24" s="1"/>
  <c r="J27" i="10"/>
  <c r="J7" i="6"/>
  <c r="N9" i="26"/>
  <c r="K7" i="8"/>
  <c r="K10" i="8" s="1"/>
  <c r="K13" i="8" s="1"/>
  <c r="L42" i="10"/>
  <c r="L44" i="10" s="1"/>
  <c r="L51" i="10" s="1"/>
  <c r="L10" i="10"/>
  <c r="L33" i="10" s="1"/>
  <c r="L8" i="10"/>
  <c r="L7" i="10"/>
  <c r="F94" i="22"/>
  <c r="D95" i="22" s="1"/>
  <c r="M20" i="10"/>
  <c r="M32" i="10" s="1"/>
  <c r="M15" i="10"/>
  <c r="K45" i="5" l="1"/>
  <c r="K51" i="5" s="1"/>
  <c r="G94" i="22"/>
  <c r="K32" i="5"/>
  <c r="K34" i="5" s="1"/>
  <c r="K35" i="5" s="1"/>
  <c r="J5" i="8"/>
  <c r="K6" i="7"/>
  <c r="K9" i="10"/>
  <c r="K38" i="5"/>
  <c r="N10" i="26"/>
  <c r="N12" i="26"/>
  <c r="F95" i="22"/>
  <c r="D96" i="22" s="1"/>
  <c r="M16" i="10"/>
  <c r="J9" i="8" l="1"/>
  <c r="J14" i="8" s="1"/>
  <c r="K31" i="10" s="1"/>
  <c r="G95" i="22"/>
  <c r="K7" i="6"/>
  <c r="K27" i="10"/>
  <c r="O11" i="26"/>
  <c r="N13" i="26"/>
  <c r="N14" i="26"/>
  <c r="F96" i="22"/>
  <c r="D98" i="22" s="1"/>
  <c r="G96" i="22" l="1"/>
  <c r="N9" i="22" s="1"/>
  <c r="N15" i="26"/>
  <c r="L28" i="5" s="1"/>
  <c r="L7" i="24" s="1"/>
  <c r="L9" i="24" s="1"/>
  <c r="L12" i="24" s="1"/>
  <c r="L42" i="24" s="1"/>
  <c r="L45" i="24" s="1"/>
  <c r="F98" i="22"/>
  <c r="D99" i="22" s="1"/>
  <c r="G98" i="22" l="1"/>
  <c r="L29" i="5"/>
  <c r="L53" i="24" s="1"/>
  <c r="L54" i="24" s="1"/>
  <c r="F99" i="22"/>
  <c r="D100" i="22" s="1"/>
  <c r="N11" i="22"/>
  <c r="L45" i="5" l="1"/>
  <c r="L51" i="5" s="1"/>
  <c r="G99" i="22"/>
  <c r="L38" i="5"/>
  <c r="L32" i="5"/>
  <c r="L34" i="5" s="1"/>
  <c r="L35" i="5" s="1"/>
  <c r="L9" i="10"/>
  <c r="L6" i="7"/>
  <c r="K5" i="8"/>
  <c r="M24" i="5"/>
  <c r="F100" i="22"/>
  <c r="D101" i="22" s="1"/>
  <c r="K9" i="8" l="1"/>
  <c r="K14" i="8" s="1"/>
  <c r="L31" i="10" s="1"/>
  <c r="G100" i="22"/>
  <c r="L27" i="10"/>
  <c r="L7" i="6"/>
  <c r="F101" i="22"/>
  <c r="D103" i="22" s="1"/>
  <c r="M42" i="10"/>
  <c r="M44" i="10" s="1"/>
  <c r="M51" i="10" s="1"/>
  <c r="M10" i="10"/>
  <c r="M33" i="10" s="1"/>
  <c r="M27" i="5"/>
  <c r="O6" i="26" s="1"/>
  <c r="L7" i="8"/>
  <c r="L10" i="8" s="1"/>
  <c r="L13" i="8" s="1"/>
  <c r="G101" i="22" l="1"/>
  <c r="O9" i="22" s="1"/>
  <c r="O11" i="22" s="1"/>
  <c r="O9" i="26"/>
  <c r="F103" i="22"/>
  <c r="D104" i="22" s="1"/>
  <c r="M7" i="10"/>
  <c r="M8" i="10"/>
  <c r="G103" i="22" l="1"/>
  <c r="O10" i="26"/>
  <c r="O12" i="26"/>
  <c r="N24" i="5"/>
  <c r="N42" i="10" l="1"/>
  <c r="N44" i="10" s="1"/>
  <c r="N51" i="10" s="1"/>
  <c r="N10" i="10"/>
  <c r="N33" i="10" s="1"/>
  <c r="O13" i="26"/>
  <c r="P11" i="26"/>
  <c r="O14" i="26"/>
  <c r="E108" i="22"/>
  <c r="P7" i="22"/>
  <c r="N12" i="8" s="1"/>
  <c r="F104" i="22"/>
  <c r="G104" i="22" s="1"/>
  <c r="M7" i="8"/>
  <c r="M10" i="8" s="1"/>
  <c r="M13" i="8" s="1"/>
  <c r="N27" i="5"/>
  <c r="P6" i="26" l="1"/>
  <c r="P9" i="26" s="1"/>
  <c r="P10" i="26" s="1"/>
  <c r="N7" i="10"/>
  <c r="N8" i="10"/>
  <c r="O15" i="26"/>
  <c r="M28" i="5" s="1"/>
  <c r="M7" i="24" s="1"/>
  <c r="M9" i="24" s="1"/>
  <c r="M12" i="24" s="1"/>
  <c r="M42" i="24" s="1"/>
  <c r="M45" i="24" s="1"/>
  <c r="N12" i="6"/>
  <c r="O18" i="7"/>
  <c r="Q7" i="22"/>
  <c r="P8" i="22"/>
  <c r="D105" i="22"/>
  <c r="N25" i="10" l="1"/>
  <c r="N37" i="6"/>
  <c r="M29" i="5"/>
  <c r="M53" i="24" s="1"/>
  <c r="M54" i="24" s="1"/>
  <c r="P12" i="26"/>
  <c r="P14" i="26" s="1"/>
  <c r="O33" i="5"/>
  <c r="O22" i="7"/>
  <c r="F105" i="22"/>
  <c r="D106" i="22" s="1"/>
  <c r="N8" i="6"/>
  <c r="M45" i="5" l="1"/>
  <c r="M51" i="5" s="1"/>
  <c r="F106" i="22"/>
  <c r="G106" i="22" s="1"/>
  <c r="N15" i="10"/>
  <c r="N16" i="10" s="1"/>
  <c r="N21" i="10"/>
  <c r="N20" i="10"/>
  <c r="G105" i="22"/>
  <c r="Q11" i="26"/>
  <c r="P13" i="26"/>
  <c r="P15" i="26" s="1"/>
  <c r="N28" i="5" s="1"/>
  <c r="N7" i="24" s="1"/>
  <c r="N9" i="24" s="1"/>
  <c r="N12" i="24" s="1"/>
  <c r="N42" i="24" s="1"/>
  <c r="N45" i="24" s="1"/>
  <c r="L5" i="8"/>
  <c r="M9" i="10"/>
  <c r="M32" i="5"/>
  <c r="M34" i="5" s="1"/>
  <c r="M35" i="5" s="1"/>
  <c r="M38" i="5"/>
  <c r="M6" i="7"/>
  <c r="O8" i="6"/>
  <c r="G108" i="22" l="1"/>
  <c r="L9" i="8"/>
  <c r="L14" i="8" s="1"/>
  <c r="M31" i="10" s="1"/>
  <c r="O20" i="10"/>
  <c r="O21" i="10"/>
  <c r="O15" i="10"/>
  <c r="O16" i="10" s="1"/>
  <c r="N29" i="5"/>
  <c r="N53" i="24" s="1"/>
  <c r="N54" i="24" s="1"/>
  <c r="M27" i="10"/>
  <c r="M7" i="6"/>
  <c r="P9" i="22"/>
  <c r="P11" i="22" s="1"/>
  <c r="N9" i="10" l="1"/>
  <c r="N27" i="10" s="1"/>
  <c r="N45" i="5"/>
  <c r="N51" i="5" s="1"/>
  <c r="Q9" i="22"/>
  <c r="N38" i="5"/>
  <c r="N32" i="5"/>
  <c r="N34" i="5" s="1"/>
  <c r="N35" i="5" s="1"/>
  <c r="N6" i="7"/>
  <c r="M5" i="8"/>
  <c r="O24" i="5"/>
  <c r="Q11" i="22"/>
  <c r="M9" i="8" l="1"/>
  <c r="M14" i="8" s="1"/>
  <c r="N31" i="10" s="1"/>
  <c r="O10" i="10"/>
  <c r="O33" i="10" s="1"/>
  <c r="O42" i="10"/>
  <c r="O44" i="10" s="1"/>
  <c r="O51" i="10" s="1"/>
  <c r="N7" i="6"/>
  <c r="O27" i="5"/>
  <c r="N7" i="8"/>
  <c r="N10" i="8" s="1"/>
  <c r="N13" i="8" s="1"/>
  <c r="O8" i="10" l="1"/>
  <c r="O7" i="10"/>
  <c r="Q6" i="26"/>
  <c r="Q9" i="26" l="1"/>
  <c r="Q10" i="26" l="1"/>
  <c r="Q12" i="26"/>
  <c r="Q13" i="26" l="1"/>
  <c r="Q14" i="26"/>
  <c r="Q15" i="26" l="1"/>
  <c r="O28" i="5" l="1"/>
  <c r="O7" i="24" s="1"/>
  <c r="O9" i="24" s="1"/>
  <c r="O12" i="24" s="1"/>
  <c r="O43" i="24" l="1"/>
  <c r="O44" i="24" s="1"/>
  <c r="O42" i="24"/>
  <c r="O29" i="5"/>
  <c r="O53" i="24" s="1"/>
  <c r="O45" i="24" l="1"/>
  <c r="C47" i="24" s="1"/>
  <c r="C62" i="24" a="1"/>
  <c r="O54" i="24"/>
  <c r="O38" i="5"/>
  <c r="O45" i="5"/>
  <c r="O51" i="5" s="1"/>
  <c r="D52" i="5" s="1"/>
  <c r="O6" i="7"/>
  <c r="O7" i="6" s="1"/>
  <c r="O32" i="5"/>
  <c r="O34" i="5" s="1"/>
  <c r="O35" i="5" s="1"/>
  <c r="O9" i="10"/>
  <c r="O27" i="10" s="1"/>
  <c r="N5" i="8"/>
  <c r="C13" i="24" l="1"/>
  <c r="C62" i="24"/>
  <c r="C73" i="24"/>
  <c r="C72" i="24"/>
  <c r="C67" i="24"/>
  <c r="C66" i="24"/>
  <c r="C65" i="24"/>
  <c r="C68" i="24"/>
  <c r="C74" i="24"/>
  <c r="C71" i="24"/>
  <c r="C63" i="24"/>
  <c r="C64" i="24"/>
  <c r="C70" i="24"/>
  <c r="C69" i="24"/>
  <c r="N9" i="8"/>
  <c r="C15" i="8" s="1"/>
  <c r="P31" i="10" s="1"/>
  <c r="F14" i="7"/>
  <c r="F24" i="7" s="1"/>
  <c r="C75" i="24" l="1"/>
  <c r="N14" i="8"/>
  <c r="C16" i="8" s="1"/>
  <c r="G14" i="7"/>
  <c r="G24" i="7" s="1"/>
  <c r="E62" i="24" l="1"/>
  <c r="E63" i="24" s="1"/>
  <c r="E64" i="24" s="1"/>
  <c r="E65" i="24" s="1"/>
  <c r="E66" i="24" s="1"/>
  <c r="E67" i="24" s="1"/>
  <c r="O31" i="10"/>
  <c r="H14" i="7"/>
  <c r="H24" i="7" s="1"/>
  <c r="E68" i="24" l="1"/>
  <c r="I14" i="7"/>
  <c r="I24" i="7" s="1"/>
  <c r="E69" i="24" l="1"/>
  <c r="E70" i="24" s="1"/>
  <c r="E71" i="24" s="1"/>
  <c r="E72" i="24" s="1"/>
  <c r="E73" i="24" s="1"/>
  <c r="E74" i="24" s="1"/>
  <c r="C77" i="24"/>
  <c r="J14" i="7"/>
  <c r="J24" i="7" s="1"/>
  <c r="K14" i="7" l="1"/>
  <c r="K24" i="7" s="1"/>
  <c r="L14" i="7" l="1"/>
  <c r="L24" i="7" s="1"/>
  <c r="M14" i="7" l="1"/>
  <c r="M24" i="7" s="1"/>
  <c r="N14" i="7" l="1"/>
  <c r="N24" i="7" s="1"/>
  <c r="O14" i="7" l="1"/>
  <c r="O24" i="7" s="1"/>
  <c r="E22" i="10"/>
  <c r="E36" i="10" s="1"/>
  <c r="E24" i="7"/>
  <c r="E25" i="7" s="1"/>
  <c r="E27" i="6" l="1"/>
  <c r="F23" i="7"/>
  <c r="F25" i="7" s="1"/>
  <c r="E12" i="10"/>
  <c r="E28" i="10" s="1"/>
  <c r="E14" i="10"/>
  <c r="E13" i="10"/>
  <c r="E29" i="10" s="1"/>
  <c r="E14" i="6"/>
  <c r="E33" i="6" s="1"/>
  <c r="E35" i="6" s="1"/>
  <c r="F6" i="6"/>
  <c r="F39" i="6" l="1"/>
  <c r="F41" i="6" s="1"/>
  <c r="F34" i="6"/>
  <c r="F42" i="6" s="1"/>
  <c r="E30" i="10"/>
  <c r="E17" i="10"/>
  <c r="E35" i="10" s="1"/>
  <c r="G23" i="7"/>
  <c r="G25" i="7" s="1"/>
  <c r="F27" i="6"/>
  <c r="F13" i="10"/>
  <c r="F29" i="10" s="1"/>
  <c r="G6" i="6"/>
  <c r="F14" i="6"/>
  <c r="F33" i="6" s="1"/>
  <c r="F12" i="10"/>
  <c r="F28" i="10" s="1"/>
  <c r="F14" i="10"/>
  <c r="F22" i="10"/>
  <c r="F36" i="10" s="1"/>
  <c r="E24" i="6"/>
  <c r="E24" i="10"/>
  <c r="E34" i="10" s="1"/>
  <c r="F35" i="6" l="1"/>
  <c r="G39" i="6"/>
  <c r="G41" i="6" s="1"/>
  <c r="G34" i="6"/>
  <c r="G42" i="6" s="1"/>
  <c r="E29" i="6"/>
  <c r="E31" i="6" s="1"/>
  <c r="E36" i="6"/>
  <c r="E38" i="6" s="1"/>
  <c r="F24" i="6"/>
  <c r="F24" i="10"/>
  <c r="F34" i="10" s="1"/>
  <c r="G27" i="6"/>
  <c r="H23" i="7"/>
  <c r="H25" i="7" s="1"/>
  <c r="G14" i="6"/>
  <c r="G33" i="6" s="1"/>
  <c r="G12" i="10"/>
  <c r="G28" i="10" s="1"/>
  <c r="G14" i="10"/>
  <c r="G13" i="10"/>
  <c r="G29" i="10" s="1"/>
  <c r="G22" i="10"/>
  <c r="G36" i="10" s="1"/>
  <c r="H6" i="6"/>
  <c r="F17" i="10"/>
  <c r="F35" i="10" s="1"/>
  <c r="F30" i="10"/>
  <c r="G35" i="6" l="1"/>
  <c r="H39" i="6"/>
  <c r="H41" i="6" s="1"/>
  <c r="H34" i="6"/>
  <c r="H42" i="6" s="1"/>
  <c r="F29" i="6"/>
  <c r="F31" i="6" s="1"/>
  <c r="F36" i="6"/>
  <c r="F38" i="6" s="1"/>
  <c r="I23" i="7"/>
  <c r="I25" i="7" s="1"/>
  <c r="H27" i="6"/>
  <c r="G30" i="10"/>
  <c r="G17" i="10"/>
  <c r="G35" i="10" s="1"/>
  <c r="G24" i="10"/>
  <c r="G34" i="10" s="1"/>
  <c r="G24" i="6"/>
  <c r="H12" i="10"/>
  <c r="H28" i="10" s="1"/>
  <c r="H22" i="10"/>
  <c r="H36" i="10" s="1"/>
  <c r="H14" i="10"/>
  <c r="I6" i="6"/>
  <c r="H13" i="10"/>
  <c r="H29" i="10" s="1"/>
  <c r="H14" i="6"/>
  <c r="H33" i="6" s="1"/>
  <c r="H35" i="6" l="1"/>
  <c r="I39" i="6"/>
  <c r="I41" i="6" s="1"/>
  <c r="I34" i="6"/>
  <c r="I42" i="6" s="1"/>
  <c r="G29" i="6"/>
  <c r="G31" i="6" s="1"/>
  <c r="G36" i="6"/>
  <c r="G38" i="6" s="1"/>
  <c r="I13" i="10"/>
  <c r="I29" i="10" s="1"/>
  <c r="J6" i="6"/>
  <c r="I12" i="10"/>
  <c r="I28" i="10" s="1"/>
  <c r="I22" i="10"/>
  <c r="I36" i="10" s="1"/>
  <c r="I14" i="6"/>
  <c r="I33" i="6" s="1"/>
  <c r="I14" i="10"/>
  <c r="H24" i="10"/>
  <c r="H34" i="10" s="1"/>
  <c r="H24" i="6"/>
  <c r="H17" i="10"/>
  <c r="H35" i="10" s="1"/>
  <c r="H30" i="10"/>
  <c r="I27" i="6"/>
  <c r="J23" i="7"/>
  <c r="J25" i="7" s="1"/>
  <c r="J39" i="6" l="1"/>
  <c r="J41" i="6" s="1"/>
  <c r="J34" i="6"/>
  <c r="J42" i="6" s="1"/>
  <c r="I35" i="6"/>
  <c r="H29" i="6"/>
  <c r="H31" i="6" s="1"/>
  <c r="H36" i="6"/>
  <c r="H38" i="6" s="1"/>
  <c r="I24" i="6"/>
  <c r="I24" i="10"/>
  <c r="I34" i="10" s="1"/>
  <c r="J27" i="6"/>
  <c r="K23" i="7"/>
  <c r="K25" i="7" s="1"/>
  <c r="I30" i="10"/>
  <c r="I17" i="10"/>
  <c r="I35" i="10" s="1"/>
  <c r="J12" i="10"/>
  <c r="J28" i="10" s="1"/>
  <c r="J13" i="10"/>
  <c r="J29" i="10" s="1"/>
  <c r="J14" i="10"/>
  <c r="K6" i="6"/>
  <c r="J22" i="10"/>
  <c r="J36" i="10" s="1"/>
  <c r="J14" i="6"/>
  <c r="J33" i="6" s="1"/>
  <c r="J35" i="6" l="1"/>
  <c r="K39" i="6"/>
  <c r="K41" i="6" s="1"/>
  <c r="K34" i="6"/>
  <c r="K42" i="6" s="1"/>
  <c r="I29" i="6"/>
  <c r="I31" i="6" s="1"/>
  <c r="I36" i="6"/>
  <c r="I38" i="6" s="1"/>
  <c r="K27" i="6"/>
  <c r="L23" i="7"/>
  <c r="L25" i="7" s="1"/>
  <c r="J24" i="6"/>
  <c r="J24" i="10"/>
  <c r="J34" i="10" s="1"/>
  <c r="K14" i="10"/>
  <c r="K12" i="10"/>
  <c r="K28" i="10" s="1"/>
  <c r="K22" i="10"/>
  <c r="K36" i="10" s="1"/>
  <c r="L6" i="6"/>
  <c r="K14" i="6"/>
  <c r="K33" i="6" s="1"/>
  <c r="K13" i="10"/>
  <c r="K29" i="10" s="1"/>
  <c r="J17" i="10"/>
  <c r="J35" i="10" s="1"/>
  <c r="J30" i="10"/>
  <c r="L39" i="6" l="1"/>
  <c r="L41" i="6" s="1"/>
  <c r="L34" i="6"/>
  <c r="L42" i="6" s="1"/>
  <c r="K35" i="6"/>
  <c r="J29" i="6"/>
  <c r="J31" i="6" s="1"/>
  <c r="J36" i="6"/>
  <c r="J38" i="6" s="1"/>
  <c r="M23" i="7"/>
  <c r="M25" i="7" s="1"/>
  <c r="L27" i="6"/>
  <c r="L13" i="10"/>
  <c r="L29" i="10" s="1"/>
  <c r="L22" i="10"/>
  <c r="L36" i="10" s="1"/>
  <c r="L12" i="10"/>
  <c r="L28" i="10" s="1"/>
  <c r="L14" i="10"/>
  <c r="L14" i="6"/>
  <c r="L33" i="6" s="1"/>
  <c r="M6" i="6"/>
  <c r="K30" i="10"/>
  <c r="K17" i="10"/>
  <c r="K35" i="10" s="1"/>
  <c r="K24" i="10"/>
  <c r="K34" i="10" s="1"/>
  <c r="K24" i="6"/>
  <c r="L35" i="6" l="1"/>
  <c r="M39" i="6"/>
  <c r="M41" i="6" s="1"/>
  <c r="M34" i="6"/>
  <c r="M42" i="6" s="1"/>
  <c r="K29" i="6"/>
  <c r="K31" i="6" s="1"/>
  <c r="K36" i="6"/>
  <c r="K38" i="6" s="1"/>
  <c r="M13" i="10"/>
  <c r="M29" i="10" s="1"/>
  <c r="N6" i="6"/>
  <c r="M14" i="6"/>
  <c r="M33" i="6" s="1"/>
  <c r="M14" i="10"/>
  <c r="M22" i="10"/>
  <c r="M36" i="10" s="1"/>
  <c r="M12" i="10"/>
  <c r="M28" i="10" s="1"/>
  <c r="L17" i="10"/>
  <c r="L35" i="10" s="1"/>
  <c r="L30" i="10"/>
  <c r="L24" i="10"/>
  <c r="L34" i="10" s="1"/>
  <c r="L24" i="6"/>
  <c r="M27" i="6"/>
  <c r="N23" i="7"/>
  <c r="N25" i="7" s="1"/>
  <c r="M35" i="6" l="1"/>
  <c r="N39" i="6"/>
  <c r="N41" i="6" s="1"/>
  <c r="N34" i="6"/>
  <c r="N42" i="6" s="1"/>
  <c r="L29" i="6"/>
  <c r="L31" i="6" s="1"/>
  <c r="L36" i="6"/>
  <c r="L38" i="6" s="1"/>
  <c r="M17" i="10"/>
  <c r="M35" i="10" s="1"/>
  <c r="M30" i="10"/>
  <c r="M24" i="6"/>
  <c r="M24" i="10"/>
  <c r="M34" i="10" s="1"/>
  <c r="N12" i="10"/>
  <c r="N28" i="10" s="1"/>
  <c r="N14" i="10"/>
  <c r="N14" i="6"/>
  <c r="N33" i="6" s="1"/>
  <c r="O6" i="6"/>
  <c r="N13" i="10"/>
  <c r="N29" i="10" s="1"/>
  <c r="N22" i="10"/>
  <c r="N36" i="10" s="1"/>
  <c r="O23" i="7"/>
  <c r="O25" i="7" s="1"/>
  <c r="O27" i="6" s="1"/>
  <c r="N27" i="6"/>
  <c r="O39" i="6" l="1"/>
  <c r="O41" i="6" s="1"/>
  <c r="O34" i="6"/>
  <c r="O42" i="6" s="1"/>
  <c r="N35" i="6"/>
  <c r="M29" i="6"/>
  <c r="M31" i="6" s="1"/>
  <c r="M36" i="6"/>
  <c r="M38" i="6" s="1"/>
  <c r="N24" i="10"/>
  <c r="N34" i="10" s="1"/>
  <c r="N24" i="6"/>
  <c r="O24" i="10"/>
  <c r="O34" i="10" s="1"/>
  <c r="O24" i="6"/>
  <c r="N17" i="10"/>
  <c r="N35" i="10" s="1"/>
  <c r="N30" i="10"/>
  <c r="O13" i="10"/>
  <c r="O29" i="10" s="1"/>
  <c r="O14" i="6"/>
  <c r="O33" i="6" s="1"/>
  <c r="O14" i="10"/>
  <c r="O22" i="10"/>
  <c r="O36" i="10" s="1"/>
  <c r="O12" i="10"/>
  <c r="O28" i="10" s="1"/>
  <c r="O35" i="6" l="1"/>
  <c r="N29" i="6"/>
  <c r="N31" i="6" s="1"/>
  <c r="N36" i="6"/>
  <c r="N38" i="6" s="1"/>
  <c r="O29" i="6"/>
  <c r="O31" i="6" s="1"/>
  <c r="O36" i="6"/>
  <c r="O38" i="6" s="1"/>
  <c r="O30" i="10"/>
  <c r="O17" i="10"/>
  <c r="O35" i="10" s="1"/>
</calcChain>
</file>

<file path=xl/sharedStrings.xml><?xml version="1.0" encoding="utf-8"?>
<sst xmlns="http://schemas.openxmlformats.org/spreadsheetml/2006/main" count="1666" uniqueCount="936">
  <si>
    <t>Sr. No.</t>
  </si>
  <si>
    <t xml:space="preserve">CAPITAL COST HEAD </t>
  </si>
  <si>
    <t>QTY.</t>
  </si>
  <si>
    <t xml:space="preserve">UNITS </t>
  </si>
  <si>
    <t>UNIT RATE (INR)</t>
  </si>
  <si>
    <t xml:space="preserve">SUB TOTAL </t>
  </si>
  <si>
    <t xml:space="preserve">DETAILED PROJECT COST </t>
  </si>
  <si>
    <t>INR (LAKH)</t>
  </si>
  <si>
    <t>%</t>
  </si>
  <si>
    <t xml:space="preserve">PROJECT COST AND MEANS OF FINANCE </t>
  </si>
  <si>
    <t xml:space="preserve">DETAILED ASSUMPTION </t>
  </si>
  <si>
    <t xml:space="preserve">PROJECTIONS </t>
  </si>
  <si>
    <t xml:space="preserve">UNIT </t>
  </si>
  <si>
    <t>ANNUAL QUANTITY</t>
  </si>
  <si>
    <t xml:space="preserve">YEAR </t>
  </si>
  <si>
    <t xml:space="preserve">1ST </t>
  </si>
  <si>
    <t>SCHEDULE OF SALARIES AND WAGES</t>
  </si>
  <si>
    <t xml:space="preserve">FINANCIAL RATIOS </t>
  </si>
  <si>
    <t xml:space="preserve">INVESTMENT INDICATION </t>
  </si>
  <si>
    <t xml:space="preserve">A. PAY BACK PERIOD </t>
  </si>
  <si>
    <t xml:space="preserve">1. PAYBACK PERIOD WITHOUT SUBSIDY </t>
  </si>
  <si>
    <t xml:space="preserve">TOTAL PROJECT COST </t>
  </si>
  <si>
    <t xml:space="preserve">B. INTERNAL RATE OF RETURN </t>
  </si>
  <si>
    <t xml:space="preserve">OPERATIONAL CASH INFLOW </t>
  </si>
  <si>
    <t>NET CASH FLOW</t>
  </si>
  <si>
    <t xml:space="preserve">NET PRESENT VALUE </t>
  </si>
  <si>
    <t>INTERNAL RATE OF RETURN (%)</t>
  </si>
  <si>
    <t xml:space="preserve">2. EQUITY IRR WITHOUT SUBSIDY </t>
  </si>
  <si>
    <t xml:space="preserve">INITIAL EQUITY OUTFLOW </t>
  </si>
  <si>
    <t>TOTAL SALES</t>
  </si>
  <si>
    <t>LESS ; VARIABLE COST</t>
  </si>
  <si>
    <t xml:space="preserve">CONTRIBUTION </t>
  </si>
  <si>
    <t>FIXED COST</t>
  </si>
  <si>
    <t xml:space="preserve">INTEREST </t>
  </si>
  <si>
    <t xml:space="preserve">DEPRECIATION </t>
  </si>
  <si>
    <t>TOTAL FIXED COST</t>
  </si>
  <si>
    <t>OPERATION BREAK EVEN (%)</t>
  </si>
  <si>
    <t>CASH BREAKEVEN (%)</t>
  </si>
  <si>
    <t>AVERAGE OPERATION BREAKEVEN (%)</t>
  </si>
  <si>
    <t>AVERAGE CASH BREAKEVEN (%)</t>
  </si>
  <si>
    <t>PROJECTED LIST PRICE @ 15 PE RATIO</t>
  </si>
  <si>
    <t xml:space="preserve">ANNUALIZED GROWTH RATE </t>
  </si>
  <si>
    <t xml:space="preserve">LIABILITIES </t>
  </si>
  <si>
    <t xml:space="preserve">TOTAL </t>
  </si>
  <si>
    <t xml:space="preserve">A. SOURCE OF FUND </t>
  </si>
  <si>
    <t>TOTAL</t>
  </si>
  <si>
    <t xml:space="preserve">B. APPLICATION OF FUNDS </t>
  </si>
  <si>
    <t>Net Surplus/ Deficit</t>
  </si>
  <si>
    <t xml:space="preserve">Cumulative Balance </t>
  </si>
  <si>
    <t xml:space="preserve">PBT </t>
  </si>
  <si>
    <t xml:space="preserve">% Production </t>
  </si>
  <si>
    <t>Sale of Bio-CNG</t>
  </si>
  <si>
    <t>Sale of CERs</t>
  </si>
  <si>
    <t>Gross Annual Sale</t>
  </si>
  <si>
    <t xml:space="preserve">VARIALBLE EXPENSES </t>
  </si>
  <si>
    <t>1. Raw Material</t>
  </si>
  <si>
    <t>Total Variable Cost</t>
  </si>
  <si>
    <t xml:space="preserve">FIXED EXPENSES </t>
  </si>
  <si>
    <t xml:space="preserve">1. Office and other Overheads </t>
  </si>
  <si>
    <t>Total Fixed Cost</t>
  </si>
  <si>
    <t xml:space="preserve">TOTAL PRODUCTION COST </t>
  </si>
  <si>
    <t>EBIDTA</t>
  </si>
  <si>
    <t>Interest on Term Loan</t>
  </si>
  <si>
    <t xml:space="preserve">Depreciation </t>
  </si>
  <si>
    <t>PBT</t>
  </si>
  <si>
    <t>PAT</t>
  </si>
  <si>
    <t xml:space="preserve">Add : Depreciation </t>
  </si>
  <si>
    <t xml:space="preserve">Repayment Obligations </t>
  </si>
  <si>
    <t xml:space="preserve">Cumulative Internal Accruals  </t>
  </si>
  <si>
    <t xml:space="preserve">Building </t>
  </si>
  <si>
    <t xml:space="preserve">WDV of Building </t>
  </si>
  <si>
    <t xml:space="preserve">Plant &amp; Machinery </t>
  </si>
  <si>
    <t>Total WDV</t>
  </si>
  <si>
    <t xml:space="preserve">Sub Total </t>
  </si>
  <si>
    <t xml:space="preserve">INCOME </t>
  </si>
  <si>
    <t xml:space="preserve">Gross Annual Sale </t>
  </si>
  <si>
    <t xml:space="preserve">EXPENSES </t>
  </si>
  <si>
    <t>VARIABLE OPERATING EXPENSES</t>
  </si>
  <si>
    <t>Total Factory Overhead</t>
  </si>
  <si>
    <t xml:space="preserve">TOTAL VARIABLE EXPENSES </t>
  </si>
  <si>
    <t xml:space="preserve">FIXED OPERATING EXPENSES </t>
  </si>
  <si>
    <t>contd.</t>
  </si>
  <si>
    <t xml:space="preserve">TOTAL FIXED EXPENSES </t>
  </si>
  <si>
    <t>TOTAL EXPENSES</t>
  </si>
  <si>
    <t xml:space="preserve">TOTAL SAVINGS </t>
  </si>
  <si>
    <t xml:space="preserve">FINANCIAL CHARGES </t>
  </si>
  <si>
    <t xml:space="preserve">TOTAL FINANCIAL CHARGES </t>
  </si>
  <si>
    <t xml:space="preserve">Value </t>
  </si>
  <si>
    <t xml:space="preserve">Unit </t>
  </si>
  <si>
    <t xml:space="preserve">PARTICUALR </t>
  </si>
  <si>
    <t>I</t>
  </si>
  <si>
    <t>II</t>
  </si>
  <si>
    <t>PLANT UTILIZATION FACTOR</t>
  </si>
  <si>
    <t xml:space="preserve">COMPUTATION OF GAS GENERATION </t>
  </si>
  <si>
    <t>III</t>
  </si>
  <si>
    <t xml:space="preserve">ESTIMATION OF PRODUCTION </t>
  </si>
  <si>
    <t>A</t>
  </si>
  <si>
    <t>B</t>
  </si>
  <si>
    <t>C</t>
  </si>
  <si>
    <t>IV</t>
  </si>
  <si>
    <t xml:space="preserve">PLANT CAPACITY </t>
  </si>
  <si>
    <t>V</t>
  </si>
  <si>
    <t>VI</t>
  </si>
  <si>
    <t>VII</t>
  </si>
  <si>
    <t>VIII</t>
  </si>
  <si>
    <t>D</t>
  </si>
  <si>
    <t>E</t>
  </si>
  <si>
    <t>F</t>
  </si>
  <si>
    <t>G</t>
  </si>
  <si>
    <t>H</t>
  </si>
  <si>
    <t>J</t>
  </si>
  <si>
    <t xml:space="preserve">PROJECT COST </t>
  </si>
  <si>
    <t xml:space="preserve">MEANS OF FINACE </t>
  </si>
  <si>
    <t>Loan from Banks</t>
  </si>
  <si>
    <t>Subsidy from MNRE</t>
  </si>
  <si>
    <t xml:space="preserve">Miscellaneous Assets </t>
  </si>
  <si>
    <t xml:space="preserve">Working Capital Margin </t>
  </si>
  <si>
    <t>SUB TOTAL</t>
  </si>
  <si>
    <t xml:space="preserve">CIVIL WORK </t>
  </si>
  <si>
    <t xml:space="preserve">BUILDING </t>
  </si>
  <si>
    <t xml:space="preserve">BUILDING SERVICE </t>
  </si>
  <si>
    <t xml:space="preserve">PLANT &amp; MACHINERY </t>
  </si>
  <si>
    <t>ORGANIC FERTILIZER PLANT</t>
  </si>
  <si>
    <t xml:space="preserve">MISCELLANEOUS ASSETS </t>
  </si>
  <si>
    <t xml:space="preserve">PRELIMINARY &amp; PRE-OPERATIVE EXPENSES </t>
  </si>
  <si>
    <t xml:space="preserve">PRE-OPERATIVE EXPENSES </t>
  </si>
  <si>
    <t xml:space="preserve">OFFICE EQUIPMENTS &amp; FURNITURE </t>
  </si>
  <si>
    <t>AC for factory 1.5 Ton</t>
  </si>
  <si>
    <t xml:space="preserve">PRELIMINARY EXPENSES </t>
  </si>
  <si>
    <t>TOTAL FOR PRELIMINARY &amp; PRE-OPERATIVE EXPENSES</t>
  </si>
  <si>
    <t>TOTAL PROJECT COST</t>
  </si>
  <si>
    <t xml:space="preserve">2ND </t>
  </si>
  <si>
    <t xml:space="preserve">3RD </t>
  </si>
  <si>
    <t>4TH</t>
  </si>
  <si>
    <t>5TH</t>
  </si>
  <si>
    <t>6TH</t>
  </si>
  <si>
    <t>7TH</t>
  </si>
  <si>
    <t>8TH</t>
  </si>
  <si>
    <t>9TH</t>
  </si>
  <si>
    <t>10TH</t>
  </si>
  <si>
    <t>I. FACTORY WAGES &amp; SUPERVISION</t>
  </si>
  <si>
    <t xml:space="preserve">a) Workers Wages </t>
  </si>
  <si>
    <t xml:space="preserve">Category </t>
  </si>
  <si>
    <t xml:space="preserve">Number </t>
  </si>
  <si>
    <t xml:space="preserve">Average Monthly Salary </t>
  </si>
  <si>
    <t>No. of months/ year</t>
  </si>
  <si>
    <t xml:space="preserve">Total Annual Salary </t>
  </si>
  <si>
    <t xml:space="preserve">Skilled Workers </t>
  </si>
  <si>
    <t xml:space="preserve">Semi-Skilled Workers </t>
  </si>
  <si>
    <t>Un-Skilled Worker</t>
  </si>
  <si>
    <t xml:space="preserve">b) Factory Supervision </t>
  </si>
  <si>
    <t xml:space="preserve">Shift Supervisor </t>
  </si>
  <si>
    <t xml:space="preserve">Field Officer </t>
  </si>
  <si>
    <t>Store In-Charge</t>
  </si>
  <si>
    <t>Store Assistant</t>
  </si>
  <si>
    <t xml:space="preserve">Chemist </t>
  </si>
  <si>
    <t xml:space="preserve">Total Wages &amp; Salaries </t>
  </si>
  <si>
    <t>II. OFFICE STAFF</t>
  </si>
  <si>
    <t xml:space="preserve">General Manager </t>
  </si>
  <si>
    <t>Accounts Manager</t>
  </si>
  <si>
    <t xml:space="preserve">Accounts Assistant </t>
  </si>
  <si>
    <t>Total for Office Staff</t>
  </si>
  <si>
    <t>No. of daily Operation Hours</t>
  </si>
  <si>
    <t>No. of days per Annum</t>
  </si>
  <si>
    <t xml:space="preserve">Daily Input of Cattle Dung </t>
  </si>
  <si>
    <t xml:space="preserve">Daily Volume of Bio-CNG Generated </t>
  </si>
  <si>
    <t xml:space="preserve">Mass of Bio-CNG Generated </t>
  </si>
  <si>
    <t>SOLID BIO FERTILIZER PRODUCTION</t>
  </si>
  <si>
    <t xml:space="preserve">LIQUID FERTILIZER CONCENTRATE GENERATION </t>
  </si>
  <si>
    <t>Quantity of Phosphorus liquid fertilizer concentrate</t>
  </si>
  <si>
    <t xml:space="preserve">Total quantity of liquid fertilizer concentrate </t>
  </si>
  <si>
    <t xml:space="preserve">Total water requirement </t>
  </si>
  <si>
    <t xml:space="preserve">Bio-CNG Plant Capacity </t>
  </si>
  <si>
    <t xml:space="preserve">Compost Plant Capacity </t>
  </si>
  <si>
    <t xml:space="preserve">Liquid Fertilizer Concentrate Capacity </t>
  </si>
  <si>
    <t>ANNUAL OUTPUT ON 100% BASIS</t>
  </si>
  <si>
    <t>ANNUAL INPUT ON 100% BASIS</t>
  </si>
  <si>
    <t>UNIT PRICE</t>
  </si>
  <si>
    <t>PARASITIC CONSUMPTION OF POWER</t>
  </si>
  <si>
    <t xml:space="preserve">Load of Biogas Section </t>
  </si>
  <si>
    <t xml:space="preserve">Total Carbon Credit </t>
  </si>
  <si>
    <t>HHV of LPG</t>
  </si>
  <si>
    <t>HHV of Bio-CNG</t>
  </si>
  <si>
    <t>Selling price of Bio-CNG @ 80% of Commercial LPG</t>
  </si>
  <si>
    <t xml:space="preserve">Selling price of solid organic fertilizer </t>
  </si>
  <si>
    <t xml:space="preserve">Selling price of liquid fertilizer concentrate </t>
  </si>
  <si>
    <t>No.</t>
  </si>
  <si>
    <t>Capacity Utilization Factor</t>
  </si>
  <si>
    <t>Kg</t>
  </si>
  <si>
    <t>M3</t>
  </si>
  <si>
    <t xml:space="preserve">Hour </t>
  </si>
  <si>
    <t>Days</t>
  </si>
  <si>
    <t>&lt;1%</t>
  </si>
  <si>
    <t>Ton</t>
  </si>
  <si>
    <t>M3/Day</t>
  </si>
  <si>
    <t>Kg/day</t>
  </si>
  <si>
    <t>INR/Kg</t>
  </si>
  <si>
    <t>INR</t>
  </si>
  <si>
    <t xml:space="preserve">Kg </t>
  </si>
  <si>
    <t>L/day</t>
  </si>
  <si>
    <t xml:space="preserve">Initial water for dilution of first charge </t>
  </si>
  <si>
    <t>KWe</t>
  </si>
  <si>
    <t>CERs</t>
  </si>
  <si>
    <t>m3/year</t>
  </si>
  <si>
    <t>Kcal/Kg</t>
  </si>
  <si>
    <t>ratio</t>
  </si>
  <si>
    <t>1.08/1</t>
  </si>
  <si>
    <t>INR/L</t>
  </si>
  <si>
    <t>KL</t>
  </si>
  <si>
    <t>INR/CER</t>
  </si>
  <si>
    <t>INR/MT</t>
  </si>
  <si>
    <t>Mtr.</t>
  </si>
  <si>
    <t>SET</t>
  </si>
  <si>
    <t>Ltr.</t>
  </si>
  <si>
    <t xml:space="preserve">SUB TOTAL FOR P. &amp; MACHINERY </t>
  </si>
  <si>
    <t>LOT</t>
  </si>
  <si>
    <t xml:space="preserve">TOTAL FOR P. &amp; MACHINERY </t>
  </si>
  <si>
    <t xml:space="preserve">Computer at factory </t>
  </si>
  <si>
    <t>Table chair set</t>
  </si>
  <si>
    <t>Conference chair and table set</t>
  </si>
  <si>
    <t xml:space="preserve">Provision for others </t>
  </si>
  <si>
    <t>Interest during construction period</t>
  </si>
  <si>
    <t xml:space="preserve">TOTAL PROJECT EXPENDITURE </t>
  </si>
  <si>
    <t xml:space="preserve">Bore well with Motor, Piping and Pump </t>
  </si>
  <si>
    <t>Multifunction laser printer at factory</t>
  </si>
  <si>
    <t xml:space="preserve">TOTAL FOR MISC. ASSETS </t>
  </si>
  <si>
    <t xml:space="preserve">Loss of Biogas by Leakage/ Seepage to Atmosphere </t>
  </si>
  <si>
    <t xml:space="preserve">Daily Volume of Biogas available for conversion into Bio-CNG </t>
  </si>
  <si>
    <t xml:space="preserve">Methane Slip or Loss during up-gradation </t>
  </si>
  <si>
    <t xml:space="preserve">Quantity of potassium &amp; nitrogen liquid fertilizer concentrate </t>
  </si>
  <si>
    <t>KW.e</t>
  </si>
  <si>
    <t>Load of auxiliaries at Bio-CNG Unit</t>
  </si>
  <si>
    <t xml:space="preserve">Bio-CNG to LPG energy equivalence </t>
  </si>
  <si>
    <t>INR/Ltr.</t>
  </si>
  <si>
    <t>AMOUNT  (INR)</t>
  </si>
  <si>
    <t>INR/Ton</t>
  </si>
  <si>
    <t>INR/KWh</t>
  </si>
  <si>
    <t>INR/DAY</t>
  </si>
  <si>
    <t>INR/MONTH</t>
  </si>
  <si>
    <t xml:space="preserve">% </t>
  </si>
  <si>
    <t>INR/YEAR</t>
  </si>
  <si>
    <t xml:space="preserve">WDV of Plant &amp; Machinery </t>
  </si>
  <si>
    <t xml:space="preserve">NET PROFITS BEFORE DEPRECIATON </t>
  </si>
  <si>
    <t>COST (INR)</t>
  </si>
  <si>
    <t xml:space="preserve">RAW MATERIAL </t>
  </si>
  <si>
    <t xml:space="preserve">Salaries to Office Staff </t>
  </si>
  <si>
    <t>Office and other Overheads</t>
  </si>
  <si>
    <t>Professional Fees</t>
  </si>
  <si>
    <t>Postage Telephone etc.</t>
  </si>
  <si>
    <t xml:space="preserve">Office Supplies </t>
  </si>
  <si>
    <t xml:space="preserve">R &amp; M of Plant &amp; Machinery </t>
  </si>
  <si>
    <t xml:space="preserve">Insurance @ 0.5% of assets </t>
  </si>
  <si>
    <t xml:space="preserve">Factory Workers and Supervision </t>
  </si>
  <si>
    <t xml:space="preserve">Misc. Office Expenses </t>
  </si>
  <si>
    <t xml:space="preserve">Provision for unforeseen expenses </t>
  </si>
  <si>
    <t>Sale of Solid &amp; Liquid Fertilizer</t>
  </si>
  <si>
    <t>ESCALATION FACTOR (5%)</t>
  </si>
  <si>
    <t>PROFITIBLITY PROJECTIONS  (INR Lakh)</t>
  </si>
  <si>
    <t xml:space="preserve">Solid/ Liquid Fertilizer Separator Unit </t>
  </si>
  <si>
    <t xml:space="preserve">TOTAL FOR CIVIL WORKS </t>
  </si>
  <si>
    <t xml:space="preserve">SUMMARY OF BIO-CNG PROJECT ECONOMICS </t>
  </si>
  <si>
    <t>PARAMETERS</t>
  </si>
  <si>
    <t xml:space="preserve">Capacities </t>
  </si>
  <si>
    <t>Biogas Plant Capacity</t>
  </si>
  <si>
    <t>Bio-CNG Plant Capacity</t>
  </si>
  <si>
    <t>Carbon dioxide Plant Capacity</t>
  </si>
  <si>
    <t xml:space="preserve">Captive Power Plant Capacity </t>
  </si>
  <si>
    <t>Consumption &amp; Output @ 100% Capacity</t>
  </si>
  <si>
    <t xml:space="preserve">Annual Consumption of Cattle Dung as received </t>
  </si>
  <si>
    <t xml:space="preserve">Annual Consumption of Sugar Cane Press Mud </t>
  </si>
  <si>
    <t>Annual Consumption of other bio-degradable stuff</t>
  </si>
  <si>
    <t xml:space="preserve">Parasitic Consumption of Electricity for Factory Use </t>
  </si>
  <si>
    <t xml:space="preserve">Maximum Quantity of Biogas Generated </t>
  </si>
  <si>
    <t xml:space="preserve">Maximum Quantity of Bio-CNG Exported </t>
  </si>
  <si>
    <t xml:space="preserve">Maximum Quantity of Carbon dioxide Gas Generated </t>
  </si>
  <si>
    <t xml:space="preserve">Maximum Quantity of Compost  Generated </t>
  </si>
  <si>
    <t xml:space="preserve">Maximum Quantity of Liquid Fertilizer Generated </t>
  </si>
  <si>
    <t xml:space="preserve">Selling Price and Cost </t>
  </si>
  <si>
    <t xml:space="preserve">Selling Price of Bio-CNG @ 90% of current market Price of Commercial LPG </t>
  </si>
  <si>
    <t xml:space="preserve">Selling Price of CERs @ USD 5 </t>
  </si>
  <si>
    <t>Cost of Cattle Dung including Transportation cost</t>
  </si>
  <si>
    <t>Cost of food Waste including Transportation cost</t>
  </si>
  <si>
    <t xml:space="preserve">Cost of Iron Fillings </t>
  </si>
  <si>
    <t xml:space="preserve">Cost of Water </t>
  </si>
  <si>
    <t xml:space="preserve">Cost of Electricity  </t>
  </si>
  <si>
    <t xml:space="preserve">Investment Summary </t>
  </si>
  <si>
    <t>Land</t>
  </si>
  <si>
    <t xml:space="preserve">Preliminary and Pre-Operative Expenses </t>
  </si>
  <si>
    <t xml:space="preserve">working Capital Margin </t>
  </si>
  <si>
    <t xml:space="preserve">MEANS OF FINANCE </t>
  </si>
  <si>
    <t>Equity and Preference Share Capital @ 30%</t>
  </si>
  <si>
    <t xml:space="preserve">Loan from Banks </t>
  </si>
  <si>
    <t xml:space="preserve">Total </t>
  </si>
  <si>
    <t>Financial Indicators @ 85% CUF</t>
  </si>
  <si>
    <t xml:space="preserve">Total Project Cost </t>
  </si>
  <si>
    <t>Less : Capital subsidy from MNRE</t>
  </si>
  <si>
    <t>Less : IT saving on accelerated Depreciation</t>
  </si>
  <si>
    <t>Net Project Cost</t>
  </si>
  <si>
    <t>Project Profitability</t>
  </si>
  <si>
    <t>Sale of Carbon-di-oxide</t>
  </si>
  <si>
    <t>Sale of Compost</t>
  </si>
  <si>
    <t>sale of Liquid Fertilizer</t>
  </si>
  <si>
    <t xml:space="preserve">Total Interest </t>
  </si>
  <si>
    <t>Depreciation</t>
  </si>
  <si>
    <t>Average operation Break Even (%)</t>
  </si>
  <si>
    <t>Average Cash Break Even (%)</t>
  </si>
  <si>
    <t>Average DSCR</t>
  </si>
  <si>
    <t xml:space="preserve">Payback Period without Capital Subsidy </t>
  </si>
  <si>
    <t xml:space="preserve">Payback Period with Capital Subsidy </t>
  </si>
  <si>
    <t xml:space="preserve">IRR on Project Cost without Subsidy </t>
  </si>
  <si>
    <t xml:space="preserve">IRR on Equity Capital without Subsidy </t>
  </si>
  <si>
    <t xml:space="preserve">Total  </t>
  </si>
  <si>
    <t>Kg/Day</t>
  </si>
  <si>
    <t>Ltr/Day</t>
  </si>
  <si>
    <t>TON</t>
  </si>
  <si>
    <t>INR/TON</t>
  </si>
  <si>
    <t xml:space="preserve">Cost of sugarcane press mud </t>
  </si>
  <si>
    <t>Interest Rate</t>
  </si>
  <si>
    <t>Sum</t>
  </si>
  <si>
    <t>Year</t>
  </si>
  <si>
    <t>Interest</t>
  </si>
  <si>
    <t>Preliminary Expenses Written Off</t>
  </si>
  <si>
    <t>Cash Flow</t>
  </si>
  <si>
    <t>PAYBACK PERIOD (Years)</t>
  </si>
  <si>
    <t>K =</t>
  </si>
  <si>
    <t>PVCF</t>
  </si>
  <si>
    <t>PVCI</t>
  </si>
  <si>
    <t>Investment</t>
  </si>
  <si>
    <t>Less</t>
  </si>
  <si>
    <t>NPV</t>
  </si>
  <si>
    <t>IRR</t>
  </si>
  <si>
    <t xml:space="preserve">Maximum Quantity of Bio-CNG Generated  </t>
  </si>
  <si>
    <t>INR/KW.h</t>
  </si>
  <si>
    <t>Financial Indicators @ 100% CUF</t>
  </si>
  <si>
    <t xml:space="preserve">Fertilizer Unit bagging system and accessories    </t>
  </si>
  <si>
    <t xml:space="preserve">No. of Working days Per Annum </t>
  </si>
  <si>
    <t xml:space="preserve">Sale of Compost/ Solid Manure  </t>
  </si>
  <si>
    <t xml:space="preserve">Sale of Liquid Fertilizer </t>
  </si>
  <si>
    <t xml:space="preserve">GROSS TOTAL  </t>
  </si>
  <si>
    <t xml:space="preserve">CCTV Camera system </t>
  </si>
  <si>
    <t xml:space="preserve">GST on Plant and Machinery </t>
  </si>
  <si>
    <t>L</t>
  </si>
  <si>
    <t>GST</t>
  </si>
  <si>
    <t xml:space="preserve">Way Bridge cum Security Room </t>
  </si>
  <si>
    <t xml:space="preserve">Gate </t>
  </si>
  <si>
    <t xml:space="preserve">Admin Office </t>
  </si>
  <si>
    <t>K</t>
  </si>
  <si>
    <t>M</t>
  </si>
  <si>
    <t>N</t>
  </si>
  <si>
    <t>O</t>
  </si>
  <si>
    <t>P</t>
  </si>
  <si>
    <t>Q</t>
  </si>
  <si>
    <t>R</t>
  </si>
  <si>
    <t xml:space="preserve">SQMT </t>
  </si>
  <si>
    <t xml:space="preserve">CUMT </t>
  </si>
  <si>
    <t xml:space="preserve">Equipment Foundations </t>
  </si>
  <si>
    <t>Heating System</t>
  </si>
  <si>
    <t>SS Bar Grill</t>
  </si>
  <si>
    <t>Platform mixing tank</t>
  </si>
  <si>
    <t>Auto Valves</t>
  </si>
  <si>
    <t>Flanges</t>
  </si>
  <si>
    <t>Wall mounting Flanges</t>
  </si>
  <si>
    <t>Fitting Material of Flanges</t>
  </si>
  <si>
    <t>Pump for slurry Transfer</t>
  </si>
  <si>
    <t>Manual Valves</t>
  </si>
  <si>
    <t>Spider Ring</t>
  </si>
  <si>
    <t>Nylon Belts</t>
  </si>
  <si>
    <t>Nylon Rope Net</t>
  </si>
  <si>
    <t>Wall Flanges</t>
  </si>
  <si>
    <t>Pipes</t>
  </si>
  <si>
    <t>Pipe fittings</t>
  </si>
  <si>
    <t>Inspection Window</t>
  </si>
  <si>
    <t xml:space="preserve">Other Fitting &amp; Fixtures </t>
  </si>
  <si>
    <t>Electrical &amp; Electronics Requirements</t>
  </si>
  <si>
    <t>Electrical Control panel</t>
  </si>
  <si>
    <t>Earthings</t>
  </si>
  <si>
    <t>BIO-CNG STORAGE</t>
  </si>
  <si>
    <t>Clearing Forwarding, Handling &amp; Freight Cost</t>
  </si>
  <si>
    <t xml:space="preserve">Annual Operational Spares </t>
  </si>
  <si>
    <t xml:space="preserve">Laboratory and Analytical Equipments </t>
  </si>
  <si>
    <t>OTHER IMPORTANT ITEMS</t>
  </si>
  <si>
    <t xml:space="preserve">Cash Margin </t>
  </si>
  <si>
    <t>Potable Water day Storage (1500 L)</t>
  </si>
  <si>
    <t xml:space="preserve">load point </t>
  </si>
  <si>
    <t>operatin time</t>
  </si>
  <si>
    <t>3X 15 hp screw pump</t>
  </si>
  <si>
    <t>grinder 5 hp X 2</t>
  </si>
  <si>
    <t>agitator mixing pit 15 hp x 2</t>
  </si>
  <si>
    <t>digestor agitator 5 x 15 hp</t>
  </si>
  <si>
    <t>digestor agitator 4 x 10 hp</t>
  </si>
  <si>
    <t>air blower for balloon 2 x 2 hp</t>
  </si>
  <si>
    <t xml:space="preserve">solid liquid seperator 7.5 hp </t>
  </si>
  <si>
    <t>filling compressor 100 hp</t>
  </si>
  <si>
    <t xml:space="preserve">shreder 60 hp x 2 </t>
  </si>
  <si>
    <t>utility load 10 kw</t>
  </si>
  <si>
    <t>Power KW</t>
  </si>
  <si>
    <t>purification plant load 100 hp</t>
  </si>
  <si>
    <t>Equipments/ Machinery For Digester Tank Equipments</t>
  </si>
  <si>
    <t>Equipments/ Machinery For Fertilizer Tank</t>
  </si>
  <si>
    <t>Equipments/ Machinery For Feed Mixing Tank</t>
  </si>
  <si>
    <t>N/A</t>
  </si>
  <si>
    <t>WATER CONSUMPTION</t>
  </si>
  <si>
    <t>Month</t>
  </si>
  <si>
    <t>Selling Price of Organic Fertilizer</t>
  </si>
  <si>
    <t>Annual Consumption of Water</t>
  </si>
  <si>
    <t xml:space="preserve">Annual Consumption of Cattle Dung as Received </t>
  </si>
  <si>
    <t>Solid Liquid Separator Platform</t>
  </si>
  <si>
    <t>Drawing, Design, Architectural, Work</t>
  </si>
  <si>
    <t xml:space="preserve">Maximum Quantity of bio-CNG Generated </t>
  </si>
  <si>
    <t>Maximum Quantity of Compost Produced</t>
  </si>
  <si>
    <t xml:space="preserve">Maximum Quantity of liquid fertilizer concentrate generated </t>
  </si>
  <si>
    <t xml:space="preserve">PROJECT SITE &amp; LAND DEVELOPMENT </t>
  </si>
  <si>
    <t xml:space="preserve">Weighbridge &amp; other equip. </t>
  </si>
  <si>
    <t>HP</t>
  </si>
  <si>
    <t>Side Entry Agitators For mixing and circulation</t>
  </si>
  <si>
    <t>Double Membrane Digester Roof/Balloon</t>
  </si>
  <si>
    <t>Lum</t>
  </si>
  <si>
    <t>Top Entry Agitator</t>
  </si>
  <si>
    <t>Roots Blower</t>
  </si>
  <si>
    <t>Vacuum Pump with FLP Motor</t>
  </si>
  <si>
    <t xml:space="preserve">BioCNG Surge tank </t>
  </si>
  <si>
    <t>BIOCNG Storge Tank</t>
  </si>
  <si>
    <t xml:space="preserve">High Pressure line upto Compressor to Cascade </t>
  </si>
  <si>
    <t>PLC Control panel, Power panel, Cable for all these from field to panel room</t>
  </si>
  <si>
    <t>Automation Elements</t>
  </si>
  <si>
    <t>Electrical Wiring, Bus Bar, Joints, Protectors,Eathing etc.</t>
  </si>
  <si>
    <t>Electrical distribution panel</t>
  </si>
  <si>
    <t xml:space="preserve">Grid Transformer/LBS/HTMC for Plant </t>
  </si>
  <si>
    <t>Other High pressure accessories</t>
  </si>
  <si>
    <t>Product Gas Analysers
Online gas Monitoring system with Analyser for H2S,CH4,O2,Co2
Online dew point meter (Optional)</t>
  </si>
  <si>
    <t xml:space="preserve">Pumping Equipments &amp; Grinder </t>
  </si>
  <si>
    <t xml:space="preserve">Screw Pump for Slurry transfer </t>
  </si>
  <si>
    <t xml:space="preserve">Grinder </t>
  </si>
  <si>
    <t xml:space="preserve">Piping &amp; Valves </t>
  </si>
  <si>
    <t>&lt;2%</t>
  </si>
  <si>
    <t xml:space="preserve">Daily Recycled Water </t>
  </si>
  <si>
    <t xml:space="preserve">Load of Biogas Up-gradation Section &amp; Recovery </t>
  </si>
  <si>
    <t xml:space="preserve">Load of Bio-CNG Compression Unit  </t>
  </si>
  <si>
    <t>KW.h</t>
  </si>
  <si>
    <t>Running Load</t>
  </si>
  <si>
    <t xml:space="preserve">Annual Consumption of Power </t>
  </si>
  <si>
    <t>KG</t>
  </si>
  <si>
    <t>Cost of Other Bio-degradable Dry(Agro) Biomass Poultry Droppings etc.</t>
  </si>
  <si>
    <t>Term Loan servicing for 7 Years based on EMI (capital repayment + interest @ 8.8% P.A.</t>
  </si>
  <si>
    <t xml:space="preserve">Civil Work </t>
  </si>
  <si>
    <t>Particulars</t>
  </si>
  <si>
    <t>Subtotal</t>
  </si>
  <si>
    <t>DSCR</t>
  </si>
  <si>
    <t>DSCR Calculation</t>
  </si>
  <si>
    <t>PAT (Proft After Tax)</t>
  </si>
  <si>
    <t>Opening Stock</t>
  </si>
  <si>
    <t>Add - Purchase During the year</t>
  </si>
  <si>
    <t>Less - Closing Stock</t>
  </si>
  <si>
    <t>COGS</t>
  </si>
  <si>
    <t>Trade Paybles</t>
  </si>
  <si>
    <t>(days)</t>
  </si>
  <si>
    <t>Trade Receivables</t>
  </si>
  <si>
    <t>Inventories</t>
  </si>
  <si>
    <t>Overheads</t>
  </si>
  <si>
    <t>Current Assets</t>
  </si>
  <si>
    <t>Current Liabilities</t>
  </si>
  <si>
    <t xml:space="preserve">Amt </t>
  </si>
  <si>
    <t>Total CoP</t>
  </si>
  <si>
    <t>WDV rate</t>
  </si>
  <si>
    <t>Civil Work / Construction</t>
  </si>
  <si>
    <t>Plant &amp; Machinery</t>
  </si>
  <si>
    <t>Tax Calulation</t>
  </si>
  <si>
    <t>Add : SLM</t>
  </si>
  <si>
    <t>Less : WDV</t>
  </si>
  <si>
    <t>Taxable Income / Proft</t>
  </si>
  <si>
    <t>Carry forward of loss</t>
  </si>
  <si>
    <t>Set off of loss</t>
  </si>
  <si>
    <t>Net taxable income</t>
  </si>
  <si>
    <t>Tax on Income @ 33.99%</t>
  </si>
  <si>
    <t>MAT</t>
  </si>
  <si>
    <t>Actual Tax</t>
  </si>
  <si>
    <t xml:space="preserve">Total SLM Depreciation </t>
  </si>
  <si>
    <t>Other Misc Fix Assets</t>
  </si>
  <si>
    <t>Other Fix Assets</t>
  </si>
  <si>
    <t xml:space="preserve">Total WDV Depreciation </t>
  </si>
  <si>
    <t>WDV of Other Fix Assets</t>
  </si>
  <si>
    <t xml:space="preserve">Less : Depreciation </t>
  </si>
  <si>
    <t>Gross Assets</t>
  </si>
  <si>
    <t>Preliminary Expense</t>
  </si>
  <si>
    <t>Total Gross Block</t>
  </si>
  <si>
    <t>CURRENT ASSETS</t>
  </si>
  <si>
    <t>Total Trade Paybles</t>
  </si>
  <si>
    <t>Secured Loan</t>
  </si>
  <si>
    <t>Reserve &amp; Surplus</t>
  </si>
  <si>
    <t>Trade Receivable</t>
  </si>
  <si>
    <t xml:space="preserve">Inventory </t>
  </si>
  <si>
    <t>PRELIMINARY EXPENSES W/off</t>
  </si>
  <si>
    <t xml:space="preserve">Capital Expenses </t>
  </si>
  <si>
    <t>Trade paybles</t>
  </si>
  <si>
    <t xml:space="preserve">Net Profit </t>
  </si>
  <si>
    <t xml:space="preserve">Decrease in Term Loan </t>
  </si>
  <si>
    <t>Opening Balance</t>
  </si>
  <si>
    <t>Prelm Exps w/off</t>
  </si>
  <si>
    <t>Diff</t>
  </si>
  <si>
    <t>CASH FLOW STATEMENT (INR Lakh)</t>
  </si>
  <si>
    <t>PROFORMA BALANCE  SHEET (INR Lakh)</t>
  </si>
  <si>
    <t>CIVIL WORK</t>
  </si>
  <si>
    <t>OTHER FIXED ASSETS</t>
  </si>
  <si>
    <t>NET BLOCK</t>
  </si>
  <si>
    <t>CASH &amp; BANK</t>
  </si>
  <si>
    <t>Cash accrual</t>
  </si>
  <si>
    <t>Net cash accrual</t>
  </si>
  <si>
    <t>CASH ACCRUAL</t>
  </si>
  <si>
    <t>CUMULATIVE CASH ACCRUAL</t>
  </si>
  <si>
    <t>Net Flow</t>
  </si>
  <si>
    <t>Subsidy Inflow</t>
  </si>
  <si>
    <t>Office boy</t>
  </si>
  <si>
    <t>Net WC</t>
  </si>
  <si>
    <t>Working Cap Margin</t>
  </si>
  <si>
    <t>NET PROFIT BEFORE INT. &amp; DEP.</t>
  </si>
  <si>
    <t>PROFIT BEFORE INT &amp; TAX</t>
  </si>
  <si>
    <t xml:space="preserve">TERM LOAN INTEREST </t>
  </si>
  <si>
    <t xml:space="preserve">CAPITAL EMPLOYED </t>
  </si>
  <si>
    <t xml:space="preserve">CAPITAL INVESTMENT </t>
  </si>
  <si>
    <t xml:space="preserve">NET WORTH </t>
  </si>
  <si>
    <t>SALES REVENUE</t>
  </si>
  <si>
    <t>RETURN ON SALE (%)</t>
  </si>
  <si>
    <t>RETURN ON CAPITAL (%)</t>
  </si>
  <si>
    <t>RETURN ON INVESTMENT</t>
  </si>
  <si>
    <t xml:space="preserve">RETURN ON NET WORTH </t>
  </si>
  <si>
    <t xml:space="preserve">AVERAGE DSCR </t>
  </si>
  <si>
    <t xml:space="preserve">FIXED ASSETS COVERAGE </t>
  </si>
  <si>
    <t>TERM LOAN</t>
  </si>
  <si>
    <t xml:space="preserve">BREAK EVEN POINT </t>
  </si>
  <si>
    <t>Profit / PBT</t>
  </si>
  <si>
    <t xml:space="preserve">PV RATIO </t>
  </si>
  <si>
    <t xml:space="preserve">BEP  Sales </t>
  </si>
  <si>
    <t xml:space="preserve">BEP% </t>
  </si>
  <si>
    <t xml:space="preserve">WORKING CAPITAL </t>
  </si>
  <si>
    <t>SLM Depreciation - Build</t>
  </si>
  <si>
    <t>SLM Depreciation - P&amp;M</t>
  </si>
  <si>
    <t>SLM Depreciation - Other Fix Asst</t>
  </si>
  <si>
    <t>Land Lease Registration</t>
  </si>
  <si>
    <t xml:space="preserve">Sales </t>
  </si>
  <si>
    <t>Raw Material</t>
  </si>
  <si>
    <t xml:space="preserve">Overheads </t>
  </si>
  <si>
    <t>Interest on Working Capital Loan</t>
  </si>
  <si>
    <t>CC Loan</t>
  </si>
  <si>
    <t>Total Loan</t>
  </si>
  <si>
    <t>Cost of Pddy/ Wheat Straw, /Nappier Grass/ Other Agro-Waste</t>
  </si>
  <si>
    <t>Annual Consumption of Pddy/ Wheat Straw, /Nappier Grass/ Other Agro-Waste</t>
  </si>
  <si>
    <t>GST on Bio-Gas plant</t>
  </si>
  <si>
    <t>WORKING CAPITAL INTEREST</t>
  </si>
  <si>
    <t>INTEREST COVERAGE RATIO</t>
  </si>
  <si>
    <t>CURRENT LIABILITIES</t>
  </si>
  <si>
    <t>CURRENT RATIO</t>
  </si>
  <si>
    <t>Increase in CC Limit</t>
  </si>
  <si>
    <t>CC Limit</t>
  </si>
  <si>
    <t xml:space="preserve">Loan Schedule </t>
  </si>
  <si>
    <t>FY</t>
  </si>
  <si>
    <t>Total</t>
  </si>
  <si>
    <t>Repayment</t>
  </si>
  <si>
    <t>Closing Principal o/s</t>
  </si>
  <si>
    <t>IDC</t>
  </si>
  <si>
    <t>TL Interest</t>
  </si>
  <si>
    <t>S N</t>
  </si>
  <si>
    <t>Loan Amount</t>
  </si>
  <si>
    <t>Rep Year</t>
  </si>
  <si>
    <t>Qrtrly Pay</t>
  </si>
  <si>
    <t>Op Bal</t>
  </si>
  <si>
    <t>Repay</t>
  </si>
  <si>
    <t>Cl Bal</t>
  </si>
  <si>
    <t>April - June</t>
  </si>
  <si>
    <t>July-Sep</t>
  </si>
  <si>
    <t>Oct-Dec</t>
  </si>
  <si>
    <t>Jan-March</t>
  </si>
  <si>
    <t>Working Capital</t>
  </si>
  <si>
    <t>RoI</t>
  </si>
  <si>
    <t>WC LIMIT</t>
  </si>
  <si>
    <t>Operational Month</t>
  </si>
  <si>
    <t>WC Interest</t>
  </si>
  <si>
    <t>Rs in Lakhs</t>
  </si>
  <si>
    <t>Bulleted</t>
  </si>
  <si>
    <t>%age p.a</t>
  </si>
  <si>
    <t>SECURED LOAN</t>
  </si>
  <si>
    <t>DEBT - EQUITY RATIO</t>
  </si>
  <si>
    <t>Increase in TL</t>
  </si>
  <si>
    <t>Valves</t>
  </si>
  <si>
    <t>Heating System Valves</t>
  </si>
  <si>
    <t>Tractor and trolley</t>
  </si>
  <si>
    <t>Tractor with loader</t>
  </si>
  <si>
    <t xml:space="preserve">Agitator </t>
  </si>
  <si>
    <t xml:space="preserve">Technical Room </t>
  </si>
  <si>
    <t xml:space="preserve">Feeding Pump </t>
  </si>
  <si>
    <t xml:space="preserve">Ladder </t>
  </si>
  <si>
    <t xml:space="preserve">Solid Liquid Seperator </t>
  </si>
  <si>
    <t>Gas Purification &amp; Compressor Unit</t>
  </si>
  <si>
    <t xml:space="preserve">Underground Water/ Slurry Storage </t>
  </si>
  <si>
    <t>Machinery Shed (Purification and Compressor)</t>
  </si>
  <si>
    <t>Fertilizer Shed with Packing</t>
  </si>
  <si>
    <t xml:space="preserve">Digested Slurry Tank </t>
  </si>
  <si>
    <t>CUMT</t>
  </si>
  <si>
    <t>S</t>
  </si>
  <si>
    <t>CNG Transport vehicle</t>
  </si>
  <si>
    <t>H2S Removal System</t>
  </si>
  <si>
    <t>Accessories</t>
  </si>
  <si>
    <t>NA</t>
  </si>
  <si>
    <t xml:space="preserve">BIOCNG Filling header </t>
  </si>
  <si>
    <t>CNG cylinder Filling Header</t>
  </si>
  <si>
    <t>Electrical ,Instrumentation &amp; Control Panel etc.</t>
  </si>
  <si>
    <t>Pressure &amp; temperature measuring system</t>
  </si>
  <si>
    <t>Flow measuring system</t>
  </si>
  <si>
    <t>Automatic valves for Biogas line and slurry line</t>
  </si>
  <si>
    <t xml:space="preserve">PH sensor ,Level sensor,Ammonia sensor
</t>
  </si>
  <si>
    <t>Methane leak detection and alarm system</t>
  </si>
  <si>
    <t>kg/Day</t>
  </si>
  <si>
    <t>Equivalent price of CNG</t>
  </si>
  <si>
    <t>May</t>
  </si>
  <si>
    <t>June</t>
  </si>
  <si>
    <t>July</t>
  </si>
  <si>
    <t>Aug</t>
  </si>
  <si>
    <t>Sept</t>
  </si>
  <si>
    <t>Oct</t>
  </si>
  <si>
    <t>Nov</t>
  </si>
  <si>
    <t>Dec</t>
  </si>
  <si>
    <t>Jan</t>
  </si>
  <si>
    <t>Feb</t>
  </si>
  <si>
    <t>Mar</t>
  </si>
  <si>
    <t>Disb</t>
  </si>
  <si>
    <t>Disbursement</t>
  </si>
  <si>
    <t>Opening Bal</t>
  </si>
  <si>
    <t>Interest During Construction (IDC)</t>
  </si>
  <si>
    <t>Working Capital Margin (WCM)</t>
  </si>
  <si>
    <t>WCM, IDC &amp; Cont</t>
  </si>
  <si>
    <t xml:space="preserve">Biomass Handling Facility </t>
  </si>
  <si>
    <t>15 X 2</t>
  </si>
  <si>
    <t xml:space="preserve">350 M3/hr Recovery System - 2 Tower Based System
</t>
  </si>
  <si>
    <t>350 m3 per hr Methane   Recovery System</t>
  </si>
  <si>
    <t>High pressure Fittings</t>
  </si>
  <si>
    <t xml:space="preserve">Quantity of Compost produced from dry Sludge </t>
  </si>
  <si>
    <t>Main Digester (Dia 32 Mtr.)</t>
  </si>
  <si>
    <t xml:space="preserve">Top Entry Type Agitator 15 HP/Variable RPM  </t>
  </si>
  <si>
    <t>Annual Input of chicken (poultry) manure</t>
  </si>
  <si>
    <t xml:space="preserve">40 Cylinder Cascade </t>
  </si>
  <si>
    <t xml:space="preserve">Shed for  Filling header with cylinder cascade </t>
  </si>
  <si>
    <t>Nos.</t>
  </si>
  <si>
    <t>Cables</t>
  </si>
  <si>
    <t xml:space="preserve">Both side PVC coated fabric/Balloon -2 Set </t>
  </si>
  <si>
    <t xml:space="preserve">Under Pressure protection &amp; over pressure Valve-2 Set </t>
  </si>
  <si>
    <t>CONTINGENCIES EXPENSES</t>
  </si>
  <si>
    <t>Constr</t>
  </si>
  <si>
    <t>12 M</t>
  </si>
  <si>
    <t>Particulars / YEAR</t>
  </si>
  <si>
    <t>12M</t>
  </si>
  <si>
    <t>Feed Mixing Tank (2 x300 CUM)</t>
  </si>
  <si>
    <t>700 m3/hr Catalyst Tower based H2S Removal system (H2S &lt;= 1500 ppm)</t>
  </si>
  <si>
    <t>700 M3 /hr Biogas Up gradation Plant  as per given scope of supply 4 Tower Based systems</t>
  </si>
  <si>
    <t>700 m3/hr Biogas Moisture removal system 
Heat exchanger with moisture separator</t>
  </si>
  <si>
    <t>700 m3/hr Four Towers (Composite bed) VPSA Unit for removal of H2O, CO2 with Surge vessel and inter connected piping and valves &amp; Instruments for safe operation of the plant</t>
  </si>
  <si>
    <t xml:space="preserve">Single memerane Balloon/Biogas Tank </t>
  </si>
  <si>
    <t xml:space="preserve">Daily Input of Sugar Cane Press Mud  </t>
  </si>
  <si>
    <t>Annual Input of Sugarcane Pressmud including Trasporation</t>
  </si>
  <si>
    <t>2022-23</t>
  </si>
  <si>
    <t>2023-24</t>
  </si>
  <si>
    <t>2024-25</t>
  </si>
  <si>
    <t>2025-26</t>
  </si>
  <si>
    <t>2026-27</t>
  </si>
  <si>
    <t>2027-28</t>
  </si>
  <si>
    <t>2028-29</t>
  </si>
  <si>
    <t>2029-30</t>
  </si>
  <si>
    <t>2030-31</t>
  </si>
  <si>
    <t>2031-32</t>
  </si>
  <si>
    <t>2032-33</t>
  </si>
  <si>
    <t>2033-34</t>
  </si>
  <si>
    <t>Assumptions</t>
  </si>
  <si>
    <t>1st Disbursement</t>
  </si>
  <si>
    <t>IDC Start &amp; End Month</t>
  </si>
  <si>
    <t>Commencement /Operation Start</t>
  </si>
  <si>
    <t>Moratorium Start &amp; End Month (only interst to pay)</t>
  </si>
  <si>
    <t>Repayment of Loan</t>
  </si>
  <si>
    <t>Repayment Start</t>
  </si>
  <si>
    <t>Repayment End</t>
  </si>
  <si>
    <t>Repayment Period</t>
  </si>
  <si>
    <t>Rate of Interest</t>
  </si>
  <si>
    <t>Subsidy  (To be Adjusted in Loan Account after Project is Commissioned)</t>
  </si>
  <si>
    <t>Repay (%)</t>
  </si>
  <si>
    <t>Feed Preparation Platform with Pump</t>
  </si>
  <si>
    <t>Technical room/panel room + Lab Area + Security Office</t>
  </si>
  <si>
    <t>Staff Room with Kitchen, Bathroom (3 BHK House)</t>
  </si>
  <si>
    <t>T</t>
  </si>
  <si>
    <t>Labours Rooms</t>
  </si>
  <si>
    <t>Lagoon</t>
  </si>
  <si>
    <t xml:space="preserve">Toilet Block + parcking </t>
  </si>
  <si>
    <t xml:space="preserve">350-400 m3/hr Biogas Booster compressors for Providing 250 bar pressure at outlet. </t>
  </si>
  <si>
    <t>Waste  and BioCNG handling Equipments</t>
  </si>
  <si>
    <t xml:space="preserve">350-400 m3/hr BioCNG Booster compressor </t>
  </si>
  <si>
    <t>2034-35</t>
  </si>
  <si>
    <t>Power</t>
  </si>
  <si>
    <t xml:space="preserve">Power </t>
  </si>
  <si>
    <t>2. Power</t>
  </si>
  <si>
    <t xml:space="preserve">3. Factory Overheads </t>
  </si>
  <si>
    <t xml:space="preserve">Equity </t>
  </si>
  <si>
    <t xml:space="preserve">Term liabilities payable within one year </t>
  </si>
  <si>
    <t>Equity</t>
  </si>
  <si>
    <t>2 Lease Rental</t>
  </si>
  <si>
    <t>Apr</t>
  </si>
  <si>
    <t xml:space="preserve">Annual Consumption of Cattle Dung including Trasporation </t>
  </si>
  <si>
    <t>INR/KG</t>
  </si>
  <si>
    <t>BioCNG Transportation Cost</t>
  </si>
  <si>
    <t xml:space="preserve">Daily Volume of Biogas Generation as per Plant Design Capcity </t>
  </si>
  <si>
    <t>Daily Volume of Biogas Generation (Design Capacity x 90 %)</t>
  </si>
  <si>
    <t xml:space="preserve">Bio-CNG Plant Design Capacity </t>
  </si>
  <si>
    <t>Biogas Plant Generation  (Design Capcity x 90 %)</t>
  </si>
  <si>
    <t>3. BioCNG Transportation Cost</t>
  </si>
  <si>
    <t>4. Preliminary Expenses Written off</t>
  </si>
  <si>
    <t>Promoters' Margin</t>
  </si>
  <si>
    <t xml:space="preserve">POWER &amp; WATER REQUIREMENT </t>
  </si>
  <si>
    <t xml:space="preserve">FACTORY OVERHEAD </t>
  </si>
  <si>
    <t>AMOUNT (INR)</t>
  </si>
  <si>
    <t xml:space="preserve">ELECTRICITY CONNECTION </t>
  </si>
  <si>
    <t xml:space="preserve">Lum Sum </t>
  </si>
  <si>
    <t>Land Lease (Rental)</t>
  </si>
  <si>
    <t>Loan Repayent</t>
  </si>
  <si>
    <t>ToL / TNW</t>
  </si>
  <si>
    <t>ToL</t>
  </si>
  <si>
    <t>TNW</t>
  </si>
  <si>
    <t>Less : Depreciation</t>
  </si>
  <si>
    <t xml:space="preserve">WDV of Electricity connection   </t>
  </si>
  <si>
    <t>Electricity connection</t>
  </si>
  <si>
    <t>Electricity Connection</t>
  </si>
  <si>
    <t>Electricty Connection</t>
  </si>
  <si>
    <t>Electricity connection (Fix Assets)</t>
  </si>
  <si>
    <t>PRFOTIBILITY ESTIMATES  (350 days)</t>
  </si>
  <si>
    <t>COD</t>
  </si>
  <si>
    <t>IDC Period (construction period)</t>
  </si>
  <si>
    <t>Moratorium Period after COD</t>
  </si>
  <si>
    <t>EBIT</t>
  </si>
  <si>
    <t>Less: Taxes</t>
  </si>
  <si>
    <t>Add: Depreciation &amp; Amortisation</t>
  </si>
  <si>
    <t>Increase/(Decrease) in working capital</t>
  </si>
  <si>
    <t>Capex</t>
  </si>
  <si>
    <t>Free Cash Flow to Firm (FCFF)</t>
  </si>
  <si>
    <t>Project IRR (Post-tax)</t>
  </si>
  <si>
    <t>INR in lacs</t>
  </si>
  <si>
    <t>WACC Calculation</t>
  </si>
  <si>
    <t>Incremental Cost of Debt</t>
  </si>
  <si>
    <t>Cost of Equity</t>
  </si>
  <si>
    <t>Proportion of Debt</t>
  </si>
  <si>
    <t>Tax</t>
  </si>
  <si>
    <t>WACC</t>
  </si>
  <si>
    <t>Discounting factor</t>
  </si>
  <si>
    <t xml:space="preserve">Project IRR </t>
  </si>
  <si>
    <t>Break Even</t>
  </si>
  <si>
    <t>Sales</t>
  </si>
  <si>
    <t>Variable Expenses</t>
  </si>
  <si>
    <t>Contribution</t>
  </si>
  <si>
    <t>Fixed Expenses</t>
  </si>
  <si>
    <t>PV RATIO (Contr / Sales)</t>
  </si>
  <si>
    <t>BEP  Sales (Fix Exps / Contr * Sales)</t>
  </si>
  <si>
    <t>BEP% (BEP Sales / sales)</t>
  </si>
  <si>
    <t>Boundary (Total Length 700Mtr.)</t>
  </si>
  <si>
    <t>Internal Road 6 + 2 (Open Space) Mtr Wide) Length-625 Mtr</t>
  </si>
  <si>
    <t xml:space="preserve">Fire Fitting Equipment </t>
  </si>
  <si>
    <t xml:space="preserve">Liquid Fertiliser Filling System </t>
  </si>
  <si>
    <t>Other professional fees of project cost</t>
  </si>
  <si>
    <t xml:space="preserve">Loan processing fee of loan </t>
  </si>
  <si>
    <t>DG Set FOR Backup Power 10 kVA</t>
  </si>
  <si>
    <t xml:space="preserve">Electricity Power for Bio-CNG factory </t>
  </si>
  <si>
    <t xml:space="preserve">Misc. Factory Expenses </t>
  </si>
  <si>
    <t>Office Assistant -Marketing</t>
  </si>
  <si>
    <t>2035-36</t>
  </si>
  <si>
    <t xml:space="preserve"> </t>
  </si>
  <si>
    <t xml:space="preserve">Less : Taxation </t>
  </si>
  <si>
    <t>AVERAGE DSCR</t>
  </si>
  <si>
    <t>DEBT</t>
  </si>
  <si>
    <t>EQUITY</t>
  </si>
  <si>
    <t>85-90</t>
  </si>
  <si>
    <t>S. No.</t>
  </si>
  <si>
    <t>Net Production of Bio-CNG with 96% CH4</t>
  </si>
  <si>
    <t>Particulars (Rs in lacs)</t>
  </si>
  <si>
    <t>DEBT REPAYMENT SCHEDULE</t>
  </si>
  <si>
    <t>FY  Rs in Lakhs</t>
  </si>
  <si>
    <t>Ratio Analysis</t>
  </si>
  <si>
    <t>Particulars (Rs in Lakh)</t>
  </si>
  <si>
    <t>YEAR (Rs in Lakhs)</t>
  </si>
  <si>
    <t xml:space="preserve">YEAR/ASSET  HEAD </t>
  </si>
  <si>
    <t>DEPRECIATION DSCHEDULE AS PER INCOME TAX ACT  (Lakh INR)</t>
  </si>
  <si>
    <t xml:space="preserve">YEAR/ASSET HEAD </t>
  </si>
  <si>
    <t>Depreciation+ Preliminary Exp. Written off</t>
  </si>
  <si>
    <t>Interest on term loan</t>
  </si>
  <si>
    <t>Interest on CC</t>
  </si>
  <si>
    <t>Discount rate</t>
  </si>
  <si>
    <t>Expected growth rate(Terminal)</t>
  </si>
  <si>
    <t>Period (Months)</t>
  </si>
  <si>
    <t>Discount period</t>
  </si>
  <si>
    <t>Discount Factor</t>
  </si>
  <si>
    <t>PV of FCF</t>
  </si>
  <si>
    <t>Terminal Value</t>
  </si>
  <si>
    <t>PV of Terminal Value</t>
  </si>
  <si>
    <t>PV of FCF+ PV of Terminal Value</t>
  </si>
  <si>
    <t>No. Of Years</t>
  </si>
  <si>
    <t>Cash Accrual</t>
  </si>
  <si>
    <t>Accumulated Cash Accrual</t>
  </si>
  <si>
    <t>TPC</t>
  </si>
  <si>
    <t>Payback Period</t>
  </si>
  <si>
    <t>Years</t>
  </si>
  <si>
    <t>EBITDA</t>
  </si>
  <si>
    <t xml:space="preserve">Revenue </t>
  </si>
  <si>
    <t>EBITDA Margin %</t>
  </si>
  <si>
    <t>EBIT Margin %</t>
  </si>
  <si>
    <t>PAT Margin %</t>
  </si>
  <si>
    <t>Revenue Growth Rate %</t>
  </si>
  <si>
    <t xml:space="preserve">Average </t>
  </si>
  <si>
    <t>Khasra Number 917, First Floor Ahmedpur Kadach Railway Road, Jwalapur, Haridwar, Uttarakhand, 249407</t>
  </si>
  <si>
    <t xml:space="preserve">5,000 Kg per day Bio CNG generating plant along with 30 Ton/Day of solid organic fertilizer, and 90,000 Litre/day of liquid fertilizer.  </t>
  </si>
  <si>
    <t>KHASRA NO 740, VILLAGE TUGALPUR, PARAGNA GORDHANPUR</t>
  </si>
  <si>
    <t>KHASRA NO 740, Village - Tughalpur, Paragna Goverdhanpur, Tehsil - Laksar, District-Haridwar, Uttarakhand -247663</t>
  </si>
  <si>
    <t>Bio CNG generating plant along with solid and liquid fertilizers</t>
  </si>
  <si>
    <t>Renewable Energy</t>
  </si>
  <si>
    <t>Bio CNG, Solid organic fertilizer and liquid fertilizer</t>
  </si>
  <si>
    <t>Total project cost estimations</t>
  </si>
  <si>
    <t>Land assessment</t>
  </si>
  <si>
    <t>Area</t>
  </si>
  <si>
    <t>Sq. Mtr.</t>
  </si>
  <si>
    <t>DPR</t>
  </si>
  <si>
    <t>Sale Deed</t>
  </si>
  <si>
    <t>Capcity</t>
  </si>
  <si>
    <t>tpd</t>
  </si>
  <si>
    <t>References</t>
  </si>
  <si>
    <t>Required Area</t>
  </si>
  <si>
    <t>Capacity</t>
  </si>
  <si>
    <t>Maximum DSCR</t>
  </si>
  <si>
    <t>compressed biogas plant</t>
  </si>
  <si>
    <t>Khasra No. 740, Village Tughalpur, Paragna Goverdhanpur, Tehsil - Laksar, District-Haridwar, Uttarakhand -247663</t>
  </si>
  <si>
    <t>5,000 Kg (7000 M3)/ Day of Bio-CNG</t>
  </si>
  <si>
    <t>m3</t>
  </si>
  <si>
    <t>https://www.downtoearth.org.in/blog/energy/budget-kick-keep-these-factors-in-mind-while-setting-up-a-bio-cng-plant-87471#:~:text=Feedstock%20storage,compartments%20and%20other%20auxiliary%20machinery.</t>
  </si>
  <si>
    <t>30 Ton/day of fermented solid organic fertilizer &amp; 90 KL/ Day of fermented Liquid Fertilizer which will be sold as value added by products.</t>
  </si>
  <si>
    <t>Mr. VANSHAJ GUPTA and Mr. RISHABH GUPTA</t>
  </si>
  <si>
    <t>fermented solid organic fertilizer</t>
  </si>
  <si>
    <t>The CSTR Mesophilic bio-methanation technology</t>
  </si>
  <si>
    <t>80% is mechanical and 20% is manual.</t>
  </si>
  <si>
    <t>JOG WASTE TO ENERGY PVT LTD , Ahmadabad based solution provider,</t>
  </si>
  <si>
    <t>As per the sale deed shared by the client or company, promoters have purchased 2.2540 hectares (22,540 sq. m.) of land at Khata Number 193, Khasra No. 740, Village Tughalpur, Paragna Goverdhanpur, Tehsil-LLaksar, District Haridwar, Uttarakhand, -247663. This land has been leased out by the promoters in the name of the company for 29 years as per the shared lease deed. A change of land use (CLU) certificate has been obtained by the company as of August 23, 2023, from the respective authority.</t>
  </si>
  <si>
    <t>The plant needs about 1, 00,000 Litre/ day of water and 500 Kwh of power to meet process energy requirement.</t>
  </si>
  <si>
    <t>have already secured a purchase agreement/ LOI (Ref No.)IndianOil/SATAT/01/3646., DATE: 02.01.2024</t>
  </si>
  <si>
    <t>under SATAT initiative to promote Compressed Bio-Gas as an alternative, green transport fuel.</t>
  </si>
  <si>
    <t>Mr. VANSHAJ GUPTA</t>
  </si>
  <si>
    <t>Memorandum of Association</t>
  </si>
  <si>
    <t>To carry on the business to produce, market, sell, supply, distribute and dealing in all kinds of bio-gas, Bio-CNG likes or containing a mixture of H2S, CH4, hydrocarbon, and CO2 from agricultural residue, Ethanol and manure as well as dealing its byproducts like biomass pellets and organic fertilizers.</t>
  </si>
  <si>
    <t>M/s Naruma Industries Pvt Ltd</t>
  </si>
  <si>
    <t>The Corporate Identification Number (CIN) of the company is U27101DL2021PTC391084. The registered office is Flat No-19, G/F, Block -D-1, Vasant Kunj, Pkt-E-2, Near Sultangarhi CNG Pump, Delhi-110070. INDIA. The company has Two directors names Mr. Rama Nand Modi (DIN: 09431445) and Mr. Rakesh Kumar Modi (DIN: 09431446). The company is registered as MSME shown below:</t>
  </si>
  <si>
    <t>Mr. Vanshaj Gupta and Mr. Rishabh Gupta are the promoters and Directors of Naruma Industries Private Limited.</t>
  </si>
  <si>
    <t xml:space="preserve">The promoters of the company are Mr. VANSHAJ GUPTA (DIN: 09626875) and Mr. RISHABH GUPTA (DIN: 09626874) are also the Directors of the company and are the major shareholders of the company who are holding more than 50%-50% share of the company in total.       </t>
  </si>
  <si>
    <t>UDYAM REGISTRATION NUMBER UDYAM-UK-06-0035781</t>
  </si>
  <si>
    <t>In this company, promoters has proposed Ferro Alloys manufacturing unit to manufacture Ferro Silicon, Silico Manganese, Ferro Chrome, Ferro Manganese, Pig Iron and Calcium Carbide etc.</t>
  </si>
  <si>
    <t>As per Memorandum of Association shared by the client/company, Both the Promoters/Directors is having 50-50% shareholding in the company as listed in the table below:</t>
  </si>
  <si>
    <t>Currently Mr. Vanshaj Gupta and Mr. Rishabh Gupta are looking after their Family business, which is Gupta Ji Jewellers and Mahadev Mine Minerals</t>
  </si>
  <si>
    <t>H.NO – 46, Vishnu Garden, Gandhi Ashram, Kankhal, Haridwar, Haridwar, Uttarakhand -249408</t>
  </si>
  <si>
    <t>Mr. Vanshaj Gupta is an alumnus of Institute of Hotel Management Aurangabad (Taj Group). He started his early career working in Taj Hotels Resorts and Palaces and later on in Marriott Hotels and Resorts.</t>
  </si>
  <si>
    <t>Mr. Rishabh Gupta is an alumnus of Amity University Noida and EMDI Institute of Media Communication India. He started his early career as a freelancer and has done most of the successful events with PERCEPT Media, VIACOM, Lakshya Media, Tiger Productions, Mudrush event, FIFA India, Indian Premier League, Youtube fan fest and many more.</t>
  </si>
  <si>
    <t>Mr. Vanshaj Gupta and Mr. Rishabh Gupta are also the Co-owners of Gupta Ji Jewellers, Haridwar. They have the biggest jewellery store in the city and they deal in the production and assortment of Silver, Gemstone, Diamond and Gold Jewellery.</t>
  </si>
  <si>
    <t xml:space="preserve">As a young entrepreneur, Mr. Vanshaj Gupta and Mr. Rishabh Gupta proposed the plan to enter into the </t>
  </si>
  <si>
    <t>Ministry of Petroleum And Natural Gas</t>
  </si>
  <si>
    <t>as per the lease deed provided to us by the company.</t>
  </si>
  <si>
    <t>Sugar mill is approximately 14 Km away from the site  Nearest Sugar Mill is Laksar sugar mill  Muzzafarnagar Sugar Mill ( Approximately 50-55km away )  Uttam sugar mill ( approximately 45km away )</t>
  </si>
  <si>
    <t>R. B. N. S. Sugar Mill Laksar, P2WH+WHW, Shekhpuri, Laksar, Uttarakhand 247663</t>
  </si>
  <si>
    <t>Rohana Sugar Mill, Shop No- 12, Amrit Inter College G.T Road, Rohana Mill Meerut, Uttar Pradesh 251202</t>
  </si>
  <si>
    <t>Uttam Sugar Mill Manglore, Lahboli - Mandawli Road, Lahvauli, Mundyaki, Uttarakhand 247656</t>
  </si>
  <si>
    <t>https://www.google.com/maps/place/29%C2%B037'25.6%22N+77%C2%B059'36.7%22E/@29.6228603,77.9793391,1059m/data=!3m1!1e3!4m4!3m3!8m2!3d29.6237778!4d77.9935278?entry=ttu</t>
  </si>
  <si>
    <t>Connectivity Details of the Proposed Location</t>
  </si>
  <si>
    <t>Raisi, Netwala Saidabad, Uttarakhand 247671</t>
  </si>
  <si>
    <t>Laksar Junction, MDR 6W, Laksar, Uttarakhand 247663</t>
  </si>
  <si>
    <t xml:space="preserve">Project location is 29°37'25.6" North and 77°59'36.7" East in SIDCO Industrial Area Centre, Samba, Jammu &amp; Kashmir, Pahse-1 and the location as per the Google map has been attached below: </t>
  </si>
  <si>
    <t>Sub Divisional Magistrate</t>
  </si>
  <si>
    <t>Bio-CNG plant needs a total of about 22,267 M2 land area for Project implementation</t>
  </si>
  <si>
    <t xml:space="preserve">During the site visit I found that the approach road which connects to the main road is narrow/ Kuchcha Road of 15ft wide. However customer informed me that they have applied one letter to GRAM PRADHAN regarding the road widening , and the road will get wide soon. </t>
  </si>
  <si>
    <t>r</t>
  </si>
  <si>
    <t>pie/4*d^2*h</t>
  </si>
  <si>
    <t>Biogas to CNG plant needs a total of about 22,267 M2 land area for Project implementation, 600 M2 Covered Shed for Fertilizer Processing and storage in off season. 3663 M2of open area for locating the hydrolysis tanks, biogas digester tank, and sludge separator filter, besides connecting roads. About 930 M2of built up area is required to house the technical buildings including MPSA separation plant and Bio CNG Compressor. About 12,330 M2 is reserved for Green Belt and future expansion.</t>
  </si>
  <si>
    <t>As per specifications, material brand, cost may change.</t>
  </si>
  <si>
    <t>"No Objection Certificate" for groundwater extraction</t>
  </si>
  <si>
    <t>Supply of AC power 415 V, 50 Hz, 3P &amp; N required for Total plant running, for consumption of different components of the unit as bellow:</t>
  </si>
  <si>
    <t>Biogas is commercially produced by a process called anaerobic digestion. The process involves breakdown of organic waste materials such as animal waste, food waste and industrial sludge to produce biogas and digestate. The latter is further treated to be used as a fertilizer. Anaerobic digestion process is carried out in a sealed, oxygen-free tank, also called an anaerobic digester. The biogas produced is subjected to scrubbing, upgradation and compression processes to produce Bio-CNG (CBG).</t>
  </si>
  <si>
    <t>Bio-CNG or bio-compressed natural gas, also known as sustainable natural gas or biomethane, is a biogas which has been upgraded to a quality similar to fossil natural gas and having a methane concentration of 90% or greater. As the gas is derived from natural and renewable sources, it is also termed renewable natural gas (RNG).</t>
  </si>
  <si>
    <t>worker</t>
  </si>
  <si>
    <t>(Ref No. - IndianOil/SATAT/01/3646., Date: 02.01.2024)</t>
  </si>
  <si>
    <t>Additionally, in a significant move towards promoting sustainable agriculture, the central government announced comprehensive guidelines to offer market development
assistance (MDA) at Rs 1500/MT (1.5 RS / Kg) for fermented organic manure (FOM) or bio-digestate derived from compressed biogas (CBG) facilities. The government aims to bolster the production and use of organic fertilizers like FOM; liquid fermented organic manure (LFOM), and enriched phosphate rich organic manure (PROM). These
fertilizers emerge as by-products from biogas (BG) and compressed biogas (CBG) plants.</t>
  </si>
  <si>
    <t>https://pib.gov.in/PressReleasePage.aspx?PRID=1935893</t>
  </si>
  <si>
    <t>Tughalpur, Paragna Goverdhanpur, Tehsil - Laksar in Haridwar district is well known by sugar processing industries from sugarcane. Haridwar is surrounded by top 10 -12
biggest sugarcane industries around 35 to 40 km range area. The present methods of for disposal of press mud are not economically suitable and pollute the environment. Around 800-1000 tons per day of sugarcane press mud is being disposed, as it contains appreciable proportion of biodegradable organic matter, it has very good potential for production of biogas. As per the past records of their yield, we are assured of getting the required amount of raw material as required for the plant. Daily 10-15 tons of Cattle dung and 115-120 ton Sugarcane press- will be fed to the Plant. The proposed scheme will ensure a stable microbial reaction and a smooth functioning of the digester performance. Quantity of the addition will be adjusted as per the availability, TS content, and storage requirements of the project.</t>
  </si>
  <si>
    <t>https://gobardhan.co.in/</t>
  </si>
  <si>
    <t>Demand for alternative fuel vehicles in India is on the upswing and clearly seen in the increasing sales of CNG-powered vehicles. Given the favourable price arbitrage of CNG versus petrol and diesel, retail sales of CNG vehicles, across four sub-segments, crossed the 650,000-unit mark for the first time in a fiscal in FY2023. Cumulative sales of 660,153 units (see data table below) translate into strong double-digit YoY growth of 46% (FY2022: 451,552 units). (Ref.: https://www.autocarpro.in/analysis-sales/cng-vehicle-sales-surge-by-46-to-over-650000-units-in-fy2023-114656)</t>
  </si>
  <si>
    <t>The government has increasingly focused on the production of compressed biogas in India. It is currently aiming to set up 5,000 CBG plants by FY25 under SATAT.</t>
  </si>
  <si>
    <t>The economics of a CBG plant can vary depending on various factors such as the scale of the plant , technology used, feedstock cost , government incentives and market demand for CBG.</t>
  </si>
  <si>
    <t xml:space="preserve">As per the sale deed executed on 29th June 2022, promoters of the Company has purchased a 2.2540 hectare (22,540 Sq. Mt.) land at Khasra No. 740, Village Tughalpur, Paragna Goverdhanpur, Tehsil-Laksar, District Haridwar, Uttarakhand 247663 and this land has been leased out by the promoters in the name of M/s Naruma Industries Private Limited for a period of 29 years on an annual lease rental of INR 12,000/annum (excluding all other charges) through an executed lease deed on 23rd August 2022. </t>
  </si>
  <si>
    <t xml:space="preserve">Change of land use (CLU) has been approved by, for setting up the proposed Bio-CNG plant. </t>
  </si>
  <si>
    <t>With Reference to DPR, study we found that the electricity connection charge for 800 Kva is mentioned 50 Lacs. The Electricity Distribution Division laksar, Haridwar will give an electricity connection line form his nearest substation to   the Naruma Industries Project Site. 
The electrify connection cost 50lacs charge in DPR is included with connection and fix charge , excavation, pipeline laying with cable, and installation and complete commissioning. 
Please also note that as per discussion with M/s. Naruma Industries Pvt Ltd has also applied a electricity connection cost estimate (copy of letter attached) to the Electricity Distribution Division Laksar, Haridwar. Naruma Industries pvt ltd will also submit the cost estimate to their bank as they receive from Electricity distribution division laksar, Haridwar.</t>
  </si>
  <si>
    <t>Reg. No. : 05AAICN2846A1ZT</t>
  </si>
  <si>
    <t>Certificate No:02-7-CAFIP-6921183087298</t>
  </si>
  <si>
    <t>kg/m3</t>
  </si>
  <si>
    <t>kg</t>
  </si>
  <si>
    <t>after leakage</t>
  </si>
  <si>
    <t>5,000 kg</t>
  </si>
  <si>
    <t xml:space="preserve">SENSITIVITY ANALYSIS OF DSCR: </t>
  </si>
  <si>
    <t>Payback Perid</t>
  </si>
  <si>
    <t>The Bio-CNG produced has to be sold to Indian Oil Corporation Ltd stations situated within 25-75 km, for which the company have already secured a purchase agreement/LOI (Ref No. - Indian Oil/SATAT/01/3646, Date: 2nd Jan 2024).</t>
  </si>
  <si>
    <t>The current selling rate of CNG at OMC outlets in Haridwar, Uttarakhand is around INR 96.5/kg. (https://hngpl.in/2023/07/14/cng-retail-price-w-e-f-01-07-2023-00-00hrs-retailselling- price-%e2%82%b984-20-kg/), however the procurement price of Bio-CNG from Indian Oil as per the SATAT Scheme is around @INR 74.29 per kg without GST.</t>
  </si>
  <si>
    <t>(Ref: https://pib.gov.in/PressReleasePage.aspx?PRID=1935893).</t>
  </si>
  <si>
    <t>The selling price of Bio-CNG is considered on conservative side as INR 72.00/kg. The selling rate of fermented organic solid and liquid fertilizers is assumed as INR 3.00 per kg and INR 0.10 per litre respectively on conservative side.</t>
  </si>
  <si>
    <t>As per the data/information provided by the client, Company has submitted an application to the Electricity Distribution Division (EDD), Laksar, Haridwar for sanctioning a required power connection of 800 Kwh, the cost of electricity infrastructure will be borne by the company for which a tentative estimated cost would be ~INR 50.00 lakhs including connection &amp; fix charges, excavation, pipeline laying with cable and installation.</t>
  </si>
  <si>
    <t>The estimated cost of the Building &amp; Civil works is ~INR 812.00 lakhs including applicable 12% GST. As per the Cost vetting report shared by the client, the estimated cost has been verified by AR. Amit Kumar Chauhan (Ref: Regd. Valuer F-20584, Panel Valuer (L.I.C) – DDV0017 Regd. No. -4/2023-14). However, as a TEV consultant, the estimated Building &amp; Civil works cost has been verified independently by us, which we found in the permissible range.</t>
  </si>
  <si>
    <t>Thus the sugarcane press mud is generated sugar mill and made available to the project @ 600/ Ton. Cattle dung is collected from various dairy farms/ nearby villages @ INR 750/MT and used as inoculants.</t>
  </si>
  <si>
    <t xml:space="preserve"> 29 years on an annual lease rental of INR 12,000/annum (excluding all other charges) through an executed lease deed on 23rd August 2022</t>
  </si>
  <si>
    <t xml:space="preserve">Company is eligible for a subsidy of INR 400.00 lakhs Under Waste to Energy Programme of Ministry of New and Renewable Energy, which will be adjusted in loan account after the project is commissioned.
The project is proposed to be funded through a term loan of INR 22.00 crore and promoter’s margin of INR 10.00 crores. Further, as per the working capital assessment, the working capital will required ~60 lakhs, which will be funded through WC loan of INR 50.00 lakhs and promoters margin of INR 16.67 lakhs (~27% of required WC in the first full operational year).
</t>
  </si>
  <si>
    <t>CORPORATE BANKING BRANCH, PNB DEHRADUN - 248001</t>
  </si>
  <si>
    <t>Unsecured Loans</t>
  </si>
  <si>
    <t>Increase in Equity / Share Capital/USL</t>
  </si>
  <si>
    <t>TOL</t>
  </si>
  <si>
    <t>TOL/TNW</t>
  </si>
  <si>
    <t>Current Ratio</t>
  </si>
  <si>
    <t>Total Current Assets</t>
  </si>
  <si>
    <t>Total Current Liabilities</t>
  </si>
  <si>
    <t>NWC</t>
  </si>
  <si>
    <t>Long Term Sources</t>
  </si>
  <si>
    <t>Long Term Uses</t>
  </si>
  <si>
    <t>ROE</t>
  </si>
  <si>
    <t>Moratorium Ends</t>
  </si>
  <si>
    <t>Apr.'2024 to Mar'2025</t>
  </si>
  <si>
    <t>12 Months</t>
  </si>
  <si>
    <t>Apr.'2025</t>
  </si>
  <si>
    <t>6 Months</t>
  </si>
  <si>
    <t>Apr.'2025 to Sept.'2025</t>
  </si>
  <si>
    <t>DEPRECIATION DSCHEDULE AS PER COMPANY Act 2013 (Lakh INR)</t>
  </si>
  <si>
    <t>https://kunaldesai.blog/nifty-50-cagr-last-20-years/</t>
  </si>
  <si>
    <t>Depreciation Rates and Provisions as per Companies Act 2013</t>
  </si>
  <si>
    <t>Depreciation Rates and Provisions as per Companies Act 2014</t>
  </si>
  <si>
    <t>Depreciation Rates and Provisions as per Companies Act 2015</t>
  </si>
  <si>
    <t>Depreciation Rates and Provisions as per Companies Act 2016</t>
  </si>
  <si>
    <t>SLM Rate</t>
  </si>
  <si>
    <t>NOPAT</t>
  </si>
  <si>
    <t>Nifty 50 Returns (CAGR) in the Last 20 Years + 1% Company Risk Premium)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</si>
</sst>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_(* #,##0.00_);_(* \(#,##0.00\);_(* &quot;-&quot;??_);_(@_)"/>
    <numFmt numFmtId="165" formatCode="0.0"/>
    <numFmt numFmtId="166" formatCode="&quot;₹&quot;\ #,##0.00"/>
    <numFmt numFmtId="167" formatCode="&quot;₹&quot;\ #,##0"/>
    <numFmt numFmtId="168" formatCode="[$₹-439]#,##0"/>
    <numFmt numFmtId="169" formatCode="0;[Red]0"/>
    <numFmt numFmtId="170" formatCode="0_);\(0\)"/>
    <numFmt numFmtId="171" formatCode="_(* #,##0_);_(* \(#,##0\);_(* &quot;-&quot;??_);_(@_)"/>
    <numFmt numFmtId="172" formatCode="0.0%"/>
    <numFmt numFmtId="173" formatCode="&quot;₹&quot;#,##0.00"/>
    <numFmt numFmtId="174" formatCode="0.00_);\(0.00\)"/>
    <numFmt numFmtId="175" formatCode="_ * #,##0_ ;_ * \-#,##0_ ;_ * &quot;-&quot;??_ ;_ @_ "/>
    <numFmt numFmtId="176" formatCode="#,##0.0"/>
    <numFmt numFmtId="177" formatCode="0.00;[Red]0.00"/>
    <numFmt numFmtId="178" formatCode="&quot;FY&quot;\ 0"/>
    <numFmt numFmtId="179" formatCode="0.0_);\(0.0\)"/>
    <numFmt numFmtId="180" formatCode="0\ "/>
  </numFmts>
  <fonts count="33" x14ac:knownFonts="1">
    <font>
      <sz val="11"/>
      <color theme="1"/>
      <name val="Calibri"/>
      <family val="2"/>
      <scheme val="minor"/>
    </font>
    <font>
      <sz val="11"/>
      <color theme="1"/>
      <name val="Times New Roman"/>
      <family val="1"/>
    </font>
    <font>
      <b/>
      <sz val="11"/>
      <color theme="1"/>
      <name val="Calibri"/>
      <family val="2"/>
      <scheme val="minor"/>
    </font>
    <font>
      <sz val="12"/>
      <color theme="1"/>
      <name val="Times New Roman"/>
      <family val="1"/>
    </font>
    <font>
      <sz val="12"/>
      <color theme="1"/>
      <name val="Calibri"/>
      <family val="2"/>
      <scheme val="minor"/>
    </font>
    <font>
      <b/>
      <sz val="12"/>
      <color theme="1"/>
      <name val="Times New Roman"/>
      <family val="1"/>
    </font>
    <font>
      <b/>
      <sz val="12"/>
      <color theme="1"/>
      <name val="Calibri"/>
      <family val="2"/>
      <scheme val="minor"/>
    </font>
    <font>
      <b/>
      <sz val="14"/>
      <color theme="1"/>
      <name val="Times New Roman"/>
      <family val="1"/>
    </font>
    <font>
      <b/>
      <sz val="11"/>
      <color theme="1"/>
      <name val="Times New Roman"/>
      <family val="1"/>
    </font>
    <font>
      <sz val="12"/>
      <color rgb="FF000000"/>
      <name val="Times New Roman"/>
      <family val="1"/>
    </font>
    <font>
      <sz val="11"/>
      <color theme="1"/>
      <name val="Calibri"/>
      <family val="2"/>
      <scheme val="minor"/>
    </font>
    <font>
      <sz val="10"/>
      <name val="Arial"/>
      <family val="2"/>
    </font>
    <font>
      <b/>
      <sz val="10"/>
      <name val="Arial"/>
      <family val="2"/>
    </font>
    <font>
      <sz val="10"/>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1"/>
      <color theme="0"/>
      <name val="Calibri"/>
      <family val="2"/>
    </font>
    <font>
      <b/>
      <sz val="12"/>
      <color rgb="FFC00000"/>
      <name val="Calibri"/>
      <family val="2"/>
    </font>
    <font>
      <b/>
      <sz val="11"/>
      <name val="Calibri"/>
      <family val="2"/>
    </font>
    <font>
      <b/>
      <sz val="11"/>
      <color rgb="FFC00000"/>
      <name val="Calibri"/>
      <family val="2"/>
    </font>
    <font>
      <b/>
      <sz val="11"/>
      <color rgb="FFFF0000"/>
      <name val="Calibri"/>
      <family val="2"/>
    </font>
    <font>
      <sz val="11"/>
      <color theme="0"/>
      <name val="Calibri"/>
      <family val="2"/>
    </font>
    <font>
      <sz val="11"/>
      <name val="Calibri"/>
      <family val="2"/>
    </font>
    <font>
      <sz val="11"/>
      <color rgb="FFC00000"/>
      <name val="Calibri"/>
      <family val="2"/>
    </font>
    <font>
      <sz val="11"/>
      <color rgb="FFFF0000"/>
      <name val="Calibri"/>
      <family val="2"/>
    </font>
    <font>
      <b/>
      <sz val="11"/>
      <color indexed="12"/>
      <name val="Calibri"/>
      <family val="2"/>
    </font>
    <font>
      <b/>
      <i/>
      <sz val="11"/>
      <color theme="1"/>
      <name val="Calibri"/>
      <family val="2"/>
    </font>
    <font>
      <sz val="11"/>
      <name val="Calibri"/>
      <family val="2"/>
      <scheme val="minor"/>
    </font>
    <font>
      <i/>
      <sz val="11"/>
      <color theme="1"/>
      <name val="Calibri"/>
      <family val="2"/>
    </font>
    <font>
      <b/>
      <sz val="11"/>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9" fontId="10" fillId="0" borderId="0" applyFont="0" applyFill="0" applyBorder="0" applyAlignment="0" applyProtection="0"/>
    <xf numFmtId="0" fontId="11" fillId="0" borderId="0"/>
    <xf numFmtId="9" fontId="11" fillId="0" borderId="0" applyFont="0" applyFill="0" applyBorder="0" applyAlignment="0" applyProtection="0"/>
    <xf numFmtId="165" fontId="10" fillId="0" borderId="0" applyFont="0" applyFill="0" applyBorder="0" applyAlignment="0" applyProtection="0"/>
    <xf numFmtId="0" fontId="13" fillId="0" borderId="0"/>
    <xf numFmtId="43" fontId="10" fillId="0" borderId="0" applyFont="0" applyFill="0" applyBorder="0" applyAlignment="0" applyProtection="0"/>
    <xf numFmtId="0" fontId="11" fillId="0" borderId="0"/>
    <xf numFmtId="0" fontId="32" fillId="0" borderId="0" applyNumberFormat="0" applyFill="0" applyBorder="0" applyAlignment="0" applyProtection="0"/>
  </cellStyleXfs>
  <cellXfs count="390">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xf>
    <xf numFmtId="0" fontId="1" fillId="0" borderId="1" xfId="0" applyFont="1" applyBorder="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0" xfId="0" applyAlignment="1">
      <alignment horizontal="center"/>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8" fillId="0" borderId="0" xfId="0" applyNumberFormat="1" applyFont="1" applyAlignment="1">
      <alignment horizontal="right"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xf>
    <xf numFmtId="0" fontId="9" fillId="0" borderId="1" xfId="0" applyFont="1" applyBorder="1" applyAlignment="1">
      <alignment horizontal="center" vertical="center"/>
    </xf>
    <xf numFmtId="2" fontId="0" fillId="0" borderId="0" xfId="0" applyNumberFormat="1"/>
    <xf numFmtId="0" fontId="0" fillId="0" borderId="1" xfId="0" applyBorder="1"/>
    <xf numFmtId="9" fontId="0" fillId="0" borderId="1" xfId="0" applyNumberFormat="1" applyBorder="1"/>
    <xf numFmtId="2" fontId="0" fillId="0" borderId="1" xfId="0" applyNumberFormat="1" applyBorder="1"/>
    <xf numFmtId="0" fontId="3" fillId="0" borderId="1" xfId="0" applyFont="1" applyBorder="1" applyAlignment="1">
      <alignment horizontal="left" wrapText="1"/>
    </xf>
    <xf numFmtId="0" fontId="1" fillId="0" borderId="1" xfId="0" applyFont="1" applyBorder="1" applyAlignment="1">
      <alignment horizontal="left" vertical="center" wrapText="1" indent="1"/>
    </xf>
    <xf numFmtId="0" fontId="3" fillId="0" borderId="0" xfId="0" applyFont="1" applyAlignment="1">
      <alignment vertical="center"/>
    </xf>
    <xf numFmtId="0" fontId="3" fillId="0" borderId="0" xfId="0" applyFont="1" applyAlignment="1">
      <alignment horizontal="center" vertical="center"/>
    </xf>
    <xf numFmtId="4" fontId="1" fillId="0" borderId="1" xfId="0" applyNumberFormat="1" applyFont="1" applyBorder="1" applyAlignment="1">
      <alignment vertical="center"/>
    </xf>
    <xf numFmtId="2" fontId="1" fillId="0" borderId="1" xfId="0" applyNumberFormat="1" applyFont="1" applyBorder="1" applyAlignment="1">
      <alignment vertical="center"/>
    </xf>
    <xf numFmtId="2" fontId="8" fillId="0" borderId="1" xfId="0" applyNumberFormat="1" applyFont="1" applyBorder="1" applyAlignment="1">
      <alignment vertical="center"/>
    </xf>
    <xf numFmtId="4"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indent="5"/>
    </xf>
    <xf numFmtId="3" fontId="3"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1" fontId="0" fillId="0" borderId="1" xfId="0" applyNumberFormat="1" applyBorder="1"/>
    <xf numFmtId="1" fontId="0" fillId="0" borderId="1" xfId="0" applyNumberFormat="1" applyBorder="1" applyAlignment="1">
      <alignment horizontal="center"/>
    </xf>
    <xf numFmtId="0" fontId="12" fillId="2" borderId="1" xfId="5" applyFont="1" applyFill="1" applyBorder="1" applyAlignment="1">
      <alignment vertical="center"/>
    </xf>
    <xf numFmtId="9" fontId="8" fillId="0" borderId="1" xfId="1" applyFont="1" applyBorder="1" applyAlignment="1">
      <alignment vertical="center"/>
    </xf>
    <xf numFmtId="10" fontId="2" fillId="0" borderId="1" xfId="0" applyNumberFormat="1" applyFont="1" applyBorder="1"/>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3" fontId="14" fillId="0" borderId="0" xfId="0" applyNumberFormat="1" applyFont="1" applyAlignment="1">
      <alignment horizontal="center" vertical="center"/>
    </xf>
    <xf numFmtId="3" fontId="15" fillId="0" borderId="0" xfId="0" applyNumberFormat="1" applyFont="1" applyAlignment="1">
      <alignment horizontal="right" vertical="center"/>
    </xf>
    <xf numFmtId="0" fontId="15" fillId="0" borderId="0" xfId="0" applyFont="1" applyAlignment="1">
      <alignment horizontal="left" vertical="center" wrapText="1"/>
    </xf>
    <xf numFmtId="0" fontId="14" fillId="0" borderId="0" xfId="0" applyFont="1" applyAlignment="1">
      <alignment horizontal="left" vertical="center"/>
    </xf>
    <xf numFmtId="3" fontId="15" fillId="0" borderId="0" xfId="0" applyNumberFormat="1" applyFont="1" applyAlignment="1">
      <alignment horizontal="center" vertical="center"/>
    </xf>
    <xf numFmtId="0" fontId="14" fillId="0" borderId="0" xfId="0" applyFont="1" applyAlignment="1">
      <alignment vertical="center" wrapText="1"/>
    </xf>
    <xf numFmtId="1" fontId="14" fillId="0" borderId="0" xfId="0" applyNumberFormat="1" applyFont="1" applyAlignment="1">
      <alignment horizontal="center" vertical="center"/>
    </xf>
    <xf numFmtId="166" fontId="15" fillId="0" borderId="0" xfId="0" applyNumberFormat="1"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top"/>
    </xf>
    <xf numFmtId="173" fontId="15" fillId="0" borderId="0" xfId="0" applyNumberFormat="1" applyFont="1" applyAlignment="1">
      <alignment horizontal="center" vertical="center"/>
    </xf>
    <xf numFmtId="9" fontId="14" fillId="0" borderId="0" xfId="0" applyNumberFormat="1" applyFont="1" applyAlignment="1">
      <alignment horizontal="center" vertical="center"/>
    </xf>
    <xf numFmtId="10" fontId="14" fillId="0" borderId="0" xfId="0" applyNumberFormat="1"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vertical="center"/>
    </xf>
    <xf numFmtId="38" fontId="14" fillId="0" borderId="0" xfId="0" applyNumberFormat="1" applyFont="1" applyAlignment="1">
      <alignment horizontal="center" vertical="center"/>
    </xf>
    <xf numFmtId="0" fontId="15" fillId="0" borderId="0" xfId="0" applyFont="1" applyAlignment="1">
      <alignment horizontal="center" wrapText="1"/>
    </xf>
    <xf numFmtId="168" fontId="15" fillId="0" borderId="0" xfId="0" applyNumberFormat="1" applyFont="1" applyAlignment="1">
      <alignment horizontal="center" vertical="center"/>
    </xf>
    <xf numFmtId="167" fontId="14" fillId="0" borderId="0" xfId="0" applyNumberFormat="1" applyFont="1" applyAlignment="1">
      <alignment horizontal="center" vertical="center"/>
    </xf>
    <xf numFmtId="167" fontId="15" fillId="0" borderId="0" xfId="0" applyNumberFormat="1" applyFont="1" applyAlignment="1">
      <alignment horizontal="center" vertical="center"/>
    </xf>
    <xf numFmtId="0" fontId="18" fillId="10" borderId="0" xfId="0" applyFont="1" applyFill="1" applyAlignment="1">
      <alignment horizontal="center" wrapText="1"/>
    </xf>
    <xf numFmtId="0" fontId="15" fillId="9" borderId="0" xfId="0" applyFont="1" applyFill="1" applyAlignment="1">
      <alignment horizontal="center" vertical="center"/>
    </xf>
    <xf numFmtId="0" fontId="15" fillId="9" borderId="0" xfId="0" applyFont="1" applyFill="1" applyAlignment="1">
      <alignment horizontal="center" vertical="center" wrapText="1"/>
    </xf>
    <xf numFmtId="0" fontId="14" fillId="9" borderId="0" xfId="0" applyFont="1" applyFill="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left" vertical="center" wrapText="1"/>
    </xf>
    <xf numFmtId="166" fontId="15" fillId="0" borderId="2" xfId="0" applyNumberFormat="1" applyFont="1" applyBorder="1" applyAlignment="1">
      <alignment horizontal="center" vertical="center"/>
    </xf>
    <xf numFmtId="0" fontId="15" fillId="9" borderId="2" xfId="0" applyFont="1" applyFill="1" applyBorder="1" applyAlignment="1">
      <alignment horizontal="center" vertical="center"/>
    </xf>
    <xf numFmtId="0" fontId="15" fillId="9" borderId="2" xfId="0" applyFont="1" applyFill="1" applyBorder="1" applyAlignment="1">
      <alignment horizontal="center" vertical="center" wrapText="1"/>
    </xf>
    <xf numFmtId="166" fontId="15" fillId="9"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left" vertical="center" wrapText="1"/>
    </xf>
    <xf numFmtId="3" fontId="15" fillId="0" borderId="2" xfId="0" applyNumberFormat="1" applyFont="1" applyBorder="1" applyAlignment="1">
      <alignment horizontal="right" vertical="center"/>
    </xf>
    <xf numFmtId="3" fontId="14" fillId="0" borderId="2" xfId="0" applyNumberFormat="1" applyFont="1" applyBorder="1" applyAlignment="1">
      <alignment horizontal="center" vertical="center"/>
    </xf>
    <xf numFmtId="168" fontId="15"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9" borderId="2" xfId="0" applyFont="1" applyFill="1" applyBorder="1" applyAlignment="1">
      <alignment horizontal="left" vertical="center" wrapText="1"/>
    </xf>
    <xf numFmtId="3" fontId="14" fillId="9" borderId="2" xfId="0" applyNumberFormat="1" applyFont="1" applyFill="1" applyBorder="1" applyAlignment="1">
      <alignment horizontal="center" vertical="center"/>
    </xf>
    <xf numFmtId="167" fontId="15" fillId="9" borderId="2" xfId="0" applyNumberFormat="1" applyFont="1" applyFill="1" applyBorder="1" applyAlignment="1">
      <alignment horizontal="center"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167" fontId="18" fillId="10" borderId="0" xfId="0" applyNumberFormat="1" applyFont="1" applyFill="1" applyAlignment="1">
      <alignment horizontal="center" vertical="center"/>
    </xf>
    <xf numFmtId="0" fontId="14" fillId="0" borderId="0" xfId="0" applyFont="1"/>
    <xf numFmtId="0" fontId="14" fillId="0" borderId="0" xfId="0" applyFont="1" applyAlignment="1">
      <alignment vertical="center"/>
    </xf>
    <xf numFmtId="166" fontId="14" fillId="0" borderId="0" xfId="0" applyNumberFormat="1" applyFont="1" applyAlignment="1">
      <alignment vertical="center"/>
    </xf>
    <xf numFmtId="2" fontId="14" fillId="0" borderId="0" xfId="0" applyNumberFormat="1" applyFont="1" applyAlignment="1">
      <alignment vertical="center"/>
    </xf>
    <xf numFmtId="1" fontId="15" fillId="0" borderId="0" xfId="0" applyNumberFormat="1" applyFont="1" applyAlignment="1">
      <alignment vertical="center"/>
    </xf>
    <xf numFmtId="4" fontId="15" fillId="0" borderId="0" xfId="0" applyNumberFormat="1" applyFont="1" applyAlignment="1">
      <alignment vertical="center"/>
    </xf>
    <xf numFmtId="2" fontId="15" fillId="0" borderId="0" xfId="0" applyNumberFormat="1" applyFont="1" applyAlignment="1">
      <alignment vertical="center"/>
    </xf>
    <xf numFmtId="4" fontId="14" fillId="0" borderId="0" xfId="0" applyNumberFormat="1" applyFont="1" applyAlignment="1">
      <alignment vertical="center"/>
    </xf>
    <xf numFmtId="9" fontId="14" fillId="0" borderId="0" xfId="1" applyFont="1" applyBorder="1" applyAlignment="1">
      <alignment vertical="center"/>
    </xf>
    <xf numFmtId="43" fontId="14" fillId="0" borderId="0" xfId="6" applyFont="1" applyBorder="1"/>
    <xf numFmtId="10" fontId="14" fillId="0" borderId="0" xfId="1" applyNumberFormat="1" applyFont="1" applyBorder="1"/>
    <xf numFmtId="2" fontId="14" fillId="0" borderId="0" xfId="0" applyNumberFormat="1"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5" fillId="9" borderId="0" xfId="0" applyFont="1" applyFill="1" applyAlignment="1">
      <alignment vertical="center"/>
    </xf>
    <xf numFmtId="167" fontId="15" fillId="9" borderId="0" xfId="0" applyNumberFormat="1" applyFont="1" applyFill="1" applyAlignment="1">
      <alignment horizontal="center" vertical="center"/>
    </xf>
    <xf numFmtId="166" fontId="14" fillId="9" borderId="0" xfId="0" applyNumberFormat="1" applyFont="1" applyFill="1" applyAlignment="1">
      <alignment horizontal="center" vertical="center"/>
    </xf>
    <xf numFmtId="0" fontId="14" fillId="9" borderId="2"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3" fontId="14" fillId="0" borderId="0" xfId="0" applyNumberFormat="1" applyFont="1" applyAlignment="1">
      <alignment horizontal="right" vertical="center"/>
    </xf>
    <xf numFmtId="0" fontId="14" fillId="0" borderId="0" xfId="0" applyFont="1" applyAlignment="1">
      <alignment horizontal="center"/>
    </xf>
    <xf numFmtId="0" fontId="15" fillId="9" borderId="0" xfId="0" applyFont="1" applyFill="1" applyAlignment="1">
      <alignment vertical="center" wrapText="1"/>
    </xf>
    <xf numFmtId="3" fontId="14" fillId="9" borderId="0" xfId="0" applyNumberFormat="1" applyFont="1" applyFill="1" applyAlignment="1">
      <alignment horizontal="center" vertical="center"/>
    </xf>
    <xf numFmtId="0" fontId="15" fillId="9" borderId="0" xfId="0" applyFont="1" applyFill="1" applyAlignment="1">
      <alignment horizontal="left" vertical="center" wrapText="1"/>
    </xf>
    <xf numFmtId="4"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3" fontId="14" fillId="0" borderId="0" xfId="0" applyNumberFormat="1" applyFont="1" applyAlignment="1">
      <alignment wrapText="1"/>
    </xf>
    <xf numFmtId="3" fontId="15" fillId="0" borderId="0" xfId="0" applyNumberFormat="1" applyFont="1" applyAlignment="1">
      <alignment horizontal="right"/>
    </xf>
    <xf numFmtId="0" fontId="18" fillId="10" borderId="0" xfId="0" applyFont="1" applyFill="1"/>
    <xf numFmtId="0" fontId="23" fillId="10" borderId="0" xfId="0" applyFont="1" applyFill="1" applyAlignment="1">
      <alignment horizontal="center" vertical="center"/>
    </xf>
    <xf numFmtId="0" fontId="15" fillId="0" borderId="2" xfId="0" applyFont="1" applyBorder="1" applyAlignment="1">
      <alignment vertical="center" wrapText="1"/>
    </xf>
    <xf numFmtId="0" fontId="14" fillId="9" borderId="0" xfId="0" applyFont="1" applyFill="1" applyAlignment="1">
      <alignment horizontal="center" vertical="center" wrapText="1"/>
    </xf>
    <xf numFmtId="2" fontId="15" fillId="0" borderId="0" xfId="0" applyNumberFormat="1" applyFont="1" applyAlignment="1">
      <alignment horizontal="center" vertical="center"/>
    </xf>
    <xf numFmtId="9" fontId="14" fillId="0" borderId="0" xfId="1" applyFont="1" applyBorder="1"/>
    <xf numFmtId="2" fontId="14" fillId="0" borderId="0" xfId="0" applyNumberFormat="1" applyFont="1"/>
    <xf numFmtId="0" fontId="25" fillId="4" borderId="0" xfId="0" applyFont="1" applyFill="1" applyAlignment="1">
      <alignment vertical="center"/>
    </xf>
    <xf numFmtId="0" fontId="14" fillId="0" borderId="0" xfId="0" applyFont="1" applyAlignment="1">
      <alignment horizontal="left"/>
    </xf>
    <xf numFmtId="0" fontId="18" fillId="10" borderId="0" xfId="0" applyFont="1" applyFill="1" applyAlignment="1">
      <alignment horizontal="left" vertical="center"/>
    </xf>
    <xf numFmtId="0" fontId="18" fillId="10" borderId="0" xfId="0" applyFont="1" applyFill="1" applyAlignment="1">
      <alignment horizontal="left" vertical="center" wrapText="1"/>
    </xf>
    <xf numFmtId="0" fontId="20" fillId="9" borderId="0" xfId="0" applyFont="1" applyFill="1" applyAlignment="1">
      <alignment horizontal="left" vertical="center" wrapText="1"/>
    </xf>
    <xf numFmtId="0" fontId="20" fillId="9" borderId="0" xfId="0" applyFont="1" applyFill="1" applyAlignment="1">
      <alignment horizontal="center" vertical="center" wrapText="1"/>
    </xf>
    <xf numFmtId="0" fontId="15" fillId="0" borderId="2" xfId="0" applyFont="1" applyBorder="1" applyAlignment="1">
      <alignment horizontal="left" vertical="center"/>
    </xf>
    <xf numFmtId="2" fontId="15" fillId="0" borderId="2" xfId="0" applyNumberFormat="1" applyFont="1" applyBorder="1" applyAlignment="1">
      <alignment vertical="center"/>
    </xf>
    <xf numFmtId="2" fontId="15" fillId="0" borderId="2" xfId="0" applyNumberFormat="1" applyFont="1" applyBorder="1" applyAlignment="1">
      <alignment horizontal="center" vertical="center"/>
    </xf>
    <xf numFmtId="2" fontId="14" fillId="0" borderId="2" xfId="0" applyNumberFormat="1" applyFont="1" applyBorder="1" applyAlignment="1">
      <alignment vertical="center"/>
    </xf>
    <xf numFmtId="0" fontId="18" fillId="10" borderId="2" xfId="0" applyFont="1" applyFill="1" applyBorder="1" applyAlignment="1">
      <alignment horizontal="left" vertical="center"/>
    </xf>
    <xf numFmtId="2" fontId="18" fillId="10" borderId="2" xfId="0" applyNumberFormat="1" applyFont="1" applyFill="1" applyBorder="1" applyAlignment="1">
      <alignment vertical="center"/>
    </xf>
    <xf numFmtId="2" fontId="15" fillId="9" borderId="0" xfId="0" applyNumberFormat="1" applyFont="1" applyFill="1" applyAlignment="1">
      <alignment vertical="center"/>
    </xf>
    <xf numFmtId="0" fontId="15" fillId="9" borderId="0" xfId="0" applyFont="1" applyFill="1" applyAlignment="1">
      <alignment horizontal="left" vertical="center"/>
    </xf>
    <xf numFmtId="2" fontId="22" fillId="0" borderId="0" xfId="0" applyNumberFormat="1" applyFont="1" applyAlignment="1">
      <alignment horizontal="center" vertical="center"/>
    </xf>
    <xf numFmtId="2" fontId="26" fillId="0" borderId="0" xfId="0" applyNumberFormat="1" applyFont="1" applyAlignment="1">
      <alignment horizontal="center"/>
    </xf>
    <xf numFmtId="0" fontId="26" fillId="0" borderId="0" xfId="0" applyFont="1" applyAlignment="1">
      <alignment horizontal="left" vertical="center"/>
    </xf>
    <xf numFmtId="2" fontId="26" fillId="0" borderId="0" xfId="0" applyNumberFormat="1" applyFont="1" applyAlignment="1">
      <alignment horizontal="center" vertical="center"/>
    </xf>
    <xf numFmtId="0" fontId="25" fillId="4" borderId="0" xfId="0" applyFont="1" applyFill="1" applyAlignment="1">
      <alignment horizontal="center" vertical="center"/>
    </xf>
    <xf numFmtId="0" fontId="18" fillId="10" borderId="0" xfId="0" applyFont="1" applyFill="1" applyAlignment="1">
      <alignment vertical="center" wrapText="1"/>
    </xf>
    <xf numFmtId="2" fontId="18" fillId="10" borderId="0" xfId="0" applyNumberFormat="1" applyFont="1" applyFill="1" applyAlignment="1">
      <alignment horizontal="center" vertical="center"/>
    </xf>
    <xf numFmtId="0" fontId="15" fillId="0" borderId="2" xfId="0" applyFont="1" applyBorder="1" applyAlignment="1">
      <alignment vertical="center"/>
    </xf>
    <xf numFmtId="2" fontId="15" fillId="9" borderId="2" xfId="0" applyNumberFormat="1" applyFont="1" applyFill="1" applyBorder="1" applyAlignment="1">
      <alignment horizontal="center" vertical="center"/>
    </xf>
    <xf numFmtId="0" fontId="18" fillId="10" borderId="0" xfId="0" applyFont="1" applyFill="1" applyAlignment="1">
      <alignment vertical="center"/>
    </xf>
    <xf numFmtId="9" fontId="20" fillId="2" borderId="0" xfId="1" applyFont="1" applyFill="1" applyBorder="1" applyAlignment="1">
      <alignment horizontal="center" vertical="center"/>
    </xf>
    <xf numFmtId="0" fontId="14" fillId="2" borderId="0" xfId="0" applyFont="1" applyFill="1" applyAlignment="1">
      <alignment vertical="center"/>
    </xf>
    <xf numFmtId="0" fontId="21" fillId="4" borderId="0" xfId="0" applyFont="1" applyFill="1" applyAlignment="1">
      <alignment vertical="center"/>
    </xf>
    <xf numFmtId="0" fontId="15" fillId="5" borderId="0" xfId="0" applyFont="1" applyFill="1" applyAlignment="1">
      <alignment horizontal="center" vertical="center"/>
    </xf>
    <xf numFmtId="1" fontId="24" fillId="2" borderId="0" xfId="0" applyNumberFormat="1" applyFont="1" applyFill="1" applyAlignment="1">
      <alignment horizontal="center" vertical="center"/>
    </xf>
    <xf numFmtId="170" fontId="24" fillId="2" borderId="0" xfId="0" applyNumberFormat="1" applyFont="1" applyFill="1" applyAlignment="1">
      <alignment horizontal="center" vertical="center"/>
    </xf>
    <xf numFmtId="0" fontId="20" fillId="8" borderId="0" xfId="0" applyFont="1" applyFill="1" applyAlignment="1">
      <alignment horizontal="left" vertical="center"/>
    </xf>
    <xf numFmtId="0" fontId="20" fillId="2" borderId="0" xfId="0" applyFont="1" applyFill="1" applyAlignment="1">
      <alignment horizontal="center" vertical="center"/>
    </xf>
    <xf numFmtId="9" fontId="14" fillId="2" borderId="0" xfId="0" applyNumberFormat="1" applyFont="1" applyFill="1" applyAlignment="1">
      <alignment horizontal="center" vertical="center"/>
    </xf>
    <xf numFmtId="0" fontId="14" fillId="2" borderId="0" xfId="0" applyFont="1" applyFill="1" applyAlignment="1">
      <alignment horizontal="center" vertical="center"/>
    </xf>
    <xf numFmtId="2" fontId="14" fillId="2" borderId="0" xfId="0" applyNumberFormat="1" applyFont="1" applyFill="1" applyAlignment="1">
      <alignment horizontal="center" vertical="center"/>
    </xf>
    <xf numFmtId="0" fontId="21" fillId="4" borderId="0" xfId="0" applyFont="1" applyFill="1" applyAlignment="1">
      <alignment horizontal="left" vertical="center"/>
    </xf>
    <xf numFmtId="0" fontId="24" fillId="2" borderId="0" xfId="0" applyFont="1" applyFill="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0" fillId="2" borderId="0" xfId="0" applyFont="1" applyFill="1" applyAlignment="1">
      <alignment horizontal="left" vertical="center"/>
    </xf>
    <xf numFmtId="0" fontId="27" fillId="2" borderId="0" xfId="0" applyFont="1" applyFill="1" applyAlignment="1">
      <alignment horizontal="left" vertical="center"/>
    </xf>
    <xf numFmtId="0" fontId="24" fillId="2" borderId="0" xfId="7" applyFont="1" applyFill="1" applyAlignment="1">
      <alignment horizontal="left" vertical="center"/>
    </xf>
    <xf numFmtId="0" fontId="20" fillId="2" borderId="0" xfId="7" applyFont="1" applyFill="1" applyAlignment="1">
      <alignment horizontal="left" vertical="center"/>
    </xf>
    <xf numFmtId="0" fontId="14" fillId="2" borderId="0" xfId="0" applyFont="1" applyFill="1" applyAlignment="1">
      <alignment horizontal="left" vertical="center"/>
    </xf>
    <xf numFmtId="9" fontId="14" fillId="2" borderId="0" xfId="0" applyNumberFormat="1" applyFont="1" applyFill="1" applyAlignment="1">
      <alignment horizontal="left" vertical="center"/>
    </xf>
    <xf numFmtId="0" fontId="27" fillId="2" borderId="0" xfId="0" applyFont="1" applyFill="1" applyAlignment="1">
      <alignment horizontal="center" vertical="center"/>
    </xf>
    <xf numFmtId="9" fontId="20" fillId="2" borderId="0" xfId="0" applyNumberFormat="1" applyFont="1" applyFill="1" applyAlignment="1">
      <alignment horizontal="center" vertical="center"/>
    </xf>
    <xf numFmtId="172" fontId="20" fillId="2" borderId="0" xfId="1" applyNumberFormat="1" applyFont="1" applyFill="1" applyBorder="1" applyAlignment="1">
      <alignment horizontal="center" vertical="center"/>
    </xf>
    <xf numFmtId="171" fontId="20" fillId="2" borderId="0" xfId="6" applyNumberFormat="1" applyFont="1" applyFill="1" applyBorder="1" applyAlignment="1">
      <alignment horizontal="center" vertical="center"/>
    </xf>
    <xf numFmtId="1" fontId="20" fillId="2" borderId="0" xfId="0" applyNumberFormat="1" applyFont="1" applyFill="1" applyAlignment="1">
      <alignment horizontal="center" vertical="center"/>
    </xf>
    <xf numFmtId="2" fontId="20" fillId="2" borderId="0" xfId="0" applyNumberFormat="1" applyFont="1" applyFill="1" applyAlignment="1">
      <alignment horizontal="center" vertical="center"/>
    </xf>
    <xf numFmtId="171" fontId="14" fillId="2" borderId="0" xfId="0" applyNumberFormat="1" applyFont="1" applyFill="1" applyAlignment="1">
      <alignment horizontal="center" vertical="center"/>
    </xf>
    <xf numFmtId="9" fontId="24" fillId="2" borderId="0" xfId="1" applyFont="1" applyFill="1" applyBorder="1" applyAlignment="1">
      <alignment horizontal="center" vertical="center"/>
    </xf>
    <xf numFmtId="10" fontId="14" fillId="2" borderId="0" xfId="0" applyNumberFormat="1" applyFont="1" applyFill="1" applyAlignment="1">
      <alignment horizontal="center" vertical="center"/>
    </xf>
    <xf numFmtId="43" fontId="24" fillId="2" borderId="0" xfId="6" applyFont="1" applyFill="1" applyBorder="1" applyAlignment="1">
      <alignment horizontal="center" vertical="center"/>
    </xf>
    <xf numFmtId="164" fontId="14" fillId="2" borderId="0" xfId="0" applyNumberFormat="1" applyFont="1" applyFill="1" applyAlignment="1">
      <alignment horizontal="center" vertical="center"/>
    </xf>
    <xf numFmtId="9" fontId="20" fillId="9" borderId="2" xfId="1" applyFont="1" applyFill="1" applyBorder="1" applyAlignment="1">
      <alignment horizontal="center" vertical="center"/>
    </xf>
    <xf numFmtId="0" fontId="20" fillId="9" borderId="2" xfId="0" applyFont="1" applyFill="1" applyBorder="1" applyAlignment="1">
      <alignment horizontal="left" vertical="center"/>
    </xf>
    <xf numFmtId="9" fontId="27" fillId="9" borderId="2" xfId="0" applyNumberFormat="1" applyFont="1" applyFill="1" applyBorder="1" applyAlignment="1">
      <alignment horizontal="center" vertical="center"/>
    </xf>
    <xf numFmtId="0" fontId="15" fillId="2" borderId="0" xfId="0" applyFont="1" applyFill="1" applyAlignment="1">
      <alignment vertical="center"/>
    </xf>
    <xf numFmtId="0" fontId="24" fillId="2" borderId="0" xfId="0" applyFont="1" applyFill="1" applyAlignment="1">
      <alignment horizontal="left" vertical="center" wrapText="1"/>
    </xf>
    <xf numFmtId="1" fontId="20" fillId="9" borderId="0" xfId="0" applyNumberFormat="1" applyFont="1" applyFill="1" applyAlignment="1">
      <alignment horizontal="center" vertical="center"/>
    </xf>
    <xf numFmtId="0" fontId="20" fillId="9" borderId="2" xfId="0" applyFont="1" applyFill="1" applyBorder="1" applyAlignment="1">
      <alignment horizontal="left" vertical="center" wrapText="1"/>
    </xf>
    <xf numFmtId="171" fontId="20" fillId="9" borderId="2" xfId="0" applyNumberFormat="1" applyFont="1" applyFill="1" applyBorder="1" applyAlignment="1">
      <alignment horizontal="center" vertical="center"/>
    </xf>
    <xf numFmtId="0" fontId="23" fillId="10" borderId="0" xfId="0" applyFont="1" applyFill="1" applyAlignment="1">
      <alignment horizontal="left" vertical="center"/>
    </xf>
    <xf numFmtId="2" fontId="14" fillId="0" borderId="0" xfId="0" applyNumberFormat="1" applyFont="1" applyAlignment="1">
      <alignment horizontal="center" vertical="center" wrapText="1"/>
    </xf>
    <xf numFmtId="2" fontId="20" fillId="0" borderId="0" xfId="2" applyNumberFormat="1" applyFont="1" applyAlignment="1">
      <alignment horizontal="center" vertical="center" wrapText="1"/>
    </xf>
    <xf numFmtId="1" fontId="20" fillId="0" borderId="0" xfId="2" applyNumberFormat="1" applyFont="1" applyAlignment="1">
      <alignment horizontal="left" vertical="center"/>
    </xf>
    <xf numFmtId="1" fontId="24" fillId="0" borderId="0" xfId="2" applyNumberFormat="1" applyFont="1" applyAlignment="1">
      <alignment horizontal="left" vertical="center"/>
    </xf>
    <xf numFmtId="0" fontId="24" fillId="0" borderId="0" xfId="0" applyFont="1" applyAlignment="1">
      <alignment horizontal="center" vertical="center"/>
    </xf>
    <xf numFmtId="1" fontId="20" fillId="0" borderId="0" xfId="2" applyNumberFormat="1" applyFont="1" applyAlignment="1">
      <alignment horizontal="center" vertical="center"/>
    </xf>
    <xf numFmtId="1" fontId="21" fillId="4" borderId="0" xfId="2" applyNumberFormat="1" applyFont="1" applyFill="1" applyAlignment="1">
      <alignment horizontal="left" vertical="center"/>
    </xf>
    <xf numFmtId="1" fontId="20" fillId="9" borderId="2" xfId="2" applyNumberFormat="1" applyFont="1" applyFill="1" applyBorder="1" applyAlignment="1">
      <alignment horizontal="left" vertical="center"/>
    </xf>
    <xf numFmtId="2" fontId="15" fillId="9" borderId="2" xfId="0" applyNumberFormat="1" applyFont="1" applyFill="1" applyBorder="1" applyAlignment="1">
      <alignment horizontal="center" vertical="center" wrapText="1"/>
    </xf>
    <xf numFmtId="1" fontId="18" fillId="10" borderId="0" xfId="2" applyNumberFormat="1" applyFont="1" applyFill="1" applyAlignment="1">
      <alignment horizontal="left" vertical="center"/>
    </xf>
    <xf numFmtId="17" fontId="15" fillId="0" borderId="0" xfId="0" applyNumberFormat="1" applyFont="1" applyAlignment="1">
      <alignment horizontal="center" vertical="center"/>
    </xf>
    <xf numFmtId="10" fontId="15" fillId="0" borderId="0" xfId="0" applyNumberFormat="1" applyFont="1" applyAlignment="1">
      <alignment horizontal="center" vertical="center"/>
    </xf>
    <xf numFmtId="0" fontId="18" fillId="3" borderId="0" xfId="0" applyFont="1" applyFill="1" applyAlignment="1">
      <alignment vertical="center"/>
    </xf>
    <xf numFmtId="1" fontId="18" fillId="10" borderId="0" xfId="0" applyNumberFormat="1" applyFont="1" applyFill="1" applyAlignment="1">
      <alignment horizontal="center" vertical="center"/>
    </xf>
    <xf numFmtId="1" fontId="15" fillId="0" borderId="0" xfId="0" applyNumberFormat="1" applyFont="1" applyAlignment="1">
      <alignment horizontal="center" vertical="center"/>
    </xf>
    <xf numFmtId="1" fontId="14" fillId="0" borderId="0" xfId="0" applyNumberFormat="1" applyFont="1" applyAlignment="1">
      <alignment vertical="center"/>
    </xf>
    <xf numFmtId="0" fontId="20" fillId="0" borderId="0" xfId="0" applyFont="1" applyAlignment="1">
      <alignment horizontal="center" vertical="center"/>
    </xf>
    <xf numFmtId="0" fontId="20" fillId="6" borderId="0" xfId="0" applyFont="1" applyFill="1" applyAlignment="1">
      <alignment horizontal="left" vertical="center"/>
    </xf>
    <xf numFmtId="10" fontId="20" fillId="6" borderId="0" xfId="3" applyNumberFormat="1" applyFont="1" applyFill="1" applyBorder="1" applyAlignment="1">
      <alignment horizontal="center" vertical="center"/>
    </xf>
    <xf numFmtId="0" fontId="20" fillId="6" borderId="0" xfId="0" applyFont="1" applyFill="1" applyAlignment="1">
      <alignment horizontal="center" vertical="center"/>
    </xf>
    <xf numFmtId="169" fontId="20" fillId="6" borderId="0" xfId="0" applyNumberFormat="1" applyFont="1" applyFill="1" applyAlignment="1">
      <alignment horizontal="left" vertical="center"/>
    </xf>
    <xf numFmtId="2" fontId="24" fillId="6" borderId="0" xfId="0" applyNumberFormat="1" applyFont="1" applyFill="1" applyAlignment="1">
      <alignment horizontal="center" vertical="center"/>
    </xf>
    <xf numFmtId="0" fontId="24" fillId="6" borderId="0" xfId="0" applyFont="1" applyFill="1" applyAlignment="1">
      <alignment horizontal="left" vertical="center"/>
    </xf>
    <xf numFmtId="169" fontId="15" fillId="6" borderId="0" xfId="0" applyNumberFormat="1" applyFont="1" applyFill="1" applyAlignment="1">
      <alignment horizontal="left" vertical="center"/>
    </xf>
    <xf numFmtId="2" fontId="14" fillId="6" borderId="0" xfId="0" applyNumberFormat="1" applyFont="1" applyFill="1" applyAlignment="1">
      <alignment horizontal="center" vertical="center"/>
    </xf>
    <xf numFmtId="0" fontId="14" fillId="6" borderId="0" xfId="0" applyFont="1" applyFill="1" applyAlignment="1">
      <alignment horizontal="left" vertical="center"/>
    </xf>
    <xf numFmtId="9" fontId="14" fillId="0" borderId="0" xfId="0" applyNumberFormat="1"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center" vertical="center"/>
    </xf>
    <xf numFmtId="169" fontId="14" fillId="6" borderId="0" xfId="0" applyNumberFormat="1" applyFont="1" applyFill="1" applyAlignment="1">
      <alignment horizontal="left" vertical="center"/>
    </xf>
    <xf numFmtId="169" fontId="14" fillId="7" borderId="0" xfId="0" applyNumberFormat="1" applyFont="1" applyFill="1" applyAlignment="1">
      <alignment horizontal="left" vertical="center"/>
    </xf>
    <xf numFmtId="2" fontId="14" fillId="7" borderId="0" xfId="0" applyNumberFormat="1" applyFont="1" applyFill="1" applyAlignment="1">
      <alignment horizontal="center" vertical="center"/>
    </xf>
    <xf numFmtId="2" fontId="14" fillId="6" borderId="0" xfId="0" applyNumberFormat="1" applyFont="1" applyFill="1" applyAlignment="1">
      <alignment vertical="center"/>
    </xf>
    <xf numFmtId="9" fontId="15" fillId="0" borderId="0" xfId="1" applyFont="1" applyBorder="1" applyAlignment="1">
      <alignment horizontal="center" vertical="center"/>
    </xf>
    <xf numFmtId="1" fontId="20" fillId="5" borderId="0" xfId="0" applyNumberFormat="1" applyFont="1" applyFill="1" applyAlignment="1">
      <alignment horizontal="center" vertical="center"/>
    </xf>
    <xf numFmtId="1" fontId="24" fillId="0" borderId="0" xfId="0" applyNumberFormat="1" applyFont="1" applyAlignment="1">
      <alignment horizontal="center" vertical="center"/>
    </xf>
    <xf numFmtId="2" fontId="24" fillId="0" borderId="0" xfId="0" applyNumberFormat="1" applyFont="1" applyAlignment="1">
      <alignment horizontal="center" vertical="center"/>
    </xf>
    <xf numFmtId="10" fontId="18" fillId="10" borderId="0" xfId="3" applyNumberFormat="1" applyFont="1" applyFill="1" applyBorder="1" applyAlignment="1">
      <alignment horizontal="center" vertical="center"/>
    </xf>
    <xf numFmtId="10" fontId="18" fillId="10" borderId="0" xfId="0" applyNumberFormat="1" applyFont="1" applyFill="1" applyAlignment="1">
      <alignment horizontal="center" vertical="center"/>
    </xf>
    <xf numFmtId="0" fontId="20" fillId="9" borderId="0" xfId="0" applyFont="1" applyFill="1" applyAlignment="1">
      <alignment horizontal="left" vertical="center"/>
    </xf>
    <xf numFmtId="9" fontId="14" fillId="0" borderId="0" xfId="1" applyFont="1" applyBorder="1" applyAlignment="1">
      <alignment horizontal="center" vertical="center"/>
    </xf>
    <xf numFmtId="165" fontId="14" fillId="0" borderId="0" xfId="0" applyNumberFormat="1" applyFont="1" applyAlignment="1">
      <alignment horizontal="center" vertical="center"/>
    </xf>
    <xf numFmtId="0" fontId="21" fillId="4" borderId="0" xfId="0" applyFont="1" applyFill="1" applyAlignment="1">
      <alignment horizontal="center" vertical="center"/>
    </xf>
    <xf numFmtId="0" fontId="28" fillId="0" borderId="0" xfId="0" applyFont="1" applyAlignment="1">
      <alignment horizontal="left" vertical="center"/>
    </xf>
    <xf numFmtId="9" fontId="28" fillId="0" borderId="0" xfId="1" applyFont="1" applyBorder="1" applyAlignment="1">
      <alignment horizontal="center" vertical="center"/>
    </xf>
    <xf numFmtId="2" fontId="28" fillId="0" borderId="0" xfId="0" applyNumberFormat="1" applyFont="1" applyAlignment="1">
      <alignment horizontal="center" vertical="center"/>
    </xf>
    <xf numFmtId="165" fontId="28" fillId="0" borderId="0" xfId="0" applyNumberFormat="1" applyFont="1" applyAlignment="1">
      <alignment horizontal="center" vertical="center"/>
    </xf>
    <xf numFmtId="2" fontId="14" fillId="9" borderId="0" xfId="0" applyNumberFormat="1" applyFont="1" applyFill="1" applyAlignment="1">
      <alignment horizontal="center" vertical="center"/>
    </xf>
    <xf numFmtId="0" fontId="20" fillId="0" borderId="5" xfId="0" applyFont="1" applyBorder="1" applyAlignment="1">
      <alignment horizontal="left" vertical="center" wrapText="1"/>
    </xf>
    <xf numFmtId="9" fontId="15" fillId="0" borderId="5" xfId="1" applyFont="1" applyBorder="1" applyAlignment="1">
      <alignment horizontal="center" vertical="center"/>
    </xf>
    <xf numFmtId="2" fontId="15" fillId="0" borderId="5" xfId="0" applyNumberFormat="1" applyFont="1" applyBorder="1" applyAlignment="1">
      <alignment horizontal="center"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9" fontId="15" fillId="0" borderId="4" xfId="1" applyFont="1" applyBorder="1" applyAlignment="1">
      <alignment horizontal="center" vertical="center"/>
    </xf>
    <xf numFmtId="10" fontId="14" fillId="0" borderId="0" xfId="1" applyNumberFormat="1" applyFont="1" applyFill="1" applyBorder="1" applyAlignment="1">
      <alignment horizontal="center" vertical="center"/>
    </xf>
    <xf numFmtId="10" fontId="25" fillId="4" borderId="0" xfId="3" applyNumberFormat="1" applyFont="1" applyFill="1" applyBorder="1" applyAlignment="1">
      <alignment horizontal="center" vertical="center"/>
    </xf>
    <xf numFmtId="10" fontId="14" fillId="0" borderId="0" xfId="3" applyNumberFormat="1" applyFont="1" applyBorder="1" applyAlignment="1">
      <alignment horizontal="center" vertical="center"/>
    </xf>
    <xf numFmtId="2" fontId="20" fillId="0" borderId="0" xfId="4"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0" fontId="14" fillId="9" borderId="2" xfId="0" applyFont="1" applyFill="1" applyBorder="1" applyAlignment="1">
      <alignment horizontal="center" vertical="center"/>
    </xf>
    <xf numFmtId="4" fontId="14" fillId="0" borderId="0" xfId="0" applyNumberFormat="1" applyFont="1" applyAlignment="1">
      <alignment horizontal="center" vertical="center"/>
    </xf>
    <xf numFmtId="0" fontId="15" fillId="0" borderId="0" xfId="0" applyFont="1"/>
    <xf numFmtId="4" fontId="18" fillId="10" borderId="0" xfId="0" applyNumberFormat="1" applyFont="1" applyFill="1" applyAlignment="1">
      <alignment horizontal="center" vertical="center"/>
    </xf>
    <xf numFmtId="3" fontId="15" fillId="9" borderId="0" xfId="0" applyNumberFormat="1" applyFont="1" applyFill="1" applyAlignment="1">
      <alignment horizontal="center" vertical="center"/>
    </xf>
    <xf numFmtId="3" fontId="15" fillId="0" borderId="0" xfId="0" applyNumberFormat="1" applyFont="1" applyAlignment="1">
      <alignment vertical="center"/>
    </xf>
    <xf numFmtId="3" fontId="14" fillId="0" borderId="0" xfId="0" applyNumberFormat="1" applyFont="1" applyAlignment="1">
      <alignment horizontal="center" vertical="center" wrapText="1"/>
    </xf>
    <xf numFmtId="1" fontId="24" fillId="0" borderId="0" xfId="2" applyNumberFormat="1" applyFont="1" applyAlignment="1">
      <alignment horizontal="left" vertical="center" wrapText="1"/>
    </xf>
    <xf numFmtId="0" fontId="20" fillId="2" borderId="0" xfId="0" applyFont="1" applyFill="1" applyAlignment="1">
      <alignment vertical="center"/>
    </xf>
    <xf numFmtId="0" fontId="29" fillId="0" borderId="0" xfId="0" applyFont="1"/>
    <xf numFmtId="0" fontId="24" fillId="0" borderId="0" xfId="0" applyFont="1" applyAlignment="1">
      <alignment vertical="center"/>
    </xf>
    <xf numFmtId="43" fontId="14" fillId="0" borderId="0" xfId="6" applyFont="1" applyFill="1" applyBorder="1" applyAlignment="1">
      <alignment horizontal="center"/>
    </xf>
    <xf numFmtId="10" fontId="14" fillId="2" borderId="0" xfId="1" applyNumberFormat="1" applyFont="1" applyFill="1" applyBorder="1" applyAlignment="1">
      <alignment vertical="center"/>
    </xf>
    <xf numFmtId="174" fontId="24" fillId="2" borderId="0" xfId="0" applyNumberFormat="1" applyFont="1" applyFill="1" applyAlignment="1">
      <alignment horizontal="center" vertical="center"/>
    </xf>
    <xf numFmtId="0" fontId="24" fillId="0" borderId="0" xfId="0" applyFont="1"/>
    <xf numFmtId="2" fontId="24" fillId="0" borderId="0" xfId="0" applyNumberFormat="1" applyFont="1" applyAlignment="1">
      <alignment vertical="center"/>
    </xf>
    <xf numFmtId="0" fontId="15" fillId="0" borderId="2" xfId="0" applyFont="1" applyBorder="1" applyAlignment="1">
      <alignment horizontal="left"/>
    </xf>
    <xf numFmtId="43" fontId="15" fillId="0" borderId="2" xfId="6" applyFont="1" applyFill="1" applyBorder="1" applyAlignment="1"/>
    <xf numFmtId="43" fontId="15" fillId="0" borderId="2" xfId="6" applyFont="1" applyFill="1" applyBorder="1" applyAlignment="1">
      <alignment horizontal="center"/>
    </xf>
    <xf numFmtId="0" fontId="15" fillId="0" borderId="0" xfId="0" applyFont="1" applyAlignment="1">
      <alignment horizontal="left"/>
    </xf>
    <xf numFmtId="10" fontId="30" fillId="0" borderId="0" xfId="1" applyNumberFormat="1" applyFont="1" applyBorder="1"/>
    <xf numFmtId="0" fontId="30" fillId="0" borderId="0" xfId="0" applyFont="1"/>
    <xf numFmtId="175" fontId="14" fillId="0" borderId="0" xfId="6" applyNumberFormat="1" applyFont="1" applyBorder="1" applyAlignment="1">
      <alignment vertical="center"/>
    </xf>
    <xf numFmtId="3" fontId="14" fillId="0" borderId="0" xfId="0" applyNumberFormat="1" applyFont="1" applyAlignment="1">
      <alignment vertical="center"/>
    </xf>
    <xf numFmtId="0" fontId="2" fillId="0" borderId="5" xfId="0" applyFont="1" applyBorder="1"/>
    <xf numFmtId="0" fontId="2" fillId="0" borderId="4" xfId="0" applyFont="1" applyBorder="1"/>
    <xf numFmtId="0" fontId="31" fillId="10" borderId="0" xfId="0" applyFont="1" applyFill="1"/>
    <xf numFmtId="0" fontId="0" fillId="0" borderId="9" xfId="0" applyBorder="1"/>
    <xf numFmtId="0" fontId="0" fillId="0" borderId="10" xfId="0" applyBorder="1"/>
    <xf numFmtId="175" fontId="2" fillId="0" borderId="11" xfId="6" applyNumberFormat="1" applyFont="1" applyBorder="1"/>
    <xf numFmtId="175" fontId="2" fillId="0" borderId="12" xfId="0" applyNumberFormat="1" applyFont="1" applyBorder="1"/>
    <xf numFmtId="0" fontId="2" fillId="0" borderId="13" xfId="0" applyFont="1" applyBorder="1"/>
    <xf numFmtId="0" fontId="2" fillId="0" borderId="14" xfId="0" applyFont="1" applyBorder="1"/>
    <xf numFmtId="0" fontId="2" fillId="0" borderId="11" xfId="0" applyFont="1" applyBorder="1"/>
    <xf numFmtId="175" fontId="2" fillId="0" borderId="12" xfId="6" applyNumberFormat="1" applyFont="1" applyBorder="1"/>
    <xf numFmtId="0" fontId="2" fillId="0" borderId="15" xfId="0" applyFont="1" applyBorder="1"/>
    <xf numFmtId="0" fontId="2" fillId="0" borderId="16" xfId="0" applyFont="1" applyBorder="1"/>
    <xf numFmtId="0" fontId="2" fillId="0" borderId="17" xfId="0" applyFont="1" applyBorder="1"/>
    <xf numFmtId="175" fontId="0" fillId="0" borderId="0" xfId="6" applyNumberFormat="1" applyFont="1"/>
    <xf numFmtId="0" fontId="0" fillId="0" borderId="0" xfId="0" applyAlignment="1">
      <alignment horizontal="center" vertical="center"/>
    </xf>
    <xf numFmtId="175" fontId="0" fillId="0" borderId="0" xfId="6" applyNumberFormat="1" applyFont="1" applyAlignment="1">
      <alignment horizontal="center" vertical="center"/>
    </xf>
    <xf numFmtId="0" fontId="0" fillId="0" borderId="0" xfId="0" applyAlignment="1">
      <alignment horizontal="center" vertical="center" wrapText="1"/>
    </xf>
    <xf numFmtId="0" fontId="32" fillId="0" borderId="0" xfId="8" applyAlignment="1">
      <alignment vertical="center" wrapText="1"/>
    </xf>
    <xf numFmtId="0" fontId="32" fillId="0" borderId="0" xfId="8"/>
    <xf numFmtId="175" fontId="14" fillId="0" borderId="0" xfId="6" applyNumberFormat="1" applyFont="1" applyBorder="1" applyAlignment="1">
      <alignment horizontal="center" vertical="center"/>
    </xf>
    <xf numFmtId="175" fontId="15" fillId="0" borderId="0" xfId="6" applyNumberFormat="1" applyFont="1" applyBorder="1" applyAlignment="1">
      <alignment horizontal="center" vertical="center"/>
    </xf>
    <xf numFmtId="0" fontId="14" fillId="0" borderId="0" xfId="0" quotePrefix="1" applyFont="1" applyAlignment="1">
      <alignment horizontal="center" vertical="center"/>
    </xf>
    <xf numFmtId="167" fontId="14" fillId="0" borderId="0" xfId="0" applyNumberFormat="1" applyFont="1" applyAlignment="1">
      <alignment vertical="center"/>
    </xf>
    <xf numFmtId="10" fontId="14" fillId="0" borderId="0" xfId="1" applyNumberFormat="1" applyFont="1" applyBorder="1" applyAlignment="1">
      <alignment vertical="center"/>
    </xf>
    <xf numFmtId="167" fontId="14" fillId="0" borderId="0" xfId="0" applyNumberFormat="1" applyFont="1"/>
    <xf numFmtId="10" fontId="14" fillId="0" borderId="0" xfId="1" applyNumberFormat="1" applyFont="1" applyBorder="1" applyAlignment="1">
      <alignment horizontal="center" vertical="center"/>
    </xf>
    <xf numFmtId="0" fontId="0" fillId="0" borderId="0" xfId="0" applyAlignment="1">
      <alignment wrapText="1"/>
    </xf>
    <xf numFmtId="174" fontId="14" fillId="2" borderId="0" xfId="0" applyNumberFormat="1" applyFont="1" applyFill="1" applyAlignment="1">
      <alignment horizontal="center" vertical="center"/>
    </xf>
    <xf numFmtId="0" fontId="15" fillId="0" borderId="18" xfId="0" quotePrefix="1" applyFont="1" applyBorder="1" applyAlignment="1">
      <alignment vertical="center"/>
    </xf>
    <xf numFmtId="0" fontId="15" fillId="0" borderId="19" xfId="0" applyFont="1" applyBorder="1" applyAlignment="1">
      <alignment vertical="center"/>
    </xf>
    <xf numFmtId="0" fontId="15" fillId="0" borderId="3" xfId="0" quotePrefix="1"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176" fontId="14" fillId="0" borderId="0" xfId="0" applyNumberFormat="1" applyFont="1" applyAlignment="1">
      <alignment horizontal="center" vertical="center"/>
    </xf>
    <xf numFmtId="176" fontId="15" fillId="0" borderId="2" xfId="0" applyNumberFormat="1" applyFont="1" applyBorder="1" applyAlignment="1">
      <alignment horizontal="center" vertical="center"/>
    </xf>
    <xf numFmtId="10" fontId="18" fillId="11" borderId="0" xfId="0" applyNumberFormat="1" applyFont="1" applyFill="1" applyAlignment="1">
      <alignment vertical="center"/>
    </xf>
    <xf numFmtId="0" fontId="26" fillId="7" borderId="0" xfId="0" applyFont="1" applyFill="1" applyAlignment="1">
      <alignment horizontal="center" vertical="center"/>
    </xf>
    <xf numFmtId="10" fontId="14" fillId="0" borderId="0" xfId="0" applyNumberFormat="1" applyFont="1"/>
    <xf numFmtId="177" fontId="14" fillId="6" borderId="0" xfId="0" applyNumberFormat="1" applyFont="1" applyFill="1" applyAlignment="1">
      <alignment horizontal="center" vertical="center"/>
    </xf>
    <xf numFmtId="167" fontId="14" fillId="0" borderId="0" xfId="0" applyNumberFormat="1" applyFont="1" applyFill="1" applyAlignment="1">
      <alignment horizontal="center" vertical="center"/>
    </xf>
    <xf numFmtId="2" fontId="14" fillId="0" borderId="0" xfId="0" applyNumberFormat="1" applyFont="1" applyFill="1" applyAlignment="1">
      <alignment horizontal="center" vertical="center"/>
    </xf>
    <xf numFmtId="0" fontId="18" fillId="10" borderId="0" xfId="0" applyFont="1" applyFill="1" applyAlignment="1">
      <alignment horizontal="center" vertical="center"/>
    </xf>
    <xf numFmtId="9" fontId="14" fillId="0" borderId="0" xfId="1" applyFont="1" applyAlignment="1">
      <alignment horizontal="center" vertical="center"/>
    </xf>
    <xf numFmtId="0" fontId="14" fillId="2" borderId="2" xfId="0" applyFont="1" applyFill="1" applyBorder="1" applyAlignment="1">
      <alignment horizontal="center" vertical="center"/>
    </xf>
    <xf numFmtId="174" fontId="14" fillId="2" borderId="2" xfId="0" applyNumberFormat="1" applyFont="1" applyFill="1" applyBorder="1" applyAlignment="1">
      <alignment horizontal="center" vertical="center"/>
    </xf>
    <xf numFmtId="0" fontId="18" fillId="10" borderId="2" xfId="0" applyFont="1" applyFill="1" applyBorder="1" applyAlignment="1">
      <alignment horizontal="center" vertical="center"/>
    </xf>
    <xf numFmtId="2" fontId="18" fillId="10" borderId="2" xfId="0" applyNumberFormat="1" applyFont="1" applyFill="1" applyBorder="1" applyAlignment="1">
      <alignment horizontal="center" vertical="center"/>
    </xf>
    <xf numFmtId="0" fontId="15" fillId="12" borderId="2" xfId="0" applyFont="1" applyFill="1" applyBorder="1" applyAlignment="1">
      <alignment horizontal="center" vertical="center"/>
    </xf>
    <xf numFmtId="2" fontId="15" fillId="12" borderId="2" xfId="0" applyNumberFormat="1" applyFont="1" applyFill="1" applyBorder="1" applyAlignment="1">
      <alignment horizontal="center" vertical="center"/>
    </xf>
    <xf numFmtId="0" fontId="18" fillId="10" borderId="0" xfId="0" applyFont="1" applyFill="1" applyAlignment="1">
      <alignment horizontal="left"/>
    </xf>
    <xf numFmtId="10" fontId="14" fillId="2" borderId="0" xfId="1" applyNumberFormat="1" applyFont="1" applyFill="1" applyBorder="1" applyAlignment="1">
      <alignment horizontal="center" vertical="center"/>
    </xf>
    <xf numFmtId="10" fontId="24" fillId="0" borderId="0" xfId="0" applyNumberFormat="1" applyFont="1" applyAlignment="1">
      <alignment horizontal="center"/>
    </xf>
    <xf numFmtId="0" fontId="32" fillId="2" borderId="0" xfId="8" applyFill="1" applyAlignment="1">
      <alignment horizontal="left" vertical="center"/>
    </xf>
    <xf numFmtId="178" fontId="20" fillId="9" borderId="0" xfId="0" applyNumberFormat="1" applyFont="1" applyFill="1" applyAlignment="1">
      <alignment horizontal="center" vertical="center" wrapText="1"/>
    </xf>
    <xf numFmtId="178" fontId="18" fillId="10" borderId="0" xfId="0" applyNumberFormat="1" applyFont="1" applyFill="1" applyAlignment="1">
      <alignment horizontal="center" vertical="center" wrapText="1"/>
    </xf>
    <xf numFmtId="178" fontId="18" fillId="10" borderId="0" xfId="0" applyNumberFormat="1" applyFont="1" applyFill="1" applyAlignment="1">
      <alignment horizontal="center" vertical="center"/>
    </xf>
    <xf numFmtId="165" fontId="20" fillId="9" borderId="2" xfId="0" applyNumberFormat="1" applyFont="1" applyFill="1" applyBorder="1" applyAlignment="1">
      <alignment horizontal="center" vertical="center"/>
    </xf>
    <xf numFmtId="165" fontId="24" fillId="2" borderId="0" xfId="0" applyNumberFormat="1" applyFont="1" applyFill="1" applyAlignment="1">
      <alignment horizontal="center" vertical="center"/>
    </xf>
    <xf numFmtId="179" fontId="24" fillId="2" borderId="0" xfId="0" applyNumberFormat="1" applyFont="1" applyFill="1" applyAlignment="1">
      <alignment horizontal="center" vertical="center"/>
    </xf>
    <xf numFmtId="180" fontId="24" fillId="2" borderId="0" xfId="0" applyNumberFormat="1" applyFont="1" applyFill="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vertical="center" wrapText="1"/>
    </xf>
    <xf numFmtId="0" fontId="15" fillId="9" borderId="0" xfId="0" applyFont="1" applyFill="1" applyAlignment="1">
      <alignment horizontal="center" vertical="center" wrapText="1"/>
    </xf>
    <xf numFmtId="0" fontId="15" fillId="0" borderId="2" xfId="0" applyFont="1" applyBorder="1" applyAlignment="1">
      <alignment horizontal="center" vertical="center" wrapText="1"/>
    </xf>
    <xf numFmtId="0" fontId="19" fillId="4" borderId="0" xfId="0" applyFont="1" applyFill="1" applyAlignment="1">
      <alignment horizontal="center" vertical="center"/>
    </xf>
    <xf numFmtId="0" fontId="15" fillId="9" borderId="0" xfId="0" applyFont="1" applyFill="1" applyAlignment="1">
      <alignment horizontal="center" vertical="center"/>
    </xf>
    <xf numFmtId="0" fontId="14" fillId="9" borderId="0" xfId="0" applyFont="1" applyFill="1" applyAlignment="1">
      <alignment horizontal="center" vertical="center"/>
    </xf>
    <xf numFmtId="168" fontId="15" fillId="0" borderId="0" xfId="0" applyNumberFormat="1" applyFont="1" applyAlignment="1">
      <alignment horizontal="center" vertical="center"/>
    </xf>
    <xf numFmtId="0" fontId="21" fillId="4"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8" fillId="10" borderId="0" xfId="0" applyFont="1" applyFill="1" applyAlignment="1">
      <alignment horizontal="center" vertical="center"/>
    </xf>
    <xf numFmtId="0" fontId="18" fillId="10" borderId="0" xfId="0" applyFont="1" applyFill="1"/>
    <xf numFmtId="0" fontId="14" fillId="0" borderId="0" xfId="0" applyFont="1" applyAlignment="1">
      <alignment horizontal="center" vertical="center" wrapText="1"/>
    </xf>
    <xf numFmtId="0" fontId="15" fillId="9" borderId="0" xfId="0" applyFont="1" applyFill="1" applyAlignment="1">
      <alignment vertical="center" wrapText="1"/>
    </xf>
    <xf numFmtId="0" fontId="14" fillId="9" borderId="0" xfId="0" applyFont="1" applyFill="1" applyAlignment="1">
      <alignment vertical="center" wrapText="1"/>
    </xf>
    <xf numFmtId="0" fontId="14" fillId="0" borderId="0" xfId="0" applyFont="1" applyAlignment="1">
      <alignment horizontal="right" vertical="center" wrapText="1"/>
    </xf>
    <xf numFmtId="0" fontId="14" fillId="9" borderId="0" xfId="0" applyFont="1" applyFill="1" applyAlignment="1">
      <alignment vertical="center"/>
    </xf>
    <xf numFmtId="0" fontId="31" fillId="10" borderId="6" xfId="0" applyFont="1" applyFill="1" applyBorder="1" applyAlignment="1">
      <alignment horizontal="center"/>
    </xf>
    <xf numFmtId="0" fontId="31" fillId="10" borderId="7" xfId="0" applyFont="1" applyFill="1" applyBorder="1" applyAlignment="1">
      <alignment horizontal="center"/>
    </xf>
    <xf numFmtId="0" fontId="31" fillId="10" borderId="8" xfId="0" applyFont="1" applyFill="1" applyBorder="1" applyAlignment="1">
      <alignment horizontal="center"/>
    </xf>
    <xf numFmtId="0" fontId="0" fillId="0" borderId="0" xfId="0" applyAlignment="1">
      <alignment horizontal="center"/>
    </xf>
    <xf numFmtId="10" fontId="28" fillId="9" borderId="0" xfId="1" applyNumberFormat="1" applyFont="1" applyFill="1" applyBorder="1" applyAlignment="1">
      <alignment horizontal="center"/>
    </xf>
    <xf numFmtId="0" fontId="27" fillId="2" borderId="0" xfId="0" applyFont="1" applyFill="1" applyAlignment="1">
      <alignment horizontal="right" vertical="center"/>
    </xf>
    <xf numFmtId="0" fontId="20" fillId="2" borderId="0" xfId="0" applyFont="1" applyFill="1" applyAlignment="1">
      <alignment horizontal="center" vertical="center"/>
    </xf>
    <xf numFmtId="10" fontId="18" fillId="10" borderId="5" xfId="0" applyNumberFormat="1" applyFont="1" applyFill="1" applyBorder="1" applyAlignment="1">
      <alignment horizontal="center" vertical="center"/>
    </xf>
    <xf numFmtId="174" fontId="18" fillId="10" borderId="0" xfId="0" applyNumberFormat="1" applyFont="1" applyFill="1" applyAlignment="1">
      <alignment horizontal="center" vertical="center"/>
    </xf>
    <xf numFmtId="2" fontId="18" fillId="10" borderId="0" xfId="2" applyNumberFormat="1" applyFont="1" applyFill="1" applyAlignment="1">
      <alignment horizontal="center" vertical="center" wrapText="1"/>
    </xf>
    <xf numFmtId="10" fontId="18" fillId="10" borderId="0" xfId="3"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xf>
    <xf numFmtId="0" fontId="14" fillId="0" borderId="0" xfId="0" applyFont="1" applyAlignment="1">
      <alignment horizontal="center"/>
    </xf>
    <xf numFmtId="0" fontId="21" fillId="4" borderId="0" xfId="0" applyFont="1" applyFill="1" applyAlignment="1">
      <alignment vertical="center"/>
    </xf>
    <xf numFmtId="0" fontId="18" fillId="10" borderId="0" xfId="0" applyFont="1" applyFill="1" applyAlignment="1">
      <alignment horizontal="left" vertical="center" wrapText="1"/>
    </xf>
    <xf numFmtId="0" fontId="23" fillId="10" borderId="0" xfId="0" applyFont="1" applyFill="1" applyAlignment="1">
      <alignment vertical="center" wrapText="1"/>
    </xf>
    <xf numFmtId="0" fontId="15" fillId="9" borderId="0" xfId="0" applyFont="1" applyFill="1" applyAlignment="1">
      <alignment vertical="center"/>
    </xf>
  </cellXfs>
  <cellStyles count="9">
    <cellStyle name="Comma" xfId="6" builtinId="3"/>
    <cellStyle name="Comma 5" xfId="4"/>
    <cellStyle name="Hyperlink" xfId="8" builtinId="8"/>
    <cellStyle name="Normal" xfId="0" builtinId="0"/>
    <cellStyle name="Normal_Ajit Projections-Hotel" xfId="5"/>
    <cellStyle name="Normal_QC sheet and key workings - 19oct4" xfId="7"/>
    <cellStyle name="Normal_temp" xfId="2"/>
    <cellStyle name="Percent" xfId="1" builtinId="5"/>
    <cellStyle name="Percent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L'!$B$47</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L'!$D$5:$O$5</c:f>
              <c:numCache>
                <c:formatCode>"FY"\ 0</c:formatCode>
                <c:ptCount val="12"/>
                <c:pt idx="0" formatCode="General">
                  <c:v>2025</c:v>
                </c:pt>
                <c:pt idx="1">
                  <c:v>2026</c:v>
                </c:pt>
                <c:pt idx="2">
                  <c:v>2027</c:v>
                </c:pt>
                <c:pt idx="3">
                  <c:v>2028</c:v>
                </c:pt>
                <c:pt idx="4">
                  <c:v>2029</c:v>
                </c:pt>
                <c:pt idx="5">
                  <c:v>2030</c:v>
                </c:pt>
                <c:pt idx="6">
                  <c:v>2031</c:v>
                </c:pt>
                <c:pt idx="7">
                  <c:v>2032</c:v>
                </c:pt>
                <c:pt idx="8">
                  <c:v>2033</c:v>
                </c:pt>
                <c:pt idx="9">
                  <c:v>2034</c:v>
                </c:pt>
                <c:pt idx="10">
                  <c:v>2035</c:v>
                </c:pt>
                <c:pt idx="11">
                  <c:v>2036</c:v>
                </c:pt>
              </c:numCache>
            </c:numRef>
          </c:cat>
          <c:val>
            <c:numRef>
              <c:f>'P &amp; L'!$D$47:$O$47</c:f>
              <c:numCache>
                <c:formatCode>0.00%</c:formatCode>
                <c:ptCount val="12"/>
                <c:pt idx="0">
                  <c:v>0</c:v>
                </c:pt>
                <c:pt idx="1">
                  <c:v>0.56021649548708374</c:v>
                </c:pt>
                <c:pt idx="2">
                  <c:v>0.56032498332666403</c:v>
                </c:pt>
                <c:pt idx="3">
                  <c:v>0.56042830507864527</c:v>
                </c:pt>
                <c:pt idx="4">
                  <c:v>0.56052670674719873</c:v>
                </c:pt>
                <c:pt idx="5">
                  <c:v>0.56059481719173487</c:v>
                </c:pt>
                <c:pt idx="6">
                  <c:v>0.56222649275346548</c:v>
                </c:pt>
                <c:pt idx="7">
                  <c:v>0.56223926643750388</c:v>
                </c:pt>
                <c:pt idx="8">
                  <c:v>0.56225143185087356</c:v>
                </c:pt>
                <c:pt idx="9">
                  <c:v>0.56226301795884481</c:v>
                </c:pt>
                <c:pt idx="10">
                  <c:v>0.56225198357030071</c:v>
                </c:pt>
                <c:pt idx="11">
                  <c:v>0.56224042373468319</c:v>
                </c:pt>
              </c:numCache>
            </c:numRef>
          </c:val>
          <c:extLst xmlns:c16r2="http://schemas.microsoft.com/office/drawing/2015/06/chart">
            <c:ext xmlns:c16="http://schemas.microsoft.com/office/drawing/2014/chart" uri="{C3380CC4-5D6E-409C-BE32-E72D297353CC}">
              <c16:uniqueId val="{00000000-DF95-4C6C-B9F1-C12E8E8B80B8}"/>
            </c:ext>
          </c:extLst>
        </c:ser>
        <c:dLbls>
          <c:dLblPos val="outEnd"/>
          <c:showLegendKey val="0"/>
          <c:showVal val="1"/>
          <c:showCatName val="0"/>
          <c:showSerName val="0"/>
          <c:showPercent val="0"/>
          <c:showBubbleSize val="0"/>
        </c:dLbls>
        <c:gapWidth val="219"/>
        <c:overlap val="-27"/>
        <c:axId val="150214064"/>
        <c:axId val="151155712"/>
      </c:barChart>
      <c:catAx>
        <c:axId val="1502140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55712"/>
        <c:crosses val="autoZero"/>
        <c:auto val="1"/>
        <c:lblAlgn val="ctr"/>
        <c:lblOffset val="100"/>
        <c:noMultiLvlLbl val="0"/>
      </c:catAx>
      <c:valAx>
        <c:axId val="15115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2705974984736572E-2"/>
              <c:y val="0.3765201224846894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214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L'!$B$49</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L'!$D$5:$O$5</c:f>
              <c:numCache>
                <c:formatCode>"FY"\ 0</c:formatCode>
                <c:ptCount val="12"/>
                <c:pt idx="0" formatCode="General">
                  <c:v>2025</c:v>
                </c:pt>
                <c:pt idx="1">
                  <c:v>2026</c:v>
                </c:pt>
                <c:pt idx="2">
                  <c:v>2027</c:v>
                </c:pt>
                <c:pt idx="3">
                  <c:v>2028</c:v>
                </c:pt>
                <c:pt idx="4">
                  <c:v>2029</c:v>
                </c:pt>
                <c:pt idx="5">
                  <c:v>2030</c:v>
                </c:pt>
                <c:pt idx="6">
                  <c:v>2031</c:v>
                </c:pt>
                <c:pt idx="7">
                  <c:v>2032</c:v>
                </c:pt>
                <c:pt idx="8">
                  <c:v>2033</c:v>
                </c:pt>
                <c:pt idx="9">
                  <c:v>2034</c:v>
                </c:pt>
                <c:pt idx="10">
                  <c:v>2035</c:v>
                </c:pt>
                <c:pt idx="11">
                  <c:v>2036</c:v>
                </c:pt>
              </c:numCache>
            </c:numRef>
          </c:cat>
          <c:val>
            <c:numRef>
              <c:f>'P &amp; L'!$D$49:$O$49</c:f>
              <c:numCache>
                <c:formatCode>0.00%</c:formatCode>
                <c:ptCount val="12"/>
                <c:pt idx="0">
                  <c:v>0</c:v>
                </c:pt>
                <c:pt idx="1">
                  <c:v>0.45041126624355005</c:v>
                </c:pt>
                <c:pt idx="2">
                  <c:v>0.45574857452329859</c:v>
                </c:pt>
                <c:pt idx="3">
                  <c:v>0.46083172526591631</c:v>
                </c:pt>
                <c:pt idx="4">
                  <c:v>0.46567282121126635</c:v>
                </c:pt>
                <c:pt idx="5">
                  <c:v>0.47025778334798973</c:v>
                </c:pt>
                <c:pt idx="6">
                  <c:v>0.47619122242608919</c:v>
                </c:pt>
                <c:pt idx="7">
                  <c:v>0.48030091374476452</c:v>
                </c:pt>
                <c:pt idx="8">
                  <c:v>0.4842149054768361</c:v>
                </c:pt>
                <c:pt idx="9">
                  <c:v>0.48794251665023775</c:v>
                </c:pt>
                <c:pt idx="10">
                  <c:v>0.4914705537525797</c:v>
                </c:pt>
                <c:pt idx="11">
                  <c:v>0.4948295381939965</c:v>
                </c:pt>
              </c:numCache>
            </c:numRef>
          </c:val>
          <c:extLst xmlns:c16r2="http://schemas.microsoft.com/office/drawing/2015/06/chart">
            <c:ext xmlns:c16="http://schemas.microsoft.com/office/drawing/2014/chart" uri="{C3380CC4-5D6E-409C-BE32-E72D297353CC}">
              <c16:uniqueId val="{00000000-1B23-4B3B-94BA-B7B8FBC87B41}"/>
            </c:ext>
          </c:extLst>
        </c:ser>
        <c:dLbls>
          <c:dLblPos val="outEnd"/>
          <c:showLegendKey val="0"/>
          <c:showVal val="1"/>
          <c:showCatName val="0"/>
          <c:showSerName val="0"/>
          <c:showPercent val="0"/>
          <c:showBubbleSize val="0"/>
        </c:dLbls>
        <c:gapWidth val="219"/>
        <c:overlap val="-27"/>
        <c:axId val="323394864"/>
        <c:axId val="322652368"/>
      </c:barChart>
      <c:catAx>
        <c:axId val="3233948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032275346305454"/>
              <c:y val="0.892062254759961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652368"/>
        <c:crosses val="autoZero"/>
        <c:auto val="1"/>
        <c:lblAlgn val="ctr"/>
        <c:lblOffset val="100"/>
        <c:noMultiLvlLbl val="0"/>
      </c:catAx>
      <c:valAx>
        <c:axId val="322652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541641397193166E-2"/>
              <c:y val="0.3678856809565471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39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L'!$B$51</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L'!$D$5:$O$5</c:f>
              <c:numCache>
                <c:formatCode>"FY"\ 0</c:formatCode>
                <c:ptCount val="12"/>
                <c:pt idx="0" formatCode="General">
                  <c:v>2025</c:v>
                </c:pt>
                <c:pt idx="1">
                  <c:v>2026</c:v>
                </c:pt>
                <c:pt idx="2">
                  <c:v>2027</c:v>
                </c:pt>
                <c:pt idx="3">
                  <c:v>2028</c:v>
                </c:pt>
                <c:pt idx="4">
                  <c:v>2029</c:v>
                </c:pt>
                <c:pt idx="5">
                  <c:v>2030</c:v>
                </c:pt>
                <c:pt idx="6">
                  <c:v>2031</c:v>
                </c:pt>
                <c:pt idx="7">
                  <c:v>2032</c:v>
                </c:pt>
                <c:pt idx="8">
                  <c:v>2033</c:v>
                </c:pt>
                <c:pt idx="9">
                  <c:v>2034</c:v>
                </c:pt>
                <c:pt idx="10">
                  <c:v>2035</c:v>
                </c:pt>
                <c:pt idx="11">
                  <c:v>2036</c:v>
                </c:pt>
              </c:numCache>
            </c:numRef>
          </c:cat>
          <c:val>
            <c:numRef>
              <c:f>'P &amp; L'!$D$51:$O$51</c:f>
              <c:numCache>
                <c:formatCode>0.00%</c:formatCode>
                <c:ptCount val="12"/>
                <c:pt idx="0">
                  <c:v>0</c:v>
                </c:pt>
                <c:pt idx="1">
                  <c:v>0.19299748963243057</c:v>
                </c:pt>
                <c:pt idx="2">
                  <c:v>0.20381483664954181</c:v>
                </c:pt>
                <c:pt idx="3">
                  <c:v>0.21479373844829508</c:v>
                </c:pt>
                <c:pt idx="4">
                  <c:v>0.22676390428513205</c:v>
                </c:pt>
                <c:pt idx="5">
                  <c:v>0.23949245880926859</c:v>
                </c:pt>
                <c:pt idx="6">
                  <c:v>0.25249507467078769</c:v>
                </c:pt>
                <c:pt idx="7">
                  <c:v>0.26369402729957303</c:v>
                </c:pt>
                <c:pt idx="8">
                  <c:v>0.27479650512799719</c:v>
                </c:pt>
                <c:pt idx="9">
                  <c:v>0.28574385928129886</c:v>
                </c:pt>
                <c:pt idx="10">
                  <c:v>0.29647207750853632</c:v>
                </c:pt>
                <c:pt idx="11">
                  <c:v>0.30603095001206315</c:v>
                </c:pt>
              </c:numCache>
            </c:numRef>
          </c:val>
          <c:extLst xmlns:c16r2="http://schemas.microsoft.com/office/drawing/2015/06/chart">
            <c:ext xmlns:c16="http://schemas.microsoft.com/office/drawing/2014/chart" uri="{C3380CC4-5D6E-409C-BE32-E72D297353CC}">
              <c16:uniqueId val="{00000000-7B76-421E-B574-4EB862CE1FA8}"/>
            </c:ext>
          </c:extLst>
        </c:ser>
        <c:dLbls>
          <c:dLblPos val="outEnd"/>
          <c:showLegendKey val="0"/>
          <c:showVal val="1"/>
          <c:showCatName val="0"/>
          <c:showSerName val="0"/>
          <c:showPercent val="0"/>
          <c:showBubbleSize val="0"/>
        </c:dLbls>
        <c:gapWidth val="219"/>
        <c:overlap val="-27"/>
        <c:axId val="322757024"/>
        <c:axId val="322757408"/>
      </c:barChart>
      <c:catAx>
        <c:axId val="32275702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757408"/>
        <c:crosses val="autoZero"/>
        <c:auto val="1"/>
        <c:lblAlgn val="ctr"/>
        <c:lblOffset val="100"/>
        <c:noMultiLvlLbl val="0"/>
      </c:catAx>
      <c:valAx>
        <c:axId val="322757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497558301847523E-2"/>
              <c:y val="0.372303762029746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75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L'!$B$53</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L'!$D$5:$O$5</c:f>
              <c:numCache>
                <c:formatCode>"FY"\ 0</c:formatCode>
                <c:ptCount val="12"/>
                <c:pt idx="0" formatCode="General">
                  <c:v>2025</c:v>
                </c:pt>
                <c:pt idx="1">
                  <c:v>2026</c:v>
                </c:pt>
                <c:pt idx="2">
                  <c:v>2027</c:v>
                </c:pt>
                <c:pt idx="3">
                  <c:v>2028</c:v>
                </c:pt>
                <c:pt idx="4">
                  <c:v>2029</c:v>
                </c:pt>
                <c:pt idx="5">
                  <c:v>2030</c:v>
                </c:pt>
                <c:pt idx="6">
                  <c:v>2031</c:v>
                </c:pt>
                <c:pt idx="7">
                  <c:v>2032</c:v>
                </c:pt>
                <c:pt idx="8">
                  <c:v>2033</c:v>
                </c:pt>
                <c:pt idx="9">
                  <c:v>2034</c:v>
                </c:pt>
                <c:pt idx="10">
                  <c:v>2035</c:v>
                </c:pt>
                <c:pt idx="11">
                  <c:v>2036</c:v>
                </c:pt>
              </c:numCache>
            </c:numRef>
          </c:cat>
          <c:val>
            <c:numRef>
              <c:f>'P &amp; L'!$D$53:$O$53</c:f>
              <c:numCache>
                <c:formatCode>0.00%</c:formatCode>
                <c:ptCount val="12"/>
                <c:pt idx="1">
                  <c:v>0</c:v>
                </c:pt>
                <c:pt idx="2">
                  <c:v>5.0000000000000044E-2</c:v>
                </c:pt>
                <c:pt idx="3">
                  <c:v>5.0000000000000044E-2</c:v>
                </c:pt>
                <c:pt idx="4">
                  <c:v>4.9999999999999822E-2</c:v>
                </c:pt>
                <c:pt idx="5">
                  <c:v>5.0000000000000044E-2</c:v>
                </c:pt>
                <c:pt idx="6">
                  <c:v>5.0000000000000044E-2</c:v>
                </c:pt>
                <c:pt idx="7">
                  <c:v>5.0000000000000044E-2</c:v>
                </c:pt>
                <c:pt idx="8">
                  <c:v>5.0000000000000044E-2</c:v>
                </c:pt>
                <c:pt idx="9">
                  <c:v>5.0000000000000044E-2</c:v>
                </c:pt>
                <c:pt idx="10">
                  <c:v>4.9999999999999822E-2</c:v>
                </c:pt>
                <c:pt idx="11">
                  <c:v>5.0000000000000044E-2</c:v>
                </c:pt>
              </c:numCache>
            </c:numRef>
          </c:val>
          <c:extLst xmlns:c16r2="http://schemas.microsoft.com/office/drawing/2015/06/chart">
            <c:ext xmlns:c16="http://schemas.microsoft.com/office/drawing/2014/chart" uri="{C3380CC4-5D6E-409C-BE32-E72D297353CC}">
              <c16:uniqueId val="{00000000-5E2B-4EA9-9A4B-F640C3DF5914}"/>
            </c:ext>
          </c:extLst>
        </c:ser>
        <c:dLbls>
          <c:dLblPos val="outEnd"/>
          <c:showLegendKey val="0"/>
          <c:showVal val="1"/>
          <c:showCatName val="0"/>
          <c:showSerName val="0"/>
          <c:showPercent val="0"/>
          <c:showBubbleSize val="0"/>
        </c:dLbls>
        <c:gapWidth val="219"/>
        <c:overlap val="-27"/>
        <c:axId val="322736072"/>
        <c:axId val="323167624"/>
      </c:barChart>
      <c:catAx>
        <c:axId val="32273607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597525815554316"/>
              <c:y val="0.912392681577364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167624"/>
        <c:crosses val="autoZero"/>
        <c:auto val="1"/>
        <c:lblAlgn val="ctr"/>
        <c:lblOffset val="100"/>
        <c:noMultiLvlLbl val="0"/>
      </c:catAx>
      <c:valAx>
        <c:axId val="323167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a:t>
                </a:r>
                <a:r>
                  <a:rPr lang="en-IN" b="1" i="1" baseline="0"/>
                  <a:t> %</a:t>
                </a:r>
                <a:endParaRPr lang="en-IN" b="1" i="1"/>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736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219075</xdr:colOff>
      <xdr:row>56</xdr:row>
      <xdr:rowOff>28574</xdr:rowOff>
    </xdr:from>
    <xdr:to>
      <xdr:col>14</xdr:col>
      <xdr:colOff>228600</xdr:colOff>
      <xdr:row>71</xdr:row>
      <xdr:rowOff>19049</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72</xdr:row>
      <xdr:rowOff>76199</xdr:rowOff>
    </xdr:from>
    <xdr:to>
      <xdr:col>14</xdr:col>
      <xdr:colOff>247650</xdr:colOff>
      <xdr:row>88</xdr:row>
      <xdr:rowOff>9525</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247650</xdr:colOff>
      <xdr:row>88</xdr:row>
      <xdr:rowOff>133349</xdr:rowOff>
    </xdr:from>
    <xdr:to>
      <xdr:col>14</xdr:col>
      <xdr:colOff>238125</xdr:colOff>
      <xdr:row>104</xdr:row>
      <xdr:rowOff>123825</xdr:rowOff>
    </xdr:to>
    <xdr:graphicFrame macro="">
      <xdr:nvGraphicFramePr>
        <xdr:cNvPr id="4" name="Chart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257175</xdr:colOff>
      <xdr:row>105</xdr:row>
      <xdr:rowOff>66674</xdr:rowOff>
    </xdr:from>
    <xdr:to>
      <xdr:col>14</xdr:col>
      <xdr:colOff>228600</xdr:colOff>
      <xdr:row>120</xdr:row>
      <xdr:rowOff>171450</xdr:rowOff>
    </xdr:to>
    <xdr:graphicFrame macro="">
      <xdr:nvGraphicFramePr>
        <xdr:cNvPr id="5" name="Chart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hyperlink" Target="https://pib.gov.in/PressReleasePage.aspx?PRID=1935893" TargetMode="External"/><Relationship Id="rId2" Type="http://schemas.openxmlformats.org/officeDocument/2006/relationships/hyperlink" Target="https://www.google.com/maps/place/29%C2%B037'25.6%22N+77%C2%B059'36.7%22E/@29.6228603,77.9793391,1059m/data=!3m1!1e3!4m4!3m3!8m2!3d29.6237778!4d77.9935278?entry=ttu" TargetMode="External"/><Relationship Id="rId1" Type="http://schemas.openxmlformats.org/officeDocument/2006/relationships/hyperlink" Target="https://www.downtoearth.org.in/blog/energy/budget-kick-keep-these-factors-in-mind-while-setting-up-a-bio-cng-plant-87471" TargetMode="External"/><Relationship Id="rId5" Type="http://schemas.openxmlformats.org/officeDocument/2006/relationships/printerSettings" Target="../printerSettings/printerSettings9.bin"/><Relationship Id="rId4" Type="http://schemas.openxmlformats.org/officeDocument/2006/relationships/hyperlink" Target="https://gobardhan.co.i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kunaldesai.blog/nifty-50-cagr-last-20-year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2:M204"/>
  <sheetViews>
    <sheetView showGridLines="0" topLeftCell="A49" zoomScaleNormal="100" workbookViewId="0">
      <selection activeCell="G188" sqref="G188"/>
    </sheetView>
  </sheetViews>
  <sheetFormatPr defaultColWidth="13" defaultRowHeight="15" x14ac:dyDescent="0.25"/>
  <cols>
    <col min="1" max="1" width="4.42578125" style="44" customWidth="1"/>
    <col min="2" max="2" width="9.5703125" style="44" customWidth="1"/>
    <col min="3" max="3" width="47.42578125" style="45" customWidth="1"/>
    <col min="4" max="4" width="13.7109375" style="44" customWidth="1"/>
    <col min="5" max="5" width="13.42578125" style="44" customWidth="1"/>
    <col min="6" max="6" width="20.28515625" style="44" customWidth="1"/>
    <col min="7" max="7" width="21" style="44" customWidth="1"/>
    <col min="8" max="8" width="19.42578125" style="44" customWidth="1"/>
    <col min="9" max="9" width="16" style="44" bestFit="1" customWidth="1"/>
    <col min="10" max="12" width="13" style="44"/>
    <col min="13" max="13" width="22.42578125" style="44" customWidth="1"/>
    <col min="14" max="16384" width="13" style="44"/>
  </cols>
  <sheetData>
    <row r="2" spans="2:9" ht="20.25" customHeight="1" x14ac:dyDescent="0.25">
      <c r="B2" s="351" t="s">
        <v>6</v>
      </c>
      <c r="C2" s="351"/>
      <c r="D2" s="351"/>
      <c r="E2" s="351"/>
      <c r="F2" s="351"/>
      <c r="G2" s="351"/>
    </row>
    <row r="3" spans="2:9" s="66" customFormat="1" ht="21" customHeight="1" x14ac:dyDescent="0.25">
      <c r="B3" s="70" t="s">
        <v>0</v>
      </c>
      <c r="C3" s="70" t="s">
        <v>1</v>
      </c>
      <c r="D3" s="70" t="s">
        <v>2</v>
      </c>
      <c r="E3" s="70" t="s">
        <v>3</v>
      </c>
      <c r="F3" s="70" t="s">
        <v>4</v>
      </c>
      <c r="G3" s="70" t="s">
        <v>713</v>
      </c>
    </row>
    <row r="4" spans="2:9" ht="18.75" customHeight="1" x14ac:dyDescent="0.25">
      <c r="B4" s="71" t="s">
        <v>90</v>
      </c>
      <c r="C4" s="349" t="s">
        <v>411</v>
      </c>
      <c r="D4" s="353"/>
      <c r="E4" s="353"/>
      <c r="F4" s="353"/>
      <c r="G4" s="353"/>
    </row>
    <row r="5" spans="2:9" x14ac:dyDescent="0.25">
      <c r="B5" s="44">
        <v>1</v>
      </c>
      <c r="C5" s="45" t="s">
        <v>714</v>
      </c>
    </row>
    <row r="6" spans="2:9" ht="14.1" customHeight="1" x14ac:dyDescent="0.25">
      <c r="D6" s="48"/>
      <c r="F6" s="48"/>
      <c r="G6" s="63"/>
    </row>
    <row r="7" spans="2:9" ht="14.1" customHeight="1" x14ac:dyDescent="0.25">
      <c r="D7" s="48"/>
      <c r="F7" s="48"/>
      <c r="G7" s="63"/>
    </row>
    <row r="8" spans="2:9" x14ac:dyDescent="0.25">
      <c r="D8" s="48"/>
      <c r="F8" s="48"/>
      <c r="G8" s="63"/>
    </row>
    <row r="9" spans="2:9" s="47" customFormat="1" ht="22.5" customHeight="1" x14ac:dyDescent="0.25">
      <c r="B9" s="74"/>
      <c r="C9" s="75" t="s">
        <v>725</v>
      </c>
      <c r="D9" s="74"/>
      <c r="E9" s="74"/>
      <c r="F9" s="74"/>
      <c r="G9" s="76">
        <v>5000000</v>
      </c>
      <c r="I9" s="49"/>
    </row>
    <row r="10" spans="2:9" ht="22.5" customHeight="1" x14ac:dyDescent="0.25">
      <c r="B10" s="71" t="s">
        <v>91</v>
      </c>
      <c r="C10" s="349" t="s">
        <v>118</v>
      </c>
      <c r="D10" s="352"/>
      <c r="E10" s="352"/>
      <c r="F10" s="352"/>
      <c r="G10" s="352"/>
    </row>
    <row r="11" spans="2:9" ht="22.5" customHeight="1" x14ac:dyDescent="0.25">
      <c r="B11" s="47">
        <v>1</v>
      </c>
      <c r="C11" s="50" t="s">
        <v>119</v>
      </c>
      <c r="F11" s="48"/>
      <c r="G11" s="63"/>
    </row>
    <row r="12" spans="2:9" ht="22.5" customHeight="1" x14ac:dyDescent="0.25">
      <c r="B12" s="44" t="s">
        <v>96</v>
      </c>
      <c r="C12" s="45" t="s">
        <v>345</v>
      </c>
      <c r="D12" s="48">
        <v>225</v>
      </c>
      <c r="E12" s="44" t="s">
        <v>353</v>
      </c>
      <c r="F12" s="48">
        <v>1400</v>
      </c>
      <c r="G12" s="63">
        <f>D12*F12</f>
        <v>315000</v>
      </c>
      <c r="H12" s="301"/>
    </row>
    <row r="13" spans="2:9" ht="22.5" customHeight="1" x14ac:dyDescent="0.25">
      <c r="B13" s="44" t="s">
        <v>97</v>
      </c>
      <c r="C13" s="45" t="s">
        <v>639</v>
      </c>
      <c r="D13" s="48">
        <v>320</v>
      </c>
      <c r="E13" s="44" t="s">
        <v>353</v>
      </c>
      <c r="F13" s="48">
        <v>6700</v>
      </c>
      <c r="G13" s="63">
        <f t="shared" ref="G13:G22" si="0">D13*F13</f>
        <v>2144000</v>
      </c>
      <c r="H13" s="301"/>
    </row>
    <row r="14" spans="2:9" ht="22.5" customHeight="1" x14ac:dyDescent="0.25">
      <c r="B14" s="44" t="s">
        <v>98</v>
      </c>
      <c r="C14" s="45" t="s">
        <v>343</v>
      </c>
      <c r="D14" s="48">
        <v>16</v>
      </c>
      <c r="E14" s="44" t="s">
        <v>353</v>
      </c>
      <c r="F14" s="48">
        <v>7500</v>
      </c>
      <c r="G14" s="63">
        <f t="shared" si="0"/>
        <v>120000</v>
      </c>
      <c r="H14" s="301"/>
    </row>
    <row r="15" spans="2:9" ht="22.5" customHeight="1" x14ac:dyDescent="0.25">
      <c r="B15" s="44" t="s">
        <v>105</v>
      </c>
      <c r="C15" s="45" t="s">
        <v>344</v>
      </c>
      <c r="D15" s="48">
        <v>3</v>
      </c>
      <c r="E15" s="44" t="s">
        <v>186</v>
      </c>
      <c r="F15" s="48">
        <v>225000</v>
      </c>
      <c r="G15" s="63">
        <f t="shared" si="0"/>
        <v>675000</v>
      </c>
      <c r="H15" s="301"/>
    </row>
    <row r="16" spans="2:9" ht="22.5" customHeight="1" x14ac:dyDescent="0.25">
      <c r="B16" s="44" t="s">
        <v>106</v>
      </c>
      <c r="C16" s="45" t="s">
        <v>755</v>
      </c>
      <c r="D16" s="48">
        <v>700</v>
      </c>
      <c r="E16" s="44" t="s">
        <v>211</v>
      </c>
      <c r="F16" s="48">
        <v>6700</v>
      </c>
      <c r="G16" s="63">
        <f t="shared" si="0"/>
        <v>4690000</v>
      </c>
      <c r="H16" s="301"/>
    </row>
    <row r="17" spans="2:10" ht="35.1" customHeight="1" x14ac:dyDescent="0.25">
      <c r="B17" s="44" t="s">
        <v>107</v>
      </c>
      <c r="C17" s="45" t="s">
        <v>756</v>
      </c>
      <c r="D17" s="48">
        <v>5000</v>
      </c>
      <c r="E17" s="44" t="s">
        <v>353</v>
      </c>
      <c r="F17" s="48">
        <v>1100</v>
      </c>
      <c r="G17" s="63">
        <f t="shared" si="0"/>
        <v>5500000</v>
      </c>
      <c r="H17" s="301"/>
    </row>
    <row r="18" spans="2:10" ht="22.5" customHeight="1" x14ac:dyDescent="0.25">
      <c r="B18" s="44" t="s">
        <v>108</v>
      </c>
      <c r="C18" s="45" t="s">
        <v>681</v>
      </c>
      <c r="D18" s="48">
        <v>350</v>
      </c>
      <c r="E18" s="44" t="s">
        <v>353</v>
      </c>
      <c r="F18" s="48">
        <v>2800</v>
      </c>
      <c r="G18" s="63">
        <f t="shared" si="0"/>
        <v>980000</v>
      </c>
      <c r="H18" s="301"/>
      <c r="I18" s="44" t="s">
        <v>872</v>
      </c>
      <c r="J18" s="44">
        <v>16</v>
      </c>
    </row>
    <row r="19" spans="2:10" ht="22.5" customHeight="1" x14ac:dyDescent="0.25">
      <c r="B19" s="44" t="s">
        <v>109</v>
      </c>
      <c r="C19" s="45" t="s">
        <v>649</v>
      </c>
      <c r="D19" s="48">
        <v>600</v>
      </c>
      <c r="E19" s="44" t="s">
        <v>354</v>
      </c>
      <c r="F19" s="48">
        <v>5000</v>
      </c>
      <c r="G19" s="63">
        <f>D19*F19</f>
        <v>3000000</v>
      </c>
      <c r="H19" s="301"/>
      <c r="J19" s="54">
        <f>(4/3)*(22/7)*16^3</f>
        <v>17164.190476190473</v>
      </c>
    </row>
    <row r="20" spans="2:10" ht="22.5" customHeight="1" x14ac:dyDescent="0.25">
      <c r="B20" s="44" t="s">
        <v>90</v>
      </c>
      <c r="C20" s="45" t="s">
        <v>593</v>
      </c>
      <c r="D20" s="48">
        <v>610</v>
      </c>
      <c r="E20" s="44" t="s">
        <v>353</v>
      </c>
      <c r="F20" s="48">
        <v>6700</v>
      </c>
      <c r="G20" s="63">
        <f t="shared" si="0"/>
        <v>4087000</v>
      </c>
      <c r="H20" s="301"/>
      <c r="J20" s="303" t="s">
        <v>873</v>
      </c>
    </row>
    <row r="21" spans="2:10" ht="22.5" customHeight="1" x14ac:dyDescent="0.25">
      <c r="B21" s="44" t="s">
        <v>110</v>
      </c>
      <c r="C21" s="45" t="s">
        <v>635</v>
      </c>
      <c r="D21" s="48">
        <v>7234</v>
      </c>
      <c r="E21" s="44" t="s">
        <v>354</v>
      </c>
      <c r="F21" s="48">
        <v>2450</v>
      </c>
      <c r="G21" s="63">
        <f t="shared" si="0"/>
        <v>17723300</v>
      </c>
      <c r="H21" s="301"/>
      <c r="J21" s="107">
        <f>(3.14)*16^2*9</f>
        <v>7234.56</v>
      </c>
    </row>
    <row r="22" spans="2:10" ht="22.5" customHeight="1" x14ac:dyDescent="0.25">
      <c r="B22" s="44" t="s">
        <v>346</v>
      </c>
      <c r="C22" s="45" t="s">
        <v>635</v>
      </c>
      <c r="D22" s="48">
        <v>7234</v>
      </c>
      <c r="E22" s="44" t="s">
        <v>354</v>
      </c>
      <c r="F22" s="48">
        <v>2450</v>
      </c>
      <c r="G22" s="63">
        <f t="shared" si="0"/>
        <v>17723300</v>
      </c>
      <c r="H22" s="301"/>
      <c r="J22" s="44">
        <f>3.14*32*32*9/4</f>
        <v>7234.56</v>
      </c>
    </row>
    <row r="23" spans="2:10" ht="22.5" customHeight="1" x14ac:dyDescent="0.25">
      <c r="B23" s="44" t="s">
        <v>341</v>
      </c>
      <c r="C23" s="45" t="s">
        <v>592</v>
      </c>
      <c r="D23" s="48">
        <v>100</v>
      </c>
      <c r="E23" s="44" t="s">
        <v>354</v>
      </c>
      <c r="F23" s="48">
        <v>5000</v>
      </c>
      <c r="G23" s="63">
        <f t="shared" ref="G23:G31" si="1">(D23*F23)</f>
        <v>500000</v>
      </c>
      <c r="H23" s="301"/>
    </row>
    <row r="24" spans="2:10" ht="22.5" customHeight="1" x14ac:dyDescent="0.25">
      <c r="B24" s="44" t="s">
        <v>347</v>
      </c>
      <c r="C24" s="45" t="s">
        <v>406</v>
      </c>
      <c r="D24" s="48">
        <v>24</v>
      </c>
      <c r="E24" s="44" t="s">
        <v>353</v>
      </c>
      <c r="F24" s="48">
        <v>10000</v>
      </c>
      <c r="G24" s="63">
        <f t="shared" si="1"/>
        <v>240000</v>
      </c>
      <c r="H24" s="301"/>
    </row>
    <row r="25" spans="2:10" ht="22.5" customHeight="1" x14ac:dyDescent="0.25">
      <c r="B25" s="44" t="s">
        <v>348</v>
      </c>
      <c r="C25" s="45" t="s">
        <v>594</v>
      </c>
      <c r="D25" s="48">
        <v>600</v>
      </c>
      <c r="E25" s="44" t="s">
        <v>353</v>
      </c>
      <c r="F25" s="48">
        <v>6700</v>
      </c>
      <c r="G25" s="63">
        <f t="shared" si="1"/>
        <v>4020000</v>
      </c>
      <c r="H25" s="301"/>
    </row>
    <row r="26" spans="2:10" ht="22.5" customHeight="1" x14ac:dyDescent="0.25">
      <c r="B26" s="44" t="s">
        <v>349</v>
      </c>
      <c r="C26" s="45" t="s">
        <v>595</v>
      </c>
      <c r="D26" s="48">
        <v>400</v>
      </c>
      <c r="E26" s="44" t="s">
        <v>596</v>
      </c>
      <c r="F26" s="48">
        <v>5000</v>
      </c>
      <c r="G26" s="63">
        <f>(D26*F26)</f>
        <v>2000000</v>
      </c>
      <c r="H26" s="301"/>
    </row>
    <row r="27" spans="2:10" ht="22.5" customHeight="1" x14ac:dyDescent="0.25">
      <c r="B27" s="44" t="s">
        <v>350</v>
      </c>
      <c r="C27" s="51" t="s">
        <v>686</v>
      </c>
      <c r="D27" s="44">
        <v>552</v>
      </c>
      <c r="E27" s="44" t="s">
        <v>353</v>
      </c>
      <c r="F27" s="48">
        <v>1000</v>
      </c>
      <c r="G27" s="63">
        <f>(D27*F27)</f>
        <v>552000</v>
      </c>
      <c r="H27" s="301"/>
    </row>
    <row r="28" spans="2:10" ht="30" x14ac:dyDescent="0.25">
      <c r="B28" s="44" t="s">
        <v>351</v>
      </c>
      <c r="C28" s="45" t="s">
        <v>682</v>
      </c>
      <c r="D28" s="48">
        <v>91</v>
      </c>
      <c r="E28" s="44" t="s">
        <v>353</v>
      </c>
      <c r="F28" s="48">
        <v>9000</v>
      </c>
      <c r="G28" s="63">
        <f>(D28*F28)</f>
        <v>819000</v>
      </c>
      <c r="H28" s="301"/>
    </row>
    <row r="29" spans="2:10" ht="22.5" customHeight="1" x14ac:dyDescent="0.25">
      <c r="B29" s="44" t="s">
        <v>352</v>
      </c>
      <c r="C29" s="45" t="s">
        <v>683</v>
      </c>
      <c r="D29" s="48">
        <v>225</v>
      </c>
      <c r="E29" s="44" t="s">
        <v>353</v>
      </c>
      <c r="F29" s="48">
        <v>15000</v>
      </c>
      <c r="G29" s="63">
        <f>(D29*F29)</f>
        <v>3375000</v>
      </c>
      <c r="H29" s="301"/>
    </row>
    <row r="30" spans="2:10" ht="22.5" customHeight="1" x14ac:dyDescent="0.25">
      <c r="B30" s="44" t="s">
        <v>597</v>
      </c>
      <c r="C30" s="51" t="s">
        <v>685</v>
      </c>
      <c r="D30" s="44">
        <v>165</v>
      </c>
      <c r="E30" s="44" t="s">
        <v>353</v>
      </c>
      <c r="F30" s="48">
        <v>10000</v>
      </c>
      <c r="G30" s="63">
        <f>(D30*F30)</f>
        <v>1650000</v>
      </c>
      <c r="H30" s="301"/>
    </row>
    <row r="31" spans="2:10" ht="22.5" customHeight="1" x14ac:dyDescent="0.25">
      <c r="B31" s="44" t="s">
        <v>684</v>
      </c>
      <c r="C31" s="45" t="s">
        <v>687</v>
      </c>
      <c r="D31" s="48">
        <v>20</v>
      </c>
      <c r="E31" s="44" t="s">
        <v>353</v>
      </c>
      <c r="F31" s="48">
        <v>6500</v>
      </c>
      <c r="G31" s="63">
        <f t="shared" si="1"/>
        <v>130000</v>
      </c>
      <c r="H31" s="301"/>
    </row>
    <row r="32" spans="2:10" s="47" customFormat="1" ht="22.5" customHeight="1" x14ac:dyDescent="0.25">
      <c r="B32" s="74"/>
      <c r="C32" s="80" t="s">
        <v>117</v>
      </c>
      <c r="D32" s="81"/>
      <c r="E32" s="82"/>
      <c r="F32" s="81"/>
      <c r="G32" s="76">
        <f>SUM(G11:G31)</f>
        <v>70243600</v>
      </c>
      <c r="H32" s="302"/>
    </row>
    <row r="33" spans="2:9" s="47" customFormat="1" ht="22.5" customHeight="1" x14ac:dyDescent="0.25">
      <c r="B33" s="47">
        <v>2</v>
      </c>
      <c r="C33" s="50" t="s">
        <v>355</v>
      </c>
      <c r="F33" s="52"/>
      <c r="G33" s="48"/>
    </row>
    <row r="34" spans="2:9" s="47" customFormat="1" ht="22.5" customHeight="1" x14ac:dyDescent="0.25">
      <c r="B34" s="44" t="s">
        <v>96</v>
      </c>
      <c r="C34" s="53" t="s">
        <v>591</v>
      </c>
      <c r="D34" s="54">
        <v>519</v>
      </c>
      <c r="E34" s="44" t="s">
        <v>353</v>
      </c>
      <c r="F34" s="48">
        <v>1000</v>
      </c>
      <c r="G34" s="63">
        <f t="shared" ref="G34:G41" si="2">(D34*F34)</f>
        <v>519000</v>
      </c>
      <c r="H34" s="301"/>
    </row>
    <row r="35" spans="2:9" s="47" customFormat="1" ht="22.5" customHeight="1" x14ac:dyDescent="0.25">
      <c r="B35" s="44" t="s">
        <v>97</v>
      </c>
      <c r="C35" s="53" t="s">
        <v>586</v>
      </c>
      <c r="D35" s="54">
        <v>150</v>
      </c>
      <c r="E35" s="44" t="s">
        <v>353</v>
      </c>
      <c r="F35" s="48">
        <v>1000</v>
      </c>
      <c r="G35" s="63">
        <f t="shared" si="2"/>
        <v>150000</v>
      </c>
      <c r="H35" s="301"/>
    </row>
    <row r="36" spans="2:9" s="47" customFormat="1" ht="22.5" customHeight="1" x14ac:dyDescent="0.25">
      <c r="B36" s="44" t="s">
        <v>98</v>
      </c>
      <c r="C36" s="53" t="s">
        <v>587</v>
      </c>
      <c r="D36" s="54">
        <v>76</v>
      </c>
      <c r="E36" s="44" t="s">
        <v>353</v>
      </c>
      <c r="F36" s="48">
        <v>1000</v>
      </c>
      <c r="G36" s="63">
        <f t="shared" si="2"/>
        <v>76000</v>
      </c>
      <c r="H36" s="301"/>
    </row>
    <row r="37" spans="2:9" s="47" customFormat="1" ht="22.5" customHeight="1" x14ac:dyDescent="0.25">
      <c r="B37" s="44" t="s">
        <v>105</v>
      </c>
      <c r="C37" s="53" t="s">
        <v>588</v>
      </c>
      <c r="D37" s="54">
        <v>100</v>
      </c>
      <c r="E37" s="44" t="s">
        <v>353</v>
      </c>
      <c r="F37" s="48">
        <v>1000</v>
      </c>
      <c r="G37" s="63">
        <f t="shared" si="2"/>
        <v>100000</v>
      </c>
      <c r="H37" s="301"/>
    </row>
    <row r="38" spans="2:9" s="47" customFormat="1" ht="22.5" customHeight="1" x14ac:dyDescent="0.25">
      <c r="B38" s="44" t="s">
        <v>106</v>
      </c>
      <c r="C38" s="53" t="s">
        <v>589</v>
      </c>
      <c r="D38" s="54">
        <v>238</v>
      </c>
      <c r="E38" s="44" t="s">
        <v>353</v>
      </c>
      <c r="F38" s="48">
        <v>4000</v>
      </c>
      <c r="G38" s="63">
        <f t="shared" si="2"/>
        <v>952000</v>
      </c>
      <c r="H38" s="301"/>
    </row>
    <row r="39" spans="2:9" s="47" customFormat="1" ht="22.5" customHeight="1" x14ac:dyDescent="0.25">
      <c r="B39" s="44" t="s">
        <v>107</v>
      </c>
      <c r="C39" s="53" t="s">
        <v>356</v>
      </c>
      <c r="D39" s="54">
        <v>12</v>
      </c>
      <c r="E39" s="44" t="s">
        <v>353</v>
      </c>
      <c r="F39" s="48">
        <v>1500</v>
      </c>
      <c r="G39" s="63">
        <f t="shared" si="2"/>
        <v>18000</v>
      </c>
      <c r="H39" s="301"/>
    </row>
    <row r="40" spans="2:9" s="47" customFormat="1" ht="22.5" customHeight="1" x14ac:dyDescent="0.25">
      <c r="B40" s="44" t="s">
        <v>108</v>
      </c>
      <c r="C40" s="53" t="s">
        <v>590</v>
      </c>
      <c r="D40" s="54">
        <v>36</v>
      </c>
      <c r="E40" s="44" t="s">
        <v>353</v>
      </c>
      <c r="F40" s="48">
        <v>3500</v>
      </c>
      <c r="G40" s="63">
        <f t="shared" si="2"/>
        <v>126000</v>
      </c>
      <c r="H40" s="301"/>
    </row>
    <row r="41" spans="2:9" s="47" customFormat="1" ht="22.5" customHeight="1" x14ac:dyDescent="0.25">
      <c r="B41" s="44" t="s">
        <v>109</v>
      </c>
      <c r="C41" s="53" t="s">
        <v>407</v>
      </c>
      <c r="D41" s="54">
        <v>1</v>
      </c>
      <c r="E41" s="44" t="s">
        <v>215</v>
      </c>
      <c r="F41" s="48">
        <v>100000</v>
      </c>
      <c r="G41" s="63">
        <f t="shared" si="2"/>
        <v>100000</v>
      </c>
      <c r="H41" s="301"/>
    </row>
    <row r="42" spans="2:9" s="47" customFormat="1" ht="22.5" customHeight="1" x14ac:dyDescent="0.25">
      <c r="B42" s="82"/>
      <c r="C42" s="80" t="s">
        <v>5</v>
      </c>
      <c r="D42" s="81"/>
      <c r="E42" s="74"/>
      <c r="F42" s="81"/>
      <c r="G42" s="76">
        <f>SUM(G34:G41)</f>
        <v>2041000</v>
      </c>
      <c r="H42" s="302"/>
    </row>
    <row r="43" spans="2:9" ht="22.5" customHeight="1" x14ac:dyDescent="0.25">
      <c r="B43" s="47">
        <v>3</v>
      </c>
      <c r="C43" s="50" t="s">
        <v>120</v>
      </c>
      <c r="F43" s="48"/>
      <c r="G43" s="63"/>
    </row>
    <row r="44" spans="2:9" ht="22.5" customHeight="1" x14ac:dyDescent="0.25">
      <c r="C44" s="53"/>
      <c r="F44" s="48"/>
      <c r="G44" s="63"/>
    </row>
    <row r="45" spans="2:9" ht="22.5" customHeight="1" x14ac:dyDescent="0.25">
      <c r="B45" s="44" t="s">
        <v>96</v>
      </c>
      <c r="C45" s="53" t="s">
        <v>223</v>
      </c>
      <c r="D45" s="44">
        <v>1</v>
      </c>
      <c r="E45" s="44" t="s">
        <v>212</v>
      </c>
      <c r="F45" s="48">
        <v>287400</v>
      </c>
      <c r="G45" s="63">
        <f>(D45*F45)</f>
        <v>287400</v>
      </c>
      <c r="H45" s="301"/>
    </row>
    <row r="46" spans="2:9" ht="22.5" customHeight="1" x14ac:dyDescent="0.25">
      <c r="B46" s="44" t="s">
        <v>97</v>
      </c>
      <c r="C46" s="53" t="s">
        <v>382</v>
      </c>
      <c r="D46" s="44">
        <v>2000</v>
      </c>
      <c r="E46" s="44" t="s">
        <v>213</v>
      </c>
      <c r="F46" s="48">
        <v>6</v>
      </c>
      <c r="G46" s="63">
        <f>(D46*F46)</f>
        <v>12000</v>
      </c>
      <c r="H46" s="301"/>
      <c r="I46" s="44">
        <f>F49*12%</f>
        <v>8710080</v>
      </c>
    </row>
    <row r="47" spans="2:9" s="47" customFormat="1" ht="22.5" customHeight="1" x14ac:dyDescent="0.25">
      <c r="B47" s="74"/>
      <c r="C47" s="80" t="s">
        <v>5</v>
      </c>
      <c r="D47" s="74"/>
      <c r="E47" s="74"/>
      <c r="F47" s="81"/>
      <c r="G47" s="76">
        <f>SUM(G44:G46)</f>
        <v>299400</v>
      </c>
      <c r="H47" s="302"/>
      <c r="I47" s="302">
        <v>8710080</v>
      </c>
    </row>
    <row r="48" spans="2:9" ht="22.5" customHeight="1" x14ac:dyDescent="0.25">
      <c r="B48" s="47">
        <v>4</v>
      </c>
      <c r="C48" s="50" t="s">
        <v>342</v>
      </c>
    </row>
    <row r="49" spans="2:9" ht="22.5" customHeight="1" x14ac:dyDescent="0.25">
      <c r="B49" s="44" t="s">
        <v>96</v>
      </c>
      <c r="C49" s="45" t="s">
        <v>546</v>
      </c>
      <c r="D49" s="44">
        <v>12</v>
      </c>
      <c r="E49" s="44" t="s">
        <v>8</v>
      </c>
      <c r="F49" s="48">
        <f>(G32+G42+G47)</f>
        <v>72584000</v>
      </c>
      <c r="G49" s="63">
        <f>(D49*F49)/100</f>
        <v>8710080</v>
      </c>
      <c r="H49" s="301"/>
    </row>
    <row r="50" spans="2:9" s="47" customFormat="1" ht="22.5" customHeight="1" x14ac:dyDescent="0.25">
      <c r="B50" s="74"/>
      <c r="C50" s="83" t="s">
        <v>259</v>
      </c>
      <c r="D50" s="74"/>
      <c r="E50" s="74"/>
      <c r="F50" s="81"/>
      <c r="G50" s="76">
        <f>(G32+G42+G47+G49)</f>
        <v>81294080</v>
      </c>
      <c r="H50" s="302"/>
      <c r="I50" s="55"/>
    </row>
    <row r="51" spans="2:9" ht="22.5" customHeight="1" x14ac:dyDescent="0.25">
      <c r="B51" s="71" t="s">
        <v>94</v>
      </c>
      <c r="C51" s="349" t="s">
        <v>121</v>
      </c>
      <c r="D51" s="349"/>
      <c r="E51" s="349"/>
      <c r="F51" s="349"/>
      <c r="G51" s="349"/>
    </row>
    <row r="52" spans="2:9" ht="22.5" customHeight="1" x14ac:dyDescent="0.25">
      <c r="B52" s="47">
        <v>1</v>
      </c>
      <c r="C52" s="56" t="s">
        <v>629</v>
      </c>
      <c r="D52" s="58"/>
      <c r="E52" s="49"/>
      <c r="G52" s="52"/>
    </row>
    <row r="53" spans="2:9" ht="22.5" customHeight="1" x14ac:dyDescent="0.25">
      <c r="B53" s="44" t="s">
        <v>96</v>
      </c>
      <c r="C53" s="57" t="s">
        <v>412</v>
      </c>
      <c r="D53" s="44">
        <v>1</v>
      </c>
      <c r="E53" s="44" t="s">
        <v>212</v>
      </c>
      <c r="F53" s="48">
        <v>825000</v>
      </c>
      <c r="G53" s="63">
        <f>(D53*F53)</f>
        <v>825000</v>
      </c>
      <c r="H53" s="301"/>
    </row>
    <row r="54" spans="2:9" ht="18.75" customHeight="1" x14ac:dyDescent="0.25">
      <c r="C54" s="57"/>
      <c r="F54" s="48"/>
      <c r="G54" s="63"/>
    </row>
    <row r="55" spans="2:9" s="47" customFormat="1" ht="22.5" customHeight="1" x14ac:dyDescent="0.25">
      <c r="B55" s="74"/>
      <c r="C55" s="80" t="s">
        <v>5</v>
      </c>
      <c r="D55" s="74"/>
      <c r="E55" s="84"/>
      <c r="F55" s="81"/>
      <c r="G55" s="76">
        <f>SUM(G53:G54)</f>
        <v>825000</v>
      </c>
    </row>
    <row r="56" spans="2:9" s="47" customFormat="1" ht="22.5" customHeight="1" x14ac:dyDescent="0.25">
      <c r="B56" s="47">
        <v>2</v>
      </c>
      <c r="C56" s="50" t="s">
        <v>689</v>
      </c>
      <c r="E56" s="44"/>
      <c r="F56" s="48"/>
      <c r="G56" s="63"/>
    </row>
    <row r="57" spans="2:9" s="47" customFormat="1" ht="22.5" customHeight="1" x14ac:dyDescent="0.25">
      <c r="B57" s="44" t="s">
        <v>96</v>
      </c>
      <c r="C57" s="53" t="s">
        <v>585</v>
      </c>
      <c r="D57" s="44">
        <v>1</v>
      </c>
      <c r="E57" s="44" t="s">
        <v>212</v>
      </c>
      <c r="F57" s="48">
        <v>1175000</v>
      </c>
      <c r="G57" s="63">
        <f>F57</f>
        <v>1175000</v>
      </c>
      <c r="H57" s="302"/>
    </row>
    <row r="58" spans="2:9" s="47" customFormat="1" ht="22.5" customHeight="1" x14ac:dyDescent="0.25">
      <c r="B58" s="44" t="s">
        <v>97</v>
      </c>
      <c r="C58" s="53" t="s">
        <v>584</v>
      </c>
      <c r="D58" s="44">
        <v>1</v>
      </c>
      <c r="E58" s="44" t="s">
        <v>212</v>
      </c>
      <c r="F58" s="48">
        <v>1060000</v>
      </c>
      <c r="G58" s="63">
        <f>(D58*F58)</f>
        <v>1060000</v>
      </c>
      <c r="H58" s="302"/>
    </row>
    <row r="59" spans="2:9" s="47" customFormat="1" ht="22.5" customHeight="1" x14ac:dyDescent="0.25">
      <c r="B59" s="44" t="s">
        <v>98</v>
      </c>
      <c r="C59" s="53" t="s">
        <v>598</v>
      </c>
      <c r="D59" s="44">
        <v>2</v>
      </c>
      <c r="E59" s="44" t="s">
        <v>212</v>
      </c>
      <c r="F59" s="48">
        <v>2435000</v>
      </c>
      <c r="G59" s="63">
        <f>F59*D59</f>
        <v>4870000</v>
      </c>
      <c r="H59" s="302"/>
    </row>
    <row r="60" spans="2:9" s="47" customFormat="1" ht="22.5" customHeight="1" x14ac:dyDescent="0.25">
      <c r="B60" s="74"/>
      <c r="C60" s="80" t="s">
        <v>5</v>
      </c>
      <c r="D60" s="74"/>
      <c r="E60" s="84"/>
      <c r="F60" s="81"/>
      <c r="G60" s="76">
        <f>SUM(G57:G59)</f>
        <v>7105000</v>
      </c>
      <c r="H60" s="302"/>
    </row>
    <row r="61" spans="2:9" s="47" customFormat="1" ht="22.5" customHeight="1" x14ac:dyDescent="0.25">
      <c r="B61" s="46">
        <v>3</v>
      </c>
      <c r="C61" s="345" t="s">
        <v>399</v>
      </c>
      <c r="D61" s="345"/>
      <c r="E61" s="46"/>
      <c r="F61" s="48"/>
      <c r="G61" s="48"/>
    </row>
    <row r="62" spans="2:9" s="47" customFormat="1" ht="19.5" customHeight="1" x14ac:dyDescent="0.25">
      <c r="B62" s="44" t="s">
        <v>96</v>
      </c>
      <c r="C62" s="53" t="s">
        <v>636</v>
      </c>
      <c r="D62" s="44" t="s">
        <v>630</v>
      </c>
      <c r="E62" s="44" t="s">
        <v>413</v>
      </c>
      <c r="F62" s="48" t="s">
        <v>400</v>
      </c>
      <c r="G62" s="48" t="s">
        <v>400</v>
      </c>
    </row>
    <row r="63" spans="2:9" s="47" customFormat="1" ht="22.5" customHeight="1" x14ac:dyDescent="0.25">
      <c r="B63" s="44" t="s">
        <v>97</v>
      </c>
      <c r="C63" s="53" t="s">
        <v>357</v>
      </c>
      <c r="D63" s="44">
        <v>2</v>
      </c>
      <c r="E63" s="44" t="s">
        <v>212</v>
      </c>
      <c r="F63" s="48" t="s">
        <v>400</v>
      </c>
      <c r="G63" s="48" t="s">
        <v>400</v>
      </c>
    </row>
    <row r="64" spans="2:9" s="47" customFormat="1" ht="22.5" customHeight="1" x14ac:dyDescent="0.25">
      <c r="B64" s="44" t="s">
        <v>98</v>
      </c>
      <c r="C64" s="53" t="s">
        <v>358</v>
      </c>
      <c r="D64" s="44">
        <v>2</v>
      </c>
      <c r="E64" s="44" t="s">
        <v>212</v>
      </c>
      <c r="F64" s="48" t="s">
        <v>400</v>
      </c>
      <c r="G64" s="48" t="s">
        <v>400</v>
      </c>
    </row>
    <row r="65" spans="2:9" s="47" customFormat="1" ht="22.5" customHeight="1" x14ac:dyDescent="0.25">
      <c r="B65" s="44" t="s">
        <v>105</v>
      </c>
      <c r="C65" s="53" t="s">
        <v>582</v>
      </c>
      <c r="D65" s="44">
        <v>2</v>
      </c>
      <c r="E65" s="44" t="s">
        <v>212</v>
      </c>
      <c r="F65" s="48" t="s">
        <v>400</v>
      </c>
      <c r="G65" s="48" t="s">
        <v>400</v>
      </c>
    </row>
    <row r="66" spans="2:9" s="47" customFormat="1" ht="22.5" customHeight="1" x14ac:dyDescent="0.25">
      <c r="B66" s="44" t="s">
        <v>106</v>
      </c>
      <c r="C66" s="53" t="s">
        <v>360</v>
      </c>
      <c r="D66" s="44">
        <v>4</v>
      </c>
      <c r="E66" s="44" t="s">
        <v>212</v>
      </c>
      <c r="F66" s="48" t="s">
        <v>400</v>
      </c>
      <c r="G66" s="48" t="s">
        <v>400</v>
      </c>
    </row>
    <row r="67" spans="2:9" s="47" customFormat="1" ht="22.5" customHeight="1" x14ac:dyDescent="0.25">
      <c r="B67" s="74"/>
      <c r="C67" s="80" t="s">
        <v>5</v>
      </c>
      <c r="D67" s="80">
        <v>2</v>
      </c>
      <c r="E67" s="74" t="s">
        <v>640</v>
      </c>
      <c r="F67" s="76">
        <v>3514000</v>
      </c>
      <c r="G67" s="76">
        <f>F67*D67</f>
        <v>7028000</v>
      </c>
      <c r="H67" s="302"/>
      <c r="I67" s="302"/>
    </row>
    <row r="68" spans="2:9" s="47" customFormat="1" ht="22.5" customHeight="1" x14ac:dyDescent="0.25">
      <c r="B68" s="46">
        <v>4</v>
      </c>
      <c r="C68" s="50" t="s">
        <v>430</v>
      </c>
      <c r="D68" s="46"/>
      <c r="F68" s="48"/>
      <c r="G68" s="55"/>
    </row>
    <row r="69" spans="2:9" s="47" customFormat="1" ht="22.5" customHeight="1" x14ac:dyDescent="0.25">
      <c r="B69" s="44" t="s">
        <v>96</v>
      </c>
      <c r="C69" s="53" t="s">
        <v>431</v>
      </c>
      <c r="D69" s="44">
        <v>3</v>
      </c>
      <c r="E69" s="44" t="s">
        <v>212</v>
      </c>
      <c r="F69" s="48" t="s">
        <v>400</v>
      </c>
      <c r="G69" s="48" t="s">
        <v>400</v>
      </c>
    </row>
    <row r="70" spans="2:9" s="47" customFormat="1" ht="22.5" customHeight="1" x14ac:dyDescent="0.25">
      <c r="B70" s="44" t="s">
        <v>97</v>
      </c>
      <c r="C70" s="53" t="s">
        <v>432</v>
      </c>
      <c r="D70" s="44">
        <v>1</v>
      </c>
      <c r="E70" s="44" t="s">
        <v>212</v>
      </c>
      <c r="F70" s="48" t="s">
        <v>400</v>
      </c>
      <c r="G70" s="48" t="s">
        <v>400</v>
      </c>
    </row>
    <row r="71" spans="2:9" s="47" customFormat="1" ht="22.5" customHeight="1" x14ac:dyDescent="0.25">
      <c r="B71" s="44" t="s">
        <v>98</v>
      </c>
      <c r="C71" s="53" t="s">
        <v>433</v>
      </c>
      <c r="D71" s="44">
        <v>1</v>
      </c>
      <c r="E71" s="44" t="s">
        <v>212</v>
      </c>
      <c r="F71" s="48" t="s">
        <v>400</v>
      </c>
      <c r="G71" s="48" t="s">
        <v>400</v>
      </c>
    </row>
    <row r="72" spans="2:9" s="47" customFormat="1" ht="22.5" customHeight="1" x14ac:dyDescent="0.25">
      <c r="B72" s="82"/>
      <c r="C72" s="80" t="s">
        <v>5</v>
      </c>
      <c r="D72" s="80"/>
      <c r="E72" s="82"/>
      <c r="F72" s="85"/>
      <c r="G72" s="76">
        <v>7525000</v>
      </c>
      <c r="H72" s="302"/>
    </row>
    <row r="73" spans="2:9" ht="22.5" customHeight="1" x14ac:dyDescent="0.25">
      <c r="B73" s="47">
        <v>5</v>
      </c>
      <c r="C73" s="346" t="s">
        <v>397</v>
      </c>
      <c r="D73" s="346"/>
      <c r="F73" s="48"/>
      <c r="G73" s="48"/>
      <c r="I73" s="47"/>
    </row>
    <row r="74" spans="2:9" ht="22.5" customHeight="1" x14ac:dyDescent="0.25">
      <c r="B74" s="44" t="s">
        <v>96</v>
      </c>
      <c r="C74" s="53" t="s">
        <v>356</v>
      </c>
      <c r="D74" s="46">
        <v>2</v>
      </c>
      <c r="E74" s="44" t="s">
        <v>212</v>
      </c>
      <c r="F74" s="48" t="s">
        <v>400</v>
      </c>
      <c r="G74" s="48" t="s">
        <v>400</v>
      </c>
      <c r="I74" s="47"/>
    </row>
    <row r="75" spans="2:9" ht="22.5" customHeight="1" x14ac:dyDescent="0.25">
      <c r="B75" s="44" t="s">
        <v>97</v>
      </c>
      <c r="C75" s="53" t="s">
        <v>414</v>
      </c>
      <c r="D75" s="46">
        <v>12</v>
      </c>
      <c r="E75" s="44" t="s">
        <v>212</v>
      </c>
      <c r="F75" s="48" t="s">
        <v>400</v>
      </c>
      <c r="G75" s="48" t="s">
        <v>400</v>
      </c>
      <c r="I75" s="47"/>
    </row>
    <row r="76" spans="2:9" ht="22.5" customHeight="1" x14ac:dyDescent="0.25">
      <c r="B76" s="44" t="s">
        <v>105</v>
      </c>
      <c r="C76" s="53" t="s">
        <v>583</v>
      </c>
      <c r="D76" s="46">
        <v>2</v>
      </c>
      <c r="E76" s="44" t="s">
        <v>212</v>
      </c>
      <c r="F76" s="48" t="s">
        <v>400</v>
      </c>
      <c r="G76" s="48" t="s">
        <v>400</v>
      </c>
      <c r="I76" s="47"/>
    </row>
    <row r="77" spans="2:9" ht="22.5" customHeight="1" x14ac:dyDescent="0.25">
      <c r="B77" s="44" t="s">
        <v>106</v>
      </c>
      <c r="C77" s="53" t="s">
        <v>364</v>
      </c>
      <c r="D77" s="46">
        <v>4</v>
      </c>
      <c r="E77" s="44" t="s">
        <v>212</v>
      </c>
      <c r="F77" s="48" t="s">
        <v>400</v>
      </c>
      <c r="G77" s="48" t="s">
        <v>400</v>
      </c>
      <c r="I77" s="47"/>
    </row>
    <row r="78" spans="2:9" ht="22.5" customHeight="1" x14ac:dyDescent="0.25">
      <c r="B78" s="44" t="s">
        <v>107</v>
      </c>
      <c r="C78" s="53" t="s">
        <v>360</v>
      </c>
      <c r="D78" s="46">
        <v>4</v>
      </c>
      <c r="E78" s="44" t="s">
        <v>212</v>
      </c>
      <c r="F78" s="48" t="s">
        <v>400</v>
      </c>
      <c r="G78" s="48" t="s">
        <v>400</v>
      </c>
      <c r="I78" s="47"/>
    </row>
    <row r="79" spans="2:9" ht="22.5" customHeight="1" x14ac:dyDescent="0.25">
      <c r="B79" s="44" t="s">
        <v>108</v>
      </c>
      <c r="C79" s="53" t="s">
        <v>368</v>
      </c>
      <c r="D79" s="46">
        <v>8</v>
      </c>
      <c r="E79" s="44" t="s">
        <v>212</v>
      </c>
      <c r="F79" s="48" t="s">
        <v>400</v>
      </c>
      <c r="G79" s="48" t="s">
        <v>400</v>
      </c>
      <c r="I79" s="47"/>
    </row>
    <row r="80" spans="2:9" ht="22.5" customHeight="1" x14ac:dyDescent="0.25">
      <c r="B80" s="44" t="s">
        <v>109</v>
      </c>
      <c r="C80" s="53" t="s">
        <v>369</v>
      </c>
      <c r="D80" s="46">
        <v>2</v>
      </c>
      <c r="E80" s="44" t="s">
        <v>212</v>
      </c>
      <c r="F80" s="48" t="s">
        <v>400</v>
      </c>
      <c r="G80" s="48" t="s">
        <v>400</v>
      </c>
    </row>
    <row r="81" spans="2:9" ht="22.5" customHeight="1" x14ac:dyDescent="0.25">
      <c r="B81" s="44" t="s">
        <v>90</v>
      </c>
      <c r="C81" s="53" t="s">
        <v>370</v>
      </c>
      <c r="D81" s="46">
        <v>2</v>
      </c>
      <c r="E81" s="44" t="s">
        <v>212</v>
      </c>
      <c r="F81" s="48" t="s">
        <v>400</v>
      </c>
      <c r="G81" s="48" t="s">
        <v>400</v>
      </c>
    </row>
    <row r="82" spans="2:9" ht="22.5" customHeight="1" x14ac:dyDescent="0.25">
      <c r="B82" s="44" t="s">
        <v>110</v>
      </c>
      <c r="C82" s="53" t="s">
        <v>371</v>
      </c>
      <c r="D82" s="46">
        <v>4</v>
      </c>
      <c r="E82" s="44" t="s">
        <v>212</v>
      </c>
      <c r="F82" s="48" t="s">
        <v>400</v>
      </c>
      <c r="G82" s="48" t="s">
        <v>400</v>
      </c>
    </row>
    <row r="83" spans="2:9" ht="22.5" customHeight="1" x14ac:dyDescent="0.25">
      <c r="B83" s="44" t="s">
        <v>346</v>
      </c>
      <c r="C83" s="53" t="s">
        <v>372</v>
      </c>
      <c r="D83" s="46">
        <v>2</v>
      </c>
      <c r="E83" s="44" t="s">
        <v>212</v>
      </c>
      <c r="F83" s="48" t="s">
        <v>400</v>
      </c>
      <c r="G83" s="48" t="s">
        <v>400</v>
      </c>
    </row>
    <row r="84" spans="2:9" s="47" customFormat="1" ht="22.5" customHeight="1" x14ac:dyDescent="0.25">
      <c r="B84" s="82"/>
      <c r="C84" s="80" t="s">
        <v>5</v>
      </c>
      <c r="D84" s="74">
        <v>2</v>
      </c>
      <c r="E84" s="74" t="s">
        <v>212</v>
      </c>
      <c r="F84" s="76">
        <v>18000000</v>
      </c>
      <c r="G84" s="76">
        <f>F84*D84</f>
        <v>36000000</v>
      </c>
      <c r="H84" s="302"/>
      <c r="I84" s="302"/>
    </row>
    <row r="85" spans="2:9" s="47" customFormat="1" ht="22.5" customHeight="1" x14ac:dyDescent="0.25">
      <c r="B85" s="47">
        <v>6</v>
      </c>
      <c r="C85" s="346" t="s">
        <v>415</v>
      </c>
      <c r="D85" s="346"/>
      <c r="E85" s="44"/>
      <c r="F85" s="48"/>
      <c r="G85" s="48"/>
    </row>
    <row r="86" spans="2:9" s="47" customFormat="1" ht="22.5" customHeight="1" x14ac:dyDescent="0.25">
      <c r="B86" s="44" t="s">
        <v>96</v>
      </c>
      <c r="C86" s="53" t="s">
        <v>365</v>
      </c>
      <c r="D86" s="347">
        <v>2</v>
      </c>
      <c r="E86" s="44" t="s">
        <v>212</v>
      </c>
      <c r="F86" s="354">
        <v>4550000</v>
      </c>
      <c r="G86" s="354">
        <f>F86 *D86</f>
        <v>9100000</v>
      </c>
    </row>
    <row r="87" spans="2:9" s="47" customFormat="1" ht="22.5" customHeight="1" x14ac:dyDescent="0.25">
      <c r="B87" s="44" t="s">
        <v>97</v>
      </c>
      <c r="C87" s="53" t="s">
        <v>366</v>
      </c>
      <c r="D87" s="347"/>
      <c r="E87" s="44" t="s">
        <v>212</v>
      </c>
      <c r="F87" s="354"/>
      <c r="G87" s="354"/>
    </row>
    <row r="88" spans="2:9" s="47" customFormat="1" ht="22.5" customHeight="1" x14ac:dyDescent="0.25">
      <c r="B88" s="44" t="s">
        <v>98</v>
      </c>
      <c r="C88" s="53" t="s">
        <v>367</v>
      </c>
      <c r="D88" s="347"/>
      <c r="E88" s="44" t="s">
        <v>212</v>
      </c>
      <c r="F88" s="354"/>
      <c r="G88" s="354"/>
      <c r="H88" s="302"/>
      <c r="I88" s="302"/>
    </row>
    <row r="89" spans="2:9" s="47" customFormat="1" ht="22.5" customHeight="1" x14ac:dyDescent="0.25">
      <c r="B89" s="44" t="s">
        <v>105</v>
      </c>
      <c r="C89" s="53" t="s">
        <v>642</v>
      </c>
      <c r="D89" s="347"/>
      <c r="E89" s="44" t="s">
        <v>212</v>
      </c>
      <c r="F89" s="354"/>
      <c r="G89" s="354"/>
    </row>
    <row r="90" spans="2:9" s="47" customFormat="1" ht="30" x14ac:dyDescent="0.25">
      <c r="B90" s="44" t="s">
        <v>106</v>
      </c>
      <c r="C90" s="53" t="s">
        <v>643</v>
      </c>
      <c r="D90" s="347"/>
      <c r="E90" s="44" t="s">
        <v>212</v>
      </c>
      <c r="F90" s="354"/>
      <c r="G90" s="354"/>
    </row>
    <row r="91" spans="2:9" s="47" customFormat="1" ht="22.5" customHeight="1" x14ac:dyDescent="0.25">
      <c r="B91" s="44"/>
      <c r="C91" s="53"/>
      <c r="D91" s="44"/>
      <c r="E91" s="44"/>
      <c r="F91" s="67"/>
      <c r="G91" s="67"/>
    </row>
    <row r="92" spans="2:9" s="47" customFormat="1" ht="22.5" customHeight="1" x14ac:dyDescent="0.25">
      <c r="B92" s="74"/>
      <c r="C92" s="80" t="s">
        <v>5</v>
      </c>
      <c r="D92" s="80"/>
      <c r="E92" s="74"/>
      <c r="F92" s="86"/>
      <c r="G92" s="76">
        <f>G86+G91</f>
        <v>9100000</v>
      </c>
      <c r="H92" s="302"/>
    </row>
    <row r="93" spans="2:9" s="47" customFormat="1" ht="22.5" customHeight="1" x14ac:dyDescent="0.25">
      <c r="B93" s="47">
        <v>7</v>
      </c>
      <c r="C93" s="346" t="s">
        <v>398</v>
      </c>
      <c r="D93" s="346"/>
      <c r="E93" s="44"/>
      <c r="F93" s="48"/>
      <c r="G93" s="48"/>
    </row>
    <row r="94" spans="2:9" s="47" customFormat="1" ht="22.5" customHeight="1" x14ac:dyDescent="0.25">
      <c r="B94" s="44" t="s">
        <v>96</v>
      </c>
      <c r="C94" s="53" t="s">
        <v>417</v>
      </c>
      <c r="D94" s="44">
        <v>1</v>
      </c>
      <c r="E94" s="44" t="s">
        <v>212</v>
      </c>
      <c r="F94" s="48" t="s">
        <v>400</v>
      </c>
      <c r="G94" s="48" t="s">
        <v>400</v>
      </c>
    </row>
    <row r="95" spans="2:9" s="47" customFormat="1" ht="22.5" customHeight="1" x14ac:dyDescent="0.25">
      <c r="B95" s="44" t="s">
        <v>97</v>
      </c>
      <c r="C95" s="53" t="s">
        <v>363</v>
      </c>
      <c r="D95" s="44">
        <v>1</v>
      </c>
      <c r="E95" s="44" t="s">
        <v>212</v>
      </c>
      <c r="F95" s="48" t="s">
        <v>400</v>
      </c>
      <c r="G95" s="48" t="s">
        <v>400</v>
      </c>
    </row>
    <row r="96" spans="2:9" s="47" customFormat="1" ht="22.5" customHeight="1" x14ac:dyDescent="0.25">
      <c r="B96" s="44" t="s">
        <v>98</v>
      </c>
      <c r="C96" s="53" t="s">
        <v>359</v>
      </c>
      <c r="D96" s="44">
        <v>1</v>
      </c>
      <c r="E96" s="44" t="s">
        <v>212</v>
      </c>
      <c r="F96" s="48" t="s">
        <v>400</v>
      </c>
      <c r="G96" s="48" t="s">
        <v>400</v>
      </c>
    </row>
    <row r="97" spans="2:9" s="47" customFormat="1" ht="22.5" customHeight="1" x14ac:dyDescent="0.25">
      <c r="B97" s="44" t="s">
        <v>105</v>
      </c>
      <c r="C97" s="53" t="s">
        <v>364</v>
      </c>
      <c r="D97" s="44">
        <v>1</v>
      </c>
      <c r="E97" s="44" t="s">
        <v>212</v>
      </c>
      <c r="F97" s="48" t="s">
        <v>400</v>
      </c>
      <c r="G97" s="48" t="s">
        <v>400</v>
      </c>
    </row>
    <row r="98" spans="2:9" s="47" customFormat="1" ht="22.5" customHeight="1" x14ac:dyDescent="0.25">
      <c r="B98" s="44" t="s">
        <v>106</v>
      </c>
      <c r="C98" s="53" t="s">
        <v>360</v>
      </c>
      <c r="D98" s="44">
        <v>2</v>
      </c>
      <c r="E98" s="44" t="s">
        <v>212</v>
      </c>
      <c r="F98" s="48" t="s">
        <v>400</v>
      </c>
      <c r="G98" s="48" t="s">
        <v>400</v>
      </c>
    </row>
    <row r="99" spans="2:9" s="47" customFormat="1" ht="22.5" customHeight="1" x14ac:dyDescent="0.25">
      <c r="B99" s="44" t="s">
        <v>107</v>
      </c>
      <c r="C99" s="53" t="s">
        <v>361</v>
      </c>
      <c r="D99" s="44">
        <v>1</v>
      </c>
      <c r="E99" s="44" t="s">
        <v>212</v>
      </c>
      <c r="F99" s="48" t="s">
        <v>400</v>
      </c>
      <c r="G99" s="48" t="s">
        <v>400</v>
      </c>
    </row>
    <row r="100" spans="2:9" s="47" customFormat="1" ht="22.5" customHeight="1" x14ac:dyDescent="0.25">
      <c r="B100" s="44" t="s">
        <v>108</v>
      </c>
      <c r="C100" s="53" t="s">
        <v>362</v>
      </c>
      <c r="D100" s="44">
        <v>2</v>
      </c>
      <c r="E100" s="44" t="s">
        <v>212</v>
      </c>
      <c r="F100" s="48" t="s">
        <v>400</v>
      </c>
      <c r="G100" s="48" t="s">
        <v>400</v>
      </c>
    </row>
    <row r="101" spans="2:9" s="47" customFormat="1" ht="22.5" customHeight="1" x14ac:dyDescent="0.25">
      <c r="B101" s="74"/>
      <c r="C101" s="80" t="s">
        <v>5</v>
      </c>
      <c r="D101" s="80">
        <v>2</v>
      </c>
      <c r="E101" s="74" t="s">
        <v>212</v>
      </c>
      <c r="F101" s="76">
        <v>3550000</v>
      </c>
      <c r="G101" s="76">
        <f>F101*D101</f>
        <v>7100000</v>
      </c>
      <c r="H101" s="302"/>
      <c r="I101" s="302"/>
    </row>
    <row r="102" spans="2:9" s="47" customFormat="1" ht="34.5" customHeight="1" x14ac:dyDescent="0.25">
      <c r="B102" s="47">
        <v>8</v>
      </c>
      <c r="C102" s="345" t="s">
        <v>650</v>
      </c>
      <c r="D102" s="345"/>
      <c r="E102" s="45"/>
      <c r="F102" s="52"/>
      <c r="G102" s="55"/>
    </row>
    <row r="103" spans="2:9" s="47" customFormat="1" ht="22.5" customHeight="1" x14ac:dyDescent="0.25">
      <c r="B103" s="44" t="s">
        <v>96</v>
      </c>
      <c r="C103" s="45" t="s">
        <v>599</v>
      </c>
      <c r="D103" s="58">
        <v>1</v>
      </c>
      <c r="E103" s="58" t="s">
        <v>212</v>
      </c>
      <c r="F103" s="48" t="s">
        <v>601</v>
      </c>
      <c r="G103" s="48" t="s">
        <v>601</v>
      </c>
    </row>
    <row r="104" spans="2:9" s="47" customFormat="1" ht="22.5" customHeight="1" x14ac:dyDescent="0.25">
      <c r="B104" s="44" t="s">
        <v>97</v>
      </c>
      <c r="C104" s="45" t="s">
        <v>600</v>
      </c>
      <c r="D104" s="58" t="s">
        <v>416</v>
      </c>
      <c r="E104" s="58" t="s">
        <v>318</v>
      </c>
      <c r="F104" s="48" t="s">
        <v>601</v>
      </c>
      <c r="G104" s="48" t="s">
        <v>601</v>
      </c>
    </row>
    <row r="105" spans="2:9" s="47" customFormat="1" ht="22.5" customHeight="1" x14ac:dyDescent="0.25">
      <c r="B105" s="74"/>
      <c r="C105" s="80" t="s">
        <v>5</v>
      </c>
      <c r="D105" s="87"/>
      <c r="E105" s="75"/>
      <c r="F105" s="81"/>
      <c r="G105" s="76">
        <v>6550000</v>
      </c>
      <c r="H105" s="302"/>
    </row>
    <row r="106" spans="2:9" ht="30" customHeight="1" x14ac:dyDescent="0.25">
      <c r="B106" s="47">
        <v>9</v>
      </c>
      <c r="C106" s="345" t="s">
        <v>651</v>
      </c>
      <c r="D106" s="345"/>
      <c r="F106" s="48"/>
      <c r="G106" s="48"/>
    </row>
    <row r="107" spans="2:9" ht="18" customHeight="1" x14ac:dyDescent="0.25">
      <c r="B107" s="44" t="s">
        <v>96</v>
      </c>
      <c r="C107" s="53" t="s">
        <v>418</v>
      </c>
      <c r="D107" s="44">
        <v>1</v>
      </c>
      <c r="E107" s="44" t="s">
        <v>212</v>
      </c>
      <c r="F107" s="48" t="s">
        <v>400</v>
      </c>
      <c r="G107" s="48" t="s">
        <v>400</v>
      </c>
    </row>
    <row r="108" spans="2:9" ht="36" customHeight="1" x14ac:dyDescent="0.25">
      <c r="B108" s="44" t="s">
        <v>97</v>
      </c>
      <c r="C108" s="53" t="s">
        <v>652</v>
      </c>
      <c r="D108" s="44">
        <v>1</v>
      </c>
      <c r="E108" s="44" t="s">
        <v>212</v>
      </c>
      <c r="F108" s="48" t="s">
        <v>400</v>
      </c>
      <c r="G108" s="48" t="s">
        <v>400</v>
      </c>
    </row>
    <row r="109" spans="2:9" ht="62.25" customHeight="1" x14ac:dyDescent="0.25">
      <c r="B109" s="44" t="s">
        <v>98</v>
      </c>
      <c r="C109" s="53" t="s">
        <v>653</v>
      </c>
      <c r="D109" s="44">
        <v>1</v>
      </c>
      <c r="E109" s="44" t="s">
        <v>212</v>
      </c>
      <c r="F109" s="48" t="s">
        <v>400</v>
      </c>
      <c r="G109" s="48" t="s">
        <v>400</v>
      </c>
    </row>
    <row r="110" spans="2:9" ht="18" customHeight="1" x14ac:dyDescent="0.25">
      <c r="B110" s="44" t="s">
        <v>105</v>
      </c>
      <c r="C110" s="53" t="s">
        <v>419</v>
      </c>
      <c r="D110" s="44">
        <v>1</v>
      </c>
      <c r="E110" s="44" t="s">
        <v>212</v>
      </c>
      <c r="F110" s="48" t="s">
        <v>400</v>
      </c>
      <c r="G110" s="48" t="s">
        <v>400</v>
      </c>
    </row>
    <row r="111" spans="2:9" ht="18" customHeight="1" x14ac:dyDescent="0.25">
      <c r="B111" s="44" t="s">
        <v>106</v>
      </c>
      <c r="C111" s="53" t="s">
        <v>420</v>
      </c>
      <c r="D111" s="44">
        <v>1</v>
      </c>
      <c r="E111" s="44" t="s">
        <v>212</v>
      </c>
      <c r="F111" s="48" t="s">
        <v>400</v>
      </c>
      <c r="G111" s="48" t="s">
        <v>400</v>
      </c>
    </row>
    <row r="112" spans="2:9" ht="18" customHeight="1" x14ac:dyDescent="0.25">
      <c r="B112" s="44" t="s">
        <v>107</v>
      </c>
      <c r="C112" s="53" t="s">
        <v>421</v>
      </c>
      <c r="D112" s="44">
        <v>1</v>
      </c>
      <c r="E112" s="44" t="s">
        <v>212</v>
      </c>
      <c r="F112" s="48" t="s">
        <v>400</v>
      </c>
      <c r="G112" s="48" t="s">
        <v>400</v>
      </c>
    </row>
    <row r="113" spans="2:9" ht="18" customHeight="1" x14ac:dyDescent="0.25">
      <c r="C113" s="51"/>
      <c r="F113" s="48"/>
      <c r="G113" s="48"/>
    </row>
    <row r="114" spans="2:9" ht="22.5" customHeight="1" x14ac:dyDescent="0.25">
      <c r="B114" s="82"/>
      <c r="C114" s="80" t="s">
        <v>5</v>
      </c>
      <c r="D114" s="74"/>
      <c r="E114" s="74"/>
      <c r="F114" s="81"/>
      <c r="G114" s="76">
        <v>24000000</v>
      </c>
      <c r="H114" s="301"/>
    </row>
    <row r="115" spans="2:9" ht="29.25" customHeight="1" x14ac:dyDescent="0.25">
      <c r="B115" s="47">
        <v>10</v>
      </c>
      <c r="C115" s="345" t="s">
        <v>631</v>
      </c>
      <c r="D115" s="345"/>
      <c r="E115" s="47"/>
      <c r="F115" s="52"/>
      <c r="G115" s="55"/>
    </row>
    <row r="116" spans="2:9" ht="22.5" customHeight="1" x14ac:dyDescent="0.25">
      <c r="B116" s="44" t="s">
        <v>96</v>
      </c>
      <c r="C116" s="51" t="s">
        <v>632</v>
      </c>
      <c r="D116" s="44">
        <v>1</v>
      </c>
      <c r="E116" s="44" t="s">
        <v>212</v>
      </c>
      <c r="F116" s="48" t="s">
        <v>400</v>
      </c>
      <c r="G116" s="48" t="s">
        <v>400</v>
      </c>
    </row>
    <row r="117" spans="2:9" ht="22.5" customHeight="1" x14ac:dyDescent="0.25">
      <c r="B117" s="44" t="s">
        <v>97</v>
      </c>
      <c r="C117" s="45" t="s">
        <v>654</v>
      </c>
      <c r="D117" s="44">
        <v>1</v>
      </c>
      <c r="E117" s="44" t="s">
        <v>212</v>
      </c>
      <c r="F117" s="48" t="s">
        <v>400</v>
      </c>
      <c r="G117" s="48" t="s">
        <v>400</v>
      </c>
    </row>
    <row r="118" spans="2:9" ht="22.5" customHeight="1" x14ac:dyDescent="0.25">
      <c r="B118" s="82"/>
      <c r="C118" s="80" t="s">
        <v>5</v>
      </c>
      <c r="D118" s="74"/>
      <c r="E118" s="74"/>
      <c r="F118" s="81"/>
      <c r="G118" s="76">
        <v>8550000</v>
      </c>
      <c r="H118" s="301"/>
    </row>
    <row r="119" spans="2:9" ht="27" customHeight="1" x14ac:dyDescent="0.25">
      <c r="B119" s="47">
        <v>11</v>
      </c>
      <c r="C119" s="345" t="s">
        <v>690</v>
      </c>
      <c r="D119" s="345"/>
      <c r="E119" s="47"/>
      <c r="F119" s="52"/>
      <c r="G119" s="55"/>
    </row>
    <row r="120" spans="2:9" ht="30" x14ac:dyDescent="0.25">
      <c r="B120" s="44" t="s">
        <v>96</v>
      </c>
      <c r="C120" s="53" t="s">
        <v>688</v>
      </c>
      <c r="D120" s="44">
        <v>1</v>
      </c>
      <c r="E120" s="44" t="s">
        <v>212</v>
      </c>
      <c r="F120" s="52" t="s">
        <v>400</v>
      </c>
      <c r="G120" s="55" t="s">
        <v>400</v>
      </c>
    </row>
    <row r="121" spans="2:9" x14ac:dyDescent="0.25">
      <c r="B121" s="44" t="s">
        <v>97</v>
      </c>
      <c r="C121" s="53" t="s">
        <v>633</v>
      </c>
      <c r="D121" s="44">
        <v>1</v>
      </c>
      <c r="E121" s="44" t="s">
        <v>212</v>
      </c>
      <c r="F121" s="52" t="s">
        <v>400</v>
      </c>
      <c r="G121" s="55" t="s">
        <v>400</v>
      </c>
    </row>
    <row r="122" spans="2:9" ht="22.5" customHeight="1" x14ac:dyDescent="0.25">
      <c r="B122" s="44" t="s">
        <v>98</v>
      </c>
      <c r="C122" s="45" t="s">
        <v>422</v>
      </c>
      <c r="D122" s="44">
        <v>1</v>
      </c>
      <c r="E122" s="44" t="s">
        <v>212</v>
      </c>
      <c r="F122" s="52" t="s">
        <v>400</v>
      </c>
      <c r="G122" s="55" t="s">
        <v>400</v>
      </c>
    </row>
    <row r="123" spans="2:9" ht="22.5" customHeight="1" x14ac:dyDescent="0.25">
      <c r="B123" s="44" t="s">
        <v>105</v>
      </c>
      <c r="C123" s="45" t="s">
        <v>428</v>
      </c>
      <c r="D123" s="44">
        <v>1</v>
      </c>
      <c r="E123" s="44" t="s">
        <v>212</v>
      </c>
      <c r="F123" s="52" t="s">
        <v>400</v>
      </c>
      <c r="G123" s="55" t="s">
        <v>400</v>
      </c>
    </row>
    <row r="124" spans="2:9" ht="22.5" customHeight="1" x14ac:dyDescent="0.25">
      <c r="B124" s="82"/>
      <c r="C124" s="80" t="s">
        <v>5</v>
      </c>
      <c r="D124" s="74">
        <v>1</v>
      </c>
      <c r="E124" s="74"/>
      <c r="F124" s="76">
        <v>14500000</v>
      </c>
      <c r="G124" s="76">
        <f>F124*D124</f>
        <v>14500000</v>
      </c>
      <c r="H124" s="301"/>
      <c r="I124" s="301"/>
    </row>
    <row r="125" spans="2:9" ht="22.5" customHeight="1" x14ac:dyDescent="0.25">
      <c r="B125" s="47">
        <v>12</v>
      </c>
      <c r="C125" s="345" t="s">
        <v>602</v>
      </c>
      <c r="D125" s="345"/>
      <c r="E125" s="47"/>
      <c r="F125" s="52"/>
      <c r="G125" s="55"/>
    </row>
    <row r="126" spans="2:9" ht="22.5" customHeight="1" x14ac:dyDescent="0.25">
      <c r="B126" s="44" t="s">
        <v>96</v>
      </c>
      <c r="C126" s="45" t="s">
        <v>603</v>
      </c>
      <c r="D126" s="44">
        <v>1</v>
      </c>
      <c r="E126" s="44" t="s">
        <v>212</v>
      </c>
      <c r="F126" s="52" t="s">
        <v>400</v>
      </c>
      <c r="G126" s="55" t="s">
        <v>400</v>
      </c>
    </row>
    <row r="127" spans="2:9" ht="22.5" customHeight="1" x14ac:dyDescent="0.25">
      <c r="B127" s="82"/>
      <c r="C127" s="80" t="s">
        <v>5</v>
      </c>
      <c r="D127" s="74"/>
      <c r="E127" s="74"/>
      <c r="F127" s="81"/>
      <c r="G127" s="76">
        <v>950000</v>
      </c>
      <c r="H127" s="301"/>
    </row>
    <row r="128" spans="2:9" ht="22.5" customHeight="1" x14ac:dyDescent="0.25">
      <c r="B128" s="47">
        <v>13</v>
      </c>
      <c r="C128" s="345" t="s">
        <v>376</v>
      </c>
      <c r="D128" s="345"/>
      <c r="F128" s="48"/>
      <c r="G128" s="48"/>
    </row>
    <row r="129" spans="2:8" ht="22.5" customHeight="1" x14ac:dyDescent="0.25">
      <c r="B129" s="44" t="s">
        <v>96</v>
      </c>
      <c r="C129" s="53" t="s">
        <v>638</v>
      </c>
      <c r="D129" s="44">
        <v>5</v>
      </c>
      <c r="E129" s="44" t="s">
        <v>212</v>
      </c>
      <c r="F129" s="48">
        <v>1850000</v>
      </c>
      <c r="G129" s="63">
        <f>(D129*F129)</f>
        <v>9250000</v>
      </c>
      <c r="H129" s="301"/>
    </row>
    <row r="130" spans="2:8" s="47" customFormat="1" ht="22.5" customHeight="1" x14ac:dyDescent="0.25">
      <c r="B130" s="74"/>
      <c r="C130" s="80" t="s">
        <v>5</v>
      </c>
      <c r="D130" s="74"/>
      <c r="E130" s="74"/>
      <c r="F130" s="85"/>
      <c r="G130" s="76">
        <f>SUM(G129:G129)</f>
        <v>9250000</v>
      </c>
      <c r="H130" s="302"/>
    </row>
    <row r="131" spans="2:8" s="47" customFormat="1" ht="29.25" customHeight="1" x14ac:dyDescent="0.25">
      <c r="B131" s="47">
        <v>14</v>
      </c>
      <c r="C131" s="345" t="s">
        <v>604</v>
      </c>
      <c r="D131" s="345"/>
      <c r="E131" s="44"/>
      <c r="F131" s="48"/>
      <c r="G131" s="48"/>
    </row>
    <row r="132" spans="2:8" s="47" customFormat="1" ht="22.5" customHeight="1" x14ac:dyDescent="0.25">
      <c r="B132" s="44" t="s">
        <v>96</v>
      </c>
      <c r="C132" s="45" t="s">
        <v>374</v>
      </c>
      <c r="D132" s="44">
        <v>1</v>
      </c>
      <c r="E132" s="44" t="s">
        <v>212</v>
      </c>
      <c r="F132" s="48" t="s">
        <v>400</v>
      </c>
      <c r="G132" s="48" t="s">
        <v>400</v>
      </c>
    </row>
    <row r="133" spans="2:8" s="47" customFormat="1" ht="30" x14ac:dyDescent="0.25">
      <c r="B133" s="44" t="s">
        <v>97</v>
      </c>
      <c r="C133" s="45" t="s">
        <v>425</v>
      </c>
      <c r="D133" s="44">
        <v>1</v>
      </c>
      <c r="E133" s="44" t="s">
        <v>212</v>
      </c>
      <c r="F133" s="48" t="s">
        <v>400</v>
      </c>
      <c r="G133" s="48" t="s">
        <v>400</v>
      </c>
    </row>
    <row r="134" spans="2:8" s="47" customFormat="1" ht="30" x14ac:dyDescent="0.25">
      <c r="B134" s="44" t="s">
        <v>98</v>
      </c>
      <c r="C134" s="45" t="s">
        <v>423</v>
      </c>
      <c r="D134" s="44">
        <v>1</v>
      </c>
      <c r="E134" s="44" t="s">
        <v>212</v>
      </c>
      <c r="F134" s="48" t="s">
        <v>400</v>
      </c>
      <c r="G134" s="48" t="s">
        <v>400</v>
      </c>
    </row>
    <row r="135" spans="2:8" s="47" customFormat="1" ht="22.5" customHeight="1" x14ac:dyDescent="0.25">
      <c r="B135" s="82"/>
      <c r="C135" s="80" t="s">
        <v>5</v>
      </c>
      <c r="D135" s="74"/>
      <c r="E135" s="74"/>
      <c r="F135" s="85"/>
      <c r="G135" s="76">
        <v>8165000</v>
      </c>
      <c r="H135" s="302"/>
    </row>
    <row r="136" spans="2:8" s="47" customFormat="1" ht="22.5" customHeight="1" x14ac:dyDescent="0.25">
      <c r="B136" s="47">
        <v>15</v>
      </c>
      <c r="C136" s="345" t="s">
        <v>424</v>
      </c>
      <c r="D136" s="345"/>
      <c r="F136" s="48"/>
      <c r="G136" s="55"/>
    </row>
    <row r="137" spans="2:8" s="47" customFormat="1" ht="22.5" customHeight="1" x14ac:dyDescent="0.25">
      <c r="B137" s="44" t="s">
        <v>96</v>
      </c>
      <c r="C137" s="45" t="s">
        <v>605</v>
      </c>
      <c r="D137" s="44">
        <v>1</v>
      </c>
      <c r="E137" s="44" t="s">
        <v>212</v>
      </c>
      <c r="F137" s="48" t="s">
        <v>400</v>
      </c>
      <c r="G137" s="48" t="s">
        <v>400</v>
      </c>
    </row>
    <row r="138" spans="2:8" s="47" customFormat="1" ht="22.5" customHeight="1" x14ac:dyDescent="0.25">
      <c r="B138" s="44" t="s">
        <v>97</v>
      </c>
      <c r="C138" s="45" t="s">
        <v>606</v>
      </c>
      <c r="D138" s="44">
        <v>1</v>
      </c>
      <c r="E138" s="44" t="s">
        <v>212</v>
      </c>
      <c r="F138" s="48" t="s">
        <v>400</v>
      </c>
      <c r="G138" s="48" t="s">
        <v>400</v>
      </c>
    </row>
    <row r="139" spans="2:8" s="47" customFormat="1" ht="22.5" customHeight="1" x14ac:dyDescent="0.25">
      <c r="B139" s="44" t="s">
        <v>98</v>
      </c>
      <c r="C139" s="45" t="s">
        <v>607</v>
      </c>
      <c r="D139" s="44">
        <v>1</v>
      </c>
      <c r="E139" s="44" t="s">
        <v>212</v>
      </c>
      <c r="F139" s="48" t="s">
        <v>400</v>
      </c>
      <c r="G139" s="48" t="s">
        <v>400</v>
      </c>
    </row>
    <row r="140" spans="2:8" s="47" customFormat="1" ht="22.5" customHeight="1" x14ac:dyDescent="0.25">
      <c r="B140" s="44" t="s">
        <v>105</v>
      </c>
      <c r="C140" s="45" t="s">
        <v>608</v>
      </c>
      <c r="D140" s="44">
        <v>1</v>
      </c>
      <c r="E140" s="44" t="s">
        <v>212</v>
      </c>
      <c r="F140" s="48" t="s">
        <v>400</v>
      </c>
      <c r="G140" s="48" t="s">
        <v>400</v>
      </c>
    </row>
    <row r="141" spans="2:8" s="47" customFormat="1" ht="22.5" customHeight="1" x14ac:dyDescent="0.25">
      <c r="B141" s="44" t="s">
        <v>106</v>
      </c>
      <c r="C141" s="45" t="s">
        <v>609</v>
      </c>
      <c r="D141" s="44">
        <v>1</v>
      </c>
      <c r="E141" s="44" t="s">
        <v>212</v>
      </c>
      <c r="F141" s="48" t="s">
        <v>400</v>
      </c>
      <c r="G141" s="48" t="s">
        <v>400</v>
      </c>
    </row>
    <row r="142" spans="2:8" s="47" customFormat="1" ht="22.5" customHeight="1" x14ac:dyDescent="0.25">
      <c r="B142" s="82"/>
      <c r="C142" s="80"/>
      <c r="D142" s="82"/>
      <c r="E142" s="82"/>
      <c r="F142" s="85"/>
      <c r="G142" s="76">
        <v>7821000</v>
      </c>
      <c r="H142" s="302"/>
    </row>
    <row r="143" spans="2:8" ht="22.5" customHeight="1" x14ac:dyDescent="0.25">
      <c r="B143" s="47">
        <v>16</v>
      </c>
      <c r="C143" s="347" t="s">
        <v>373</v>
      </c>
      <c r="D143" s="347"/>
      <c r="F143" s="48"/>
      <c r="G143" s="48"/>
    </row>
    <row r="144" spans="2:8" ht="22.5" customHeight="1" x14ac:dyDescent="0.25">
      <c r="B144" s="44" t="s">
        <v>96</v>
      </c>
      <c r="C144" s="45" t="s">
        <v>426</v>
      </c>
      <c r="D144" s="44">
        <v>1</v>
      </c>
      <c r="E144" s="44" t="s">
        <v>212</v>
      </c>
      <c r="F144" s="48" t="s">
        <v>400</v>
      </c>
      <c r="G144" s="48" t="s">
        <v>400</v>
      </c>
    </row>
    <row r="145" spans="2:13" ht="22.5" customHeight="1" x14ac:dyDescent="0.25">
      <c r="B145" s="44" t="s">
        <v>98</v>
      </c>
      <c r="C145" s="45" t="s">
        <v>427</v>
      </c>
      <c r="D145" s="44">
        <v>1</v>
      </c>
      <c r="E145" s="44" t="s">
        <v>212</v>
      </c>
      <c r="F145" s="48" t="s">
        <v>400</v>
      </c>
      <c r="G145" s="48" t="s">
        <v>400</v>
      </c>
    </row>
    <row r="146" spans="2:13" ht="23.25" customHeight="1" x14ac:dyDescent="0.25">
      <c r="B146" s="44" t="s">
        <v>105</v>
      </c>
      <c r="C146" s="45" t="s">
        <v>761</v>
      </c>
      <c r="D146" s="44">
        <v>1</v>
      </c>
      <c r="E146" s="44" t="s">
        <v>212</v>
      </c>
      <c r="F146" s="48" t="s">
        <v>400</v>
      </c>
      <c r="G146" s="48" t="s">
        <v>400</v>
      </c>
    </row>
    <row r="147" spans="2:13" ht="23.25" customHeight="1" x14ac:dyDescent="0.25">
      <c r="B147" s="44" t="s">
        <v>106</v>
      </c>
      <c r="C147" s="45" t="s">
        <v>641</v>
      </c>
      <c r="D147" s="44">
        <v>1</v>
      </c>
      <c r="E147" s="44" t="s">
        <v>212</v>
      </c>
      <c r="F147" s="48" t="s">
        <v>400</v>
      </c>
      <c r="G147" s="48" t="s">
        <v>400</v>
      </c>
    </row>
    <row r="148" spans="2:13" ht="22.5" customHeight="1" x14ac:dyDescent="0.25">
      <c r="B148" s="44" t="s">
        <v>107</v>
      </c>
      <c r="C148" s="45" t="s">
        <v>375</v>
      </c>
      <c r="D148" s="44">
        <v>20</v>
      </c>
      <c r="E148" s="44" t="s">
        <v>212</v>
      </c>
      <c r="F148" s="48" t="s">
        <v>400</v>
      </c>
      <c r="G148" s="48" t="s">
        <v>400</v>
      </c>
    </row>
    <row r="149" spans="2:13" s="47" customFormat="1" ht="22.5" customHeight="1" x14ac:dyDescent="0.25">
      <c r="B149" s="74"/>
      <c r="C149" s="80" t="s">
        <v>5</v>
      </c>
      <c r="D149" s="74"/>
      <c r="E149" s="74"/>
      <c r="F149" s="81"/>
      <c r="G149" s="76">
        <v>8520000</v>
      </c>
      <c r="H149" s="302"/>
    </row>
    <row r="150" spans="2:13" ht="22.5" customHeight="1" x14ac:dyDescent="0.25">
      <c r="B150" s="47">
        <v>17</v>
      </c>
      <c r="C150" s="346" t="s">
        <v>122</v>
      </c>
      <c r="D150" s="346"/>
      <c r="F150" s="48"/>
      <c r="G150" s="48"/>
    </row>
    <row r="151" spans="2:13" ht="22.5" customHeight="1" x14ac:dyDescent="0.25">
      <c r="B151" s="44" t="s">
        <v>96</v>
      </c>
      <c r="C151" s="53" t="s">
        <v>258</v>
      </c>
      <c r="D151" s="44">
        <v>2</v>
      </c>
      <c r="E151" s="44" t="s">
        <v>212</v>
      </c>
      <c r="F151" s="48">
        <v>3100000</v>
      </c>
      <c r="G151" s="63">
        <f>(D151*F151)</f>
        <v>6200000</v>
      </c>
      <c r="H151" s="301"/>
    </row>
    <row r="152" spans="2:13" ht="22.5" customHeight="1" x14ac:dyDescent="0.25">
      <c r="B152" s="44" t="s">
        <v>97</v>
      </c>
      <c r="C152" s="53" t="s">
        <v>334</v>
      </c>
      <c r="D152" s="44">
        <v>1</v>
      </c>
      <c r="E152" s="44" t="s">
        <v>212</v>
      </c>
      <c r="F152" s="48">
        <v>7150000</v>
      </c>
      <c r="G152" s="63">
        <f>(D152*F152)</f>
        <v>7150000</v>
      </c>
      <c r="H152" s="301"/>
    </row>
    <row r="153" spans="2:13" ht="22.5" customHeight="1" x14ac:dyDescent="0.25">
      <c r="B153" s="44" t="s">
        <v>98</v>
      </c>
      <c r="C153" s="53" t="s">
        <v>758</v>
      </c>
      <c r="D153" s="44">
        <v>1</v>
      </c>
      <c r="E153" s="44" t="s">
        <v>212</v>
      </c>
      <c r="F153" s="48">
        <v>5150000</v>
      </c>
      <c r="G153" s="63">
        <f>(D153*F153)</f>
        <v>5150000</v>
      </c>
      <c r="H153" s="301"/>
    </row>
    <row r="154" spans="2:13" s="47" customFormat="1" ht="22.5" customHeight="1" x14ac:dyDescent="0.25">
      <c r="B154" s="74"/>
      <c r="C154" s="80" t="s">
        <v>5</v>
      </c>
      <c r="D154" s="74"/>
      <c r="E154" s="74"/>
      <c r="F154" s="81"/>
      <c r="G154" s="76">
        <f>SUM(G151:G153)</f>
        <v>18500000</v>
      </c>
      <c r="H154" s="302"/>
    </row>
    <row r="155" spans="2:13" ht="22.5" customHeight="1" x14ac:dyDescent="0.25">
      <c r="B155" s="47">
        <v>18</v>
      </c>
      <c r="C155" s="346" t="s">
        <v>380</v>
      </c>
      <c r="D155" s="346"/>
      <c r="F155" s="48"/>
    </row>
    <row r="156" spans="2:13" ht="60" x14ac:dyDescent="0.25">
      <c r="B156" s="44" t="s">
        <v>96</v>
      </c>
      <c r="C156" s="45" t="s">
        <v>429</v>
      </c>
      <c r="D156" s="58">
        <v>1</v>
      </c>
      <c r="E156" s="44" t="s">
        <v>212</v>
      </c>
      <c r="F156" s="48">
        <v>1050000</v>
      </c>
      <c r="G156" s="63">
        <f>F156*D156</f>
        <v>1050000</v>
      </c>
      <c r="H156" s="301"/>
    </row>
    <row r="157" spans="2:13" ht="22.5" customHeight="1" x14ac:dyDescent="0.25">
      <c r="B157" s="44" t="s">
        <v>98</v>
      </c>
      <c r="C157" s="45" t="s">
        <v>379</v>
      </c>
      <c r="D157" s="44">
        <v>1</v>
      </c>
      <c r="E157" s="44" t="s">
        <v>212</v>
      </c>
      <c r="F157" s="48">
        <v>700000</v>
      </c>
      <c r="G157" s="63">
        <f>(D157*F157)</f>
        <v>700000</v>
      </c>
      <c r="H157" s="301"/>
    </row>
    <row r="158" spans="2:13" ht="22.5" customHeight="1" x14ac:dyDescent="0.25">
      <c r="B158" s="44" t="s">
        <v>97</v>
      </c>
      <c r="C158" s="45" t="s">
        <v>378</v>
      </c>
      <c r="D158" s="44">
        <v>1</v>
      </c>
      <c r="E158" s="44" t="s">
        <v>215</v>
      </c>
      <c r="F158" s="48">
        <v>2580000</v>
      </c>
      <c r="G158" s="63">
        <f>(D158*F158)</f>
        <v>2580000</v>
      </c>
      <c r="H158" s="301"/>
    </row>
    <row r="159" spans="2:13" ht="22.5" customHeight="1" x14ac:dyDescent="0.25">
      <c r="B159" s="44" t="s">
        <v>105</v>
      </c>
      <c r="C159" s="45" t="s">
        <v>757</v>
      </c>
      <c r="D159" s="44">
        <v>1</v>
      </c>
      <c r="E159" s="44" t="s">
        <v>212</v>
      </c>
      <c r="F159" s="48">
        <v>4100000</v>
      </c>
      <c r="G159" s="63">
        <f>F159</f>
        <v>4100000</v>
      </c>
      <c r="H159" s="301"/>
    </row>
    <row r="160" spans="2:13" s="47" customFormat="1" ht="22.5" customHeight="1" x14ac:dyDescent="0.25">
      <c r="B160" s="74"/>
      <c r="C160" s="80" t="s">
        <v>5</v>
      </c>
      <c r="D160" s="74"/>
      <c r="E160" s="74"/>
      <c r="F160" s="81"/>
      <c r="G160" s="76">
        <f>SUM(G156:G159)</f>
        <v>8430000</v>
      </c>
      <c r="H160" s="302"/>
      <c r="M160" s="60"/>
    </row>
    <row r="161" spans="2:9" s="47" customFormat="1" ht="22.5" customHeight="1" x14ac:dyDescent="0.25">
      <c r="B161" s="47">
        <v>19</v>
      </c>
      <c r="C161" s="53" t="s">
        <v>377</v>
      </c>
      <c r="D161" s="44"/>
      <c r="E161" s="44"/>
      <c r="G161" s="55">
        <v>2742000</v>
      </c>
      <c r="H161" s="302"/>
    </row>
    <row r="162" spans="2:9" s="47" customFormat="1" ht="22.5" customHeight="1" x14ac:dyDescent="0.25">
      <c r="B162" s="74"/>
      <c r="C162" s="350" t="s">
        <v>214</v>
      </c>
      <c r="D162" s="350"/>
      <c r="E162" s="82"/>
      <c r="F162" s="74"/>
      <c r="G162" s="76">
        <f>G55+G60+G67+G72+G84+G92+G101+G105+G114+G118+G124+G127+G130+G135+G142+G149+G154+G160+G161</f>
        <v>192661000</v>
      </c>
      <c r="H162" s="302"/>
    </row>
    <row r="163" spans="2:9" ht="22.5" customHeight="1" x14ac:dyDescent="0.25">
      <c r="B163" s="47">
        <v>20</v>
      </c>
      <c r="C163" s="53" t="s">
        <v>340</v>
      </c>
      <c r="D163" s="44">
        <v>12</v>
      </c>
      <c r="E163" s="61" t="s">
        <v>8</v>
      </c>
      <c r="F163" s="48"/>
      <c r="G163" s="63">
        <f>G162*D163/100</f>
        <v>23119320</v>
      </c>
      <c r="H163" s="301"/>
    </row>
    <row r="164" spans="2:9" s="47" customFormat="1" ht="22.5" customHeight="1" x14ac:dyDescent="0.25">
      <c r="B164" s="74"/>
      <c r="C164" s="83" t="s">
        <v>216</v>
      </c>
      <c r="D164" s="74"/>
      <c r="E164" s="74"/>
      <c r="F164" s="74"/>
      <c r="G164" s="76">
        <f>SUM(G162:G163)</f>
        <v>215780320</v>
      </c>
      <c r="H164" s="302"/>
    </row>
    <row r="165" spans="2:9" ht="22.5" customHeight="1" x14ac:dyDescent="0.25">
      <c r="B165" s="71" t="s">
        <v>99</v>
      </c>
      <c r="C165" s="349" t="s">
        <v>123</v>
      </c>
      <c r="D165" s="349"/>
      <c r="E165" s="349"/>
      <c r="F165" s="349"/>
      <c r="G165" s="349"/>
    </row>
    <row r="166" spans="2:9" ht="22.5" customHeight="1" x14ac:dyDescent="0.25">
      <c r="B166" s="44">
        <v>1</v>
      </c>
      <c r="C166" s="346" t="s">
        <v>126</v>
      </c>
      <c r="D166" s="346"/>
    </row>
    <row r="167" spans="2:9" ht="22.5" customHeight="1" x14ac:dyDescent="0.25">
      <c r="B167" s="44" t="s">
        <v>96</v>
      </c>
      <c r="C167" s="53" t="s">
        <v>217</v>
      </c>
      <c r="D167" s="44">
        <v>2</v>
      </c>
      <c r="E167" s="44" t="s">
        <v>186</v>
      </c>
      <c r="F167" s="48">
        <v>45000</v>
      </c>
      <c r="G167" s="63">
        <f t="shared" ref="G167:G173" si="3">(D167*F167)</f>
        <v>90000</v>
      </c>
    </row>
    <row r="168" spans="2:9" ht="22.5" customHeight="1" x14ac:dyDescent="0.25">
      <c r="B168" s="44" t="s">
        <v>97</v>
      </c>
      <c r="C168" s="53" t="s">
        <v>224</v>
      </c>
      <c r="D168" s="44">
        <v>1</v>
      </c>
      <c r="E168" s="44" t="s">
        <v>186</v>
      </c>
      <c r="F168" s="48">
        <v>25000</v>
      </c>
      <c r="G168" s="63">
        <f t="shared" si="3"/>
        <v>25000</v>
      </c>
    </row>
    <row r="169" spans="2:9" ht="22.5" customHeight="1" x14ac:dyDescent="0.25">
      <c r="B169" s="44" t="s">
        <v>98</v>
      </c>
      <c r="C169" s="53" t="s">
        <v>127</v>
      </c>
      <c r="D169" s="44">
        <v>2</v>
      </c>
      <c r="E169" s="44" t="s">
        <v>186</v>
      </c>
      <c r="F169" s="48">
        <v>47000</v>
      </c>
      <c r="G169" s="63">
        <f t="shared" si="3"/>
        <v>94000</v>
      </c>
    </row>
    <row r="170" spans="2:9" ht="22.5" customHeight="1" x14ac:dyDescent="0.25">
      <c r="B170" s="44" t="s">
        <v>105</v>
      </c>
      <c r="C170" s="53" t="s">
        <v>339</v>
      </c>
      <c r="D170" s="44">
        <v>1</v>
      </c>
      <c r="E170" s="44" t="s">
        <v>212</v>
      </c>
      <c r="F170" s="48">
        <v>120000</v>
      </c>
      <c r="G170" s="63">
        <f t="shared" si="3"/>
        <v>120000</v>
      </c>
    </row>
    <row r="171" spans="2:9" ht="22.5" customHeight="1" x14ac:dyDescent="0.25">
      <c r="B171" s="44" t="s">
        <v>106</v>
      </c>
      <c r="C171" s="53" t="s">
        <v>218</v>
      </c>
      <c r="D171" s="44">
        <v>2</v>
      </c>
      <c r="E171" s="44" t="s">
        <v>212</v>
      </c>
      <c r="F171" s="48">
        <v>50000</v>
      </c>
      <c r="G171" s="63">
        <f t="shared" si="3"/>
        <v>100000</v>
      </c>
    </row>
    <row r="172" spans="2:9" ht="22.5" customHeight="1" x14ac:dyDescent="0.25">
      <c r="B172" s="44" t="s">
        <v>107</v>
      </c>
      <c r="C172" s="53" t="s">
        <v>219</v>
      </c>
      <c r="D172" s="44">
        <v>1</v>
      </c>
      <c r="E172" s="44" t="s">
        <v>212</v>
      </c>
      <c r="F172" s="48">
        <v>125000</v>
      </c>
      <c r="G172" s="63">
        <f t="shared" si="3"/>
        <v>125000</v>
      </c>
      <c r="I172" s="63">
        <f>G175</f>
        <v>297674400</v>
      </c>
    </row>
    <row r="173" spans="2:9" ht="22.5" customHeight="1" x14ac:dyDescent="0.25">
      <c r="B173" s="44" t="s">
        <v>108</v>
      </c>
      <c r="C173" s="53" t="s">
        <v>220</v>
      </c>
      <c r="D173" s="44">
        <v>1</v>
      </c>
      <c r="E173" s="44" t="s">
        <v>212</v>
      </c>
      <c r="F173" s="48">
        <v>46000</v>
      </c>
      <c r="G173" s="63">
        <f t="shared" si="3"/>
        <v>46000</v>
      </c>
      <c r="I173" s="63">
        <f>G174</f>
        <v>600000</v>
      </c>
    </row>
    <row r="174" spans="2:9" s="47" customFormat="1" ht="22.5" customHeight="1" x14ac:dyDescent="0.25">
      <c r="B174" s="74"/>
      <c r="C174" s="83" t="s">
        <v>225</v>
      </c>
      <c r="D174" s="74"/>
      <c r="E174" s="74"/>
      <c r="F174" s="74"/>
      <c r="G174" s="76">
        <f>SUM(G167:G173)</f>
        <v>600000</v>
      </c>
      <c r="H174" s="47">
        <v>633000</v>
      </c>
      <c r="I174" s="55">
        <f>7100000+7100000*12%</f>
        <v>7952000</v>
      </c>
    </row>
    <row r="175" spans="2:9" s="47" customFormat="1" ht="22.5" customHeight="1" x14ac:dyDescent="0.25">
      <c r="B175" s="77"/>
      <c r="C175" s="88" t="s">
        <v>222</v>
      </c>
      <c r="D175" s="77"/>
      <c r="E175" s="77"/>
      <c r="F175" s="77"/>
      <c r="G175" s="79">
        <f>G50+G164+G174</f>
        <v>297674400</v>
      </c>
      <c r="I175" s="55">
        <f>I172-I173-I174</f>
        <v>289122400</v>
      </c>
    </row>
    <row r="176" spans="2:9" ht="22.5" customHeight="1" x14ac:dyDescent="0.25">
      <c r="B176" s="71" t="s">
        <v>101</v>
      </c>
      <c r="C176" s="349" t="s">
        <v>124</v>
      </c>
      <c r="D176" s="349"/>
      <c r="E176" s="349"/>
      <c r="F176" s="349"/>
      <c r="G176" s="349"/>
    </row>
    <row r="177" spans="2:9" ht="22.5" customHeight="1" x14ac:dyDescent="0.25">
      <c r="B177" s="44">
        <v>1</v>
      </c>
      <c r="C177" s="346" t="s">
        <v>128</v>
      </c>
      <c r="D177" s="346"/>
    </row>
    <row r="178" spans="2:9" ht="22.5" customHeight="1" x14ac:dyDescent="0.25">
      <c r="B178" s="44" t="s">
        <v>96</v>
      </c>
      <c r="C178" s="53" t="s">
        <v>760</v>
      </c>
      <c r="D178" s="62">
        <v>5.0000000000000001E-3</v>
      </c>
      <c r="E178" s="44" t="s">
        <v>8</v>
      </c>
      <c r="F178" s="48">
        <v>220000000</v>
      </c>
      <c r="G178" s="68">
        <f>F178*D178</f>
        <v>1100000</v>
      </c>
      <c r="I178" s="301"/>
    </row>
    <row r="179" spans="2:9" ht="22.5" customHeight="1" x14ac:dyDescent="0.25">
      <c r="B179" s="59" t="s">
        <v>97</v>
      </c>
      <c r="C179" s="53" t="s">
        <v>759</v>
      </c>
      <c r="D179" s="62">
        <v>1.5E-3</v>
      </c>
      <c r="E179" s="44" t="s">
        <v>8</v>
      </c>
      <c r="F179" s="48">
        <f>G192</f>
        <v>320000000</v>
      </c>
      <c r="G179" s="68">
        <f>F179*D179</f>
        <v>480000</v>
      </c>
      <c r="I179" s="301"/>
    </row>
    <row r="180" spans="2:9" ht="22.5" customHeight="1" x14ac:dyDescent="0.25">
      <c r="B180" s="59"/>
      <c r="D180" s="62"/>
      <c r="F180" s="48"/>
      <c r="G180" s="55"/>
      <c r="I180" s="301"/>
    </row>
    <row r="181" spans="2:9" s="47" customFormat="1" ht="22.5" customHeight="1" x14ac:dyDescent="0.25">
      <c r="B181" s="77"/>
      <c r="C181" s="78" t="s">
        <v>5</v>
      </c>
      <c r="D181" s="77"/>
      <c r="E181" s="77"/>
      <c r="F181" s="89"/>
      <c r="G181" s="90">
        <f>SUM(G178:G180)</f>
        <v>1580000</v>
      </c>
      <c r="I181" s="302"/>
    </row>
    <row r="182" spans="2:9" ht="22.5" customHeight="1" x14ac:dyDescent="0.25">
      <c r="B182" s="44">
        <v>2</v>
      </c>
      <c r="C182" s="346" t="s">
        <v>125</v>
      </c>
      <c r="D182" s="346"/>
      <c r="F182" s="48"/>
      <c r="G182" s="55"/>
      <c r="I182" s="301"/>
    </row>
    <row r="183" spans="2:9" ht="22.5" customHeight="1" x14ac:dyDescent="0.25">
      <c r="C183" s="53"/>
      <c r="F183" s="48"/>
      <c r="G183" s="69"/>
      <c r="I183" s="301"/>
    </row>
    <row r="184" spans="2:9" ht="22.5" customHeight="1" x14ac:dyDescent="0.25">
      <c r="C184" s="53"/>
      <c r="D184" s="62"/>
      <c r="F184" s="48"/>
      <c r="G184" s="69"/>
      <c r="I184" s="301"/>
    </row>
    <row r="185" spans="2:9" ht="22.5" customHeight="1" x14ac:dyDescent="0.25">
      <c r="B185" s="44" t="s">
        <v>96</v>
      </c>
      <c r="C185" s="53" t="s">
        <v>116</v>
      </c>
      <c r="F185" s="48"/>
      <c r="G185" s="68">
        <v>1667000</v>
      </c>
      <c r="H185" s="63"/>
      <c r="I185" s="301"/>
    </row>
    <row r="186" spans="2:9" ht="22.5" customHeight="1" x14ac:dyDescent="0.25">
      <c r="B186" s="44" t="s">
        <v>97</v>
      </c>
      <c r="C186" s="53" t="s">
        <v>221</v>
      </c>
      <c r="D186" s="61"/>
      <c r="F186" s="48"/>
      <c r="G186" s="68">
        <f>('TL Schd'!D10+'TL Schd'!E10+'TL Schd'!F10)*10^5</f>
        <v>12627083.333333334</v>
      </c>
      <c r="I186" s="301"/>
    </row>
    <row r="187" spans="2:9" s="47" customFormat="1" ht="22.5" customHeight="1" x14ac:dyDescent="0.25">
      <c r="B187" s="77"/>
      <c r="C187" s="78" t="s">
        <v>5</v>
      </c>
      <c r="D187" s="77"/>
      <c r="E187" s="77"/>
      <c r="F187" s="77"/>
      <c r="G187" s="90">
        <f>SUM(G183:G186)</f>
        <v>14294083.333333334</v>
      </c>
    </row>
    <row r="188" spans="2:9" s="47" customFormat="1" ht="22.5" customHeight="1" x14ac:dyDescent="0.25">
      <c r="C188" s="348" t="s">
        <v>129</v>
      </c>
      <c r="D188" s="348"/>
      <c r="E188" s="348"/>
      <c r="G188" s="69">
        <f>(G181+G187)</f>
        <v>15874083.333333334</v>
      </c>
    </row>
    <row r="189" spans="2:9" s="47" customFormat="1" ht="22.5" customHeight="1" x14ac:dyDescent="0.25">
      <c r="C189" s="53" t="s">
        <v>644</v>
      </c>
      <c r="E189" s="64"/>
      <c r="G189" s="68">
        <f>'CoP-MoF'!D12</f>
        <v>1451516.6666666865</v>
      </c>
    </row>
    <row r="190" spans="2:9" s="47" customFormat="1" ht="22.5" customHeight="1" x14ac:dyDescent="0.25">
      <c r="B190" s="77"/>
      <c r="C190" s="91" t="s">
        <v>130</v>
      </c>
      <c r="D190" s="77"/>
      <c r="E190" s="92"/>
      <c r="F190" s="77"/>
      <c r="G190" s="90">
        <f>(G175+G188+G189+G9)</f>
        <v>320000000</v>
      </c>
    </row>
    <row r="191" spans="2:9" ht="22.5" customHeight="1" x14ac:dyDescent="0.25">
      <c r="G191" s="69"/>
    </row>
    <row r="192" spans="2:9" s="47" customFormat="1" ht="22.5" customHeight="1" x14ac:dyDescent="0.25">
      <c r="B192" s="93"/>
      <c r="C192" s="94" t="s">
        <v>338</v>
      </c>
      <c r="D192" s="93"/>
      <c r="E192" s="93"/>
      <c r="F192" s="93"/>
      <c r="G192" s="95">
        <v>320000000</v>
      </c>
    </row>
    <row r="193" spans="3:7" x14ac:dyDescent="0.25">
      <c r="G193" s="65"/>
    </row>
    <row r="194" spans="3:7" x14ac:dyDescent="0.25">
      <c r="G194" s="65"/>
    </row>
    <row r="196" spans="3:7" x14ac:dyDescent="0.25">
      <c r="C196" s="44"/>
    </row>
    <row r="197" spans="3:7" x14ac:dyDescent="0.25">
      <c r="C197" s="44"/>
    </row>
    <row r="198" spans="3:7" x14ac:dyDescent="0.25">
      <c r="C198" s="44"/>
    </row>
    <row r="199" spans="3:7" x14ac:dyDescent="0.25">
      <c r="C199" s="44"/>
    </row>
    <row r="200" spans="3:7" x14ac:dyDescent="0.25">
      <c r="C200" s="44"/>
    </row>
    <row r="201" spans="3:7" x14ac:dyDescent="0.25">
      <c r="C201" s="44"/>
    </row>
    <row r="202" spans="3:7" x14ac:dyDescent="0.25">
      <c r="C202" s="44"/>
    </row>
    <row r="203" spans="3:7" x14ac:dyDescent="0.25">
      <c r="C203" s="44"/>
    </row>
    <row r="204" spans="3:7" x14ac:dyDescent="0.25">
      <c r="C204" s="44"/>
    </row>
  </sheetData>
  <customSheetViews>
    <customSheetView guid="{22475485-DA09-46DB-978D-BB94CE1E5597}" scale="130" hiddenRows="1">
      <selection activeCell="B4" sqref="B4"/>
      <pageMargins left="0.7" right="0.7" top="0.75" bottom="0.75" header="0.3" footer="0.3"/>
      <pageSetup paperSize="9" orientation="portrait" verticalDpi="300" r:id="rId1"/>
    </customSheetView>
  </customSheetViews>
  <mergeCells count="29">
    <mergeCell ref="C73:D73"/>
    <mergeCell ref="C61:D61"/>
    <mergeCell ref="C93:D93"/>
    <mergeCell ref="B2:G2"/>
    <mergeCell ref="C10:G10"/>
    <mergeCell ref="C4:G4"/>
    <mergeCell ref="C51:G51"/>
    <mergeCell ref="C85:D85"/>
    <mergeCell ref="F86:F90"/>
    <mergeCell ref="G86:G90"/>
    <mergeCell ref="D86:D90"/>
    <mergeCell ref="C166:D166"/>
    <mergeCell ref="C177:D177"/>
    <mergeCell ref="C182:D182"/>
    <mergeCell ref="C188:E188"/>
    <mergeCell ref="C155:D155"/>
    <mergeCell ref="C176:G176"/>
    <mergeCell ref="C165:G165"/>
    <mergeCell ref="C162:D162"/>
    <mergeCell ref="C150:D150"/>
    <mergeCell ref="C143:D143"/>
    <mergeCell ref="C128:D128"/>
    <mergeCell ref="C106:D106"/>
    <mergeCell ref="C119:D119"/>
    <mergeCell ref="C102:D102"/>
    <mergeCell ref="C115:D115"/>
    <mergeCell ref="C125:D125"/>
    <mergeCell ref="C136:D136"/>
    <mergeCell ref="C131:D131"/>
  </mergeCells>
  <pageMargins left="0.7" right="0.7" top="0.75" bottom="0.75" header="0.3" footer="0.3"/>
  <pageSetup paperSize="9" scale="75"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B2:I33"/>
  <sheetViews>
    <sheetView showGridLines="0" workbookViewId="0">
      <selection activeCell="D11" sqref="D11"/>
    </sheetView>
  </sheetViews>
  <sheetFormatPr defaultColWidth="13" defaultRowHeight="15" x14ac:dyDescent="0.25"/>
  <cols>
    <col min="1" max="1" width="4.5703125" style="96" customWidth="1"/>
    <col min="2" max="2" width="10.7109375" style="97" customWidth="1"/>
    <col min="3" max="3" width="52.42578125" style="97" customWidth="1"/>
    <col min="4" max="4" width="27.7109375" style="44" customWidth="1"/>
    <col min="5" max="5" width="19.28515625" style="96" bestFit="1" customWidth="1"/>
    <col min="6" max="6" width="20.28515625" style="96" customWidth="1"/>
    <col min="7" max="16384" width="13" style="96"/>
  </cols>
  <sheetData>
    <row r="2" spans="2:9" s="97" customFormat="1" ht="19.5" customHeight="1" x14ac:dyDescent="0.25">
      <c r="B2" s="355" t="s">
        <v>9</v>
      </c>
      <c r="C2" s="355"/>
      <c r="D2" s="355"/>
    </row>
    <row r="3" spans="2:9" s="108" customFormat="1" ht="21" customHeight="1" x14ac:dyDescent="0.25">
      <c r="B3" s="70" t="s">
        <v>772</v>
      </c>
      <c r="C3" s="70" t="s">
        <v>1</v>
      </c>
      <c r="D3" s="70" t="s">
        <v>7</v>
      </c>
      <c r="E3" s="109"/>
      <c r="F3" s="109"/>
    </row>
    <row r="4" spans="2:9" s="97" customFormat="1" ht="21" customHeight="1" x14ac:dyDescent="0.25">
      <c r="B4" s="71" t="s">
        <v>96</v>
      </c>
      <c r="C4" s="110" t="s">
        <v>111</v>
      </c>
      <c r="D4" s="73"/>
    </row>
    <row r="5" spans="2:9" s="97" customFormat="1" ht="21" customHeight="1" x14ac:dyDescent="0.25">
      <c r="B5" s="44">
        <v>1</v>
      </c>
      <c r="C5" s="97" t="s">
        <v>724</v>
      </c>
      <c r="D5" s="68">
        <f>'Det CoP_MOF'!G9</f>
        <v>5000000</v>
      </c>
      <c r="E5" s="98"/>
      <c r="F5" s="98"/>
      <c r="H5" s="97">
        <v>5</v>
      </c>
      <c r="I5" s="97">
        <v>50</v>
      </c>
    </row>
    <row r="6" spans="2:9" s="97" customFormat="1" ht="21" customHeight="1" x14ac:dyDescent="0.25">
      <c r="B6" s="44">
        <v>2</v>
      </c>
      <c r="C6" s="97" t="s">
        <v>444</v>
      </c>
      <c r="D6" s="68">
        <f>'Det CoP_MOF'!G50</f>
        <v>81294080</v>
      </c>
      <c r="E6" s="98"/>
      <c r="F6" s="98"/>
      <c r="H6" s="97">
        <v>1</v>
      </c>
      <c r="I6" s="97">
        <f>I5/H5</f>
        <v>10</v>
      </c>
    </row>
    <row r="7" spans="2:9" s="97" customFormat="1" ht="21" customHeight="1" x14ac:dyDescent="0.25">
      <c r="B7" s="44">
        <v>3</v>
      </c>
      <c r="C7" s="97" t="s">
        <v>71</v>
      </c>
      <c r="D7" s="68">
        <f>('Det CoP_MOF'!G164)</f>
        <v>215780320</v>
      </c>
      <c r="E7" s="104">
        <f>D7/D14</f>
        <v>0.67431350000000001</v>
      </c>
      <c r="F7" s="98"/>
    </row>
    <row r="8" spans="2:9" s="97" customFormat="1" ht="21" customHeight="1" x14ac:dyDescent="0.25">
      <c r="B8" s="44">
        <v>4</v>
      </c>
      <c r="C8" s="97" t="s">
        <v>115</v>
      </c>
      <c r="D8" s="68">
        <f>'Det CoP_MOF'!G174</f>
        <v>600000</v>
      </c>
      <c r="G8" s="304">
        <f>D14/5</f>
        <v>64000000</v>
      </c>
    </row>
    <row r="9" spans="2:9" s="97" customFormat="1" ht="21" customHeight="1" x14ac:dyDescent="0.25">
      <c r="B9" s="44">
        <v>5</v>
      </c>
      <c r="C9" s="97" t="s">
        <v>483</v>
      </c>
      <c r="D9" s="68">
        <f>'Det CoP_MOF'!G181</f>
        <v>1580000</v>
      </c>
      <c r="E9" s="99"/>
      <c r="F9" s="99"/>
      <c r="G9" s="97" t="s">
        <v>880</v>
      </c>
      <c r="H9" s="97">
        <v>50</v>
      </c>
      <c r="I9" s="97">
        <f>H9/5</f>
        <v>10</v>
      </c>
    </row>
    <row r="10" spans="2:9" s="97" customFormat="1" ht="21" customHeight="1" x14ac:dyDescent="0.25">
      <c r="B10" s="44">
        <v>6</v>
      </c>
      <c r="C10" s="97" t="s">
        <v>627</v>
      </c>
      <c r="D10" s="68">
        <f>'Det CoP_MOF'!G185</f>
        <v>1667000</v>
      </c>
      <c r="E10" s="99"/>
      <c r="F10" s="99"/>
    </row>
    <row r="11" spans="2:9" s="97" customFormat="1" ht="21" customHeight="1" x14ac:dyDescent="0.25">
      <c r="B11" s="44">
        <v>7</v>
      </c>
      <c r="C11" s="97" t="s">
        <v>626</v>
      </c>
      <c r="D11" s="324">
        <f>'Det CoP_MOF'!G186</f>
        <v>12627083.333333334</v>
      </c>
      <c r="E11" s="99"/>
      <c r="F11" s="99">
        <f>E11/10^7</f>
        <v>0</v>
      </c>
      <c r="G11" s="304">
        <f>D14/5</f>
        <v>64000000</v>
      </c>
    </row>
    <row r="12" spans="2:9" s="97" customFormat="1" x14ac:dyDescent="0.25">
      <c r="B12" s="44">
        <v>8</v>
      </c>
      <c r="C12" s="97" t="s">
        <v>644</v>
      </c>
      <c r="D12" s="68">
        <f>D14-SUM(D5:D11)</f>
        <v>1451516.6666666865</v>
      </c>
      <c r="E12" s="305">
        <f>D12/D14</f>
        <v>4.5359895833333953E-3</v>
      </c>
      <c r="F12" s="99"/>
    </row>
    <row r="13" spans="2:9" s="97" customFormat="1" ht="18" hidden="1" customHeight="1" x14ac:dyDescent="0.25">
      <c r="B13" s="51"/>
      <c r="D13" s="63"/>
      <c r="E13" s="99"/>
      <c r="F13" s="99"/>
    </row>
    <row r="14" spans="2:9" s="64" customFormat="1" ht="21" customHeight="1" x14ac:dyDescent="0.25">
      <c r="B14" s="110"/>
      <c r="C14" s="71" t="s">
        <v>43</v>
      </c>
      <c r="D14" s="111">
        <f>'Det CoP_MOF'!G192</f>
        <v>320000000</v>
      </c>
      <c r="E14" s="100"/>
      <c r="F14" s="101">
        <v>3125.16</v>
      </c>
      <c r="G14" s="102">
        <v>3200</v>
      </c>
      <c r="H14" s="102">
        <f>G14-F14</f>
        <v>74.840000000000146</v>
      </c>
    </row>
    <row r="15" spans="2:9" s="97" customFormat="1" ht="21" customHeight="1" x14ac:dyDescent="0.25">
      <c r="B15" s="71" t="s">
        <v>97</v>
      </c>
      <c r="C15" s="110" t="s">
        <v>112</v>
      </c>
      <c r="D15" s="112"/>
      <c r="F15" s="103"/>
      <c r="G15" s="99"/>
    </row>
    <row r="16" spans="2:9" s="97" customFormat="1" ht="21" customHeight="1" x14ac:dyDescent="0.25">
      <c r="B16" s="44"/>
      <c r="C16" s="97" t="s">
        <v>696</v>
      </c>
      <c r="D16" s="68">
        <f>D14-D17-D20</f>
        <v>50000000</v>
      </c>
      <c r="E16" s="104"/>
      <c r="F16" s="98"/>
    </row>
    <row r="17" spans="2:6" s="97" customFormat="1" ht="21" customHeight="1" x14ac:dyDescent="0.25">
      <c r="B17" s="44"/>
      <c r="C17" s="97" t="s">
        <v>910</v>
      </c>
      <c r="D17" s="68">
        <v>50000000</v>
      </c>
      <c r="E17" s="104"/>
      <c r="F17" s="98"/>
    </row>
    <row r="18" spans="2:6" s="97" customFormat="1" x14ac:dyDescent="0.25">
      <c r="B18" s="44"/>
      <c r="D18" s="68"/>
      <c r="E18" s="99"/>
      <c r="F18" s="98"/>
    </row>
    <row r="19" spans="2:6" s="97" customFormat="1" ht="21" customHeight="1" x14ac:dyDescent="0.25">
      <c r="B19" s="44">
        <v>1</v>
      </c>
      <c r="C19" s="97" t="s">
        <v>710</v>
      </c>
      <c r="D19" s="68">
        <f>D16+D17</f>
        <v>100000000</v>
      </c>
      <c r="E19" s="99">
        <f>D20/D19</f>
        <v>2.2000000000000002</v>
      </c>
    </row>
    <row r="20" spans="2:6" s="97" customFormat="1" ht="21" customHeight="1" x14ac:dyDescent="0.25">
      <c r="B20" s="44">
        <v>2</v>
      </c>
      <c r="C20" s="97" t="s">
        <v>113</v>
      </c>
      <c r="D20" s="68">
        <v>220000000</v>
      </c>
      <c r="E20" s="105"/>
      <c r="F20" s="104"/>
    </row>
    <row r="21" spans="2:6" s="97" customFormat="1" ht="18" hidden="1" customHeight="1" x14ac:dyDescent="0.25">
      <c r="B21" s="51"/>
      <c r="C21" s="53"/>
      <c r="D21" s="68"/>
      <c r="E21" s="99"/>
    </row>
    <row r="22" spans="2:6" s="97" customFormat="1" ht="34.5" customHeight="1" x14ac:dyDescent="0.25">
      <c r="B22" s="51"/>
      <c r="C22" s="53" t="s">
        <v>679</v>
      </c>
      <c r="D22" s="68">
        <v>40000000</v>
      </c>
      <c r="E22" s="99"/>
    </row>
    <row r="23" spans="2:6" s="97" customFormat="1" ht="21" customHeight="1" x14ac:dyDescent="0.25">
      <c r="B23" s="110"/>
      <c r="C23" s="71" t="s">
        <v>43</v>
      </c>
      <c r="D23" s="111">
        <f>D14</f>
        <v>320000000</v>
      </c>
      <c r="E23" s="102"/>
    </row>
    <row r="24" spans="2:6" x14ac:dyDescent="0.25">
      <c r="D24" s="63"/>
    </row>
    <row r="25" spans="2:6" x14ac:dyDescent="0.25">
      <c r="C25" s="97" t="s">
        <v>542</v>
      </c>
      <c r="D25" s="68">
        <v>5000000</v>
      </c>
      <c r="F25" s="306"/>
    </row>
    <row r="26" spans="2:6" x14ac:dyDescent="0.25">
      <c r="B26" s="113"/>
      <c r="C26" s="92" t="s">
        <v>543</v>
      </c>
      <c r="D26" s="90">
        <f>D20+D25</f>
        <v>225000000</v>
      </c>
    </row>
    <row r="27" spans="2:6" x14ac:dyDescent="0.25">
      <c r="F27" s="106"/>
    </row>
    <row r="29" spans="2:6" x14ac:dyDescent="0.25">
      <c r="D29" s="68"/>
    </row>
    <row r="30" spans="2:6" x14ac:dyDescent="0.25">
      <c r="D30" s="107"/>
    </row>
    <row r="31" spans="2:6" x14ac:dyDescent="0.25">
      <c r="D31" s="107"/>
    </row>
    <row r="32" spans="2:6" x14ac:dyDescent="0.25">
      <c r="D32" s="107"/>
    </row>
    <row r="33" spans="4:4" x14ac:dyDescent="0.25">
      <c r="D33" s="107"/>
    </row>
  </sheetData>
  <customSheetViews>
    <customSheetView guid="{22475485-DA09-46DB-978D-BB94CE1E5597}" topLeftCell="A7">
      <selection activeCell="B13" sqref="B13"/>
      <pageMargins left="0.7" right="0.7" top="0.75" bottom="0.75" header="0.3" footer="0.3"/>
      <pageSetup paperSize="9" orientation="portrait" verticalDpi="300" r:id="rId1"/>
    </customSheetView>
  </customSheetViews>
  <mergeCells count="1">
    <mergeCell ref="B2:D2"/>
  </mergeCells>
  <pageMargins left="0.7" right="0.7" top="0.75" bottom="0.75" header="0.3" footer="0.3"/>
  <pageSetup paperSize="9" orientation="portrait"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B2:L86"/>
  <sheetViews>
    <sheetView showGridLines="0" topLeftCell="A40" workbookViewId="0">
      <selection activeCell="D54" sqref="D54"/>
    </sheetView>
  </sheetViews>
  <sheetFormatPr defaultColWidth="13" defaultRowHeight="15" x14ac:dyDescent="0.25"/>
  <cols>
    <col min="1" max="1" width="4" style="96" customWidth="1"/>
    <col min="2" max="2" width="10" style="44" customWidth="1"/>
    <col min="3" max="3" width="56.42578125" style="108" customWidth="1"/>
    <col min="4" max="4" width="22.85546875" style="44" customWidth="1"/>
    <col min="5" max="5" width="18.28515625" style="44" customWidth="1"/>
    <col min="6" max="6" width="12" style="96" customWidth="1"/>
    <col min="7" max="7" width="12.85546875" style="96" customWidth="1"/>
    <col min="8" max="8" width="16" style="96" customWidth="1"/>
    <col min="9" max="16384" width="13" style="96"/>
  </cols>
  <sheetData>
    <row r="2" spans="2:12" s="97" customFormat="1" ht="21" customHeight="1" x14ac:dyDescent="0.25">
      <c r="B2" s="355" t="s">
        <v>10</v>
      </c>
      <c r="C2" s="355"/>
      <c r="D2" s="355"/>
      <c r="E2" s="355"/>
    </row>
    <row r="3" spans="2:12" s="108" customFormat="1" ht="21" customHeight="1" x14ac:dyDescent="0.25">
      <c r="B3" s="70" t="s">
        <v>0</v>
      </c>
      <c r="C3" s="70" t="s">
        <v>89</v>
      </c>
      <c r="D3" s="70" t="s">
        <v>87</v>
      </c>
      <c r="E3" s="70" t="s">
        <v>88</v>
      </c>
      <c r="F3" s="66"/>
      <c r="G3" s="109"/>
      <c r="H3" s="96"/>
      <c r="I3" s="96"/>
      <c r="J3" s="96"/>
    </row>
    <row r="4" spans="2:12" s="97" customFormat="1" ht="21" customHeight="1" x14ac:dyDescent="0.25">
      <c r="B4" s="71" t="s">
        <v>90</v>
      </c>
      <c r="C4" s="118" t="s">
        <v>92</v>
      </c>
      <c r="D4" s="73"/>
      <c r="E4" s="73"/>
    </row>
    <row r="5" spans="2:12" s="97" customFormat="1" ht="21" customHeight="1" x14ac:dyDescent="0.25">
      <c r="B5" s="44">
        <v>1</v>
      </c>
      <c r="C5" s="53" t="s">
        <v>162</v>
      </c>
      <c r="D5" s="44">
        <v>24</v>
      </c>
      <c r="E5" s="44" t="s">
        <v>190</v>
      </c>
    </row>
    <row r="6" spans="2:12" s="97" customFormat="1" ht="21" customHeight="1" x14ac:dyDescent="0.25">
      <c r="B6" s="44">
        <v>2</v>
      </c>
      <c r="C6" s="53" t="s">
        <v>163</v>
      </c>
      <c r="D6" s="44">
        <v>365</v>
      </c>
      <c r="E6" s="44" t="s">
        <v>191</v>
      </c>
    </row>
    <row r="7" spans="2:12" s="97" customFormat="1" ht="21" customHeight="1" x14ac:dyDescent="0.25">
      <c r="B7" s="44">
        <v>3</v>
      </c>
      <c r="C7" s="53" t="s">
        <v>335</v>
      </c>
      <c r="D7" s="44">
        <v>350</v>
      </c>
      <c r="E7" s="44" t="s">
        <v>191</v>
      </c>
    </row>
    <row r="8" spans="2:12" s="97" customFormat="1" ht="21" customHeight="1" x14ac:dyDescent="0.25">
      <c r="B8" s="44">
        <v>4</v>
      </c>
      <c r="C8" s="53" t="s">
        <v>187</v>
      </c>
      <c r="D8" s="44" t="s">
        <v>771</v>
      </c>
      <c r="E8" s="44" t="s">
        <v>8</v>
      </c>
    </row>
    <row r="9" spans="2:12" s="97" customFormat="1" ht="21" customHeight="1" x14ac:dyDescent="0.25">
      <c r="B9" s="71" t="s">
        <v>91</v>
      </c>
      <c r="C9" s="118" t="s">
        <v>93</v>
      </c>
      <c r="D9" s="71"/>
      <c r="E9" s="71"/>
      <c r="F9" s="64"/>
      <c r="G9" s="64"/>
      <c r="H9" s="64"/>
      <c r="I9" s="64"/>
      <c r="J9" s="64"/>
      <c r="K9" s="64"/>
      <c r="L9" s="64"/>
    </row>
    <row r="10" spans="2:12" s="97" customFormat="1" ht="21" customHeight="1" x14ac:dyDescent="0.25">
      <c r="B10" s="44">
        <v>5</v>
      </c>
      <c r="C10" s="53" t="s">
        <v>164</v>
      </c>
      <c r="D10" s="48">
        <v>10000</v>
      </c>
      <c r="E10" s="44" t="s">
        <v>188</v>
      </c>
      <c r="G10" s="97">
        <f>50*5*1000</f>
        <v>250000</v>
      </c>
    </row>
    <row r="11" spans="2:12" s="97" customFormat="1" ht="21" customHeight="1" x14ac:dyDescent="0.25">
      <c r="B11" s="44">
        <v>6</v>
      </c>
      <c r="C11" s="53" t="s">
        <v>655</v>
      </c>
      <c r="D11" s="48">
        <v>120000</v>
      </c>
      <c r="E11" s="44" t="s">
        <v>188</v>
      </c>
      <c r="G11" s="97">
        <f>25*5*1000</f>
        <v>125000</v>
      </c>
    </row>
    <row r="12" spans="2:12" s="97" customFormat="1" ht="21" customHeight="1" x14ac:dyDescent="0.25">
      <c r="B12" s="44">
        <v>7</v>
      </c>
      <c r="C12" s="53" t="s">
        <v>704</v>
      </c>
      <c r="D12" s="48">
        <v>14100</v>
      </c>
      <c r="E12" s="44" t="s">
        <v>189</v>
      </c>
    </row>
    <row r="13" spans="2:12" s="97" customFormat="1" ht="21" customHeight="1" x14ac:dyDescent="0.25">
      <c r="B13" s="44">
        <v>8</v>
      </c>
      <c r="C13" s="53" t="s">
        <v>705</v>
      </c>
      <c r="D13" s="48">
        <v>12700</v>
      </c>
      <c r="E13" s="44" t="s">
        <v>189</v>
      </c>
    </row>
    <row r="14" spans="2:12" s="97" customFormat="1" ht="21" customHeight="1" x14ac:dyDescent="0.25">
      <c r="B14" s="44">
        <v>9</v>
      </c>
      <c r="C14" s="53" t="s">
        <v>227</v>
      </c>
      <c r="D14" s="48">
        <v>12700</v>
      </c>
      <c r="E14" s="44" t="s">
        <v>189</v>
      </c>
    </row>
    <row r="15" spans="2:12" s="97" customFormat="1" ht="21" customHeight="1" x14ac:dyDescent="0.25">
      <c r="B15" s="44">
        <v>10</v>
      </c>
      <c r="C15" s="53" t="s">
        <v>165</v>
      </c>
      <c r="D15" s="48">
        <v>7000</v>
      </c>
      <c r="E15" s="44" t="s">
        <v>189</v>
      </c>
      <c r="G15" s="310" t="s">
        <v>894</v>
      </c>
      <c r="H15" s="311">
        <v>0.74</v>
      </c>
      <c r="I15" s="64"/>
      <c r="J15" s="64"/>
    </row>
    <row r="16" spans="2:12" s="97" customFormat="1" ht="21" customHeight="1" x14ac:dyDescent="0.25">
      <c r="B16" s="44">
        <v>11</v>
      </c>
      <c r="C16" s="53" t="s">
        <v>166</v>
      </c>
      <c r="D16" s="48">
        <v>5000</v>
      </c>
      <c r="E16" s="44" t="s">
        <v>188</v>
      </c>
      <c r="G16" s="312" t="s">
        <v>895</v>
      </c>
      <c r="H16" s="313">
        <f>0.74*7000</f>
        <v>5180</v>
      </c>
      <c r="I16" s="314" t="s">
        <v>896</v>
      </c>
      <c r="J16" s="315" t="s">
        <v>897</v>
      </c>
    </row>
    <row r="17" spans="2:12" s="97" customFormat="1" ht="21" customHeight="1" x14ac:dyDescent="0.25">
      <c r="B17" s="44">
        <v>12</v>
      </c>
      <c r="C17" s="53" t="s">
        <v>228</v>
      </c>
      <c r="D17" s="44" t="s">
        <v>434</v>
      </c>
      <c r="E17" s="44" t="s">
        <v>8</v>
      </c>
      <c r="G17" s="316"/>
      <c r="H17" s="317">
        <f>H16*90%</f>
        <v>4662</v>
      </c>
      <c r="I17" s="64"/>
      <c r="J17" s="64"/>
    </row>
    <row r="18" spans="2:12" s="97" customFormat="1" ht="21" customHeight="1" x14ac:dyDescent="0.25">
      <c r="B18" s="44">
        <v>13</v>
      </c>
      <c r="C18" s="53" t="s">
        <v>773</v>
      </c>
      <c r="D18" s="48">
        <v>7000</v>
      </c>
      <c r="E18" s="44" t="s">
        <v>189</v>
      </c>
    </row>
    <row r="19" spans="2:12" s="97" customFormat="1" ht="21" customHeight="1" x14ac:dyDescent="0.25">
      <c r="B19" s="44">
        <v>14</v>
      </c>
      <c r="C19" s="53" t="s">
        <v>226</v>
      </c>
      <c r="D19" s="44" t="s">
        <v>192</v>
      </c>
      <c r="E19" s="44" t="s">
        <v>8</v>
      </c>
    </row>
    <row r="20" spans="2:12" s="97" customFormat="1" ht="21" customHeight="1" x14ac:dyDescent="0.25">
      <c r="B20" s="71" t="s">
        <v>94</v>
      </c>
      <c r="C20" s="118" t="s">
        <v>95</v>
      </c>
      <c r="D20" s="71"/>
      <c r="E20" s="71"/>
      <c r="F20" s="64"/>
      <c r="G20" s="64"/>
      <c r="H20" s="64"/>
      <c r="I20" s="64"/>
      <c r="J20" s="64"/>
      <c r="K20" s="64"/>
      <c r="L20" s="64"/>
    </row>
    <row r="21" spans="2:12" s="97" customFormat="1" ht="21" customHeight="1" x14ac:dyDescent="0.25">
      <c r="B21" s="44" t="s">
        <v>96</v>
      </c>
      <c r="C21" s="53" t="s">
        <v>167</v>
      </c>
      <c r="D21" s="44"/>
      <c r="E21" s="44"/>
    </row>
    <row r="22" spans="2:12" s="97" customFormat="1" ht="21" customHeight="1" x14ac:dyDescent="0.25">
      <c r="B22" s="44">
        <v>1</v>
      </c>
      <c r="C22" s="53" t="s">
        <v>634</v>
      </c>
      <c r="D22" s="48">
        <v>30000</v>
      </c>
      <c r="E22" s="44" t="s">
        <v>195</v>
      </c>
    </row>
    <row r="23" spans="2:12" s="97" customFormat="1" ht="21" customHeight="1" x14ac:dyDescent="0.25">
      <c r="B23" s="44" t="s">
        <v>97</v>
      </c>
      <c r="C23" s="53" t="s">
        <v>168</v>
      </c>
      <c r="D23" s="48"/>
      <c r="E23" s="44"/>
    </row>
    <row r="24" spans="2:12" s="97" customFormat="1" ht="21" customHeight="1" x14ac:dyDescent="0.25">
      <c r="B24" s="44">
        <v>2</v>
      </c>
      <c r="C24" s="53" t="s">
        <v>169</v>
      </c>
      <c r="D24" s="48">
        <v>50000</v>
      </c>
      <c r="E24" s="44" t="s">
        <v>199</v>
      </c>
    </row>
    <row r="25" spans="2:12" s="97" customFormat="1" ht="21" customHeight="1" x14ac:dyDescent="0.25">
      <c r="B25" s="44">
        <v>3</v>
      </c>
      <c r="C25" s="53" t="s">
        <v>229</v>
      </c>
      <c r="D25" s="48">
        <v>40000</v>
      </c>
      <c r="E25" s="44" t="s">
        <v>199</v>
      </c>
    </row>
    <row r="26" spans="2:12" s="97" customFormat="1" ht="21" customHeight="1" x14ac:dyDescent="0.25">
      <c r="B26" s="44">
        <v>4</v>
      </c>
      <c r="C26" s="53" t="s">
        <v>170</v>
      </c>
      <c r="D26" s="48">
        <f>D24+D25</f>
        <v>90000</v>
      </c>
      <c r="E26" s="44" t="s">
        <v>199</v>
      </c>
    </row>
    <row r="27" spans="2:12" s="97" customFormat="1" ht="21" customHeight="1" x14ac:dyDescent="0.25">
      <c r="B27" s="73" t="s">
        <v>98</v>
      </c>
      <c r="C27" s="118" t="s">
        <v>401</v>
      </c>
      <c r="D27" s="119"/>
      <c r="E27" s="73"/>
    </row>
    <row r="28" spans="2:12" s="97" customFormat="1" ht="21" customHeight="1" x14ac:dyDescent="0.25">
      <c r="B28" s="44">
        <v>5</v>
      </c>
      <c r="C28" s="53" t="s">
        <v>200</v>
      </c>
      <c r="D28" s="48">
        <v>428000</v>
      </c>
      <c r="E28" s="44" t="s">
        <v>199</v>
      </c>
    </row>
    <row r="29" spans="2:12" s="97" customFormat="1" ht="21" customHeight="1" x14ac:dyDescent="0.25">
      <c r="B29" s="44">
        <v>6</v>
      </c>
      <c r="C29" s="53" t="s">
        <v>435</v>
      </c>
      <c r="D29" s="48">
        <v>228000</v>
      </c>
      <c r="E29" s="44" t="s">
        <v>199</v>
      </c>
    </row>
    <row r="30" spans="2:12" s="97" customFormat="1" ht="21" customHeight="1" x14ac:dyDescent="0.25">
      <c r="B30" s="44">
        <v>7</v>
      </c>
      <c r="C30" s="53" t="s">
        <v>171</v>
      </c>
      <c r="D30" s="48">
        <f>D28-D29</f>
        <v>200000</v>
      </c>
      <c r="E30" s="44" t="s">
        <v>199</v>
      </c>
    </row>
    <row r="31" spans="2:12" s="97" customFormat="1" ht="21" customHeight="1" x14ac:dyDescent="0.25">
      <c r="B31" s="356"/>
      <c r="C31" s="356"/>
      <c r="D31" s="356"/>
      <c r="E31" s="356"/>
      <c r="F31" s="356"/>
    </row>
    <row r="32" spans="2:12" s="53" customFormat="1" ht="21" customHeight="1" x14ac:dyDescent="0.25">
      <c r="B32" s="94" t="s">
        <v>0</v>
      </c>
      <c r="C32" s="94" t="s">
        <v>89</v>
      </c>
      <c r="D32" s="94" t="s">
        <v>87</v>
      </c>
      <c r="E32" s="94" t="s">
        <v>88</v>
      </c>
      <c r="F32" s="46"/>
      <c r="G32" s="97"/>
      <c r="H32" s="97"/>
    </row>
    <row r="33" spans="2:12" s="97" customFormat="1" ht="21" customHeight="1" x14ac:dyDescent="0.25">
      <c r="B33" s="71" t="s">
        <v>99</v>
      </c>
      <c r="C33" s="118" t="s">
        <v>100</v>
      </c>
      <c r="D33" s="73"/>
      <c r="E33" s="73"/>
    </row>
    <row r="34" spans="2:12" s="97" customFormat="1" ht="21" customHeight="1" x14ac:dyDescent="0.25">
      <c r="B34" s="44">
        <v>1</v>
      </c>
      <c r="C34" s="53" t="s">
        <v>706</v>
      </c>
      <c r="D34" s="48">
        <v>14100</v>
      </c>
      <c r="E34" s="44" t="s">
        <v>194</v>
      </c>
      <c r="H34" s="97">
        <v>1000</v>
      </c>
      <c r="I34" s="97">
        <v>400</v>
      </c>
      <c r="J34" s="97">
        <v>20</v>
      </c>
    </row>
    <row r="35" spans="2:12" s="97" customFormat="1" ht="21" customHeight="1" x14ac:dyDescent="0.25">
      <c r="B35" s="44">
        <v>2</v>
      </c>
      <c r="C35" s="53" t="s">
        <v>707</v>
      </c>
      <c r="D35" s="48">
        <v>12700</v>
      </c>
      <c r="E35" s="44" t="s">
        <v>194</v>
      </c>
      <c r="F35" s="97">
        <f>D34*90%</f>
        <v>12690</v>
      </c>
      <c r="H35" s="97">
        <v>400</v>
      </c>
      <c r="I35" s="97">
        <f>J34/I34</f>
        <v>0.05</v>
      </c>
      <c r="J35" s="97">
        <f>I35*D36</f>
        <v>250</v>
      </c>
    </row>
    <row r="36" spans="2:12" s="97" customFormat="1" ht="21" customHeight="1" x14ac:dyDescent="0.25">
      <c r="B36" s="44">
        <v>3</v>
      </c>
      <c r="C36" s="53" t="s">
        <v>172</v>
      </c>
      <c r="D36" s="48">
        <v>5000</v>
      </c>
      <c r="E36" s="44" t="s">
        <v>610</v>
      </c>
      <c r="H36" s="97">
        <f>H34/H35</f>
        <v>2.5</v>
      </c>
    </row>
    <row r="37" spans="2:12" s="97" customFormat="1" ht="21" customHeight="1" x14ac:dyDescent="0.25">
      <c r="B37" s="44">
        <v>4</v>
      </c>
      <c r="C37" s="53" t="s">
        <v>173</v>
      </c>
      <c r="D37" s="48">
        <v>30000</v>
      </c>
      <c r="E37" s="44" t="s">
        <v>195</v>
      </c>
      <c r="H37" s="97">
        <f>H36*D36</f>
        <v>12500</v>
      </c>
    </row>
    <row r="38" spans="2:12" s="97" customFormat="1" ht="21" customHeight="1" x14ac:dyDescent="0.25">
      <c r="B38" s="44">
        <v>5</v>
      </c>
      <c r="C38" s="53" t="s">
        <v>174</v>
      </c>
      <c r="D38" s="48">
        <v>90000</v>
      </c>
      <c r="E38" s="44" t="s">
        <v>199</v>
      </c>
    </row>
    <row r="39" spans="2:12" s="97" customFormat="1" ht="21" customHeight="1" x14ac:dyDescent="0.25">
      <c r="B39" s="71" t="s">
        <v>101</v>
      </c>
      <c r="C39" s="118" t="s">
        <v>178</v>
      </c>
      <c r="D39" s="119"/>
      <c r="E39" s="71"/>
      <c r="F39" s="64"/>
      <c r="I39" s="64"/>
      <c r="J39" s="64"/>
      <c r="K39" s="64"/>
    </row>
    <row r="40" spans="2:12" s="97" customFormat="1" ht="21" customHeight="1" x14ac:dyDescent="0.25">
      <c r="B40" s="44">
        <v>1</v>
      </c>
      <c r="C40" s="53" t="s">
        <v>179</v>
      </c>
      <c r="D40" s="48">
        <v>200</v>
      </c>
      <c r="E40" s="44" t="s">
        <v>201</v>
      </c>
    </row>
    <row r="41" spans="2:12" s="97" customFormat="1" ht="21" customHeight="1" x14ac:dyDescent="0.25">
      <c r="B41" s="44">
        <v>2</v>
      </c>
      <c r="C41" s="53" t="s">
        <v>436</v>
      </c>
      <c r="D41" s="48">
        <v>140</v>
      </c>
      <c r="E41" s="44" t="s">
        <v>201</v>
      </c>
    </row>
    <row r="42" spans="2:12" s="97" customFormat="1" ht="21" customHeight="1" x14ac:dyDescent="0.25">
      <c r="B42" s="44">
        <v>3</v>
      </c>
      <c r="C42" s="53" t="s">
        <v>231</v>
      </c>
      <c r="D42" s="48">
        <v>40</v>
      </c>
      <c r="E42" s="44" t="s">
        <v>201</v>
      </c>
    </row>
    <row r="43" spans="2:12" s="97" customFormat="1" ht="21" customHeight="1" x14ac:dyDescent="0.25">
      <c r="B43" s="44"/>
      <c r="C43" s="53"/>
      <c r="D43" s="48"/>
      <c r="E43" s="44" t="s">
        <v>201</v>
      </c>
    </row>
    <row r="44" spans="2:12" s="97" customFormat="1" ht="21" customHeight="1" x14ac:dyDescent="0.25">
      <c r="B44" s="44">
        <v>4</v>
      </c>
      <c r="C44" s="53" t="s">
        <v>437</v>
      </c>
      <c r="D44" s="48">
        <v>120</v>
      </c>
      <c r="E44" s="44" t="s">
        <v>201</v>
      </c>
    </row>
    <row r="45" spans="2:12" s="97" customFormat="1" ht="21" customHeight="1" x14ac:dyDescent="0.25">
      <c r="B45" s="44"/>
      <c r="C45" s="46" t="s">
        <v>45</v>
      </c>
      <c r="D45" s="48">
        <f>SUM(D40:D44)</f>
        <v>500</v>
      </c>
      <c r="E45" s="44" t="s">
        <v>201</v>
      </c>
    </row>
    <row r="46" spans="2:12" s="97" customFormat="1" ht="21" customHeight="1" x14ac:dyDescent="0.25">
      <c r="B46" s="73"/>
      <c r="C46" s="120" t="s">
        <v>439</v>
      </c>
      <c r="D46" s="119">
        <v>380</v>
      </c>
      <c r="E46" s="73" t="s">
        <v>201</v>
      </c>
    </row>
    <row r="47" spans="2:12" s="97" customFormat="1" ht="21" customHeight="1" x14ac:dyDescent="0.25">
      <c r="B47" s="71" t="s">
        <v>102</v>
      </c>
      <c r="C47" s="118" t="s">
        <v>175</v>
      </c>
      <c r="D47" s="119"/>
      <c r="E47" s="71"/>
      <c r="F47" s="64"/>
      <c r="I47" s="64"/>
      <c r="J47" s="64"/>
      <c r="K47" s="64"/>
      <c r="L47" s="64"/>
    </row>
    <row r="48" spans="2:12" s="97" customFormat="1" ht="21" customHeight="1" x14ac:dyDescent="0.25">
      <c r="B48" s="44">
        <v>1</v>
      </c>
      <c r="C48" s="53" t="s">
        <v>272</v>
      </c>
      <c r="D48" s="48">
        <f>D13*D7</f>
        <v>4445000</v>
      </c>
      <c r="E48" s="44" t="s">
        <v>189</v>
      </c>
    </row>
    <row r="49" spans="2:11" s="97" customFormat="1" ht="21" customHeight="1" x14ac:dyDescent="0.25">
      <c r="B49" s="44">
        <v>2</v>
      </c>
      <c r="C49" s="53" t="s">
        <v>408</v>
      </c>
      <c r="D49" s="48">
        <f>(D16*D7)</f>
        <v>1750000</v>
      </c>
      <c r="E49" s="44" t="s">
        <v>188</v>
      </c>
    </row>
    <row r="50" spans="2:11" s="97" customFormat="1" ht="21" customHeight="1" x14ac:dyDescent="0.25">
      <c r="B50" s="44">
        <v>3</v>
      </c>
      <c r="C50" s="53" t="s">
        <v>409</v>
      </c>
      <c r="D50" s="48">
        <f>D7*D22</f>
        <v>10500000</v>
      </c>
      <c r="E50" s="44" t="s">
        <v>441</v>
      </c>
    </row>
    <row r="51" spans="2:11" s="97" customFormat="1" ht="21" customHeight="1" x14ac:dyDescent="0.25">
      <c r="B51" s="44">
        <v>4</v>
      </c>
      <c r="C51" s="53" t="s">
        <v>410</v>
      </c>
      <c r="D51" s="48">
        <f>(D38*D7)</f>
        <v>31500000</v>
      </c>
      <c r="E51" s="44" t="s">
        <v>341</v>
      </c>
    </row>
    <row r="52" spans="2:11" s="97" customFormat="1" ht="21" customHeight="1" x14ac:dyDescent="0.25">
      <c r="B52" s="71" t="s">
        <v>103</v>
      </c>
      <c r="C52" s="118" t="s">
        <v>176</v>
      </c>
      <c r="D52" s="119"/>
      <c r="E52" s="73"/>
      <c r="F52" s="64"/>
      <c r="I52" s="64"/>
      <c r="J52" s="64"/>
    </row>
    <row r="53" spans="2:11" s="97" customFormat="1" ht="21" customHeight="1" x14ac:dyDescent="0.25">
      <c r="B53" s="44">
        <v>1</v>
      </c>
      <c r="C53" s="53" t="s">
        <v>405</v>
      </c>
      <c r="D53" s="48">
        <f>(D10*D7)/1000</f>
        <v>3500</v>
      </c>
      <c r="E53" s="44" t="s">
        <v>193</v>
      </c>
    </row>
    <row r="54" spans="2:11" s="97" customFormat="1" ht="21" customHeight="1" x14ac:dyDescent="0.25">
      <c r="B54" s="44">
        <v>2</v>
      </c>
      <c r="C54" s="53" t="s">
        <v>637</v>
      </c>
      <c r="D54" s="48">
        <f>(D11*D7)/1000</f>
        <v>42000</v>
      </c>
      <c r="E54" s="44" t="s">
        <v>193</v>
      </c>
      <c r="F54" s="97">
        <v>800</v>
      </c>
      <c r="G54" s="212">
        <f>F54*F55</f>
        <v>596.79999999999995</v>
      </c>
      <c r="H54" s="97">
        <v>600</v>
      </c>
      <c r="I54" s="212">
        <f>H54/F55</f>
        <v>804.28954423592495</v>
      </c>
    </row>
    <row r="55" spans="2:11" s="97" customFormat="1" ht="21" customHeight="1" x14ac:dyDescent="0.25">
      <c r="B55" s="44">
        <v>3</v>
      </c>
      <c r="C55" s="53" t="s">
        <v>440</v>
      </c>
      <c r="D55" s="48">
        <f>D46*16*350</f>
        <v>2128000</v>
      </c>
      <c r="E55" s="44" t="s">
        <v>438</v>
      </c>
      <c r="F55" s="97">
        <v>0.746</v>
      </c>
    </row>
    <row r="56" spans="2:11" s="97" customFormat="1" ht="21" customHeight="1" x14ac:dyDescent="0.25">
      <c r="B56" s="44">
        <v>4</v>
      </c>
      <c r="C56" s="53" t="s">
        <v>404</v>
      </c>
      <c r="D56" s="48">
        <f>(D30*D7)/1000</f>
        <v>70000</v>
      </c>
      <c r="E56" s="44" t="s">
        <v>203</v>
      </c>
    </row>
    <row r="57" spans="2:11" s="97" customFormat="1" ht="21" customHeight="1" x14ac:dyDescent="0.25">
      <c r="B57" s="71" t="s">
        <v>104</v>
      </c>
      <c r="C57" s="118" t="s">
        <v>177</v>
      </c>
      <c r="D57" s="119"/>
      <c r="E57" s="71"/>
      <c r="F57" s="64"/>
      <c r="G57" s="64"/>
      <c r="H57" s="64"/>
      <c r="I57" s="64"/>
      <c r="J57" s="64"/>
      <c r="K57" s="64"/>
    </row>
    <row r="58" spans="2:11" s="97" customFormat="1" ht="21" customHeight="1" x14ac:dyDescent="0.25">
      <c r="B58" s="44">
        <v>1</v>
      </c>
      <c r="C58" s="53" t="s">
        <v>181</v>
      </c>
      <c r="D58" s="48">
        <v>11950</v>
      </c>
      <c r="E58" s="44" t="s">
        <v>204</v>
      </c>
    </row>
    <row r="59" spans="2:11" s="97" customFormat="1" ht="21" customHeight="1" x14ac:dyDescent="0.25">
      <c r="B59" s="44">
        <v>2</v>
      </c>
      <c r="C59" s="53" t="s">
        <v>182</v>
      </c>
      <c r="D59" s="48">
        <v>12870</v>
      </c>
      <c r="E59" s="44" t="s">
        <v>204</v>
      </c>
    </row>
    <row r="60" spans="2:11" s="97" customFormat="1" ht="21" customHeight="1" x14ac:dyDescent="0.25">
      <c r="B60" s="44">
        <v>3</v>
      </c>
      <c r="C60" s="53" t="s">
        <v>232</v>
      </c>
      <c r="D60" s="48" t="s">
        <v>206</v>
      </c>
      <c r="E60" s="44" t="s">
        <v>205</v>
      </c>
    </row>
    <row r="61" spans="2:11" s="97" customFormat="1" ht="21" customHeight="1" x14ac:dyDescent="0.25">
      <c r="B61" s="44">
        <v>4</v>
      </c>
      <c r="C61" s="53" t="s">
        <v>611</v>
      </c>
      <c r="D61" s="63">
        <v>102</v>
      </c>
      <c r="E61" s="44" t="s">
        <v>196</v>
      </c>
    </row>
    <row r="62" spans="2:11" s="97" customFormat="1" ht="21" customHeight="1" x14ac:dyDescent="0.25">
      <c r="B62" s="44">
        <v>5</v>
      </c>
      <c r="C62" s="53" t="s">
        <v>183</v>
      </c>
      <c r="D62" s="63">
        <v>72</v>
      </c>
      <c r="E62" s="44" t="s">
        <v>196</v>
      </c>
    </row>
    <row r="63" spans="2:11" s="97" customFormat="1" ht="21" customHeight="1" x14ac:dyDescent="0.25">
      <c r="B63" s="44">
        <v>6</v>
      </c>
      <c r="C63" s="53" t="s">
        <v>184</v>
      </c>
      <c r="D63" s="63">
        <v>3</v>
      </c>
      <c r="E63" s="44" t="s">
        <v>196</v>
      </c>
    </row>
    <row r="64" spans="2:11" s="97" customFormat="1" ht="21" customHeight="1" x14ac:dyDescent="0.25">
      <c r="B64" s="44">
        <v>7</v>
      </c>
      <c r="C64" s="53" t="s">
        <v>185</v>
      </c>
      <c r="D64" s="63">
        <f>0.5-0.4</f>
        <v>9.9999999999999978E-2</v>
      </c>
      <c r="E64" s="44" t="s">
        <v>207</v>
      </c>
    </row>
    <row r="65" spans="2:12" s="97" customFormat="1" ht="21" customHeight="1" x14ac:dyDescent="0.25">
      <c r="B65" s="356"/>
      <c r="C65" s="356"/>
      <c r="D65" s="356"/>
      <c r="E65" s="356"/>
      <c r="F65" s="356"/>
    </row>
    <row r="66" spans="2:12" s="53" customFormat="1" ht="21" customHeight="1" x14ac:dyDescent="0.25">
      <c r="B66" s="46"/>
      <c r="C66" s="46"/>
      <c r="D66" s="46"/>
      <c r="E66" s="46"/>
      <c r="F66" s="46"/>
      <c r="G66" s="58"/>
    </row>
    <row r="67" spans="2:12" s="53" customFormat="1" ht="21" customHeight="1" x14ac:dyDescent="0.25">
      <c r="B67" s="47"/>
      <c r="D67" s="46"/>
      <c r="E67" s="46"/>
      <c r="F67" s="46"/>
      <c r="G67" s="58"/>
    </row>
    <row r="68" spans="2:12" s="97" customFormat="1" ht="21" customHeight="1" x14ac:dyDescent="0.25">
      <c r="B68" s="44"/>
      <c r="C68" s="53"/>
      <c r="D68" s="48"/>
      <c r="E68" s="44"/>
    </row>
    <row r="69" spans="2:12" s="97" customFormat="1" ht="21" customHeight="1" x14ac:dyDescent="0.25">
      <c r="B69" s="44"/>
      <c r="C69" s="53"/>
      <c r="D69" s="48"/>
      <c r="E69" s="44"/>
    </row>
    <row r="70" spans="2:12" s="97" customFormat="1" ht="21" customHeight="1" x14ac:dyDescent="0.25">
      <c r="B70" s="44"/>
      <c r="C70" s="53"/>
      <c r="D70" s="48"/>
      <c r="E70" s="44"/>
    </row>
    <row r="71" spans="2:12" s="97" customFormat="1" ht="21" customHeight="1" x14ac:dyDescent="0.25">
      <c r="B71" s="44"/>
      <c r="C71" s="53"/>
      <c r="D71" s="48"/>
      <c r="E71" s="44"/>
    </row>
    <row r="72" spans="2:12" s="97" customFormat="1" ht="21" customHeight="1" x14ac:dyDescent="0.25">
      <c r="B72" s="44"/>
      <c r="C72" s="53"/>
      <c r="D72" s="48"/>
      <c r="E72" s="44"/>
    </row>
    <row r="73" spans="2:12" s="97" customFormat="1" ht="21" customHeight="1" x14ac:dyDescent="0.25">
      <c r="B73" s="44"/>
      <c r="C73" s="53"/>
      <c r="D73" s="48"/>
      <c r="E73" s="44"/>
    </row>
    <row r="74" spans="2:12" s="97" customFormat="1" ht="21" customHeight="1" x14ac:dyDescent="0.25">
      <c r="B74" s="44"/>
      <c r="C74" s="53"/>
      <c r="D74" s="48"/>
      <c r="E74" s="44"/>
    </row>
    <row r="75" spans="2:12" s="97" customFormat="1" ht="21" customHeight="1" x14ac:dyDescent="0.25">
      <c r="B75" s="44"/>
      <c r="C75" s="53"/>
      <c r="D75" s="48"/>
      <c r="E75" s="44"/>
    </row>
    <row r="76" spans="2:12" s="97" customFormat="1" ht="22.5" customHeight="1" x14ac:dyDescent="0.25">
      <c r="B76" s="47"/>
      <c r="C76" s="357"/>
      <c r="D76" s="356"/>
      <c r="E76" s="47"/>
      <c r="F76" s="64"/>
      <c r="G76" s="64"/>
      <c r="H76" s="64"/>
      <c r="I76" s="64"/>
      <c r="J76" s="64"/>
      <c r="K76" s="64"/>
      <c r="L76" s="64"/>
    </row>
    <row r="77" spans="2:12" s="97" customFormat="1" ht="21" customHeight="1" x14ac:dyDescent="0.25">
      <c r="B77" s="44"/>
      <c r="C77" s="53"/>
      <c r="D77" s="48"/>
      <c r="E77" s="44"/>
    </row>
    <row r="78" spans="2:12" s="97" customFormat="1" ht="21" customHeight="1" x14ac:dyDescent="0.25">
      <c r="B78" s="44"/>
      <c r="C78" s="53"/>
      <c r="D78" s="48"/>
      <c r="E78" s="44"/>
    </row>
    <row r="79" spans="2:12" s="97" customFormat="1" ht="21" customHeight="1" x14ac:dyDescent="0.25">
      <c r="B79" s="44"/>
      <c r="C79" s="53"/>
      <c r="D79" s="48"/>
      <c r="E79" s="44"/>
    </row>
    <row r="80" spans="2:12" s="97" customFormat="1" ht="21" customHeight="1" x14ac:dyDescent="0.25">
      <c r="B80" s="44"/>
      <c r="C80" s="53"/>
      <c r="D80" s="48"/>
      <c r="E80" s="44"/>
    </row>
    <row r="81" spans="2:5" s="97" customFormat="1" ht="21" customHeight="1" x14ac:dyDescent="0.25">
      <c r="B81" s="44"/>
      <c r="C81" s="53"/>
      <c r="D81" s="48"/>
      <c r="E81" s="44"/>
    </row>
    <row r="82" spans="2:5" s="97" customFormat="1" ht="21" customHeight="1" x14ac:dyDescent="0.25">
      <c r="B82" s="44"/>
      <c r="C82" s="53"/>
      <c r="D82" s="48"/>
      <c r="E82" s="44"/>
    </row>
    <row r="83" spans="2:5" s="97" customFormat="1" ht="21" customHeight="1" x14ac:dyDescent="0.25">
      <c r="B83" s="44"/>
      <c r="C83" s="53"/>
      <c r="D83" s="48"/>
      <c r="E83" s="44"/>
    </row>
    <row r="84" spans="2:5" s="97" customFormat="1" ht="21" customHeight="1" x14ac:dyDescent="0.25">
      <c r="B84" s="44"/>
      <c r="C84" s="53"/>
      <c r="D84" s="48"/>
      <c r="E84" s="44"/>
    </row>
    <row r="85" spans="2:5" s="97" customFormat="1" ht="21" customHeight="1" x14ac:dyDescent="0.25">
      <c r="B85" s="44"/>
      <c r="C85" s="53"/>
      <c r="D85" s="48"/>
      <c r="E85" s="44"/>
    </row>
    <row r="86" spans="2:5" s="97" customFormat="1" ht="21" customHeight="1" x14ac:dyDescent="0.25">
      <c r="B86" s="44"/>
      <c r="C86" s="53"/>
      <c r="D86" s="48"/>
      <c r="E86" s="44"/>
    </row>
  </sheetData>
  <customSheetViews>
    <customSheetView guid="{22475485-DA09-46DB-978D-BB94CE1E5597}" topLeftCell="A13">
      <selection activeCell="A28" sqref="A28"/>
      <pageMargins left="0.7" right="0.7" top="0.75" bottom="0.75" header="0.3" footer="0.3"/>
      <pageSetup paperSize="9" orientation="portrait" verticalDpi="300" r:id="rId1"/>
    </customSheetView>
  </customSheetViews>
  <mergeCells count="4">
    <mergeCell ref="B2:E2"/>
    <mergeCell ref="B31:F31"/>
    <mergeCell ref="B65:F65"/>
    <mergeCell ref="C76:D76"/>
  </mergeCells>
  <pageMargins left="0.7" right="0.7" top="0.75" bottom="0.75" header="0.3" footer="0.3"/>
  <pageSetup paperSize="9"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B2:J69"/>
  <sheetViews>
    <sheetView showGridLines="0" topLeftCell="A4" workbookViewId="0">
      <selection activeCell="G14" sqref="G14"/>
    </sheetView>
  </sheetViews>
  <sheetFormatPr defaultColWidth="13" defaultRowHeight="15" x14ac:dyDescent="0.25"/>
  <cols>
    <col min="1" max="1" width="4.5703125" style="96" customWidth="1"/>
    <col min="2" max="2" width="8.42578125" style="47" customWidth="1"/>
    <col min="3" max="3" width="48.42578125" style="96" customWidth="1"/>
    <col min="4" max="4" width="19.7109375" style="117" customWidth="1"/>
    <col min="5" max="5" width="18.5703125" style="44" customWidth="1"/>
    <col min="6" max="7" width="21" style="44" customWidth="1"/>
    <col min="8" max="8" width="14.28515625" style="96" bestFit="1" customWidth="1"/>
    <col min="9" max="9" width="13" style="96"/>
    <col min="10" max="10" width="16.85546875" style="96" bestFit="1" customWidth="1"/>
    <col min="11" max="16384" width="13" style="96"/>
  </cols>
  <sheetData>
    <row r="2" spans="2:10" ht="19.5" customHeight="1" x14ac:dyDescent="0.25">
      <c r="B2" s="93"/>
      <c r="C2" s="358" t="s">
        <v>727</v>
      </c>
      <c r="D2" s="358"/>
      <c r="E2" s="358"/>
      <c r="F2" s="359"/>
      <c r="G2" s="359"/>
    </row>
    <row r="3" spans="2:10" s="46" customFormat="1" ht="18" customHeight="1" x14ac:dyDescent="0.25">
      <c r="B3" s="72"/>
      <c r="C3" s="72" t="s">
        <v>11</v>
      </c>
      <c r="D3" s="72" t="s">
        <v>4</v>
      </c>
      <c r="E3" s="72" t="s">
        <v>12</v>
      </c>
      <c r="F3" s="72" t="s">
        <v>13</v>
      </c>
      <c r="G3" s="72" t="s">
        <v>234</v>
      </c>
    </row>
    <row r="4" spans="2:10" s="97" customFormat="1" ht="21" customHeight="1" x14ac:dyDescent="0.25">
      <c r="B4" s="47"/>
      <c r="C4" s="346" t="s">
        <v>74</v>
      </c>
      <c r="D4" s="348"/>
      <c r="E4" s="348"/>
      <c r="F4" s="348"/>
      <c r="G4" s="348"/>
    </row>
    <row r="5" spans="2:10" s="97" customFormat="1" ht="21" customHeight="1" x14ac:dyDescent="0.25">
      <c r="B5" s="47" t="s">
        <v>96</v>
      </c>
      <c r="C5" s="53" t="s">
        <v>51</v>
      </c>
      <c r="D5" s="121">
        <f>'Det Assump'!D62</f>
        <v>72</v>
      </c>
      <c r="E5" s="58" t="s">
        <v>196</v>
      </c>
      <c r="F5" s="48">
        <f>('Det Assump'!D49)</f>
        <v>1750000</v>
      </c>
      <c r="G5" s="48">
        <f>(F5*D5)</f>
        <v>126000000</v>
      </c>
      <c r="I5" s="121"/>
      <c r="J5" s="279"/>
    </row>
    <row r="6" spans="2:10" s="97" customFormat="1" ht="21" customHeight="1" x14ac:dyDescent="0.25">
      <c r="B6" s="47" t="s">
        <v>97</v>
      </c>
      <c r="C6" s="53" t="s">
        <v>336</v>
      </c>
      <c r="D6" s="121">
        <f>'Det Assump'!D63</f>
        <v>3</v>
      </c>
      <c r="E6" s="58" t="s">
        <v>196</v>
      </c>
      <c r="F6" s="48">
        <f>('Det Assump'!D50)</f>
        <v>10500000</v>
      </c>
      <c r="G6" s="48">
        <f>(F6*D6)</f>
        <v>31500000</v>
      </c>
      <c r="I6" s="121"/>
      <c r="J6" s="279"/>
    </row>
    <row r="7" spans="2:10" s="97" customFormat="1" ht="21" customHeight="1" x14ac:dyDescent="0.25">
      <c r="B7" s="47" t="s">
        <v>98</v>
      </c>
      <c r="C7" s="53" t="s">
        <v>337</v>
      </c>
      <c r="D7" s="121">
        <f>'Det Assump'!D64</f>
        <v>9.9999999999999978E-2</v>
      </c>
      <c r="E7" s="58" t="s">
        <v>233</v>
      </c>
      <c r="F7" s="48">
        <f>('Det Assump'!D51)</f>
        <v>31500000</v>
      </c>
      <c r="G7" s="48">
        <f>(F7*D7)</f>
        <v>3149999.9999999991</v>
      </c>
      <c r="I7" s="121"/>
    </row>
    <row r="8" spans="2:10" s="64" customFormat="1" ht="21" customHeight="1" x14ac:dyDescent="0.25">
      <c r="B8" s="74"/>
      <c r="C8" s="127" t="s">
        <v>75</v>
      </c>
      <c r="D8" s="80"/>
      <c r="E8" s="80"/>
      <c r="F8" s="81"/>
      <c r="G8" s="81">
        <f>SUM(G5:G7)</f>
        <v>160650000</v>
      </c>
      <c r="H8" s="97"/>
      <c r="I8" s="97"/>
      <c r="J8" s="97"/>
    </row>
    <row r="9" spans="2:10" s="97" customFormat="1" ht="21" customHeight="1" x14ac:dyDescent="0.25">
      <c r="B9" s="47"/>
      <c r="C9" s="346" t="s">
        <v>76</v>
      </c>
      <c r="D9" s="348"/>
      <c r="E9" s="348"/>
      <c r="F9" s="348"/>
      <c r="G9" s="348"/>
    </row>
    <row r="10" spans="2:10" s="97" customFormat="1" ht="21" customHeight="1" x14ac:dyDescent="0.25">
      <c r="B10" s="47"/>
      <c r="C10" s="346" t="s">
        <v>77</v>
      </c>
      <c r="D10" s="360"/>
      <c r="E10" s="360"/>
      <c r="F10" s="360"/>
      <c r="G10" s="360"/>
    </row>
    <row r="11" spans="2:10" s="97" customFormat="1" ht="21" customHeight="1" x14ac:dyDescent="0.25">
      <c r="B11" s="71">
        <v>1</v>
      </c>
      <c r="C11" s="361" t="s">
        <v>244</v>
      </c>
      <c r="D11" s="362"/>
      <c r="E11" s="362"/>
      <c r="F11" s="362"/>
      <c r="G11" s="362"/>
    </row>
    <row r="12" spans="2:10" s="97" customFormat="1" ht="30" x14ac:dyDescent="0.25">
      <c r="B12" s="47" t="s">
        <v>96</v>
      </c>
      <c r="C12" s="53" t="s">
        <v>701</v>
      </c>
      <c r="D12" s="58">
        <v>700</v>
      </c>
      <c r="E12" s="58" t="s">
        <v>235</v>
      </c>
      <c r="F12" s="48">
        <f>('Det Assump'!D53)</f>
        <v>3500</v>
      </c>
      <c r="G12" s="48">
        <f>(F12*D12)</f>
        <v>2450000</v>
      </c>
      <c r="I12" s="280">
        <f>F12/350</f>
        <v>10</v>
      </c>
    </row>
    <row r="13" spans="2:10" s="97" customFormat="1" ht="30" x14ac:dyDescent="0.25">
      <c r="B13" s="47" t="s">
        <v>97</v>
      </c>
      <c r="C13" s="53" t="s">
        <v>656</v>
      </c>
      <c r="D13" s="58">
        <v>600</v>
      </c>
      <c r="E13" s="58" t="s">
        <v>235</v>
      </c>
      <c r="F13" s="48">
        <f>('Det Assump'!D54)</f>
        <v>42000</v>
      </c>
      <c r="G13" s="48">
        <f>(F13*D13)</f>
        <v>25200000</v>
      </c>
      <c r="I13" s="97">
        <f>F13/350</f>
        <v>120</v>
      </c>
      <c r="J13" s="99">
        <f>I13*1000</f>
        <v>120000</v>
      </c>
    </row>
    <row r="14" spans="2:10" s="64" customFormat="1" ht="21" customHeight="1" x14ac:dyDescent="0.25">
      <c r="B14" s="74"/>
      <c r="C14" s="80" t="s">
        <v>43</v>
      </c>
      <c r="D14" s="80"/>
      <c r="E14" s="80"/>
      <c r="F14" s="85"/>
      <c r="G14" s="81">
        <f>SUM(G12:G13)</f>
        <v>27650000</v>
      </c>
      <c r="H14" s="97"/>
      <c r="I14" s="97"/>
      <c r="J14" s="97">
        <v>31</v>
      </c>
    </row>
    <row r="15" spans="2:10" s="97" customFormat="1" ht="21" customHeight="1" x14ac:dyDescent="0.25">
      <c r="B15" s="71">
        <v>2</v>
      </c>
      <c r="C15" s="361" t="s">
        <v>711</v>
      </c>
      <c r="D15" s="364"/>
      <c r="E15" s="364"/>
      <c r="F15" s="364"/>
      <c r="G15" s="364"/>
      <c r="J15" s="212">
        <f>J13*31%</f>
        <v>37200</v>
      </c>
    </row>
    <row r="16" spans="2:10" s="97" customFormat="1" ht="21" customHeight="1" x14ac:dyDescent="0.25">
      <c r="B16" s="47" t="s">
        <v>96</v>
      </c>
      <c r="C16" s="53" t="s">
        <v>762</v>
      </c>
      <c r="D16" s="58">
        <v>8</v>
      </c>
      <c r="E16" s="58" t="s">
        <v>236</v>
      </c>
      <c r="F16" s="48">
        <f>'Det Assump'!D55</f>
        <v>2128000</v>
      </c>
      <c r="G16" s="48">
        <f>(F16*D16)</f>
        <v>17024000</v>
      </c>
      <c r="H16" s="279"/>
      <c r="J16" s="99">
        <f>J15*81%</f>
        <v>30132.000000000004</v>
      </c>
    </row>
    <row r="17" spans="2:10" s="97" customFormat="1" ht="21" customHeight="1" x14ac:dyDescent="0.25">
      <c r="B17" s="47" t="s">
        <v>97</v>
      </c>
      <c r="C17" s="53" t="s">
        <v>703</v>
      </c>
      <c r="D17" s="58">
        <v>2</v>
      </c>
      <c r="E17" s="58" t="s">
        <v>702</v>
      </c>
      <c r="F17" s="48">
        <f>'Det Assump'!D49</f>
        <v>1750000</v>
      </c>
      <c r="G17" s="48">
        <f>(F17*D17)</f>
        <v>3500000</v>
      </c>
      <c r="J17" s="97">
        <f>J16*0.55</f>
        <v>16572.600000000002</v>
      </c>
    </row>
    <row r="18" spans="2:10" s="97" customFormat="1" ht="21" customHeight="1" x14ac:dyDescent="0.25">
      <c r="B18" s="47" t="s">
        <v>98</v>
      </c>
      <c r="C18" s="53" t="s">
        <v>716</v>
      </c>
      <c r="D18" s="58">
        <v>1</v>
      </c>
      <c r="E18" s="58" t="s">
        <v>715</v>
      </c>
      <c r="F18" s="48">
        <v>50000</v>
      </c>
      <c r="G18" s="48">
        <f>F18</f>
        <v>50000</v>
      </c>
    </row>
    <row r="19" spans="2:10" s="97" customFormat="1" ht="21" customHeight="1" x14ac:dyDescent="0.25">
      <c r="B19" s="74"/>
      <c r="C19" s="80" t="s">
        <v>43</v>
      </c>
      <c r="D19" s="80"/>
      <c r="E19" s="80"/>
      <c r="F19" s="85"/>
      <c r="G19" s="81">
        <f>SUM(G16:G18)</f>
        <v>20574000</v>
      </c>
    </row>
    <row r="20" spans="2:10" s="97" customFormat="1" ht="21" customHeight="1" x14ac:dyDescent="0.25">
      <c r="B20" s="71">
        <v>3</v>
      </c>
      <c r="C20" s="118" t="s">
        <v>712</v>
      </c>
      <c r="D20" s="128"/>
      <c r="E20" s="128"/>
      <c r="F20" s="119"/>
      <c r="G20" s="119"/>
    </row>
    <row r="21" spans="2:10" s="97" customFormat="1" ht="21" customHeight="1" x14ac:dyDescent="0.25">
      <c r="B21" s="47" t="s">
        <v>98</v>
      </c>
      <c r="C21" s="53" t="s">
        <v>763</v>
      </c>
      <c r="D21" s="58">
        <v>4000</v>
      </c>
      <c r="E21" s="58" t="s">
        <v>237</v>
      </c>
      <c r="F21" s="48">
        <v>365</v>
      </c>
      <c r="G21" s="48">
        <f>(F21*D21)</f>
        <v>1460000</v>
      </c>
    </row>
    <row r="22" spans="2:10" s="97" customFormat="1" ht="21" customHeight="1" x14ac:dyDescent="0.25">
      <c r="B22" s="47"/>
      <c r="C22" s="53" t="s">
        <v>78</v>
      </c>
      <c r="D22" s="58"/>
      <c r="E22" s="58"/>
      <c r="F22" s="48"/>
      <c r="G22" s="48">
        <f>SUM(G21:G21)</f>
        <v>1460000</v>
      </c>
    </row>
    <row r="23" spans="2:10" s="64" customFormat="1" ht="21" customHeight="1" x14ac:dyDescent="0.25">
      <c r="B23" s="74"/>
      <c r="C23" s="127" t="s">
        <v>79</v>
      </c>
      <c r="D23" s="80"/>
      <c r="E23" s="80"/>
      <c r="F23" s="85"/>
      <c r="G23" s="81">
        <f>(G14+G19+G22)</f>
        <v>49684000</v>
      </c>
      <c r="H23" s="97"/>
      <c r="I23" s="97"/>
      <c r="J23" s="97"/>
    </row>
    <row r="24" spans="2:10" s="97" customFormat="1" ht="21" customHeight="1" x14ac:dyDescent="0.25">
      <c r="B24" s="47"/>
      <c r="C24" s="363" t="s">
        <v>81</v>
      </c>
      <c r="D24" s="363"/>
      <c r="E24" s="363"/>
      <c r="F24" s="363"/>
      <c r="G24" s="363"/>
    </row>
    <row r="25" spans="2:10" s="46" customFormat="1" ht="19.5" customHeight="1" x14ac:dyDescent="0.25">
      <c r="B25" s="94"/>
      <c r="C25" s="94" t="s">
        <v>11</v>
      </c>
      <c r="D25" s="94" t="s">
        <v>4</v>
      </c>
      <c r="E25" s="94" t="s">
        <v>12</v>
      </c>
      <c r="F25" s="94" t="s">
        <v>13</v>
      </c>
      <c r="G25" s="94" t="s">
        <v>234</v>
      </c>
      <c r="H25" s="97"/>
      <c r="I25" s="97"/>
      <c r="J25" s="97"/>
    </row>
    <row r="26" spans="2:10" s="97" customFormat="1" ht="21" customHeight="1" x14ac:dyDescent="0.25">
      <c r="B26" s="47"/>
      <c r="C26" s="346" t="s">
        <v>80</v>
      </c>
      <c r="D26" s="346"/>
      <c r="E26" s="346"/>
      <c r="F26" s="346"/>
      <c r="G26" s="346"/>
    </row>
    <row r="27" spans="2:10" s="97" customFormat="1" ht="21" customHeight="1" x14ac:dyDescent="0.25">
      <c r="B27" s="71">
        <v>1</v>
      </c>
      <c r="C27" s="118" t="s">
        <v>246</v>
      </c>
      <c r="D27" s="128"/>
      <c r="E27" s="128"/>
      <c r="F27" s="128"/>
      <c r="G27" s="128"/>
    </row>
    <row r="28" spans="2:10" s="97" customFormat="1" ht="21" customHeight="1" x14ac:dyDescent="0.25">
      <c r="B28" s="47" t="s">
        <v>96</v>
      </c>
      <c r="C28" s="53" t="s">
        <v>247</v>
      </c>
      <c r="D28" s="58">
        <v>5000</v>
      </c>
      <c r="E28" s="58" t="s">
        <v>238</v>
      </c>
      <c r="F28" s="48">
        <v>12</v>
      </c>
      <c r="G28" s="48">
        <f t="shared" ref="G28:G35" si="0">(F28*D28)</f>
        <v>60000</v>
      </c>
    </row>
    <row r="29" spans="2:10" s="97" customFormat="1" ht="21" customHeight="1" x14ac:dyDescent="0.25">
      <c r="B29" s="47" t="s">
        <v>97</v>
      </c>
      <c r="C29" s="53" t="s">
        <v>248</v>
      </c>
      <c r="D29" s="58">
        <v>10000</v>
      </c>
      <c r="E29" s="58" t="s">
        <v>238</v>
      </c>
      <c r="F29" s="48">
        <v>12</v>
      </c>
      <c r="G29" s="48">
        <f t="shared" si="0"/>
        <v>120000</v>
      </c>
    </row>
    <row r="30" spans="2:10" s="97" customFormat="1" ht="21" customHeight="1" x14ac:dyDescent="0.25">
      <c r="B30" s="47" t="s">
        <v>98</v>
      </c>
      <c r="C30" s="53" t="s">
        <v>249</v>
      </c>
      <c r="D30" s="58">
        <v>20000</v>
      </c>
      <c r="E30" s="58" t="s">
        <v>238</v>
      </c>
      <c r="F30" s="48">
        <v>12</v>
      </c>
      <c r="G30" s="48">
        <f t="shared" si="0"/>
        <v>240000</v>
      </c>
    </row>
    <row r="31" spans="2:10" s="97" customFormat="1" ht="21" customHeight="1" x14ac:dyDescent="0.25">
      <c r="B31" s="47" t="s">
        <v>105</v>
      </c>
      <c r="C31" s="53" t="s">
        <v>250</v>
      </c>
      <c r="D31" s="58">
        <v>0.02</v>
      </c>
      <c r="E31" s="58" t="s">
        <v>239</v>
      </c>
      <c r="F31" s="48">
        <f>'Det CoP_MOF'!G162</f>
        <v>192661000</v>
      </c>
      <c r="G31" s="48">
        <f t="shared" si="0"/>
        <v>3853220</v>
      </c>
    </row>
    <row r="32" spans="2:10" s="97" customFormat="1" ht="21" customHeight="1" x14ac:dyDescent="0.25">
      <c r="B32" s="47" t="s">
        <v>106</v>
      </c>
      <c r="C32" s="53" t="s">
        <v>251</v>
      </c>
      <c r="D32" s="58">
        <v>5.0000000000000001E-3</v>
      </c>
      <c r="E32" s="58" t="s">
        <v>8</v>
      </c>
      <c r="F32" s="48">
        <f>'CoP-MoF'!D14</f>
        <v>320000000</v>
      </c>
      <c r="G32" s="48">
        <f t="shared" si="0"/>
        <v>1600000</v>
      </c>
    </row>
    <row r="33" spans="2:10" s="97" customFormat="1" ht="21" customHeight="1" x14ac:dyDescent="0.25">
      <c r="B33" s="47" t="s">
        <v>107</v>
      </c>
      <c r="C33" s="53" t="s">
        <v>252</v>
      </c>
      <c r="D33" s="58">
        <f>'sal &amp; wages'!F19/12</f>
        <v>886500</v>
      </c>
      <c r="E33" s="58" t="s">
        <v>238</v>
      </c>
      <c r="F33" s="48">
        <v>12</v>
      </c>
      <c r="G33" s="48">
        <f t="shared" si="0"/>
        <v>10638000</v>
      </c>
    </row>
    <row r="34" spans="2:10" s="97" customFormat="1" ht="21" customHeight="1" x14ac:dyDescent="0.25">
      <c r="B34" s="47" t="s">
        <v>108</v>
      </c>
      <c r="C34" s="53" t="s">
        <v>245</v>
      </c>
      <c r="D34" s="58">
        <f>'sal &amp; wages'!F26/12</f>
        <v>270000</v>
      </c>
      <c r="E34" s="58" t="s">
        <v>238</v>
      </c>
      <c r="F34" s="48">
        <v>12</v>
      </c>
      <c r="G34" s="48">
        <f t="shared" si="0"/>
        <v>3240000</v>
      </c>
    </row>
    <row r="35" spans="2:10" s="97" customFormat="1" ht="21" customHeight="1" x14ac:dyDescent="0.25">
      <c r="B35" s="47" t="s">
        <v>109</v>
      </c>
      <c r="C35" s="53" t="s">
        <v>253</v>
      </c>
      <c r="D35" s="58">
        <v>75000</v>
      </c>
      <c r="E35" s="58" t="s">
        <v>238</v>
      </c>
      <c r="F35" s="48">
        <v>12</v>
      </c>
      <c r="G35" s="48">
        <f t="shared" si="0"/>
        <v>900000</v>
      </c>
    </row>
    <row r="36" spans="2:10" s="97" customFormat="1" ht="21" customHeight="1" x14ac:dyDescent="0.25">
      <c r="B36" s="47"/>
      <c r="C36" s="53" t="s">
        <v>82</v>
      </c>
      <c r="D36" s="58"/>
      <c r="E36" s="58"/>
      <c r="F36" s="48"/>
      <c r="G36" s="48">
        <f>SUM(G28:G35)</f>
        <v>20651220</v>
      </c>
    </row>
    <row r="37" spans="2:10" s="97" customFormat="1" ht="21" customHeight="1" x14ac:dyDescent="0.25">
      <c r="B37" s="47"/>
      <c r="C37" s="53" t="s">
        <v>321</v>
      </c>
      <c r="D37" s="122">
        <f>'Det CoP_MOF'!G181</f>
        <v>1580000</v>
      </c>
      <c r="E37" s="58" t="s">
        <v>240</v>
      </c>
      <c r="F37" s="48">
        <v>10</v>
      </c>
      <c r="G37" s="48">
        <f>D37/F37</f>
        <v>158000</v>
      </c>
    </row>
    <row r="38" spans="2:10" s="97" customFormat="1" ht="21" customHeight="1" x14ac:dyDescent="0.25">
      <c r="B38" s="47"/>
      <c r="C38" s="53" t="s">
        <v>83</v>
      </c>
      <c r="D38" s="58"/>
      <c r="E38" s="58"/>
      <c r="F38" s="48"/>
      <c r="G38" s="48">
        <f>(G23+G36+G37)</f>
        <v>70493220</v>
      </c>
    </row>
    <row r="39" spans="2:10" s="97" customFormat="1" ht="21" customHeight="1" x14ac:dyDescent="0.25">
      <c r="B39" s="47"/>
      <c r="C39" s="115" t="s">
        <v>84</v>
      </c>
      <c r="D39" s="46"/>
      <c r="E39" s="46"/>
      <c r="F39" s="48"/>
      <c r="G39" s="48">
        <f>(G8-G38)</f>
        <v>90156780</v>
      </c>
    </row>
    <row r="40" spans="2:10" s="97" customFormat="1" ht="21" hidden="1" customHeight="1" x14ac:dyDescent="0.25">
      <c r="B40" s="47"/>
      <c r="C40" s="53" t="s">
        <v>85</v>
      </c>
      <c r="D40" s="58"/>
      <c r="E40" s="58"/>
      <c r="F40" s="48"/>
      <c r="G40" s="48"/>
    </row>
    <row r="41" spans="2:10" s="97" customFormat="1" ht="32.25" hidden="1" customHeight="1" x14ac:dyDescent="0.25">
      <c r="B41" s="47"/>
      <c r="C41" s="53" t="s">
        <v>443</v>
      </c>
      <c r="D41" s="116" t="e">
        <f>G41/F41</f>
        <v>#REF!</v>
      </c>
      <c r="E41" s="58" t="s">
        <v>240</v>
      </c>
      <c r="F41" s="48">
        <v>12</v>
      </c>
      <c r="G41" s="48" t="e">
        <f>#REF!</f>
        <v>#REF!</v>
      </c>
    </row>
    <row r="42" spans="2:10" s="97" customFormat="1" ht="21" hidden="1" customHeight="1" x14ac:dyDescent="0.25">
      <c r="B42" s="47"/>
      <c r="C42" s="53" t="s">
        <v>86</v>
      </c>
      <c r="D42" s="58"/>
      <c r="E42" s="58"/>
      <c r="F42" s="48"/>
      <c r="G42" s="48" t="e">
        <f>(G41)</f>
        <v>#REF!</v>
      </c>
    </row>
    <row r="43" spans="2:10" s="64" customFormat="1" ht="21" hidden="1" customHeight="1" x14ac:dyDescent="0.25">
      <c r="B43" s="47"/>
      <c r="C43" s="357" t="s">
        <v>242</v>
      </c>
      <c r="D43" s="357"/>
      <c r="E43" s="357"/>
      <c r="F43" s="357"/>
      <c r="G43" s="52" t="e">
        <f>(G39-G42)</f>
        <v>#REF!</v>
      </c>
      <c r="H43" s="97"/>
      <c r="I43" s="97"/>
      <c r="J43" s="97"/>
    </row>
    <row r="44" spans="2:10" x14ac:dyDescent="0.25">
      <c r="C44" s="108"/>
      <c r="D44" s="109"/>
      <c r="E44" s="58"/>
      <c r="F44" s="58"/>
      <c r="G44" s="58"/>
      <c r="H44" s="97"/>
      <c r="I44" s="97"/>
      <c r="J44" s="97"/>
    </row>
    <row r="45" spans="2:10" x14ac:dyDescent="0.25">
      <c r="C45" s="108"/>
      <c r="D45" s="123"/>
      <c r="E45" s="263"/>
      <c r="F45" s="58"/>
      <c r="G45" s="58"/>
      <c r="H45" s="97"/>
      <c r="I45" s="97"/>
      <c r="J45" s="97"/>
    </row>
    <row r="46" spans="2:10" x14ac:dyDescent="0.25">
      <c r="C46" s="108"/>
      <c r="D46" s="124"/>
      <c r="E46" s="58"/>
      <c r="F46" s="58"/>
      <c r="G46" s="58"/>
      <c r="H46" s="97"/>
      <c r="I46" s="97"/>
      <c r="J46" s="97"/>
    </row>
    <row r="47" spans="2:10" x14ac:dyDescent="0.25">
      <c r="C47" s="108"/>
      <c r="D47" s="109"/>
      <c r="E47" s="58"/>
      <c r="F47" s="58"/>
      <c r="G47" s="58"/>
      <c r="H47" s="97"/>
      <c r="I47" s="97"/>
      <c r="J47" s="97"/>
    </row>
    <row r="48" spans="2:10" x14ac:dyDescent="0.25">
      <c r="C48" s="108"/>
      <c r="D48" s="109"/>
      <c r="E48" s="58"/>
      <c r="F48" s="58"/>
      <c r="G48" s="58"/>
    </row>
    <row r="49" spans="3:7" x14ac:dyDescent="0.25">
      <c r="C49" s="108"/>
      <c r="D49" s="109"/>
      <c r="E49" s="58"/>
      <c r="F49" s="58"/>
      <c r="G49" s="58"/>
    </row>
    <row r="50" spans="3:7" x14ac:dyDescent="0.25">
      <c r="C50" s="108"/>
      <c r="D50" s="109"/>
      <c r="E50" s="58"/>
      <c r="F50" s="58"/>
      <c r="G50" s="58"/>
    </row>
    <row r="51" spans="3:7" x14ac:dyDescent="0.25">
      <c r="C51" s="108"/>
      <c r="D51" s="109"/>
      <c r="E51" s="58"/>
      <c r="F51" s="58"/>
      <c r="G51" s="58"/>
    </row>
    <row r="52" spans="3:7" x14ac:dyDescent="0.25">
      <c r="C52" s="108"/>
      <c r="D52" s="109"/>
      <c r="E52" s="58"/>
      <c r="F52" s="58"/>
      <c r="G52" s="58"/>
    </row>
    <row r="53" spans="3:7" x14ac:dyDescent="0.25">
      <c r="C53" s="108"/>
      <c r="D53" s="109"/>
      <c r="E53" s="58"/>
      <c r="F53" s="58"/>
      <c r="G53" s="58"/>
    </row>
    <row r="54" spans="3:7" x14ac:dyDescent="0.25">
      <c r="C54" s="108"/>
      <c r="D54" s="109"/>
      <c r="E54" s="58"/>
      <c r="F54" s="58"/>
      <c r="G54" s="58"/>
    </row>
    <row r="55" spans="3:7" x14ac:dyDescent="0.25">
      <c r="C55" s="108"/>
      <c r="D55" s="109"/>
      <c r="E55" s="58"/>
      <c r="F55" s="58"/>
      <c r="G55" s="58"/>
    </row>
    <row r="56" spans="3:7" x14ac:dyDescent="0.25">
      <c r="C56" s="108"/>
      <c r="D56" s="109"/>
      <c r="E56" s="58"/>
      <c r="F56" s="58"/>
      <c r="G56" s="58"/>
    </row>
    <row r="57" spans="3:7" x14ac:dyDescent="0.25">
      <c r="C57" s="108"/>
      <c r="D57" s="109"/>
      <c r="E57" s="58"/>
      <c r="F57" s="58"/>
      <c r="G57" s="58"/>
    </row>
    <row r="58" spans="3:7" x14ac:dyDescent="0.25">
      <c r="C58" s="108"/>
      <c r="D58" s="109"/>
      <c r="E58" s="58"/>
      <c r="F58" s="58"/>
      <c r="G58" s="58"/>
    </row>
    <row r="59" spans="3:7" x14ac:dyDescent="0.25">
      <c r="C59" s="108"/>
      <c r="D59" s="109"/>
      <c r="E59" s="58"/>
      <c r="F59" s="58"/>
      <c r="G59" s="58"/>
    </row>
    <row r="60" spans="3:7" x14ac:dyDescent="0.25">
      <c r="C60" s="108"/>
      <c r="D60" s="109"/>
      <c r="E60" s="58"/>
      <c r="F60" s="58"/>
      <c r="G60" s="58"/>
    </row>
    <row r="61" spans="3:7" x14ac:dyDescent="0.25">
      <c r="C61" s="108"/>
      <c r="D61" s="109"/>
      <c r="E61" s="58"/>
      <c r="F61" s="58"/>
      <c r="G61" s="58"/>
    </row>
    <row r="62" spans="3:7" x14ac:dyDescent="0.25">
      <c r="C62" s="108"/>
      <c r="D62" s="109"/>
      <c r="E62" s="58"/>
      <c r="F62" s="58"/>
      <c r="G62" s="58"/>
    </row>
    <row r="63" spans="3:7" x14ac:dyDescent="0.25">
      <c r="C63" s="108"/>
      <c r="D63" s="109"/>
      <c r="E63" s="58"/>
      <c r="F63" s="58"/>
      <c r="G63" s="58"/>
    </row>
    <row r="64" spans="3:7" x14ac:dyDescent="0.25">
      <c r="C64" s="108"/>
      <c r="D64" s="109"/>
      <c r="E64" s="58"/>
      <c r="F64" s="58"/>
      <c r="G64" s="58"/>
    </row>
    <row r="65" spans="3:7" x14ac:dyDescent="0.25">
      <c r="C65" s="108"/>
      <c r="D65" s="109"/>
      <c r="E65" s="58"/>
      <c r="F65" s="58"/>
      <c r="G65" s="58"/>
    </row>
    <row r="66" spans="3:7" x14ac:dyDescent="0.25">
      <c r="C66" s="108"/>
      <c r="D66" s="109"/>
      <c r="E66" s="58"/>
      <c r="F66" s="58"/>
      <c r="G66" s="58"/>
    </row>
    <row r="67" spans="3:7" x14ac:dyDescent="0.25">
      <c r="C67" s="108"/>
      <c r="D67" s="109"/>
      <c r="E67" s="58"/>
      <c r="F67" s="58"/>
      <c r="G67" s="58"/>
    </row>
    <row r="68" spans="3:7" x14ac:dyDescent="0.25">
      <c r="C68" s="108"/>
      <c r="D68" s="109"/>
      <c r="E68" s="58"/>
      <c r="F68" s="58"/>
      <c r="G68" s="58"/>
    </row>
    <row r="69" spans="3:7" x14ac:dyDescent="0.25">
      <c r="C69" s="108"/>
      <c r="D69" s="109"/>
      <c r="E69" s="58"/>
      <c r="F69" s="58"/>
      <c r="G69" s="58"/>
    </row>
  </sheetData>
  <customSheetViews>
    <customSheetView guid="{22475485-DA09-46DB-978D-BB94CE1E5597}">
      <selection activeCell="C4" sqref="C4"/>
      <pageMargins left="0.7" right="0.7" top="0.75" bottom="0.75" header="0.3" footer="0.3"/>
      <pageSetup paperSize="9" orientation="landscape" r:id="rId1"/>
    </customSheetView>
  </customSheetViews>
  <mergeCells count="9">
    <mergeCell ref="C43:F43"/>
    <mergeCell ref="C2:G2"/>
    <mergeCell ref="C10:G10"/>
    <mergeCell ref="C4:G4"/>
    <mergeCell ref="C9:G9"/>
    <mergeCell ref="C26:G26"/>
    <mergeCell ref="C11:G11"/>
    <mergeCell ref="C24:G24"/>
    <mergeCell ref="C15:G15"/>
  </mergeCell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8"/>
  <sheetViews>
    <sheetView topLeftCell="A156" workbookViewId="0">
      <selection activeCell="C161" sqref="C161"/>
    </sheetView>
  </sheetViews>
  <sheetFormatPr defaultRowHeight="15" x14ac:dyDescent="0.25"/>
  <cols>
    <col min="1" max="1" width="5.140625" customWidth="1"/>
    <col min="2" max="2" width="7.42578125" customWidth="1"/>
    <col min="3" max="3" width="25.85546875" customWidth="1"/>
    <col min="4" max="4" width="10" bestFit="1" customWidth="1"/>
    <col min="6" max="6" width="11.28515625" customWidth="1"/>
    <col min="15" max="15" width="16.85546875" bestFit="1" customWidth="1"/>
    <col min="17" max="17" width="14.28515625" bestFit="1" customWidth="1"/>
  </cols>
  <sheetData>
    <row r="2" spans="2:17" x14ac:dyDescent="0.25">
      <c r="B2" t="s">
        <v>808</v>
      </c>
    </row>
    <row r="4" spans="2:17" x14ac:dyDescent="0.25">
      <c r="B4" t="s">
        <v>809</v>
      </c>
    </row>
    <row r="6" spans="2:17" ht="15.75" thickBot="1" x14ac:dyDescent="0.3">
      <c r="B6" t="s">
        <v>810</v>
      </c>
    </row>
    <row r="7" spans="2:17" x14ac:dyDescent="0.25">
      <c r="B7" t="s">
        <v>811</v>
      </c>
      <c r="O7" s="365" t="s">
        <v>815</v>
      </c>
      <c r="P7" s="366"/>
      <c r="Q7" s="367"/>
    </row>
    <row r="8" spans="2:17" x14ac:dyDescent="0.25">
      <c r="O8" s="284"/>
      <c r="Q8" s="285"/>
    </row>
    <row r="9" spans="2:17" x14ac:dyDescent="0.25">
      <c r="B9" t="s">
        <v>812</v>
      </c>
      <c r="O9" s="286">
        <f>26*10^7</f>
        <v>260000000</v>
      </c>
      <c r="P9" s="281"/>
      <c r="Q9" s="287">
        <f>O9/O10</f>
        <v>32500000</v>
      </c>
    </row>
    <row r="10" spans="2:17" x14ac:dyDescent="0.25">
      <c r="O10" s="288">
        <v>8</v>
      </c>
      <c r="P10" s="282"/>
      <c r="Q10" s="289"/>
    </row>
    <row r="11" spans="2:17" x14ac:dyDescent="0.25">
      <c r="B11" t="s">
        <v>813</v>
      </c>
      <c r="O11" s="284"/>
      <c r="Q11" s="285"/>
    </row>
    <row r="12" spans="2:17" x14ac:dyDescent="0.25">
      <c r="O12" s="290">
        <f>32*10^7</f>
        <v>320000000</v>
      </c>
      <c r="P12" s="281"/>
      <c r="Q12" s="291">
        <f>O12/O13</f>
        <v>64000000</v>
      </c>
    </row>
    <row r="13" spans="2:17" x14ac:dyDescent="0.25">
      <c r="B13" t="s">
        <v>814</v>
      </c>
      <c r="O13" s="288">
        <v>5</v>
      </c>
      <c r="P13" s="282"/>
      <c r="Q13" s="289"/>
    </row>
    <row r="14" spans="2:17" x14ac:dyDescent="0.25">
      <c r="O14" s="284"/>
      <c r="Q14" s="285"/>
    </row>
    <row r="15" spans="2:17" x14ac:dyDescent="0.25">
      <c r="B15" t="s">
        <v>828</v>
      </c>
      <c r="O15" s="290">
        <f>150*10^7</f>
        <v>1500000000</v>
      </c>
      <c r="P15" s="281"/>
      <c r="Q15" s="291">
        <f>O15/O16</f>
        <v>83333333.333333328</v>
      </c>
    </row>
    <row r="16" spans="2:17" x14ac:dyDescent="0.25">
      <c r="O16" s="288">
        <v>18</v>
      </c>
      <c r="P16" s="282"/>
      <c r="Q16" s="289"/>
    </row>
    <row r="17" spans="2:17" x14ac:dyDescent="0.25">
      <c r="B17" t="s">
        <v>829</v>
      </c>
      <c r="O17" s="284"/>
      <c r="Q17" s="285"/>
    </row>
    <row r="18" spans="2:17" x14ac:dyDescent="0.25">
      <c r="O18" s="286">
        <f>230*10^7</f>
        <v>2300000000</v>
      </c>
      <c r="P18" s="281"/>
      <c r="Q18" s="291">
        <f>O18/O19</f>
        <v>69696969.696969703</v>
      </c>
    </row>
    <row r="19" spans="2:17" ht="15.75" thickBot="1" x14ac:dyDescent="0.3">
      <c r="C19" t="s">
        <v>869</v>
      </c>
      <c r="O19" s="292">
        <v>33</v>
      </c>
      <c r="P19" s="293"/>
      <c r="Q19" s="294"/>
    </row>
    <row r="21" spans="2:17" x14ac:dyDescent="0.25">
      <c r="C21" t="s">
        <v>870</v>
      </c>
    </row>
    <row r="22" spans="2:17" x14ac:dyDescent="0.25">
      <c r="C22" s="283" t="s">
        <v>816</v>
      </c>
      <c r="D22" s="283"/>
      <c r="E22" s="283"/>
      <c r="F22" s="283"/>
    </row>
    <row r="23" spans="2:17" x14ac:dyDescent="0.25">
      <c r="D23" s="368" t="s">
        <v>817</v>
      </c>
      <c r="E23" s="368"/>
      <c r="F23" t="s">
        <v>821</v>
      </c>
    </row>
    <row r="24" spans="2:17" x14ac:dyDescent="0.25">
      <c r="C24" t="s">
        <v>819</v>
      </c>
      <c r="D24" s="297">
        <v>22267</v>
      </c>
      <c r="E24" s="296" t="s">
        <v>818</v>
      </c>
      <c r="F24" s="11">
        <v>5</v>
      </c>
      <c r="G24" t="s">
        <v>822</v>
      </c>
    </row>
    <row r="25" spans="2:17" x14ac:dyDescent="0.25">
      <c r="C25" t="s">
        <v>820</v>
      </c>
      <c r="D25" s="295">
        <v>22540</v>
      </c>
      <c r="E25" s="11" t="s">
        <v>818</v>
      </c>
    </row>
    <row r="27" spans="2:17" x14ac:dyDescent="0.25">
      <c r="C27" s="298" t="s">
        <v>823</v>
      </c>
      <c r="D27" s="368" t="s">
        <v>824</v>
      </c>
      <c r="E27" s="368"/>
      <c r="F27" s="296" t="s">
        <v>825</v>
      </c>
    </row>
    <row r="29" spans="2:17" ht="135" x14ac:dyDescent="0.25">
      <c r="C29" s="299" t="s">
        <v>831</v>
      </c>
      <c r="D29" s="296">
        <v>4000</v>
      </c>
      <c r="E29" s="296" t="s">
        <v>818</v>
      </c>
      <c r="F29" s="296">
        <v>50</v>
      </c>
      <c r="G29" s="296" t="s">
        <v>830</v>
      </c>
    </row>
    <row r="31" spans="2:17" x14ac:dyDescent="0.25">
      <c r="D31">
        <v>50</v>
      </c>
      <c r="E31">
        <v>4000</v>
      </c>
    </row>
    <row r="32" spans="2:17" x14ac:dyDescent="0.25">
      <c r="D32">
        <v>1</v>
      </c>
      <c r="E32">
        <f>E31/D31</f>
        <v>80</v>
      </c>
    </row>
    <row r="33" spans="3:5" x14ac:dyDescent="0.25">
      <c r="D33">
        <v>700</v>
      </c>
      <c r="E33">
        <f>D33*E32</f>
        <v>56000</v>
      </c>
    </row>
    <row r="41" spans="3:5" x14ac:dyDescent="0.25">
      <c r="C41" t="s">
        <v>859</v>
      </c>
    </row>
    <row r="43" spans="3:5" x14ac:dyDescent="0.25">
      <c r="C43" t="s">
        <v>827</v>
      </c>
    </row>
    <row r="44" spans="3:5" x14ac:dyDescent="0.25">
      <c r="C44" t="s">
        <v>834</v>
      </c>
    </row>
    <row r="46" spans="3:5" x14ac:dyDescent="0.25">
      <c r="C46" t="s">
        <v>832</v>
      </c>
    </row>
    <row r="47" spans="3:5" x14ac:dyDescent="0.25">
      <c r="C47" t="s">
        <v>835</v>
      </c>
    </row>
    <row r="48" spans="3:5" x14ac:dyDescent="0.25">
      <c r="C48" t="s">
        <v>833</v>
      </c>
    </row>
    <row r="49" spans="3:3" x14ac:dyDescent="0.25">
      <c r="C49" t="s">
        <v>836</v>
      </c>
    </row>
    <row r="50" spans="3:3" x14ac:dyDescent="0.25">
      <c r="C50" t="s">
        <v>837</v>
      </c>
    </row>
    <row r="53" spans="3:3" x14ac:dyDescent="0.25">
      <c r="C53" t="s">
        <v>842</v>
      </c>
    </row>
    <row r="54" spans="3:3" x14ac:dyDescent="0.25">
      <c r="C54" t="s">
        <v>844</v>
      </c>
    </row>
    <row r="55" spans="3:3" x14ac:dyDescent="0.25">
      <c r="C55" t="s">
        <v>838</v>
      </c>
    </row>
    <row r="57" spans="3:3" x14ac:dyDescent="0.25">
      <c r="C57" t="s">
        <v>839</v>
      </c>
    </row>
    <row r="59" spans="3:3" x14ac:dyDescent="0.25">
      <c r="C59" t="s">
        <v>840</v>
      </c>
    </row>
    <row r="60" spans="3:3" x14ac:dyDescent="0.25">
      <c r="C60" t="s">
        <v>841</v>
      </c>
    </row>
    <row r="62" spans="3:3" x14ac:dyDescent="0.25">
      <c r="C62" t="s">
        <v>843</v>
      </c>
    </row>
    <row r="64" spans="3:3" x14ac:dyDescent="0.25">
      <c r="C64" t="s">
        <v>871</v>
      </c>
    </row>
    <row r="66" spans="3:4" x14ac:dyDescent="0.25">
      <c r="C66" t="s">
        <v>845</v>
      </c>
    </row>
    <row r="67" spans="3:4" x14ac:dyDescent="0.25">
      <c r="C67" t="s">
        <v>846</v>
      </c>
    </row>
    <row r="69" spans="3:4" x14ac:dyDescent="0.25">
      <c r="C69" t="s">
        <v>848</v>
      </c>
    </row>
    <row r="70" spans="3:4" x14ac:dyDescent="0.25">
      <c r="C70" t="s">
        <v>847</v>
      </c>
    </row>
    <row r="73" spans="3:4" x14ac:dyDescent="0.25">
      <c r="C73" t="s">
        <v>849</v>
      </c>
    </row>
    <row r="75" spans="3:4" x14ac:dyDescent="0.25">
      <c r="C75" t="s">
        <v>850</v>
      </c>
    </row>
    <row r="77" spans="3:4" x14ac:dyDescent="0.25">
      <c r="C77" t="s">
        <v>851</v>
      </c>
    </row>
    <row r="78" spans="3:4" x14ac:dyDescent="0.25">
      <c r="C78" t="s">
        <v>852</v>
      </c>
    </row>
    <row r="79" spans="3:4" x14ac:dyDescent="0.25">
      <c r="C79">
        <v>9626875</v>
      </c>
      <c r="D79">
        <v>9626874</v>
      </c>
    </row>
    <row r="80" spans="3:4" x14ac:dyDescent="0.25">
      <c r="C80" t="s">
        <v>847</v>
      </c>
    </row>
    <row r="82" spans="3:3" x14ac:dyDescent="0.25">
      <c r="C82" t="s">
        <v>853</v>
      </c>
    </row>
    <row r="85" spans="3:3" x14ac:dyDescent="0.25">
      <c r="C85" t="s">
        <v>854</v>
      </c>
    </row>
    <row r="86" spans="3:3" x14ac:dyDescent="0.25">
      <c r="C86" t="s">
        <v>855</v>
      </c>
    </row>
    <row r="88" spans="3:3" x14ac:dyDescent="0.25">
      <c r="C88" t="s">
        <v>852</v>
      </c>
    </row>
    <row r="89" spans="3:3" x14ac:dyDescent="0.25">
      <c r="C89" t="s">
        <v>856</v>
      </c>
    </row>
    <row r="91" spans="3:3" x14ac:dyDescent="0.25">
      <c r="C91" t="s">
        <v>857</v>
      </c>
    </row>
    <row r="92" spans="3:3" x14ac:dyDescent="0.25">
      <c r="C92" t="s">
        <v>858</v>
      </c>
    </row>
    <row r="94" spans="3:3" x14ac:dyDescent="0.25">
      <c r="C94" t="s">
        <v>868</v>
      </c>
    </row>
    <row r="95" spans="3:3" x14ac:dyDescent="0.25">
      <c r="C95" t="s">
        <v>866</v>
      </c>
    </row>
    <row r="96" spans="3:3" x14ac:dyDescent="0.25">
      <c r="C96" t="s">
        <v>860</v>
      </c>
    </row>
    <row r="97" spans="3:3" x14ac:dyDescent="0.25">
      <c r="C97" t="s">
        <v>861</v>
      </c>
    </row>
    <row r="99" spans="3:3" x14ac:dyDescent="0.25">
      <c r="C99" t="s">
        <v>862</v>
      </c>
    </row>
    <row r="100" spans="3:3" x14ac:dyDescent="0.25">
      <c r="C100" t="s">
        <v>867</v>
      </c>
    </row>
    <row r="101" spans="3:3" x14ac:dyDescent="0.25">
      <c r="C101" t="s">
        <v>863</v>
      </c>
    </row>
    <row r="102" spans="3:3" x14ac:dyDescent="0.25">
      <c r="C102" s="300" t="s">
        <v>864</v>
      </c>
    </row>
    <row r="103" spans="3:3" x14ac:dyDescent="0.25">
      <c r="C103" t="s">
        <v>865</v>
      </c>
    </row>
    <row r="107" spans="3:3" x14ac:dyDescent="0.25">
      <c r="C107" t="s">
        <v>875</v>
      </c>
    </row>
    <row r="110" spans="3:3" x14ac:dyDescent="0.25">
      <c r="C110" t="s">
        <v>874</v>
      </c>
    </row>
    <row r="111" spans="3:3" x14ac:dyDescent="0.25">
      <c r="C111" t="s">
        <v>876</v>
      </c>
    </row>
    <row r="114" spans="3:3" x14ac:dyDescent="0.25">
      <c r="C114" t="s">
        <v>877</v>
      </c>
    </row>
    <row r="116" spans="3:3" x14ac:dyDescent="0.25">
      <c r="C116" t="s">
        <v>903</v>
      </c>
    </row>
    <row r="117" spans="3:3" x14ac:dyDescent="0.25">
      <c r="C117" t="s">
        <v>898</v>
      </c>
    </row>
    <row r="118" spans="3:3" x14ac:dyDescent="0.25">
      <c r="C118" t="s">
        <v>904</v>
      </c>
    </row>
    <row r="119" spans="3:3" x14ac:dyDescent="0.25">
      <c r="C119" t="s">
        <v>905</v>
      </c>
    </row>
    <row r="120" spans="3:3" x14ac:dyDescent="0.25">
      <c r="C120" t="s">
        <v>878</v>
      </c>
    </row>
    <row r="121" spans="3:3" x14ac:dyDescent="0.25">
      <c r="C121" t="s">
        <v>902</v>
      </c>
    </row>
    <row r="122" spans="3:3" x14ac:dyDescent="0.25">
      <c r="C122" t="s">
        <v>879</v>
      </c>
    </row>
    <row r="123" spans="3:3" x14ac:dyDescent="0.25">
      <c r="C123" t="s">
        <v>901</v>
      </c>
    </row>
    <row r="124" spans="3:3" x14ac:dyDescent="0.25">
      <c r="C124" t="s">
        <v>900</v>
      </c>
    </row>
    <row r="126" spans="3:3" x14ac:dyDescent="0.25">
      <c r="C126" t="s">
        <v>884</v>
      </c>
    </row>
    <row r="127" spans="3:3" x14ac:dyDescent="0.25">
      <c r="C127" s="300" t="s">
        <v>883</v>
      </c>
    </row>
    <row r="128" spans="3:3" x14ac:dyDescent="0.25">
      <c r="C128" t="s">
        <v>882</v>
      </c>
    </row>
    <row r="130" spans="3:3" x14ac:dyDescent="0.25">
      <c r="C130" t="s">
        <v>881</v>
      </c>
    </row>
    <row r="131" spans="3:3" x14ac:dyDescent="0.25">
      <c r="C131" t="s">
        <v>887</v>
      </c>
    </row>
    <row r="132" spans="3:3" x14ac:dyDescent="0.25">
      <c r="C132" t="s">
        <v>886</v>
      </c>
    </row>
    <row r="133" spans="3:3" x14ac:dyDescent="0.25">
      <c r="C133" s="300" t="s">
        <v>885</v>
      </c>
    </row>
    <row r="134" spans="3:3" x14ac:dyDescent="0.25">
      <c r="C134" t="s">
        <v>888</v>
      </c>
    </row>
    <row r="136" spans="3:3" x14ac:dyDescent="0.25">
      <c r="C136" t="s">
        <v>892</v>
      </c>
    </row>
    <row r="138" spans="3:3" x14ac:dyDescent="0.25">
      <c r="C138" t="s">
        <v>889</v>
      </c>
    </row>
    <row r="140" spans="3:3" x14ac:dyDescent="0.25">
      <c r="C140" t="s">
        <v>893</v>
      </c>
    </row>
    <row r="142" spans="3:3" x14ac:dyDescent="0.25">
      <c r="C142" t="s">
        <v>890</v>
      </c>
    </row>
    <row r="145" spans="3:3" ht="409.5" x14ac:dyDescent="0.25">
      <c r="C145" s="308" t="s">
        <v>891</v>
      </c>
    </row>
    <row r="161" spans="3:5" x14ac:dyDescent="0.25">
      <c r="C161" t="s">
        <v>909</v>
      </c>
    </row>
    <row r="165" spans="3:5" x14ac:dyDescent="0.25">
      <c r="C165" t="s">
        <v>908</v>
      </c>
      <c r="E165" t="s">
        <v>907</v>
      </c>
    </row>
    <row r="168" spans="3:5" x14ac:dyDescent="0.25">
      <c r="C168" t="s">
        <v>906</v>
      </c>
    </row>
  </sheetData>
  <mergeCells count="3">
    <mergeCell ref="O7:Q7"/>
    <mergeCell ref="D23:E23"/>
    <mergeCell ref="D27:E27"/>
  </mergeCells>
  <hyperlinks>
    <hyperlink ref="C29" r:id="rId1" location=":~:text=Feedstock%20storage,compartments%20and%20other%20auxiliary%20machinery."/>
    <hyperlink ref="C102" r:id="rId2"/>
    <hyperlink ref="C127" r:id="rId3"/>
    <hyperlink ref="C133" r:id="rId4"/>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249977111117893"/>
  </sheetPr>
  <dimension ref="A1:O54"/>
  <sheetViews>
    <sheetView showGridLines="0" tabSelected="1" workbookViewId="0">
      <pane xSplit="2" ySplit="5" topLeftCell="E42" activePane="bottomRight" state="frozen"/>
      <selection activeCell="A2" sqref="A2"/>
      <selection pane="topRight" activeCell="B2" sqref="B2"/>
      <selection pane="bottomLeft" activeCell="A5" sqref="A5"/>
      <selection pane="bottomRight" activeCell="D52" sqref="D52:O52"/>
    </sheetView>
  </sheetViews>
  <sheetFormatPr defaultColWidth="32.28515625" defaultRowHeight="15" x14ac:dyDescent="0.25"/>
  <cols>
    <col min="1" max="1" width="7.42578125" style="96" customWidth="1"/>
    <col min="2" max="2" width="36.7109375" style="133" customWidth="1"/>
    <col min="3" max="3" width="8.42578125" style="96" customWidth="1"/>
    <col min="4" max="15" width="11.7109375" style="96" customWidth="1"/>
    <col min="16" max="16384" width="32.28515625" style="96"/>
  </cols>
  <sheetData>
    <row r="1" spans="1:15" hidden="1" x14ac:dyDescent="0.25">
      <c r="B1" s="133">
        <v>100000</v>
      </c>
    </row>
    <row r="3" spans="1:15" s="97" customFormat="1" ht="19.5" customHeight="1" x14ac:dyDescent="0.25">
      <c r="B3" s="355" t="s">
        <v>257</v>
      </c>
      <c r="C3" s="355"/>
      <c r="D3" s="355"/>
      <c r="E3" s="355"/>
      <c r="F3" s="355"/>
      <c r="G3" s="355"/>
      <c r="H3" s="355"/>
      <c r="I3" s="355"/>
      <c r="J3" s="355"/>
      <c r="K3" s="355"/>
      <c r="L3" s="355"/>
      <c r="M3" s="355"/>
      <c r="N3" s="355"/>
      <c r="O3" s="132"/>
    </row>
    <row r="4" spans="1:15" s="97" customFormat="1" ht="18.75" customHeight="1" x14ac:dyDescent="0.25">
      <c r="B4" s="134" t="s">
        <v>647</v>
      </c>
      <c r="C4" s="93">
        <v>0</v>
      </c>
      <c r="D4" s="93">
        <v>0</v>
      </c>
      <c r="E4" s="93">
        <v>12</v>
      </c>
      <c r="F4" s="93">
        <v>12</v>
      </c>
      <c r="G4" s="93">
        <v>12</v>
      </c>
      <c r="H4" s="93">
        <v>12</v>
      </c>
      <c r="I4" s="93">
        <v>12</v>
      </c>
      <c r="J4" s="93">
        <v>12</v>
      </c>
      <c r="K4" s="93">
        <v>12</v>
      </c>
      <c r="L4" s="93">
        <v>12</v>
      </c>
      <c r="M4" s="93">
        <v>12</v>
      </c>
      <c r="N4" s="93">
        <v>12</v>
      </c>
      <c r="O4" s="93">
        <v>12</v>
      </c>
    </row>
    <row r="5" spans="1:15" s="58" customFormat="1" ht="19.5" customHeight="1" x14ac:dyDescent="0.25">
      <c r="B5" s="136" t="s">
        <v>14</v>
      </c>
      <c r="C5" s="137">
        <v>2024</v>
      </c>
      <c r="D5" s="137">
        <v>2025</v>
      </c>
      <c r="E5" s="338">
        <f t="shared" ref="E5:O5" si="0">D5+1</f>
        <v>2026</v>
      </c>
      <c r="F5" s="338">
        <f t="shared" si="0"/>
        <v>2027</v>
      </c>
      <c r="G5" s="338">
        <f t="shared" si="0"/>
        <v>2028</v>
      </c>
      <c r="H5" s="338">
        <f t="shared" si="0"/>
        <v>2029</v>
      </c>
      <c r="I5" s="338">
        <f t="shared" si="0"/>
        <v>2030</v>
      </c>
      <c r="J5" s="338">
        <f t="shared" si="0"/>
        <v>2031</v>
      </c>
      <c r="K5" s="338">
        <f t="shared" si="0"/>
        <v>2032</v>
      </c>
      <c r="L5" s="338">
        <f t="shared" si="0"/>
        <v>2033</v>
      </c>
      <c r="M5" s="338">
        <f t="shared" si="0"/>
        <v>2034</v>
      </c>
      <c r="N5" s="338">
        <f t="shared" si="0"/>
        <v>2035</v>
      </c>
      <c r="O5" s="338">
        <f t="shared" si="0"/>
        <v>2036</v>
      </c>
    </row>
    <row r="6" spans="1:15" s="97" customFormat="1" ht="21" customHeight="1" x14ac:dyDescent="0.25">
      <c r="B6" s="114" t="s">
        <v>50</v>
      </c>
      <c r="C6" s="61"/>
      <c r="D6" s="61">
        <v>0</v>
      </c>
      <c r="E6" s="61">
        <v>1</v>
      </c>
      <c r="F6" s="61">
        <f>E6</f>
        <v>1</v>
      </c>
      <c r="G6" s="61">
        <f t="shared" ref="G6:O6" si="1">F6</f>
        <v>1</v>
      </c>
      <c r="H6" s="61">
        <f t="shared" si="1"/>
        <v>1</v>
      </c>
      <c r="I6" s="61">
        <f t="shared" si="1"/>
        <v>1</v>
      </c>
      <c r="J6" s="61">
        <f t="shared" si="1"/>
        <v>1</v>
      </c>
      <c r="K6" s="61">
        <f t="shared" si="1"/>
        <v>1</v>
      </c>
      <c r="L6" s="61">
        <f t="shared" si="1"/>
        <v>1</v>
      </c>
      <c r="M6" s="61">
        <f t="shared" si="1"/>
        <v>1</v>
      </c>
      <c r="N6" s="61">
        <f t="shared" si="1"/>
        <v>1</v>
      </c>
      <c r="O6" s="61">
        <f t="shared" si="1"/>
        <v>1</v>
      </c>
    </row>
    <row r="7" spans="1:15" s="97" customFormat="1" ht="21" customHeight="1" x14ac:dyDescent="0.25">
      <c r="B7" s="114" t="s">
        <v>256</v>
      </c>
      <c r="C7" s="99"/>
      <c r="D7" s="107">
        <v>0</v>
      </c>
      <c r="E7" s="107">
        <v>1</v>
      </c>
      <c r="F7" s="107">
        <f t="shared" ref="F7:O7" si="2">(E7*1.05)</f>
        <v>1.05</v>
      </c>
      <c r="G7" s="107">
        <f t="shared" si="2"/>
        <v>1.1025</v>
      </c>
      <c r="H7" s="107">
        <f t="shared" si="2"/>
        <v>1.1576250000000001</v>
      </c>
      <c r="I7" s="107">
        <f t="shared" si="2"/>
        <v>1.2155062500000002</v>
      </c>
      <c r="J7" s="107">
        <f t="shared" si="2"/>
        <v>1.2762815625000004</v>
      </c>
      <c r="K7" s="107">
        <f t="shared" si="2"/>
        <v>1.3400956406250004</v>
      </c>
      <c r="L7" s="107">
        <f t="shared" si="2"/>
        <v>1.4071004226562505</v>
      </c>
      <c r="M7" s="107">
        <f t="shared" si="2"/>
        <v>1.477455443789063</v>
      </c>
      <c r="N7" s="107">
        <f t="shared" si="2"/>
        <v>1.5513282159785162</v>
      </c>
      <c r="O7" s="107">
        <f t="shared" si="2"/>
        <v>1.628894626777442</v>
      </c>
    </row>
    <row r="8" spans="1:15" s="97" customFormat="1" ht="21" customHeight="1" x14ac:dyDescent="0.25">
      <c r="B8" s="51" t="s">
        <v>51</v>
      </c>
      <c r="C8" s="99"/>
      <c r="D8" s="107">
        <f>(Assump!$G$5)/A*D$6*D$7*D4/12</f>
        <v>0</v>
      </c>
      <c r="E8" s="107">
        <f>(Assump!$G$5)/A*E$6*E$7*E4/12</f>
        <v>1260</v>
      </c>
      <c r="F8" s="107">
        <f>(Assump!$G$5)/A*F$6*F$7</f>
        <v>1323</v>
      </c>
      <c r="G8" s="107">
        <f>(Assump!$G$5)/A*G$6*G$7</f>
        <v>1389.15</v>
      </c>
      <c r="H8" s="107">
        <f>(Assump!$G$5)/A*H$6*H$7</f>
        <v>1458.6075000000001</v>
      </c>
      <c r="I8" s="107">
        <f>(Assump!$G$5)/A*I$6*I$7</f>
        <v>1531.5378750000002</v>
      </c>
      <c r="J8" s="107">
        <f>(Assump!$G$5)/A*J$6*J$7</f>
        <v>1608.1147687500004</v>
      </c>
      <c r="K8" s="107">
        <f>(Assump!$G$5)/A*K$6*K$7</f>
        <v>1688.5205071875005</v>
      </c>
      <c r="L8" s="107">
        <f>(Assump!$G$5)/A*L$6*L$7</f>
        <v>1772.9465325468757</v>
      </c>
      <c r="M8" s="107">
        <f>(Assump!$G$5)/A*M$6*M$7</f>
        <v>1861.5938591742195</v>
      </c>
      <c r="N8" s="107">
        <f>(Assump!$G$5)/A*N$6*N$7</f>
        <v>1954.6735521329304</v>
      </c>
      <c r="O8" s="107">
        <f>(Assump!$G$5)/A*O$6*O$7</f>
        <v>2052.4072297395769</v>
      </c>
    </row>
    <row r="9" spans="1:15" s="97" customFormat="1" ht="21" customHeight="1" x14ac:dyDescent="0.25">
      <c r="B9" s="51" t="s">
        <v>255</v>
      </c>
      <c r="C9" s="99"/>
      <c r="D9" s="107">
        <f>(Assump!$G$7+Assump!$G$6)/A*D$6*D$7*D4/12</f>
        <v>0</v>
      </c>
      <c r="E9" s="107">
        <f>(Assump!$G$7+Assump!$G$6)/A*E$6*E$7*E4/12</f>
        <v>346.5</v>
      </c>
      <c r="F9" s="107">
        <f>(Assump!$G$7+Assump!$G$6)/A*F$6*F$7</f>
        <v>363.82499999999999</v>
      </c>
      <c r="G9" s="107">
        <f>(Assump!$G$7+Assump!$G$6)/A*G$6*G$7</f>
        <v>382.01625000000001</v>
      </c>
      <c r="H9" s="107">
        <f>(Assump!$G$7+Assump!$G$6)/A*H$6*H$7</f>
        <v>401.11706250000003</v>
      </c>
      <c r="I9" s="107">
        <f>(Assump!$G$7+Assump!$G$6)/A*I$6*I$7</f>
        <v>421.17291562500009</v>
      </c>
      <c r="J9" s="107">
        <f>(Assump!$G$7+Assump!$G$6)/A*J$6*J$7</f>
        <v>442.23156140625014</v>
      </c>
      <c r="K9" s="107">
        <f>(Assump!$G$7+Assump!$G$6)/A*K$6*K$7</f>
        <v>464.34313947656267</v>
      </c>
      <c r="L9" s="107">
        <f>(Assump!$G$7+Assump!$G$6)/A*L$6*L$7</f>
        <v>487.56029645039081</v>
      </c>
      <c r="M9" s="107">
        <f>(Assump!$G$7+Assump!$G$6)/A*M$6*M$7</f>
        <v>511.93831127291031</v>
      </c>
      <c r="N9" s="107">
        <f>(Assump!$G$7+Assump!$G$6)/A*N$6*N$7</f>
        <v>537.53522683655592</v>
      </c>
      <c r="O9" s="107">
        <f>(Assump!$G$7+Assump!$G$6)/A*O$6*O$7</f>
        <v>564.41198817838369</v>
      </c>
    </row>
    <row r="10" spans="1:15" s="97" customFormat="1" ht="18" customHeight="1" x14ac:dyDescent="0.25">
      <c r="A10" s="320">
        <v>0</v>
      </c>
      <c r="B10" s="138" t="s">
        <v>53</v>
      </c>
      <c r="C10" s="139"/>
      <c r="D10" s="140">
        <f>SUM(D8:D9)*(1-$A$10)</f>
        <v>0</v>
      </c>
      <c r="E10" s="140">
        <f t="shared" ref="E10:O10" si="3">SUM(E8:E9)*(1-$A$10)</f>
        <v>1606.5</v>
      </c>
      <c r="F10" s="140">
        <f t="shared" si="3"/>
        <v>1686.825</v>
      </c>
      <c r="G10" s="140">
        <f t="shared" si="3"/>
        <v>1771.1662500000002</v>
      </c>
      <c r="H10" s="140">
        <f t="shared" si="3"/>
        <v>1859.7245625</v>
      </c>
      <c r="I10" s="140">
        <f t="shared" si="3"/>
        <v>1952.7107906250003</v>
      </c>
      <c r="J10" s="140">
        <f t="shared" si="3"/>
        <v>2050.3463301562506</v>
      </c>
      <c r="K10" s="140">
        <f t="shared" si="3"/>
        <v>2152.8636466640633</v>
      </c>
      <c r="L10" s="140">
        <f t="shared" si="3"/>
        <v>2260.5068289972664</v>
      </c>
      <c r="M10" s="140">
        <f t="shared" si="3"/>
        <v>2373.5321704471298</v>
      </c>
      <c r="N10" s="140">
        <f t="shared" si="3"/>
        <v>2492.208778969486</v>
      </c>
      <c r="O10" s="140">
        <f t="shared" si="3"/>
        <v>2616.8192179179605</v>
      </c>
    </row>
    <row r="11" spans="1:15" s="97" customFormat="1" ht="21" customHeight="1" x14ac:dyDescent="0.25">
      <c r="B11" s="114" t="s">
        <v>54</v>
      </c>
      <c r="C11" s="99"/>
      <c r="D11" s="99"/>
      <c r="E11" s="99"/>
      <c r="F11" s="99"/>
      <c r="G11" s="99"/>
      <c r="H11" s="99"/>
      <c r="I11" s="99"/>
      <c r="J11" s="99"/>
      <c r="K11" s="99"/>
      <c r="L11" s="99"/>
      <c r="M11" s="99"/>
      <c r="N11" s="99"/>
      <c r="O11" s="99"/>
    </row>
    <row r="12" spans="1:15" s="97" customFormat="1" ht="21" customHeight="1" x14ac:dyDescent="0.25">
      <c r="A12" s="320">
        <v>0</v>
      </c>
      <c r="B12" s="51" t="s">
        <v>55</v>
      </c>
      <c r="C12" s="99"/>
      <c r="D12" s="99">
        <f>((Assump!$G$14)/A*D$6*D$7*D4/12)*(1+$A$12)</f>
        <v>0</v>
      </c>
      <c r="E12" s="99">
        <f>((Assump!$G$14)/A*E$6*E$7*E4/12)*(1+$A$12)</f>
        <v>276.5</v>
      </c>
      <c r="F12" s="99">
        <f>((Assump!$G$14)/A*F$6*F$7)*(1+$A$12)</f>
        <v>290.32499999999999</v>
      </c>
      <c r="G12" s="99">
        <f>((Assump!$G$14)/A*G$6*G$7)*(1+$A$12)</f>
        <v>304.84125</v>
      </c>
      <c r="H12" s="99">
        <f>((Assump!$G$14)/A*H$6*H$7)*(1+$A$12)</f>
        <v>320.08331250000003</v>
      </c>
      <c r="I12" s="99">
        <f>((Assump!$G$14)/A*I$6*I$7)*(1+$A$12)</f>
        <v>336.08747812500008</v>
      </c>
      <c r="J12" s="99">
        <f>((Assump!$G$14)/A*J$6*J$7)*(1+$A$12)</f>
        <v>352.8918520312501</v>
      </c>
      <c r="K12" s="99">
        <f>((Assump!$G$14)/A*K$6*K$7)*(1+$A$12)</f>
        <v>370.53644463281262</v>
      </c>
      <c r="L12" s="99">
        <f>((Assump!$G$14)/A*L$6*L$7)*(1+$A$12)</f>
        <v>389.06326686445323</v>
      </c>
      <c r="M12" s="99">
        <f>((Assump!$G$14)/A*M$6*M$7)*(1+$A$12)</f>
        <v>408.51643020767591</v>
      </c>
      <c r="N12" s="99">
        <f>((Assump!$G$14)/A*N$6*N$7)*(1+$A$12)</f>
        <v>428.94225171805971</v>
      </c>
      <c r="O12" s="99">
        <f>((Assump!$G$14)/A*O$6*O$7)*(1+$A$12)</f>
        <v>450.38936430396274</v>
      </c>
    </row>
    <row r="13" spans="1:15" s="97" customFormat="1" ht="21" customHeight="1" x14ac:dyDescent="0.25">
      <c r="B13" s="51" t="s">
        <v>694</v>
      </c>
      <c r="C13" s="99"/>
      <c r="D13" s="99">
        <f>(Assump!$G$16)/A*D$6*D$7*D4/12</f>
        <v>0</v>
      </c>
      <c r="E13" s="99">
        <f>(Assump!$G$16)/A*E$6*E$7*E4/12</f>
        <v>170.24</v>
      </c>
      <c r="F13" s="99">
        <f>(Assump!$G$16)/A*F$6*F$7</f>
        <v>178.75200000000001</v>
      </c>
      <c r="G13" s="99">
        <f>(Assump!$G$16)/A*G$6*G$7</f>
        <v>187.68960000000001</v>
      </c>
      <c r="H13" s="99">
        <f>(Assump!$G$16)/A*H$6*H$7</f>
        <v>197.07408000000004</v>
      </c>
      <c r="I13" s="99">
        <f>(Assump!$G$16)/A*I$6*I$7</f>
        <v>206.92778400000006</v>
      </c>
      <c r="J13" s="99">
        <f>(Assump!$G$16)/A*J$6*J$7</f>
        <v>217.27417320000006</v>
      </c>
      <c r="K13" s="99">
        <f>(Assump!$G$16)/A*K$6*K$7</f>
        <v>228.13788186000008</v>
      </c>
      <c r="L13" s="99">
        <f>(Assump!$G$16)/A*L$6*L$7</f>
        <v>239.54477595300008</v>
      </c>
      <c r="M13" s="99">
        <f>(Assump!$G$16)/A*M$6*M$7</f>
        <v>251.5220147506501</v>
      </c>
      <c r="N13" s="99">
        <f>(Assump!$G$16)/A*N$6*N$7</f>
        <v>264.0981154881826</v>
      </c>
      <c r="O13" s="99">
        <f>(Assump!$G$16)/A*O$6*O$7</f>
        <v>277.30302126259176</v>
      </c>
    </row>
    <row r="14" spans="1:15" s="97" customFormat="1" ht="21" customHeight="1" x14ac:dyDescent="0.25">
      <c r="B14" s="51" t="s">
        <v>695</v>
      </c>
      <c r="C14" s="99"/>
      <c r="D14" s="99">
        <f>(Assump!$G$22)/A*D$6*D$7*D4/12</f>
        <v>0</v>
      </c>
      <c r="E14" s="99">
        <f>(Assump!$G$22)/A*E$6*E$7*E4/12</f>
        <v>14.6</v>
      </c>
      <c r="F14" s="99">
        <f>(Assump!$G$22)/A*F$6*F$7</f>
        <v>15.33</v>
      </c>
      <c r="G14" s="99">
        <f>(Assump!$G$22)/A*G$6*G$7</f>
        <v>16.096499999999999</v>
      </c>
      <c r="H14" s="99">
        <f>(Assump!$G$22)/A*H$6*H$7</f>
        <v>16.901325</v>
      </c>
      <c r="I14" s="99">
        <f>(Assump!$G$22)/A*I$6*I$7</f>
        <v>17.746391250000002</v>
      </c>
      <c r="J14" s="99">
        <f>(Assump!$G$22)/A*J$6*J$7</f>
        <v>18.633710812500006</v>
      </c>
      <c r="K14" s="99">
        <f>(Assump!$G$22)/A*K$6*K$7</f>
        <v>19.565396353125006</v>
      </c>
      <c r="L14" s="99">
        <f>(Assump!$G$22)/A*L$6*L$7</f>
        <v>20.543666170781258</v>
      </c>
      <c r="M14" s="99">
        <f>(Assump!$G$22)/A*M$6*M$7</f>
        <v>21.570849479320319</v>
      </c>
      <c r="N14" s="99">
        <f>(Assump!$G$22)/A*N$6*N$7</f>
        <v>22.649391953286337</v>
      </c>
      <c r="O14" s="99">
        <f>(Assump!$G$22)/A*O$6*O$7</f>
        <v>23.781861550950651</v>
      </c>
    </row>
    <row r="15" spans="1:15" s="97" customFormat="1" ht="21" customHeight="1" x14ac:dyDescent="0.25">
      <c r="B15" s="138" t="s">
        <v>56</v>
      </c>
      <c r="C15" s="139"/>
      <c r="D15" s="139">
        <f t="shared" ref="D15:N15" si="4">SUM(D12:D14)</f>
        <v>0</v>
      </c>
      <c r="E15" s="139">
        <f t="shared" si="4"/>
        <v>461.34000000000003</v>
      </c>
      <c r="F15" s="139">
        <f t="shared" si="4"/>
        <v>484.40699999999998</v>
      </c>
      <c r="G15" s="139">
        <f t="shared" si="4"/>
        <v>508.62734999999998</v>
      </c>
      <c r="H15" s="139">
        <f t="shared" si="4"/>
        <v>534.05871750000006</v>
      </c>
      <c r="I15" s="139">
        <f t="shared" si="4"/>
        <v>560.76165337500015</v>
      </c>
      <c r="J15" s="139">
        <f t="shared" si="4"/>
        <v>588.79973604375016</v>
      </c>
      <c r="K15" s="139">
        <f t="shared" si="4"/>
        <v>618.23972284593776</v>
      </c>
      <c r="L15" s="139">
        <f t="shared" si="4"/>
        <v>649.15170898823465</v>
      </c>
      <c r="M15" s="139">
        <f t="shared" si="4"/>
        <v>681.60929443764633</v>
      </c>
      <c r="N15" s="139">
        <f t="shared" si="4"/>
        <v>715.68975915952865</v>
      </c>
      <c r="O15" s="139">
        <f t="shared" ref="O15" si="5">SUM(O12:O14)</f>
        <v>751.47424711750523</v>
      </c>
    </row>
    <row r="16" spans="1:15" s="97" customFormat="1" ht="21" customHeight="1" x14ac:dyDescent="0.25">
      <c r="B16" s="114" t="s">
        <v>57</v>
      </c>
      <c r="C16" s="104"/>
      <c r="D16" s="104"/>
      <c r="E16" s="104"/>
      <c r="F16" s="104"/>
      <c r="G16" s="104"/>
      <c r="H16" s="104"/>
      <c r="I16" s="104"/>
      <c r="J16" s="104"/>
      <c r="K16" s="104"/>
      <c r="L16" s="104"/>
      <c r="M16" s="104"/>
      <c r="N16" s="104"/>
      <c r="O16" s="104"/>
    </row>
    <row r="17" spans="2:15" s="97" customFormat="1" ht="21" customHeight="1" x14ac:dyDescent="0.25">
      <c r="B17" s="51" t="s">
        <v>58</v>
      </c>
      <c r="C17" s="99"/>
      <c r="D17" s="99">
        <f>(Assump!$G$36)/A*D$6*D$7*D4/12</f>
        <v>0</v>
      </c>
      <c r="E17" s="99">
        <f>(Assump!$G$36)/A*E$6*E$7*E4/12</f>
        <v>206.51220000000001</v>
      </c>
      <c r="F17" s="99">
        <f>(Assump!$G$36)/A*F$6*F$7</f>
        <v>216.83781000000002</v>
      </c>
      <c r="G17" s="99">
        <f>(Assump!$G$36)/A*G$6*G$7</f>
        <v>227.67970050000002</v>
      </c>
      <c r="H17" s="99">
        <f>(Assump!$G$36)/A*H$6*H$7</f>
        <v>239.06368552500004</v>
      </c>
      <c r="I17" s="99">
        <f>(Assump!$G$36)/A*I$6*I$7</f>
        <v>251.01686980125007</v>
      </c>
      <c r="J17" s="99">
        <f>(Assump!$G$36)/A*J$6*J$7</f>
        <v>263.5677132913126</v>
      </c>
      <c r="K17" s="99">
        <f>(Assump!$G$36)/A*K$6*K$7</f>
        <v>276.74609895587821</v>
      </c>
      <c r="L17" s="99">
        <f>(Assump!$G$36)/A*L$6*L$7</f>
        <v>290.58340390367215</v>
      </c>
      <c r="M17" s="99">
        <f>(Assump!$G$36)/A*M$6*M$7</f>
        <v>305.11257409885576</v>
      </c>
      <c r="N17" s="99">
        <f>(Assump!$G$36)/A*N$6*N$7</f>
        <v>320.36820280379857</v>
      </c>
      <c r="O17" s="99">
        <f>(Assump!$G$36)/A*O$6*O$7</f>
        <v>336.3866129439885</v>
      </c>
    </row>
    <row r="18" spans="2:15" s="97" customFormat="1" ht="21" customHeight="1" x14ac:dyDescent="0.25">
      <c r="B18" s="51" t="s">
        <v>699</v>
      </c>
      <c r="C18" s="99"/>
      <c r="D18" s="99">
        <v>0</v>
      </c>
      <c r="E18" s="99">
        <v>0.5</v>
      </c>
      <c r="F18" s="99">
        <f>E18</f>
        <v>0.5</v>
      </c>
      <c r="G18" s="99">
        <f>F18</f>
        <v>0.5</v>
      </c>
      <c r="H18" s="99">
        <f>G18</f>
        <v>0.5</v>
      </c>
      <c r="I18" s="99">
        <f>H18*1.1</f>
        <v>0.55000000000000004</v>
      </c>
      <c r="J18" s="99">
        <f>I18*1</f>
        <v>0.55000000000000004</v>
      </c>
      <c r="K18" s="99">
        <f>J18*1</f>
        <v>0.55000000000000004</v>
      </c>
      <c r="L18" s="99">
        <f>K18*1</f>
        <v>0.55000000000000004</v>
      </c>
      <c r="M18" s="99">
        <f>L18*1</f>
        <v>0.55000000000000004</v>
      </c>
      <c r="N18" s="99">
        <f>M18*1.1</f>
        <v>0.60500000000000009</v>
      </c>
      <c r="O18" s="99">
        <f>N18*1.1</f>
        <v>0.6655000000000002</v>
      </c>
    </row>
    <row r="19" spans="2:15" s="97" customFormat="1" ht="21" customHeight="1" x14ac:dyDescent="0.25">
      <c r="B19" s="45" t="s">
        <v>708</v>
      </c>
      <c r="C19" s="99"/>
      <c r="D19" s="99">
        <f>Assump!$G$17/A*D4/12*D7</f>
        <v>0</v>
      </c>
      <c r="E19" s="99">
        <f>Assump!$G$17/A*E4/12*E7</f>
        <v>35</v>
      </c>
      <c r="F19" s="99">
        <f>Assump!$G$17/A*F4/12*F7</f>
        <v>36.75</v>
      </c>
      <c r="G19" s="99">
        <f>Assump!$G$17/A*G4/12*G7</f>
        <v>38.587499999999999</v>
      </c>
      <c r="H19" s="99">
        <f>Assump!$G$17/A*H4/12*H7</f>
        <v>40.516875000000006</v>
      </c>
      <c r="I19" s="99">
        <f>Assump!$G$17/A*I4/12*I7</f>
        <v>42.542718750000006</v>
      </c>
      <c r="J19" s="99">
        <f>Assump!$G$17/A*J4/12*J7</f>
        <v>44.669854687500013</v>
      </c>
      <c r="K19" s="99">
        <f>Assump!$G$17/A*K4/12*K7</f>
        <v>46.903347421875011</v>
      </c>
      <c r="L19" s="99">
        <f>Assump!$G$17/A*L4/12*L7</f>
        <v>49.248514792968763</v>
      </c>
      <c r="M19" s="99">
        <f>Assump!$G$17/A*M4/12*M7</f>
        <v>51.710940532617208</v>
      </c>
      <c r="N19" s="99">
        <f>Assump!$G$17/A*N4/12*N7</f>
        <v>54.296487559248071</v>
      </c>
      <c r="O19" s="99">
        <f>Assump!$G$17/A*O4/12*O7</f>
        <v>57.011311937210472</v>
      </c>
    </row>
    <row r="20" spans="2:15" s="97" customFormat="1" ht="21" customHeight="1" x14ac:dyDescent="0.25">
      <c r="B20" s="51" t="s">
        <v>709</v>
      </c>
      <c r="C20" s="99"/>
      <c r="D20" s="99">
        <v>0</v>
      </c>
      <c r="E20" s="99">
        <f>('Det CoP_MOF'!$G$181)/A/5</f>
        <v>3.16</v>
      </c>
      <c r="F20" s="99">
        <f t="shared" ref="F20:I20" si="6">E20</f>
        <v>3.16</v>
      </c>
      <c r="G20" s="99">
        <f t="shared" si="6"/>
        <v>3.16</v>
      </c>
      <c r="H20" s="99">
        <f t="shared" si="6"/>
        <v>3.16</v>
      </c>
      <c r="I20" s="99">
        <f t="shared" si="6"/>
        <v>3.16</v>
      </c>
      <c r="J20" s="99">
        <v>0</v>
      </c>
      <c r="K20" s="99">
        <v>0</v>
      </c>
      <c r="L20" s="99">
        <v>0</v>
      </c>
      <c r="M20" s="99">
        <v>0</v>
      </c>
      <c r="N20" s="99">
        <v>0</v>
      </c>
      <c r="O20" s="99">
        <v>0</v>
      </c>
    </row>
    <row r="21" spans="2:15" s="97" customFormat="1" ht="18" customHeight="1" x14ac:dyDescent="0.25">
      <c r="B21" s="138" t="s">
        <v>59</v>
      </c>
      <c r="C21" s="141"/>
      <c r="D21" s="141">
        <f t="shared" ref="D21:K21" si="7">SUM(D17:D20)</f>
        <v>0</v>
      </c>
      <c r="E21" s="141">
        <f t="shared" si="7"/>
        <v>245.1722</v>
      </c>
      <c r="F21" s="141">
        <f t="shared" si="7"/>
        <v>257.24781000000002</v>
      </c>
      <c r="G21" s="141">
        <f t="shared" si="7"/>
        <v>269.92720050000003</v>
      </c>
      <c r="H21" s="141">
        <f t="shared" si="7"/>
        <v>283.24056052500009</v>
      </c>
      <c r="I21" s="141">
        <f t="shared" si="7"/>
        <v>297.26958855125014</v>
      </c>
      <c r="J21" s="141">
        <f t="shared" si="7"/>
        <v>308.7875679788126</v>
      </c>
      <c r="K21" s="141">
        <f t="shared" si="7"/>
        <v>324.19944637775325</v>
      </c>
      <c r="L21" s="141">
        <f t="shared" ref="L21:N21" si="8">SUM(L17:L20)</f>
        <v>340.38191869664092</v>
      </c>
      <c r="M21" s="141">
        <f t="shared" si="8"/>
        <v>357.37351463147297</v>
      </c>
      <c r="N21" s="141">
        <f t="shared" si="8"/>
        <v>375.26969036304666</v>
      </c>
      <c r="O21" s="141">
        <f t="shared" ref="O21" si="9">SUM(O17:O20)</f>
        <v>394.06342488119896</v>
      </c>
    </row>
    <row r="22" spans="2:15" s="97" customFormat="1" ht="21" customHeight="1" x14ac:dyDescent="0.25">
      <c r="B22" s="138" t="s">
        <v>60</v>
      </c>
      <c r="C22" s="139"/>
      <c r="D22" s="139">
        <f t="shared" ref="D22:N22" si="10">(D15+D21)</f>
        <v>0</v>
      </c>
      <c r="E22" s="139">
        <f t="shared" si="10"/>
        <v>706.51220000000001</v>
      </c>
      <c r="F22" s="139">
        <f t="shared" si="10"/>
        <v>741.65481</v>
      </c>
      <c r="G22" s="139">
        <f t="shared" si="10"/>
        <v>778.5545505</v>
      </c>
      <c r="H22" s="139">
        <f t="shared" si="10"/>
        <v>817.29927802500015</v>
      </c>
      <c r="I22" s="139">
        <f t="shared" si="10"/>
        <v>858.03124192625023</v>
      </c>
      <c r="J22" s="139">
        <f t="shared" si="10"/>
        <v>897.58730402256276</v>
      </c>
      <c r="K22" s="139">
        <f t="shared" si="10"/>
        <v>942.43916922369101</v>
      </c>
      <c r="L22" s="139">
        <f t="shared" si="10"/>
        <v>989.53362768487557</v>
      </c>
      <c r="M22" s="139">
        <f t="shared" si="10"/>
        <v>1038.9828090691194</v>
      </c>
      <c r="N22" s="139">
        <f t="shared" si="10"/>
        <v>1090.9594495225754</v>
      </c>
      <c r="O22" s="139">
        <f t="shared" ref="O22" si="11">(O15+O21)</f>
        <v>1145.5376719987041</v>
      </c>
    </row>
    <row r="23" spans="2:15" s="97" customFormat="1" ht="21" customHeight="1" x14ac:dyDescent="0.25">
      <c r="B23" s="51" t="s">
        <v>61</v>
      </c>
      <c r="C23" s="99"/>
      <c r="D23" s="99">
        <f t="shared" ref="D23:N23" si="12">(D10-D22)</f>
        <v>0</v>
      </c>
      <c r="E23" s="99">
        <f t="shared" si="12"/>
        <v>899.98779999999999</v>
      </c>
      <c r="F23" s="99">
        <f t="shared" si="12"/>
        <v>945.17019000000005</v>
      </c>
      <c r="G23" s="99">
        <f t="shared" si="12"/>
        <v>992.61169950000021</v>
      </c>
      <c r="H23" s="99">
        <f t="shared" si="12"/>
        <v>1042.4252844749999</v>
      </c>
      <c r="I23" s="99">
        <f t="shared" si="12"/>
        <v>1094.6795486987501</v>
      </c>
      <c r="J23" s="99">
        <f t="shared" si="12"/>
        <v>1152.7590261336877</v>
      </c>
      <c r="K23" s="99">
        <f t="shared" si="12"/>
        <v>1210.4244774403724</v>
      </c>
      <c r="L23" s="99">
        <f t="shared" si="12"/>
        <v>1270.9732013123908</v>
      </c>
      <c r="M23" s="99">
        <f t="shared" si="12"/>
        <v>1334.5493613780104</v>
      </c>
      <c r="N23" s="99">
        <f t="shared" si="12"/>
        <v>1401.2493294469107</v>
      </c>
      <c r="O23" s="99">
        <f t="shared" ref="O23" si="13">(O10-O22)</f>
        <v>1471.2815459192564</v>
      </c>
    </row>
    <row r="24" spans="2:15" s="97" customFormat="1" ht="21" customHeight="1" x14ac:dyDescent="0.25">
      <c r="B24" s="51" t="s">
        <v>62</v>
      </c>
      <c r="C24" s="99"/>
      <c r="D24" s="99">
        <f>'TL Schd'!E11</f>
        <v>0</v>
      </c>
      <c r="E24" s="99">
        <f>'TL Schd'!F11</f>
        <v>207.4325</v>
      </c>
      <c r="F24" s="99">
        <f>'TL Schd'!G11</f>
        <v>196.45999999999998</v>
      </c>
      <c r="G24" s="99">
        <f>'TL Schd'!H11</f>
        <v>183.92</v>
      </c>
      <c r="H24" s="99">
        <f>'TL Schd'!I11</f>
        <v>167.2</v>
      </c>
      <c r="I24" s="99">
        <f>'TL Schd'!J11</f>
        <v>146.29999999999998</v>
      </c>
      <c r="J24" s="99">
        <f>'TL Schd'!K11</f>
        <v>125.4</v>
      </c>
      <c r="K24" s="99">
        <f>'TL Schd'!L11</f>
        <v>104.5</v>
      </c>
      <c r="L24" s="99">
        <f>'TL Schd'!M11</f>
        <v>81.510000000000005</v>
      </c>
      <c r="M24" s="99">
        <f>'TL Schd'!N11</f>
        <v>56.43</v>
      </c>
      <c r="N24" s="99">
        <f>'TL Schd'!O11</f>
        <v>29.259999999999998</v>
      </c>
      <c r="O24" s="99">
        <f>'TL Schd'!P11</f>
        <v>3.6574999999999998</v>
      </c>
    </row>
    <row r="25" spans="2:15" s="97" customFormat="1" ht="21" customHeight="1" x14ac:dyDescent="0.25">
      <c r="B25" s="51" t="s">
        <v>541</v>
      </c>
      <c r="C25" s="99"/>
      <c r="D25" s="99">
        <f>'TL Schd'!E119</f>
        <v>0</v>
      </c>
      <c r="E25" s="99">
        <f>'TL Schd'!F119</f>
        <v>4.75</v>
      </c>
      <c r="F25" s="99">
        <f>'TL Schd'!G119</f>
        <v>4.75</v>
      </c>
      <c r="G25" s="99">
        <f>'TL Schd'!H119</f>
        <v>4.75</v>
      </c>
      <c r="H25" s="99">
        <f>'TL Schd'!I119</f>
        <v>4.75</v>
      </c>
      <c r="I25" s="99">
        <f>'TL Schd'!J119</f>
        <v>4.75</v>
      </c>
      <c r="J25" s="99">
        <f>'TL Schd'!K119</f>
        <v>4.75</v>
      </c>
      <c r="K25" s="99">
        <f>'TL Schd'!L119</f>
        <v>4.75</v>
      </c>
      <c r="L25" s="99">
        <f>'TL Schd'!M119</f>
        <v>4.75</v>
      </c>
      <c r="M25" s="99">
        <f>'TL Schd'!N119</f>
        <v>4.75</v>
      </c>
      <c r="N25" s="99">
        <f>'TL Schd'!O119</f>
        <v>4.75</v>
      </c>
      <c r="O25" s="99">
        <f>'TL Schd'!P119</f>
        <v>4.75</v>
      </c>
    </row>
    <row r="26" spans="2:15" s="97" customFormat="1" ht="21" customHeight="1" x14ac:dyDescent="0.25">
      <c r="B26" s="51" t="s">
        <v>63</v>
      </c>
      <c r="C26" s="99"/>
      <c r="D26" s="99">
        <f>Depr!C19</f>
        <v>0</v>
      </c>
      <c r="E26" s="99">
        <f>Depr!D19</f>
        <v>176.40210077973688</v>
      </c>
      <c r="F26" s="99">
        <f>Depr!E19</f>
        <v>176.40210077973688</v>
      </c>
      <c r="G26" s="99">
        <f>Depr!F19</f>
        <v>176.40210077973688</v>
      </c>
      <c r="H26" s="99">
        <f>Depr!G19</f>
        <v>176.40210077973688</v>
      </c>
      <c r="I26" s="99">
        <f>Depr!H19</f>
        <v>176.40210077973688</v>
      </c>
      <c r="J26" s="99">
        <f>Depr!I19</f>
        <v>176.40210077973688</v>
      </c>
      <c r="K26" s="99">
        <f>Depr!J19</f>
        <v>176.40210077973688</v>
      </c>
      <c r="L26" s="99">
        <f>Depr!K19</f>
        <v>176.40210077973688</v>
      </c>
      <c r="M26" s="99">
        <f>Depr!L19</f>
        <v>176.40210077973688</v>
      </c>
      <c r="N26" s="99">
        <f>Depr!M19</f>
        <v>176.40210077973688</v>
      </c>
      <c r="O26" s="99">
        <f>Depr!N19</f>
        <v>176.40210077973688</v>
      </c>
    </row>
    <row r="27" spans="2:15" s="97" customFormat="1" ht="21" customHeight="1" x14ac:dyDescent="0.25">
      <c r="B27" s="51" t="s">
        <v>64</v>
      </c>
      <c r="C27" s="99"/>
      <c r="D27" s="99">
        <f t="shared" ref="D27:I27" si="14">D23-D24-D26-D25</f>
        <v>0</v>
      </c>
      <c r="E27" s="99">
        <f t="shared" si="14"/>
        <v>511.4031992202631</v>
      </c>
      <c r="F27" s="99">
        <f t="shared" si="14"/>
        <v>567.55808922026313</v>
      </c>
      <c r="G27" s="99">
        <f t="shared" si="14"/>
        <v>627.53959872026337</v>
      </c>
      <c r="H27" s="99">
        <f t="shared" si="14"/>
        <v>694.07318369526297</v>
      </c>
      <c r="I27" s="99">
        <f t="shared" si="14"/>
        <v>767.22744791901323</v>
      </c>
      <c r="J27" s="99">
        <f t="shared" ref="J27:K27" si="15">J23-J24-J26-J25</f>
        <v>846.20692535395074</v>
      </c>
      <c r="K27" s="99">
        <f t="shared" si="15"/>
        <v>924.77237666063547</v>
      </c>
      <c r="L27" s="99">
        <f t="shared" ref="L27:M27" si="16">L23-L24-L26-L25</f>
        <v>1008.3111005326539</v>
      </c>
      <c r="M27" s="99">
        <f t="shared" si="16"/>
        <v>1096.9672605982735</v>
      </c>
      <c r="N27" s="99">
        <f t="shared" ref="N27:O27" si="17">N23-N24-N26-N25</f>
        <v>1190.8372286671738</v>
      </c>
      <c r="O27" s="99">
        <f t="shared" si="17"/>
        <v>1286.4719451395194</v>
      </c>
    </row>
    <row r="28" spans="2:15" s="97" customFormat="1" ht="21" customHeight="1" x14ac:dyDescent="0.25">
      <c r="B28" s="51" t="s">
        <v>767</v>
      </c>
      <c r="C28" s="99"/>
      <c r="D28" s="99">
        <f>Tax!F15</f>
        <v>0</v>
      </c>
      <c r="E28" s="99">
        <f>Tax!G15</f>
        <v>201.35273212576342</v>
      </c>
      <c r="F28" s="99">
        <f>Tax!H15</f>
        <v>223.75812738889977</v>
      </c>
      <c r="G28" s="99">
        <f>Tax!I15</f>
        <v>247.10417846931568</v>
      </c>
      <c r="H28" s="99">
        <f>Tax!J15</f>
        <v>272.35478100780387</v>
      </c>
      <c r="I28" s="99">
        <f>Tax!K15</f>
        <v>299.56793932884102</v>
      </c>
      <c r="J28" s="99">
        <f>Tax!L15</f>
        <v>328.50457562017277</v>
      </c>
      <c r="K28" s="99">
        <f>Tax!M15</f>
        <v>357.07509144494367</v>
      </c>
      <c r="L28" s="99">
        <f>Tax!N15</f>
        <v>387.13172410623389</v>
      </c>
      <c r="M28" s="99">
        <f>Tax!O15</f>
        <v>418.74501808639297</v>
      </c>
      <c r="N28" s="99">
        <f>Tax!P15</f>
        <v>451.96691438107763</v>
      </c>
      <c r="O28" s="99">
        <f>Tax!Q15</f>
        <v>485.644273870262</v>
      </c>
    </row>
    <row r="29" spans="2:15" s="97" customFormat="1" ht="21" customHeight="1" x14ac:dyDescent="0.25">
      <c r="B29" s="142" t="s">
        <v>65</v>
      </c>
      <c r="C29" s="143"/>
      <c r="D29" s="143">
        <f t="shared" ref="D29:I29" si="18">D27-D28</f>
        <v>0</v>
      </c>
      <c r="E29" s="143">
        <f t="shared" si="18"/>
        <v>310.05046709449971</v>
      </c>
      <c r="F29" s="143">
        <f t="shared" si="18"/>
        <v>343.79996183136336</v>
      </c>
      <c r="G29" s="143">
        <f t="shared" si="18"/>
        <v>380.43542025094769</v>
      </c>
      <c r="H29" s="143">
        <f t="shared" si="18"/>
        <v>421.7184026874591</v>
      </c>
      <c r="I29" s="143">
        <f t="shared" si="18"/>
        <v>467.65950859017221</v>
      </c>
      <c r="J29" s="143">
        <f t="shared" ref="J29:K29" si="19">J27-J28</f>
        <v>517.70234973377796</v>
      </c>
      <c r="K29" s="143">
        <f t="shared" si="19"/>
        <v>567.69728521569186</v>
      </c>
      <c r="L29" s="143">
        <f t="shared" ref="L29:M29" si="20">L27-L28</f>
        <v>621.17937642642005</v>
      </c>
      <c r="M29" s="143">
        <f t="shared" si="20"/>
        <v>678.22224251188049</v>
      </c>
      <c r="N29" s="143">
        <f t="shared" ref="N29:O29" si="21">N27-N28</f>
        <v>738.87031428609612</v>
      </c>
      <c r="O29" s="143">
        <f t="shared" si="21"/>
        <v>800.82767126925751</v>
      </c>
    </row>
    <row r="30" spans="2:15" s="97" customFormat="1" ht="21" customHeight="1" x14ac:dyDescent="0.25">
      <c r="B30" s="51"/>
      <c r="C30" s="99"/>
      <c r="D30" s="99"/>
      <c r="E30" s="99"/>
      <c r="F30" s="99"/>
      <c r="G30" s="99"/>
      <c r="H30" s="99"/>
      <c r="I30" s="99"/>
      <c r="J30" s="99"/>
      <c r="K30" s="99"/>
      <c r="L30" s="99"/>
      <c r="M30" s="99"/>
      <c r="N30" s="99"/>
      <c r="O30" s="99"/>
    </row>
    <row r="31" spans="2:15" s="97" customFormat="1" ht="21" customHeight="1" x14ac:dyDescent="0.25">
      <c r="B31" s="51" t="s">
        <v>66</v>
      </c>
      <c r="C31" s="99"/>
      <c r="D31" s="99">
        <f t="shared" ref="D31:I31" si="22">D26</f>
        <v>0</v>
      </c>
      <c r="E31" s="99">
        <f t="shared" si="22"/>
        <v>176.40210077973688</v>
      </c>
      <c r="F31" s="99">
        <f t="shared" si="22"/>
        <v>176.40210077973688</v>
      </c>
      <c r="G31" s="99">
        <f t="shared" si="22"/>
        <v>176.40210077973688</v>
      </c>
      <c r="H31" s="99">
        <f t="shared" si="22"/>
        <v>176.40210077973688</v>
      </c>
      <c r="I31" s="99">
        <f t="shared" si="22"/>
        <v>176.40210077973688</v>
      </c>
      <c r="J31" s="99">
        <f t="shared" ref="J31:K31" si="23">J26</f>
        <v>176.40210077973688</v>
      </c>
      <c r="K31" s="99">
        <f t="shared" si="23"/>
        <v>176.40210077973688</v>
      </c>
      <c r="L31" s="99">
        <f t="shared" ref="L31:M31" si="24">L26</f>
        <v>176.40210077973688</v>
      </c>
      <c r="M31" s="99">
        <f t="shared" si="24"/>
        <v>176.40210077973688</v>
      </c>
      <c r="N31" s="99">
        <f t="shared" ref="N31:O31" si="25">N26</f>
        <v>176.40210077973688</v>
      </c>
      <c r="O31" s="99">
        <f t="shared" si="25"/>
        <v>176.40210077973688</v>
      </c>
    </row>
    <row r="32" spans="2:15" s="97" customFormat="1" ht="21" customHeight="1" x14ac:dyDescent="0.25">
      <c r="B32" s="51" t="s">
        <v>505</v>
      </c>
      <c r="C32" s="99"/>
      <c r="D32" s="99">
        <f t="shared" ref="D32:I32" si="26">D29+D31</f>
        <v>0</v>
      </c>
      <c r="E32" s="99">
        <f t="shared" si="26"/>
        <v>486.45256787423659</v>
      </c>
      <c r="F32" s="99">
        <f t="shared" si="26"/>
        <v>520.20206261110025</v>
      </c>
      <c r="G32" s="99">
        <f t="shared" si="26"/>
        <v>556.83752103068457</v>
      </c>
      <c r="H32" s="99">
        <f t="shared" si="26"/>
        <v>598.12050346719593</v>
      </c>
      <c r="I32" s="99">
        <f t="shared" si="26"/>
        <v>644.06160936990909</v>
      </c>
      <c r="J32" s="99">
        <f t="shared" ref="J32:K32" si="27">J29+J31</f>
        <v>694.10445051351485</v>
      </c>
      <c r="K32" s="99">
        <f t="shared" si="27"/>
        <v>744.09938599542875</v>
      </c>
      <c r="L32" s="99">
        <f t="shared" ref="L32:M32" si="28">L29+L31</f>
        <v>797.58147720615693</v>
      </c>
      <c r="M32" s="99">
        <f t="shared" si="28"/>
        <v>854.62434329161738</v>
      </c>
      <c r="N32" s="99">
        <f t="shared" ref="N32:O32" si="29">N29+N31</f>
        <v>915.272415065833</v>
      </c>
      <c r="O32" s="99">
        <f t="shared" si="29"/>
        <v>977.22977204899439</v>
      </c>
    </row>
    <row r="33" spans="2:15" s="97" customFormat="1" ht="21" customHeight="1" x14ac:dyDescent="0.25">
      <c r="B33" s="51" t="s">
        <v>67</v>
      </c>
      <c r="C33" s="99"/>
      <c r="D33" s="99">
        <f>'Cash Flow'!D18</f>
        <v>0</v>
      </c>
      <c r="E33" s="99">
        <f>'Cash Flow'!E18</f>
        <v>66</v>
      </c>
      <c r="F33" s="99">
        <f>'Cash Flow'!F18</f>
        <v>132</v>
      </c>
      <c r="G33" s="99">
        <f>'Cash Flow'!G18</f>
        <v>132</v>
      </c>
      <c r="H33" s="99">
        <f>'Cash Flow'!H18</f>
        <v>220</v>
      </c>
      <c r="I33" s="99">
        <f>'Cash Flow'!I18</f>
        <v>220</v>
      </c>
      <c r="J33" s="99">
        <f>'Cash Flow'!J18</f>
        <v>220</v>
      </c>
      <c r="K33" s="99">
        <f>'Cash Flow'!K18</f>
        <v>220</v>
      </c>
      <c r="L33" s="99">
        <f>'Cash Flow'!L18</f>
        <v>264</v>
      </c>
      <c r="M33" s="99">
        <f>'Cash Flow'!M18</f>
        <v>264</v>
      </c>
      <c r="N33" s="99">
        <f>'Cash Flow'!N18</f>
        <v>308.00000000000006</v>
      </c>
      <c r="O33" s="99">
        <f>'Cash Flow'!O18</f>
        <v>154.00000000000003</v>
      </c>
    </row>
    <row r="34" spans="2:15" s="97" customFormat="1" ht="21" customHeight="1" x14ac:dyDescent="0.25">
      <c r="B34" s="51" t="s">
        <v>506</v>
      </c>
      <c r="C34" s="99"/>
      <c r="D34" s="99">
        <f t="shared" ref="D34:I34" si="30">D32-D33</f>
        <v>0</v>
      </c>
      <c r="E34" s="99">
        <f t="shared" si="30"/>
        <v>420.45256787423659</v>
      </c>
      <c r="F34" s="99">
        <f t="shared" si="30"/>
        <v>388.20206261110025</v>
      </c>
      <c r="G34" s="99">
        <f t="shared" si="30"/>
        <v>424.83752103068457</v>
      </c>
      <c r="H34" s="99">
        <f t="shared" si="30"/>
        <v>378.12050346719593</v>
      </c>
      <c r="I34" s="99">
        <f t="shared" si="30"/>
        <v>424.06160936990909</v>
      </c>
      <c r="J34" s="99">
        <f t="shared" ref="J34:K34" si="31">J32-J33</f>
        <v>474.10445051351485</v>
      </c>
      <c r="K34" s="99">
        <f t="shared" si="31"/>
        <v>524.09938599542875</v>
      </c>
      <c r="L34" s="99">
        <f t="shared" ref="L34:M34" si="32">L32-L33</f>
        <v>533.58147720615693</v>
      </c>
      <c r="M34" s="99">
        <f t="shared" si="32"/>
        <v>590.62434329161738</v>
      </c>
      <c r="N34" s="99">
        <f t="shared" ref="N34:O34" si="33">N32-N33</f>
        <v>607.272415065833</v>
      </c>
      <c r="O34" s="99">
        <f t="shared" si="33"/>
        <v>823.22977204899439</v>
      </c>
    </row>
    <row r="35" spans="2:15" s="64" customFormat="1" ht="18.75" customHeight="1" x14ac:dyDescent="0.25">
      <c r="B35" s="145" t="s">
        <v>68</v>
      </c>
      <c r="C35" s="144"/>
      <c r="D35" s="144">
        <f>C35+D34</f>
        <v>0</v>
      </c>
      <c r="E35" s="144">
        <f t="shared" ref="E35:O35" si="34">D35+E34</f>
        <v>420.45256787423659</v>
      </c>
      <c r="F35" s="144">
        <f t="shared" si="34"/>
        <v>808.65463048533684</v>
      </c>
      <c r="G35" s="144">
        <f t="shared" si="34"/>
        <v>1233.4921515160213</v>
      </c>
      <c r="H35" s="144">
        <f t="shared" si="34"/>
        <v>1611.6126549832172</v>
      </c>
      <c r="I35" s="144">
        <f t="shared" si="34"/>
        <v>2035.6742643531263</v>
      </c>
      <c r="J35" s="144">
        <f t="shared" si="34"/>
        <v>2509.7787148666412</v>
      </c>
      <c r="K35" s="144">
        <f t="shared" si="34"/>
        <v>3033.8781008620699</v>
      </c>
      <c r="L35" s="144">
        <f t="shared" si="34"/>
        <v>3567.4595780682266</v>
      </c>
      <c r="M35" s="144">
        <f t="shared" si="34"/>
        <v>4158.0839213598438</v>
      </c>
      <c r="N35" s="144">
        <f t="shared" si="34"/>
        <v>4765.356336425677</v>
      </c>
      <c r="O35" s="144">
        <f t="shared" si="34"/>
        <v>5588.5861084746712</v>
      </c>
    </row>
    <row r="36" spans="2:15" s="97" customFormat="1" ht="21" customHeight="1" x14ac:dyDescent="0.25">
      <c r="B36" s="51"/>
      <c r="C36" s="99"/>
      <c r="D36" s="99"/>
      <c r="E36" s="99"/>
      <c r="F36" s="99"/>
      <c r="G36" s="99"/>
      <c r="H36" s="99"/>
      <c r="I36" s="99"/>
      <c r="J36" s="99"/>
      <c r="K36" s="99"/>
      <c r="L36" s="99"/>
      <c r="M36" s="99"/>
      <c r="N36" s="99"/>
      <c r="O36" s="99"/>
    </row>
    <row r="37" spans="2:15" x14ac:dyDescent="0.25">
      <c r="C37" s="130"/>
      <c r="D37" s="130" t="e">
        <f t="shared" ref="D37:N37" si="35">D23/D10</f>
        <v>#DIV/0!</v>
      </c>
      <c r="E37" s="130">
        <f t="shared" si="35"/>
        <v>0.56021649548708374</v>
      </c>
      <c r="F37" s="130">
        <f t="shared" si="35"/>
        <v>0.56032498332666403</v>
      </c>
      <c r="G37" s="130">
        <f t="shared" si="35"/>
        <v>0.56042830507864527</v>
      </c>
      <c r="H37" s="130">
        <f t="shared" si="35"/>
        <v>0.56052670674719873</v>
      </c>
      <c r="I37" s="130">
        <f t="shared" si="35"/>
        <v>0.56059481719173487</v>
      </c>
      <c r="J37" s="130">
        <f t="shared" si="35"/>
        <v>0.56222649275346548</v>
      </c>
      <c r="K37" s="130">
        <f t="shared" si="35"/>
        <v>0.56223926643750388</v>
      </c>
      <c r="L37" s="130">
        <f t="shared" si="35"/>
        <v>0.56225143185087356</v>
      </c>
      <c r="M37" s="130">
        <f t="shared" si="35"/>
        <v>0.56226301795884481</v>
      </c>
      <c r="N37" s="130">
        <f t="shared" si="35"/>
        <v>0.56225198357030071</v>
      </c>
      <c r="O37" s="130">
        <f t="shared" ref="O37" si="36">O23/O10</f>
        <v>0.56224042373468319</v>
      </c>
    </row>
    <row r="38" spans="2:15" x14ac:dyDescent="0.25">
      <c r="C38" s="130"/>
      <c r="D38" s="130" t="e">
        <f t="shared" ref="D38:N38" si="37">D29/D10</f>
        <v>#DIV/0!</v>
      </c>
      <c r="E38" s="130">
        <f t="shared" si="37"/>
        <v>0.19299748963243057</v>
      </c>
      <c r="F38" s="130">
        <f t="shared" si="37"/>
        <v>0.20381483664954181</v>
      </c>
      <c r="G38" s="130">
        <f t="shared" si="37"/>
        <v>0.21479373844829508</v>
      </c>
      <c r="H38" s="130">
        <f t="shared" si="37"/>
        <v>0.22676390428513205</v>
      </c>
      <c r="I38" s="130">
        <f t="shared" si="37"/>
        <v>0.23949245880926859</v>
      </c>
      <c r="J38" s="130">
        <f t="shared" si="37"/>
        <v>0.25249507467078769</v>
      </c>
      <c r="K38" s="130">
        <f t="shared" si="37"/>
        <v>0.26369402729957303</v>
      </c>
      <c r="L38" s="130">
        <f t="shared" si="37"/>
        <v>0.27479650512799719</v>
      </c>
      <c r="M38" s="130">
        <f t="shared" si="37"/>
        <v>0.28574385928129886</v>
      </c>
      <c r="N38" s="130">
        <f t="shared" si="37"/>
        <v>0.29647207750853632</v>
      </c>
      <c r="O38" s="130">
        <f t="shared" ref="O38" si="38">O29/O10</f>
        <v>0.30603095001206315</v>
      </c>
    </row>
    <row r="42" spans="2:15" x14ac:dyDescent="0.25">
      <c r="B42" s="276" t="s">
        <v>802</v>
      </c>
      <c r="C42" s="131"/>
      <c r="D42" s="131">
        <f>D10</f>
        <v>0</v>
      </c>
      <c r="E42" s="131">
        <f t="shared" ref="E42:O42" si="39">E10</f>
        <v>1606.5</v>
      </c>
      <c r="F42" s="131">
        <f t="shared" si="39"/>
        <v>1686.825</v>
      </c>
      <c r="G42" s="131">
        <f t="shared" si="39"/>
        <v>1771.1662500000002</v>
      </c>
      <c r="H42" s="131">
        <f t="shared" si="39"/>
        <v>1859.7245625</v>
      </c>
      <c r="I42" s="131">
        <f t="shared" si="39"/>
        <v>1952.7107906250003</v>
      </c>
      <c r="J42" s="131">
        <f t="shared" si="39"/>
        <v>2050.3463301562506</v>
      </c>
      <c r="K42" s="131">
        <f t="shared" si="39"/>
        <v>2152.8636466640633</v>
      </c>
      <c r="L42" s="131">
        <f t="shared" si="39"/>
        <v>2260.5068289972664</v>
      </c>
      <c r="M42" s="131">
        <f t="shared" si="39"/>
        <v>2373.5321704471298</v>
      </c>
      <c r="N42" s="131">
        <f t="shared" si="39"/>
        <v>2492.208778969486</v>
      </c>
      <c r="O42" s="131">
        <f t="shared" si="39"/>
        <v>2616.8192179179605</v>
      </c>
    </row>
    <row r="43" spans="2:15" x14ac:dyDescent="0.25">
      <c r="B43" s="276" t="s">
        <v>801</v>
      </c>
      <c r="D43" s="131">
        <f>D23</f>
        <v>0</v>
      </c>
      <c r="E43" s="131">
        <f t="shared" ref="E43:O43" si="40">E23</f>
        <v>899.98779999999999</v>
      </c>
      <c r="F43" s="131">
        <f t="shared" si="40"/>
        <v>945.17019000000005</v>
      </c>
      <c r="G43" s="131">
        <f t="shared" si="40"/>
        <v>992.61169950000021</v>
      </c>
      <c r="H43" s="131">
        <f t="shared" si="40"/>
        <v>1042.4252844749999</v>
      </c>
      <c r="I43" s="131">
        <f t="shared" si="40"/>
        <v>1094.6795486987501</v>
      </c>
      <c r="J43" s="131">
        <f t="shared" si="40"/>
        <v>1152.7590261336877</v>
      </c>
      <c r="K43" s="131">
        <f t="shared" si="40"/>
        <v>1210.4244774403724</v>
      </c>
      <c r="L43" s="131">
        <f t="shared" si="40"/>
        <v>1270.9732013123908</v>
      </c>
      <c r="M43" s="131">
        <f t="shared" si="40"/>
        <v>1334.5493613780104</v>
      </c>
      <c r="N43" s="131">
        <f t="shared" si="40"/>
        <v>1401.2493294469107</v>
      </c>
      <c r="O43" s="131">
        <f t="shared" si="40"/>
        <v>1471.2815459192564</v>
      </c>
    </row>
    <row r="44" spans="2:15" x14ac:dyDescent="0.25">
      <c r="B44" s="276" t="s">
        <v>731</v>
      </c>
      <c r="D44" s="131">
        <f>D43-D26</f>
        <v>0</v>
      </c>
      <c r="E44" s="131">
        <f t="shared" ref="E44:O44" si="41">E43-E26</f>
        <v>723.58569922026311</v>
      </c>
      <c r="F44" s="131">
        <f t="shared" si="41"/>
        <v>768.76808922026316</v>
      </c>
      <c r="G44" s="131">
        <f t="shared" si="41"/>
        <v>816.20959872026333</v>
      </c>
      <c r="H44" s="131">
        <f t="shared" si="41"/>
        <v>866.02318369526301</v>
      </c>
      <c r="I44" s="131">
        <f t="shared" si="41"/>
        <v>918.27744791901318</v>
      </c>
      <c r="J44" s="131">
        <f t="shared" si="41"/>
        <v>976.35692535395083</v>
      </c>
      <c r="K44" s="131">
        <f t="shared" si="41"/>
        <v>1034.0223766606355</v>
      </c>
      <c r="L44" s="131">
        <f t="shared" si="41"/>
        <v>1094.5711005326539</v>
      </c>
      <c r="M44" s="131">
        <f t="shared" si="41"/>
        <v>1158.1472605982735</v>
      </c>
      <c r="N44" s="131">
        <f t="shared" si="41"/>
        <v>1224.8472286671738</v>
      </c>
      <c r="O44" s="131">
        <f t="shared" si="41"/>
        <v>1294.8794451395195</v>
      </c>
    </row>
    <row r="45" spans="2:15" x14ac:dyDescent="0.25">
      <c r="B45" s="276" t="s">
        <v>65</v>
      </c>
      <c r="D45" s="131">
        <f>D29</f>
        <v>0</v>
      </c>
      <c r="E45" s="131">
        <f t="shared" ref="E45:O45" si="42">E29</f>
        <v>310.05046709449971</v>
      </c>
      <c r="F45" s="131">
        <f t="shared" si="42"/>
        <v>343.79996183136336</v>
      </c>
      <c r="G45" s="131">
        <f t="shared" si="42"/>
        <v>380.43542025094769</v>
      </c>
      <c r="H45" s="131">
        <f t="shared" si="42"/>
        <v>421.7184026874591</v>
      </c>
      <c r="I45" s="131">
        <f t="shared" si="42"/>
        <v>467.65950859017221</v>
      </c>
      <c r="J45" s="131">
        <f t="shared" si="42"/>
        <v>517.70234973377796</v>
      </c>
      <c r="K45" s="131">
        <f t="shared" si="42"/>
        <v>567.69728521569186</v>
      </c>
      <c r="L45" s="131">
        <f t="shared" si="42"/>
        <v>621.17937642642005</v>
      </c>
      <c r="M45" s="131">
        <f t="shared" si="42"/>
        <v>678.22224251188049</v>
      </c>
      <c r="N45" s="131">
        <f t="shared" si="42"/>
        <v>738.87031428609612</v>
      </c>
      <c r="O45" s="131">
        <f t="shared" si="42"/>
        <v>800.82767126925751</v>
      </c>
    </row>
    <row r="46" spans="2:15" x14ac:dyDescent="0.25">
      <c r="B46" s="276"/>
    </row>
    <row r="47" spans="2:15" x14ac:dyDescent="0.25">
      <c r="B47" s="276" t="s">
        <v>803</v>
      </c>
      <c r="D47" s="277" t="e">
        <f>D43/D42</f>
        <v>#DIV/0!</v>
      </c>
      <c r="E47" s="277">
        <f t="shared" ref="E47:O47" si="43">E43/E42</f>
        <v>0.56021649548708374</v>
      </c>
      <c r="F47" s="277">
        <f t="shared" si="43"/>
        <v>0.56032498332666403</v>
      </c>
      <c r="G47" s="277">
        <f t="shared" si="43"/>
        <v>0.56042830507864527</v>
      </c>
      <c r="H47" s="277">
        <f t="shared" si="43"/>
        <v>0.56052670674719873</v>
      </c>
      <c r="I47" s="277">
        <f t="shared" si="43"/>
        <v>0.56059481719173487</v>
      </c>
      <c r="J47" s="277">
        <f t="shared" si="43"/>
        <v>0.56222649275346548</v>
      </c>
      <c r="K47" s="277">
        <f t="shared" si="43"/>
        <v>0.56223926643750388</v>
      </c>
      <c r="L47" s="277">
        <f t="shared" si="43"/>
        <v>0.56225143185087356</v>
      </c>
      <c r="M47" s="277">
        <f t="shared" si="43"/>
        <v>0.56226301795884481</v>
      </c>
      <c r="N47" s="277">
        <f t="shared" si="43"/>
        <v>0.56225198357030071</v>
      </c>
      <c r="O47" s="277">
        <f t="shared" si="43"/>
        <v>0.56224042373468319</v>
      </c>
    </row>
    <row r="48" spans="2:15" x14ac:dyDescent="0.25">
      <c r="B48" s="276" t="s">
        <v>807</v>
      </c>
      <c r="D48" s="369">
        <f>AVERAGE(E47:O47)</f>
        <v>0.56141490219427248</v>
      </c>
      <c r="E48" s="369"/>
      <c r="F48" s="369"/>
      <c r="G48" s="369"/>
      <c r="H48" s="369"/>
      <c r="I48" s="369"/>
      <c r="J48" s="369"/>
      <c r="K48" s="369"/>
      <c r="L48" s="369"/>
      <c r="M48" s="369"/>
      <c r="N48" s="369"/>
      <c r="O48" s="369"/>
    </row>
    <row r="49" spans="2:15" x14ac:dyDescent="0.25">
      <c r="B49" s="276" t="s">
        <v>804</v>
      </c>
      <c r="D49" s="277" t="e">
        <f>D44/D42</f>
        <v>#DIV/0!</v>
      </c>
      <c r="E49" s="277">
        <f t="shared" ref="E49:O49" si="44">E44/E42</f>
        <v>0.45041126624355005</v>
      </c>
      <c r="F49" s="277">
        <f t="shared" si="44"/>
        <v>0.45574857452329859</v>
      </c>
      <c r="G49" s="277">
        <f t="shared" si="44"/>
        <v>0.46083172526591631</v>
      </c>
      <c r="H49" s="277">
        <f t="shared" si="44"/>
        <v>0.46567282121126635</v>
      </c>
      <c r="I49" s="277">
        <f t="shared" si="44"/>
        <v>0.47025778334798973</v>
      </c>
      <c r="J49" s="277">
        <f t="shared" si="44"/>
        <v>0.47619122242608919</v>
      </c>
      <c r="K49" s="277">
        <f t="shared" si="44"/>
        <v>0.48030091374476452</v>
      </c>
      <c r="L49" s="277">
        <f t="shared" si="44"/>
        <v>0.4842149054768361</v>
      </c>
      <c r="M49" s="277">
        <f t="shared" si="44"/>
        <v>0.48794251665023775</v>
      </c>
      <c r="N49" s="277">
        <f t="shared" si="44"/>
        <v>0.4914705537525797</v>
      </c>
      <c r="O49" s="277">
        <f t="shared" si="44"/>
        <v>0.4948295381939965</v>
      </c>
    </row>
    <row r="50" spans="2:15" x14ac:dyDescent="0.25">
      <c r="B50" s="276" t="s">
        <v>807</v>
      </c>
      <c r="D50" s="369">
        <f>AVERAGE(E49:O49)</f>
        <v>0.47435198371241127</v>
      </c>
      <c r="E50" s="369"/>
      <c r="F50" s="369"/>
      <c r="G50" s="369"/>
      <c r="H50" s="369"/>
      <c r="I50" s="369"/>
      <c r="J50" s="369"/>
      <c r="K50" s="369"/>
      <c r="L50" s="369"/>
      <c r="M50" s="369"/>
      <c r="N50" s="369"/>
      <c r="O50" s="369"/>
    </row>
    <row r="51" spans="2:15" x14ac:dyDescent="0.25">
      <c r="B51" s="276" t="s">
        <v>805</v>
      </c>
      <c r="D51" s="277" t="e">
        <f>D45/D42</f>
        <v>#DIV/0!</v>
      </c>
      <c r="E51" s="277">
        <f t="shared" ref="E51:O51" si="45">E45/E42</f>
        <v>0.19299748963243057</v>
      </c>
      <c r="F51" s="277">
        <f t="shared" si="45"/>
        <v>0.20381483664954181</v>
      </c>
      <c r="G51" s="277">
        <f t="shared" si="45"/>
        <v>0.21479373844829508</v>
      </c>
      <c r="H51" s="277">
        <f t="shared" si="45"/>
        <v>0.22676390428513205</v>
      </c>
      <c r="I51" s="277">
        <f t="shared" si="45"/>
        <v>0.23949245880926859</v>
      </c>
      <c r="J51" s="277">
        <f t="shared" si="45"/>
        <v>0.25249507467078769</v>
      </c>
      <c r="K51" s="277">
        <f t="shared" si="45"/>
        <v>0.26369402729957303</v>
      </c>
      <c r="L51" s="277">
        <f t="shared" si="45"/>
        <v>0.27479650512799719</v>
      </c>
      <c r="M51" s="277">
        <f t="shared" si="45"/>
        <v>0.28574385928129886</v>
      </c>
      <c r="N51" s="277">
        <f t="shared" si="45"/>
        <v>0.29647207750853632</v>
      </c>
      <c r="O51" s="277">
        <f t="shared" si="45"/>
        <v>0.30603095001206315</v>
      </c>
    </row>
    <row r="52" spans="2:15" x14ac:dyDescent="0.25">
      <c r="B52" s="276" t="s">
        <v>807</v>
      </c>
      <c r="D52" s="369">
        <f>AVERAGE(E51:O51)</f>
        <v>0.25064499288408398</v>
      </c>
      <c r="E52" s="369"/>
      <c r="F52" s="369"/>
      <c r="G52" s="369"/>
      <c r="H52" s="369"/>
      <c r="I52" s="369"/>
      <c r="J52" s="369"/>
      <c r="K52" s="369"/>
      <c r="L52" s="369"/>
      <c r="M52" s="369"/>
      <c r="N52" s="369"/>
      <c r="O52" s="369"/>
    </row>
    <row r="53" spans="2:15" x14ac:dyDescent="0.25">
      <c r="B53" s="276" t="s">
        <v>806</v>
      </c>
      <c r="D53" s="278"/>
      <c r="E53" s="277" t="e">
        <f>E42/D42-1</f>
        <v>#DIV/0!</v>
      </c>
      <c r="F53" s="277">
        <f t="shared" ref="F53:O53" si="46">F42/E42-1</f>
        <v>5.0000000000000044E-2</v>
      </c>
      <c r="G53" s="277">
        <f t="shared" si="46"/>
        <v>5.0000000000000044E-2</v>
      </c>
      <c r="H53" s="277">
        <f t="shared" si="46"/>
        <v>4.9999999999999822E-2</v>
      </c>
      <c r="I53" s="277">
        <f t="shared" si="46"/>
        <v>5.0000000000000044E-2</v>
      </c>
      <c r="J53" s="277">
        <f t="shared" si="46"/>
        <v>5.0000000000000044E-2</v>
      </c>
      <c r="K53" s="277">
        <f t="shared" si="46"/>
        <v>5.0000000000000044E-2</v>
      </c>
      <c r="L53" s="277">
        <f t="shared" si="46"/>
        <v>5.0000000000000044E-2</v>
      </c>
      <c r="M53" s="277">
        <f t="shared" si="46"/>
        <v>5.0000000000000044E-2</v>
      </c>
      <c r="N53" s="277">
        <f t="shared" si="46"/>
        <v>4.9999999999999822E-2</v>
      </c>
      <c r="O53" s="277">
        <f t="shared" si="46"/>
        <v>5.0000000000000044E-2</v>
      </c>
    </row>
    <row r="54" spans="2:15" x14ac:dyDescent="0.25">
      <c r="B54" s="276" t="s">
        <v>807</v>
      </c>
      <c r="D54" s="369">
        <f>AVERAGE(F53:O53)</f>
        <v>0.05</v>
      </c>
      <c r="E54" s="369"/>
      <c r="F54" s="369"/>
      <c r="G54" s="369"/>
      <c r="H54" s="369"/>
      <c r="I54" s="369"/>
      <c r="J54" s="369"/>
      <c r="K54" s="369"/>
      <c r="L54" s="369"/>
      <c r="M54" s="369"/>
      <c r="N54" s="369"/>
      <c r="O54" s="369"/>
    </row>
  </sheetData>
  <customSheetViews>
    <customSheetView guid="{22475485-DA09-46DB-978D-BB94CE1E5597}" hiddenRows="1">
      <pane xSplit="1" ySplit="4" topLeftCell="B5" activePane="bottomRight" state="frozen"/>
      <selection pane="bottomRight" activeCell="D3" sqref="D3"/>
      <pageMargins left="0.7" right="0.7" top="0.75" bottom="0.75" header="0.3" footer="0.3"/>
      <pageSetup paperSize="9" orientation="landscape" verticalDpi="300" r:id="rId1"/>
    </customSheetView>
  </customSheetViews>
  <mergeCells count="5">
    <mergeCell ref="B3:N3"/>
    <mergeCell ref="D48:O48"/>
    <mergeCell ref="D50:O50"/>
    <mergeCell ref="D52:O52"/>
    <mergeCell ref="D54:O54"/>
  </mergeCells>
  <dataValidations count="1">
    <dataValidation type="list" allowBlank="1" showInputMessage="1" showErrorMessage="1" sqref="A10 A12">
      <formula1>"0%,10%"</formula1>
    </dataValidation>
  </dataValidations>
  <pageMargins left="0.7" right="0.7" top="0.75" bottom="0.75" header="0.3" footer="0.3"/>
  <pageSetup paperSize="9" orientation="landscape"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249977111117893"/>
  </sheetPr>
  <dimension ref="B1:P42"/>
  <sheetViews>
    <sheetView showGridLines="0" zoomScale="99" zoomScaleNormal="99" workbookViewId="0">
      <pane xSplit="2" ySplit="4" topLeftCell="C20" activePane="bottomRight" state="frozen"/>
      <selection pane="topRight" activeCell="C1" sqref="C1"/>
      <selection pane="bottomLeft" activeCell="A5" sqref="A5"/>
      <selection pane="bottomRight" activeCell="C21" sqref="C21"/>
    </sheetView>
  </sheetViews>
  <sheetFormatPr defaultColWidth="32.28515625" defaultRowHeight="15" x14ac:dyDescent="0.25"/>
  <cols>
    <col min="1" max="1" width="4.85546875" style="96" customWidth="1"/>
    <col min="2" max="2" width="40.42578125" style="51" customWidth="1"/>
    <col min="3" max="6" width="12.7109375" style="96" customWidth="1"/>
    <col min="7" max="15" width="12.7109375" style="44" customWidth="1"/>
    <col min="16" max="16384" width="32.28515625" style="96"/>
  </cols>
  <sheetData>
    <row r="1" spans="2:15" ht="15.75" customHeight="1" x14ac:dyDescent="0.25"/>
    <row r="2" spans="2:15" s="97" customFormat="1" ht="19.5" customHeight="1" x14ac:dyDescent="0.25">
      <c r="B2" s="355" t="s">
        <v>500</v>
      </c>
      <c r="C2" s="355"/>
      <c r="D2" s="355"/>
      <c r="E2" s="355"/>
      <c r="F2" s="355"/>
      <c r="G2" s="355"/>
      <c r="H2" s="355"/>
      <c r="I2" s="355"/>
      <c r="J2" s="355"/>
      <c r="K2" s="355"/>
      <c r="L2" s="355"/>
      <c r="M2" s="355"/>
      <c r="N2" s="150"/>
      <c r="O2" s="150"/>
    </row>
    <row r="3" spans="2:15" s="58" customFormat="1" ht="21" customHeight="1" x14ac:dyDescent="0.25">
      <c r="B3" s="135" t="s">
        <v>14</v>
      </c>
      <c r="C3" s="339">
        <v>2024</v>
      </c>
      <c r="D3" s="339">
        <f>C3+1</f>
        <v>2025</v>
      </c>
      <c r="E3" s="339">
        <f t="shared" ref="E3:O3" si="0">D3+1</f>
        <v>2026</v>
      </c>
      <c r="F3" s="339">
        <f t="shared" si="0"/>
        <v>2027</v>
      </c>
      <c r="G3" s="339">
        <f t="shared" si="0"/>
        <v>2028</v>
      </c>
      <c r="H3" s="339">
        <f t="shared" si="0"/>
        <v>2029</v>
      </c>
      <c r="I3" s="339">
        <f t="shared" si="0"/>
        <v>2030</v>
      </c>
      <c r="J3" s="339">
        <f t="shared" si="0"/>
        <v>2031</v>
      </c>
      <c r="K3" s="339">
        <f t="shared" si="0"/>
        <v>2032</v>
      </c>
      <c r="L3" s="339">
        <f t="shared" si="0"/>
        <v>2033</v>
      </c>
      <c r="M3" s="339">
        <f t="shared" si="0"/>
        <v>2034</v>
      </c>
      <c r="N3" s="339">
        <f t="shared" si="0"/>
        <v>2035</v>
      </c>
      <c r="O3" s="339">
        <f t="shared" si="0"/>
        <v>2036</v>
      </c>
    </row>
    <row r="4" spans="2:15" s="58" customFormat="1" ht="21" customHeight="1" x14ac:dyDescent="0.25">
      <c r="B4" s="120" t="s">
        <v>445</v>
      </c>
      <c r="C4" s="71" t="s">
        <v>645</v>
      </c>
      <c r="D4" s="72" t="s">
        <v>645</v>
      </c>
      <c r="E4" s="71" t="s">
        <v>646</v>
      </c>
      <c r="F4" s="71" t="s">
        <v>646</v>
      </c>
      <c r="G4" s="71" t="s">
        <v>646</v>
      </c>
      <c r="H4" s="71" t="s">
        <v>646</v>
      </c>
      <c r="I4" s="71" t="s">
        <v>646</v>
      </c>
      <c r="J4" s="71" t="s">
        <v>646</v>
      </c>
      <c r="K4" s="71" t="s">
        <v>646</v>
      </c>
      <c r="L4" s="71" t="s">
        <v>646</v>
      </c>
      <c r="M4" s="71" t="s">
        <v>646</v>
      </c>
      <c r="N4" s="71" t="s">
        <v>646</v>
      </c>
      <c r="O4" s="71" t="s">
        <v>646</v>
      </c>
    </row>
    <row r="5" spans="2:15" s="97" customFormat="1" ht="21" customHeight="1" x14ac:dyDescent="0.25">
      <c r="B5" s="114" t="s">
        <v>42</v>
      </c>
      <c r="G5" s="44"/>
      <c r="H5" s="44"/>
      <c r="I5" s="44"/>
      <c r="J5" s="44"/>
      <c r="K5" s="44"/>
      <c r="L5" s="44"/>
      <c r="M5" s="44"/>
      <c r="N5" s="44"/>
      <c r="O5" s="44"/>
    </row>
    <row r="6" spans="2:15" s="97" customFormat="1" ht="21" customHeight="1" x14ac:dyDescent="0.25">
      <c r="B6" s="51" t="s">
        <v>698</v>
      </c>
      <c r="C6" s="107">
        <f>'Cash Flow'!C7</f>
        <v>58.913208384984003</v>
      </c>
      <c r="D6" s="107">
        <f>'CoP-MoF'!D16/A</f>
        <v>500</v>
      </c>
      <c r="E6" s="107">
        <f>D6</f>
        <v>500</v>
      </c>
      <c r="F6" s="107">
        <f>E6+'Cash Flow'!F7</f>
        <v>500</v>
      </c>
      <c r="G6" s="107">
        <f>F6+'Cash Flow'!G7</f>
        <v>500</v>
      </c>
      <c r="H6" s="107">
        <f>G6+'Cash Flow'!H7</f>
        <v>500</v>
      </c>
      <c r="I6" s="107">
        <f>H6+'Cash Flow'!I7</f>
        <v>500</v>
      </c>
      <c r="J6" s="107">
        <f>I6+'Cash Flow'!J7</f>
        <v>500</v>
      </c>
      <c r="K6" s="107">
        <f>J6+'Cash Flow'!K7</f>
        <v>500</v>
      </c>
      <c r="L6" s="107">
        <f>K6+'Cash Flow'!L7</f>
        <v>500</v>
      </c>
      <c r="M6" s="107">
        <f>L6+'Cash Flow'!M7</f>
        <v>500</v>
      </c>
      <c r="N6" s="107">
        <f>M6+'Cash Flow'!N7</f>
        <v>500</v>
      </c>
      <c r="O6" s="107">
        <f>N6+'Cash Flow'!O7</f>
        <v>500</v>
      </c>
    </row>
    <row r="7" spans="2:15" s="97" customFormat="1" ht="21" customHeight="1" x14ac:dyDescent="0.25">
      <c r="B7" s="51" t="s">
        <v>488</v>
      </c>
      <c r="C7" s="107">
        <f>'Cash Flow'!C6+'Cash Flow'!C13</f>
        <v>0</v>
      </c>
      <c r="D7" s="107">
        <f>C7+'Cash Flow'!D6+'Cash Flow'!D13</f>
        <v>0</v>
      </c>
      <c r="E7" s="107">
        <f>D7+'Cash Flow'!E6+'Cash Flow'!E13</f>
        <v>310.05046709449971</v>
      </c>
      <c r="F7" s="107">
        <f>E7+'Cash Flow'!F6+'Cash Flow'!F13</f>
        <v>653.85042892586307</v>
      </c>
      <c r="G7" s="107">
        <f>F7+'Cash Flow'!G6+'Cash Flow'!G13</f>
        <v>1034.2858491768106</v>
      </c>
      <c r="H7" s="107">
        <f>G7+'Cash Flow'!H6+'Cash Flow'!H13</f>
        <v>1456.0042518642697</v>
      </c>
      <c r="I7" s="107">
        <f>H7+'Cash Flow'!I6+'Cash Flow'!I13</f>
        <v>1923.6637604544419</v>
      </c>
      <c r="J7" s="107">
        <f>I7+'Cash Flow'!J6+'Cash Flow'!J13</f>
        <v>2441.3661101882199</v>
      </c>
      <c r="K7" s="107">
        <f>J7+'Cash Flow'!K6+'Cash Flow'!K13</f>
        <v>3009.0633954039117</v>
      </c>
      <c r="L7" s="107">
        <f>K7+'Cash Flow'!L6+'Cash Flow'!L13</f>
        <v>3630.2427718303315</v>
      </c>
      <c r="M7" s="107">
        <f>L7+'Cash Flow'!M6+'Cash Flow'!M13</f>
        <v>4308.4650143422123</v>
      </c>
      <c r="N7" s="107">
        <f>M7+'Cash Flow'!N6+'Cash Flow'!N13</f>
        <v>5047.3353286283082</v>
      </c>
      <c r="O7" s="107">
        <f>N7+'Cash Flow'!O6+'Cash Flow'!O13</f>
        <v>5848.1629998975659</v>
      </c>
    </row>
    <row r="8" spans="2:15" s="97" customFormat="1" ht="21" customHeight="1" x14ac:dyDescent="0.25">
      <c r="B8" s="51" t="s">
        <v>487</v>
      </c>
      <c r="C8" s="107">
        <f>'Cash Flow'!C8-C12</f>
        <v>0</v>
      </c>
      <c r="D8" s="107">
        <f>C8+'Cash Flow'!D8-D12</f>
        <v>2134</v>
      </c>
      <c r="E8" s="107">
        <f>D8+'Cash Flow'!E8-E12</f>
        <v>2002</v>
      </c>
      <c r="F8" s="107">
        <f>E8+'Cash Flow'!F8-F12</f>
        <v>1870</v>
      </c>
      <c r="G8" s="107">
        <f>F8+'Cash Flow'!G8-G12</f>
        <v>1650</v>
      </c>
      <c r="H8" s="107">
        <f>G8+'Cash Flow'!H8-H12</f>
        <v>1430</v>
      </c>
      <c r="I8" s="107">
        <f>H8+'Cash Flow'!I8-I12</f>
        <v>1210</v>
      </c>
      <c r="J8" s="107">
        <f>I8+'Cash Flow'!J8-J12</f>
        <v>990</v>
      </c>
      <c r="K8" s="107">
        <f>J8+'Cash Flow'!K8-K12</f>
        <v>726</v>
      </c>
      <c r="L8" s="107">
        <f>K8+'Cash Flow'!L8-L12</f>
        <v>462</v>
      </c>
      <c r="M8" s="107">
        <f>L8+'Cash Flow'!M8-M12</f>
        <v>153.99999999999994</v>
      </c>
      <c r="N8" s="107">
        <f>M8+'Cash Flow'!N8-N12</f>
        <v>0</v>
      </c>
      <c r="O8" s="107">
        <f>N8+'Cash Flow'!O8-O12</f>
        <v>0</v>
      </c>
    </row>
    <row r="9" spans="2:15" s="97" customFormat="1" ht="21" customHeight="1" x14ac:dyDescent="0.25">
      <c r="B9" s="51" t="s">
        <v>910</v>
      </c>
      <c r="C9" s="107">
        <v>0</v>
      </c>
      <c r="D9" s="107">
        <v>500</v>
      </c>
      <c r="E9" s="107">
        <v>500</v>
      </c>
      <c r="F9" s="107">
        <f t="shared" ref="F9:O9" si="1">E9</f>
        <v>500</v>
      </c>
      <c r="G9" s="107">
        <f t="shared" si="1"/>
        <v>500</v>
      </c>
      <c r="H9" s="107">
        <f t="shared" si="1"/>
        <v>500</v>
      </c>
      <c r="I9" s="107">
        <f t="shared" si="1"/>
        <v>500</v>
      </c>
      <c r="J9" s="107">
        <f t="shared" si="1"/>
        <v>500</v>
      </c>
      <c r="K9" s="107">
        <f t="shared" si="1"/>
        <v>500</v>
      </c>
      <c r="L9" s="107">
        <f t="shared" si="1"/>
        <v>500</v>
      </c>
      <c r="M9" s="107">
        <f t="shared" si="1"/>
        <v>500</v>
      </c>
      <c r="N9" s="107">
        <f t="shared" si="1"/>
        <v>500</v>
      </c>
      <c r="O9" s="107">
        <f t="shared" si="1"/>
        <v>500</v>
      </c>
    </row>
    <row r="10" spans="2:15" s="97" customFormat="1" ht="21" customHeight="1" x14ac:dyDescent="0.25">
      <c r="B10" s="114" t="s">
        <v>460</v>
      </c>
      <c r="C10" s="107"/>
      <c r="D10" s="107"/>
      <c r="E10" s="107"/>
      <c r="F10" s="107"/>
      <c r="G10" s="107"/>
      <c r="H10" s="107"/>
      <c r="I10" s="107"/>
      <c r="J10" s="107"/>
      <c r="K10" s="107"/>
      <c r="L10" s="107"/>
      <c r="M10" s="107"/>
      <c r="N10" s="107"/>
      <c r="O10" s="107"/>
    </row>
    <row r="11" spans="2:15" s="97" customFormat="1" ht="21" customHeight="1" x14ac:dyDescent="0.25">
      <c r="B11" s="51" t="s">
        <v>454</v>
      </c>
      <c r="C11" s="107">
        <f>WC!C26</f>
        <v>0</v>
      </c>
      <c r="D11" s="107">
        <f>WC!D26</f>
        <v>0</v>
      </c>
      <c r="E11" s="107">
        <f>WC!E26</f>
        <v>13.065044</v>
      </c>
      <c r="F11" s="107">
        <f>WC!F26</f>
        <v>13.718296200000001</v>
      </c>
      <c r="G11" s="107">
        <f>WC!G26</f>
        <v>14.404211010000001</v>
      </c>
      <c r="H11" s="107">
        <f>WC!H26</f>
        <v>15.124421560500002</v>
      </c>
      <c r="I11" s="107">
        <f>WC!I26</f>
        <v>15.880642638525005</v>
      </c>
      <c r="J11" s="107">
        <f>WC!J26</f>
        <v>16.674674770451254</v>
      </c>
      <c r="K11" s="107">
        <f>WC!K26</f>
        <v>17.508408508973819</v>
      </c>
      <c r="L11" s="107">
        <f>WC!L26</f>
        <v>18.38382893442251</v>
      </c>
      <c r="M11" s="107">
        <f>WC!M26</f>
        <v>19.303020381143632</v>
      </c>
      <c r="N11" s="107">
        <f>WC!N26</f>
        <v>20.268171400200821</v>
      </c>
      <c r="O11" s="107">
        <f>WC!O26</f>
        <v>21.28157997021086</v>
      </c>
    </row>
    <row r="12" spans="2:15" s="97" customFormat="1" ht="30.75" customHeight="1" x14ac:dyDescent="0.25">
      <c r="B12" s="45" t="s">
        <v>697</v>
      </c>
      <c r="C12" s="107">
        <f>'TL Schd'!E7</f>
        <v>0</v>
      </c>
      <c r="D12" s="107">
        <f>'TL Schd'!F7</f>
        <v>66</v>
      </c>
      <c r="E12" s="107">
        <f>'TL Schd'!G7</f>
        <v>132</v>
      </c>
      <c r="F12" s="107">
        <f>'TL Schd'!H7</f>
        <v>132</v>
      </c>
      <c r="G12" s="107">
        <f>'TL Schd'!I7</f>
        <v>220</v>
      </c>
      <c r="H12" s="107">
        <f>'TL Schd'!J7</f>
        <v>220</v>
      </c>
      <c r="I12" s="107">
        <f>'TL Schd'!K7</f>
        <v>220</v>
      </c>
      <c r="J12" s="107">
        <f>'TL Schd'!L7</f>
        <v>220</v>
      </c>
      <c r="K12" s="107">
        <f>'TL Schd'!M7</f>
        <v>264</v>
      </c>
      <c r="L12" s="107">
        <f>'TL Schd'!N7</f>
        <v>264</v>
      </c>
      <c r="M12" s="107">
        <f>'TL Schd'!O7</f>
        <v>308.00000000000006</v>
      </c>
      <c r="N12" s="107">
        <f>'TL Schd'!P7</f>
        <v>154.00000000000003</v>
      </c>
      <c r="O12" s="107"/>
    </row>
    <row r="13" spans="2:15" s="97" customFormat="1" ht="21" customHeight="1" x14ac:dyDescent="0.25">
      <c r="B13" s="51" t="s">
        <v>552</v>
      </c>
      <c r="C13" s="107">
        <f>'Cash Flow'!C9</f>
        <v>0</v>
      </c>
      <c r="D13" s="107">
        <f>C13+'Cash Flow'!D9</f>
        <v>0</v>
      </c>
      <c r="E13" s="107">
        <f>D13+'Cash Flow'!E9</f>
        <v>50</v>
      </c>
      <c r="F13" s="107">
        <f>E13+'Cash Flow'!F9</f>
        <v>50</v>
      </c>
      <c r="G13" s="107">
        <f>F13+'Cash Flow'!G9</f>
        <v>50</v>
      </c>
      <c r="H13" s="107">
        <f>G13+'Cash Flow'!H9</f>
        <v>50</v>
      </c>
      <c r="I13" s="107">
        <f>H13+'Cash Flow'!I9</f>
        <v>50</v>
      </c>
      <c r="J13" s="107">
        <f>I13+'Cash Flow'!J9</f>
        <v>50</v>
      </c>
      <c r="K13" s="107">
        <f>J13+'Cash Flow'!K9</f>
        <v>50</v>
      </c>
      <c r="L13" s="107">
        <f>K13+'Cash Flow'!L9</f>
        <v>50</v>
      </c>
      <c r="M13" s="107">
        <f>L13+'Cash Flow'!M9</f>
        <v>50</v>
      </c>
      <c r="N13" s="107">
        <f>M13+'Cash Flow'!N9</f>
        <v>50</v>
      </c>
      <c r="O13" s="107">
        <f>N13+'Cash Flow'!O9</f>
        <v>50</v>
      </c>
    </row>
    <row r="14" spans="2:15" s="97" customFormat="1" ht="21" customHeight="1" x14ac:dyDescent="0.25">
      <c r="B14" s="134" t="s">
        <v>43</v>
      </c>
      <c r="C14" s="152">
        <f t="shared" ref="C14:N14" si="2">SUM(C6:C13)</f>
        <v>58.913208384984003</v>
      </c>
      <c r="D14" s="152">
        <f t="shared" si="2"/>
        <v>3200</v>
      </c>
      <c r="E14" s="152">
        <f t="shared" si="2"/>
        <v>3507.1155110944997</v>
      </c>
      <c r="F14" s="152">
        <f t="shared" si="2"/>
        <v>3719.5687251258632</v>
      </c>
      <c r="G14" s="152">
        <f t="shared" si="2"/>
        <v>3968.6900601868106</v>
      </c>
      <c r="H14" s="152">
        <f t="shared" si="2"/>
        <v>4171.1286734247697</v>
      </c>
      <c r="I14" s="152">
        <f t="shared" si="2"/>
        <v>4419.5444030929675</v>
      </c>
      <c r="J14" s="152">
        <f t="shared" si="2"/>
        <v>4718.0407849586709</v>
      </c>
      <c r="K14" s="152">
        <f t="shared" si="2"/>
        <v>5066.5718039128851</v>
      </c>
      <c r="L14" s="152">
        <f t="shared" si="2"/>
        <v>5424.6266007647537</v>
      </c>
      <c r="M14" s="152">
        <f t="shared" si="2"/>
        <v>5839.7680347233563</v>
      </c>
      <c r="N14" s="152">
        <f t="shared" si="2"/>
        <v>6271.6035000285092</v>
      </c>
      <c r="O14" s="152">
        <f t="shared" ref="O14" si="3">SUM(O6:O13)</f>
        <v>6919.4445798677771</v>
      </c>
    </row>
    <row r="15" spans="2:15" s="97" customFormat="1" ht="21" customHeight="1" x14ac:dyDescent="0.25">
      <c r="B15" s="114" t="s">
        <v>482</v>
      </c>
      <c r="C15" s="107"/>
      <c r="D15" s="107"/>
      <c r="E15" s="107"/>
      <c r="F15" s="107"/>
      <c r="G15" s="107"/>
      <c r="H15" s="107"/>
      <c r="I15" s="107"/>
      <c r="J15" s="107"/>
      <c r="K15" s="107"/>
      <c r="L15" s="107"/>
      <c r="M15" s="107"/>
      <c r="N15" s="107"/>
      <c r="O15" s="107"/>
    </row>
    <row r="16" spans="2:15" s="97" customFormat="1" ht="21" hidden="1" customHeight="1" x14ac:dyDescent="0.25">
      <c r="B16" s="51"/>
      <c r="C16" s="107"/>
      <c r="D16" s="107"/>
      <c r="E16" s="107"/>
      <c r="F16" s="107"/>
      <c r="G16" s="107"/>
      <c r="H16" s="107"/>
      <c r="I16" s="107"/>
      <c r="J16" s="107"/>
      <c r="K16" s="107"/>
      <c r="L16" s="107"/>
      <c r="M16" s="107"/>
      <c r="N16" s="107"/>
      <c r="O16" s="107"/>
    </row>
    <row r="17" spans="2:16" s="97" customFormat="1" ht="21" customHeight="1" x14ac:dyDescent="0.25">
      <c r="B17" s="51" t="s">
        <v>501</v>
      </c>
      <c r="C17" s="107">
        <v>0</v>
      </c>
      <c r="D17" s="107">
        <f>Depr!G3</f>
        <v>855.23126348313565</v>
      </c>
      <c r="E17" s="107">
        <f>Depr!F3</f>
        <v>855.23126348313565</v>
      </c>
      <c r="F17" s="107">
        <f t="shared" ref="F17:O17" si="4">E17</f>
        <v>855.23126348313565</v>
      </c>
      <c r="G17" s="107">
        <f t="shared" si="4"/>
        <v>855.23126348313565</v>
      </c>
      <c r="H17" s="107">
        <f t="shared" si="4"/>
        <v>855.23126348313565</v>
      </c>
      <c r="I17" s="107">
        <f t="shared" si="4"/>
        <v>855.23126348313565</v>
      </c>
      <c r="J17" s="107">
        <f t="shared" si="4"/>
        <v>855.23126348313565</v>
      </c>
      <c r="K17" s="107">
        <f t="shared" si="4"/>
        <v>855.23126348313565</v>
      </c>
      <c r="L17" s="107">
        <f t="shared" si="4"/>
        <v>855.23126348313565</v>
      </c>
      <c r="M17" s="107">
        <f t="shared" si="4"/>
        <v>855.23126348313565</v>
      </c>
      <c r="N17" s="107">
        <f t="shared" si="4"/>
        <v>855.23126348313565</v>
      </c>
      <c r="O17" s="107">
        <f t="shared" si="4"/>
        <v>855.23126348313565</v>
      </c>
    </row>
    <row r="18" spans="2:16" s="97" customFormat="1" ht="21" customHeight="1" x14ac:dyDescent="0.25">
      <c r="B18" s="51" t="s">
        <v>121</v>
      </c>
      <c r="C18" s="107">
        <v>0</v>
      </c>
      <c r="D18" s="325">
        <f>Depr!G4</f>
        <v>2270.0555281318802</v>
      </c>
      <c r="E18" s="107">
        <f>Depr!F4</f>
        <v>2270.0555281318802</v>
      </c>
      <c r="F18" s="107">
        <f t="shared" ref="F18:O18" si="5">E18</f>
        <v>2270.0555281318802</v>
      </c>
      <c r="G18" s="107">
        <f t="shared" si="5"/>
        <v>2270.0555281318802</v>
      </c>
      <c r="H18" s="107">
        <f t="shared" si="5"/>
        <v>2270.0555281318802</v>
      </c>
      <c r="I18" s="107">
        <f t="shared" si="5"/>
        <v>2270.0555281318802</v>
      </c>
      <c r="J18" s="107">
        <f t="shared" si="5"/>
        <v>2270.0555281318802</v>
      </c>
      <c r="K18" s="107">
        <f t="shared" si="5"/>
        <v>2270.0555281318802</v>
      </c>
      <c r="L18" s="107">
        <f t="shared" si="5"/>
        <v>2270.0555281318802</v>
      </c>
      <c r="M18" s="107">
        <f t="shared" si="5"/>
        <v>2270.0555281318802</v>
      </c>
      <c r="N18" s="107">
        <f t="shared" si="5"/>
        <v>2270.0555281318802</v>
      </c>
      <c r="O18" s="107">
        <f t="shared" si="5"/>
        <v>2270.0555281318802</v>
      </c>
    </row>
    <row r="19" spans="2:16" s="97" customFormat="1" ht="21" customHeight="1" x14ac:dyDescent="0.25">
      <c r="B19" s="51" t="s">
        <v>502</v>
      </c>
      <c r="C19" s="107">
        <f>Depr!G5</f>
        <v>6.3121294698197143</v>
      </c>
      <c r="D19" s="107">
        <f>Depr!G5</f>
        <v>6.3121294698197143</v>
      </c>
      <c r="E19" s="107">
        <f>Depr!F5</f>
        <v>6.3121294698197143</v>
      </c>
      <c r="F19" s="107">
        <f t="shared" ref="F19:O20" si="6">E19</f>
        <v>6.3121294698197143</v>
      </c>
      <c r="G19" s="107">
        <f t="shared" si="6"/>
        <v>6.3121294698197143</v>
      </c>
      <c r="H19" s="107">
        <f t="shared" si="6"/>
        <v>6.3121294698197143</v>
      </c>
      <c r="I19" s="107">
        <f t="shared" si="6"/>
        <v>6.3121294698197143</v>
      </c>
      <c r="J19" s="107">
        <f t="shared" si="6"/>
        <v>6.3121294698197143</v>
      </c>
      <c r="K19" s="107">
        <f t="shared" si="6"/>
        <v>6.3121294698197143</v>
      </c>
      <c r="L19" s="107">
        <f t="shared" si="6"/>
        <v>6.3121294698197143</v>
      </c>
      <c r="M19" s="107">
        <f t="shared" si="6"/>
        <v>6.3121294698197143</v>
      </c>
      <c r="N19" s="107">
        <f t="shared" si="6"/>
        <v>6.3121294698197143</v>
      </c>
      <c r="O19" s="107">
        <f t="shared" si="6"/>
        <v>6.3121294698197143</v>
      </c>
    </row>
    <row r="20" spans="2:16" s="97" customFormat="1" ht="21" customHeight="1" x14ac:dyDescent="0.25">
      <c r="B20" s="51" t="s">
        <v>714</v>
      </c>
      <c r="C20" s="107">
        <f>Depr!G6</f>
        <v>52.601078915164287</v>
      </c>
      <c r="D20" s="107">
        <f>Depr!G6</f>
        <v>52.601078915164287</v>
      </c>
      <c r="E20" s="107">
        <f>Depr!F6</f>
        <v>52.601078915164287</v>
      </c>
      <c r="F20" s="107">
        <f t="shared" si="6"/>
        <v>52.601078915164287</v>
      </c>
      <c r="G20" s="107">
        <f t="shared" si="6"/>
        <v>52.601078915164287</v>
      </c>
      <c r="H20" s="107">
        <f t="shared" si="6"/>
        <v>52.601078915164287</v>
      </c>
      <c r="I20" s="107">
        <f t="shared" si="6"/>
        <v>52.601078915164287</v>
      </c>
      <c r="J20" s="107">
        <f t="shared" si="6"/>
        <v>52.601078915164287</v>
      </c>
      <c r="K20" s="107">
        <f t="shared" si="6"/>
        <v>52.601078915164287</v>
      </c>
      <c r="L20" s="107">
        <f t="shared" si="6"/>
        <v>52.601078915164287</v>
      </c>
      <c r="M20" s="107">
        <f t="shared" si="6"/>
        <v>52.601078915164287</v>
      </c>
      <c r="N20" s="107">
        <f t="shared" si="6"/>
        <v>52.601078915164287</v>
      </c>
      <c r="O20" s="107">
        <f t="shared" si="6"/>
        <v>52.601078915164287</v>
      </c>
    </row>
    <row r="21" spans="2:16" s="97" customFormat="1" ht="21" customHeight="1" x14ac:dyDescent="0.25">
      <c r="B21" s="114" t="s">
        <v>484</v>
      </c>
      <c r="C21" s="129">
        <f>SUM(C16:C20)</f>
        <v>58.913208384984003</v>
      </c>
      <c r="D21" s="129">
        <f t="shared" ref="D21:N21" si="7">SUM(D16:D20)</f>
        <v>3184.2</v>
      </c>
      <c r="E21" s="129">
        <f t="shared" si="7"/>
        <v>3184.2</v>
      </c>
      <c r="F21" s="129">
        <f t="shared" si="7"/>
        <v>3184.2</v>
      </c>
      <c r="G21" s="129">
        <f t="shared" si="7"/>
        <v>3184.2</v>
      </c>
      <c r="H21" s="129">
        <f t="shared" si="7"/>
        <v>3184.2</v>
      </c>
      <c r="I21" s="129">
        <f t="shared" si="7"/>
        <v>3184.2</v>
      </c>
      <c r="J21" s="129">
        <f t="shared" si="7"/>
        <v>3184.2</v>
      </c>
      <c r="K21" s="129">
        <f t="shared" si="7"/>
        <v>3184.2</v>
      </c>
      <c r="L21" s="129">
        <f t="shared" si="7"/>
        <v>3184.2</v>
      </c>
      <c r="M21" s="129">
        <f t="shared" si="7"/>
        <v>3184.2</v>
      </c>
      <c r="N21" s="129">
        <f t="shared" si="7"/>
        <v>3184.2</v>
      </c>
      <c r="O21" s="129">
        <f t="shared" ref="O21" si="8">SUM(O16:O20)</f>
        <v>3184.2</v>
      </c>
    </row>
    <row r="22" spans="2:16" s="97" customFormat="1" ht="21" customHeight="1" x14ac:dyDescent="0.25">
      <c r="B22" s="51" t="s">
        <v>303</v>
      </c>
      <c r="C22" s="107">
        <f>'P &amp; L'!C26</f>
        <v>0</v>
      </c>
      <c r="D22" s="107">
        <f>C22+'P &amp; L'!D26</f>
        <v>0</v>
      </c>
      <c r="E22" s="107">
        <f>D22+'P &amp; L'!E26</f>
        <v>176.40210077973688</v>
      </c>
      <c r="F22" s="107">
        <f>E22+'P &amp; L'!F26</f>
        <v>352.80420155947377</v>
      </c>
      <c r="G22" s="107">
        <f>F22+'P &amp; L'!G26</f>
        <v>529.20630233921065</v>
      </c>
      <c r="H22" s="107">
        <f>G22+'P &amp; L'!H26</f>
        <v>705.60840311894754</v>
      </c>
      <c r="I22" s="107">
        <f>H22+'P &amp; L'!I26</f>
        <v>882.01050389868442</v>
      </c>
      <c r="J22" s="107">
        <f>I22+'P &amp; L'!J26</f>
        <v>1058.4126046784213</v>
      </c>
      <c r="K22" s="107">
        <f>J22+'P &amp; L'!K26</f>
        <v>1234.8147054581582</v>
      </c>
      <c r="L22" s="107">
        <f>K22+'P &amp; L'!L26</f>
        <v>1411.2168062378951</v>
      </c>
      <c r="M22" s="107">
        <f>L22+'P &amp; L'!M26</f>
        <v>1587.618907017632</v>
      </c>
      <c r="N22" s="107">
        <f>M22+'P &amp; L'!N26</f>
        <v>1764.0210077973688</v>
      </c>
      <c r="O22" s="107">
        <f>N22+'P &amp; L'!O26</f>
        <v>1940.4231085771057</v>
      </c>
    </row>
    <row r="23" spans="2:16" s="97" customFormat="1" ht="21" customHeight="1" x14ac:dyDescent="0.25">
      <c r="B23" s="114" t="s">
        <v>503</v>
      </c>
      <c r="C23" s="129">
        <f t="shared" ref="C23:I23" si="9">C21-C22</f>
        <v>58.913208384984003</v>
      </c>
      <c r="D23" s="129">
        <f t="shared" si="9"/>
        <v>3184.2</v>
      </c>
      <c r="E23" s="129">
        <f t="shared" si="9"/>
        <v>3007.7978992202629</v>
      </c>
      <c r="F23" s="129">
        <f t="shared" si="9"/>
        <v>2831.3957984405261</v>
      </c>
      <c r="G23" s="129">
        <f t="shared" si="9"/>
        <v>2654.9936976607892</v>
      </c>
      <c r="H23" s="129">
        <f t="shared" si="9"/>
        <v>2478.5915968810523</v>
      </c>
      <c r="I23" s="129">
        <f t="shared" si="9"/>
        <v>2302.1894961013154</v>
      </c>
      <c r="J23" s="129">
        <f t="shared" ref="J23:K23" si="10">J21-J22</f>
        <v>2125.7873953215785</v>
      </c>
      <c r="K23" s="129">
        <f t="shared" si="10"/>
        <v>1949.3852945418416</v>
      </c>
      <c r="L23" s="129">
        <f t="shared" ref="L23:M23" si="11">L21-L22</f>
        <v>1772.9831937621047</v>
      </c>
      <c r="M23" s="129">
        <f t="shared" si="11"/>
        <v>1596.5810929823679</v>
      </c>
      <c r="N23" s="129">
        <f t="shared" ref="N23:O23" si="12">N21-N22</f>
        <v>1420.178992202631</v>
      </c>
      <c r="O23" s="129">
        <f t="shared" si="12"/>
        <v>1243.7768914228941</v>
      </c>
    </row>
    <row r="24" spans="2:16" s="97" customFormat="1" ht="21" customHeight="1" x14ac:dyDescent="0.25">
      <c r="B24" s="114" t="s">
        <v>485</v>
      </c>
      <c r="C24" s="146">
        <f t="shared" ref="C24:I24" si="13">SUM(C25:C27)</f>
        <v>0</v>
      </c>
      <c r="D24" s="107">
        <f t="shared" si="13"/>
        <v>15.800000000000182</v>
      </c>
      <c r="E24" s="107">
        <f t="shared" si="13"/>
        <v>486.67761187423679</v>
      </c>
      <c r="F24" s="107">
        <f t="shared" si="13"/>
        <v>878.69292668533694</v>
      </c>
      <c r="G24" s="107">
        <f t="shared" si="13"/>
        <v>1307.3763625260215</v>
      </c>
      <c r="H24" s="107">
        <f t="shared" si="13"/>
        <v>1689.3770765437173</v>
      </c>
      <c r="I24" s="107">
        <f t="shared" si="13"/>
        <v>2117.3549069916517</v>
      </c>
      <c r="J24" s="107">
        <f t="shared" ref="J24:K24" si="14">SUM(J25:J27)</f>
        <v>2592.2533896370924</v>
      </c>
      <c r="K24" s="107">
        <f t="shared" si="14"/>
        <v>3117.1865093710439</v>
      </c>
      <c r="L24" s="107">
        <f t="shared" ref="L24:M24" si="15">SUM(L25:L27)</f>
        <v>3651.6434070026494</v>
      </c>
      <c r="M24" s="107">
        <f t="shared" si="15"/>
        <v>4243.186941740988</v>
      </c>
      <c r="N24" s="107">
        <f t="shared" ref="N24:O24" si="16">SUM(N25:N27)</f>
        <v>4851.4245078258782</v>
      </c>
      <c r="O24" s="107">
        <f t="shared" si="16"/>
        <v>5675.6676884448834</v>
      </c>
    </row>
    <row r="25" spans="2:16" s="97" customFormat="1" ht="21" customHeight="1" x14ac:dyDescent="0.25">
      <c r="B25" s="51" t="s">
        <v>456</v>
      </c>
      <c r="C25" s="107">
        <f>WC!C29</f>
        <v>0</v>
      </c>
      <c r="D25" s="107">
        <f>WC!D29</f>
        <v>0</v>
      </c>
      <c r="E25" s="107">
        <f>WC!E29</f>
        <v>96.39</v>
      </c>
      <c r="F25" s="107">
        <f>WC!F29</f>
        <v>101.20950000000001</v>
      </c>
      <c r="G25" s="107">
        <f>WC!G29</f>
        <v>106.26997500000002</v>
      </c>
      <c r="H25" s="107">
        <f>WC!H29</f>
        <v>111.58347375</v>
      </c>
      <c r="I25" s="107">
        <f>WC!I29</f>
        <v>117.16264743750003</v>
      </c>
      <c r="J25" s="107">
        <f>WC!J29</f>
        <v>123.02077980937503</v>
      </c>
      <c r="K25" s="107">
        <f>WC!K29</f>
        <v>129.17181879984381</v>
      </c>
      <c r="L25" s="107">
        <f>WC!L29</f>
        <v>135.63040973983598</v>
      </c>
      <c r="M25" s="107">
        <f>WC!M29</f>
        <v>142.41193022682779</v>
      </c>
      <c r="N25" s="107">
        <f>WC!N29</f>
        <v>149.53252673816917</v>
      </c>
      <c r="O25" s="107">
        <f>WC!O29</f>
        <v>157.00915307507762</v>
      </c>
      <c r="P25" s="99"/>
    </row>
    <row r="26" spans="2:16" s="97" customFormat="1" ht="21" customHeight="1" x14ac:dyDescent="0.25">
      <c r="B26" s="51" t="s">
        <v>457</v>
      </c>
      <c r="C26" s="107">
        <f>WC!C31</f>
        <v>0</v>
      </c>
      <c r="D26" s="107">
        <f>WC!D31</f>
        <v>0</v>
      </c>
      <c r="E26" s="107">
        <f>WC!E31</f>
        <v>5.53</v>
      </c>
      <c r="F26" s="107">
        <f>WC!F31</f>
        <v>5.8064999999999998</v>
      </c>
      <c r="G26" s="107">
        <f>WC!G31</f>
        <v>6.0968249999999999</v>
      </c>
      <c r="H26" s="107">
        <f>WC!H31</f>
        <v>6.4016662500000008</v>
      </c>
      <c r="I26" s="107">
        <f>WC!I31</f>
        <v>6.7217495625000021</v>
      </c>
      <c r="J26" s="107">
        <f>WC!J31</f>
        <v>7.0578370406250022</v>
      </c>
      <c r="K26" s="107">
        <f>WC!K31</f>
        <v>7.4107288926562527</v>
      </c>
      <c r="L26" s="107">
        <f>WC!L31</f>
        <v>7.7812653372890654</v>
      </c>
      <c r="M26" s="107">
        <f>WC!M31</f>
        <v>8.1703286041535179</v>
      </c>
      <c r="N26" s="107">
        <f>WC!N31</f>
        <v>8.5788450343611942</v>
      </c>
      <c r="O26" s="107">
        <f>WC!O31</f>
        <v>9.0077872860792549</v>
      </c>
    </row>
    <row r="27" spans="2:16" s="97" customFormat="1" ht="21" customHeight="1" x14ac:dyDescent="0.25">
      <c r="B27" s="51" t="s">
        <v>504</v>
      </c>
      <c r="C27" s="107">
        <f>'Cash Flow'!C25</f>
        <v>0</v>
      </c>
      <c r="D27" s="107">
        <f>'Cash Flow'!D25</f>
        <v>15.800000000000182</v>
      </c>
      <c r="E27" s="107">
        <f>'Cash Flow'!E25</f>
        <v>384.75761187423677</v>
      </c>
      <c r="F27" s="107">
        <f>'Cash Flow'!F25</f>
        <v>771.67692668533698</v>
      </c>
      <c r="G27" s="107">
        <f>'Cash Flow'!G25</f>
        <v>1195.0095625260215</v>
      </c>
      <c r="H27" s="107">
        <f>'Cash Flow'!H25</f>
        <v>1571.3919365437173</v>
      </c>
      <c r="I27" s="107">
        <f>'Cash Flow'!I25</f>
        <v>1993.4705099916514</v>
      </c>
      <c r="J27" s="107">
        <f>'Cash Flow'!J25</f>
        <v>2462.1747727870925</v>
      </c>
      <c r="K27" s="107">
        <f>'Cash Flow'!K25</f>
        <v>2980.6039616785438</v>
      </c>
      <c r="L27" s="107">
        <f>'Cash Flow'!L25</f>
        <v>3508.2317319255244</v>
      </c>
      <c r="M27" s="107">
        <f>'Cash Flow'!M25</f>
        <v>4092.6046829100069</v>
      </c>
      <c r="N27" s="107">
        <f>'Cash Flow'!N25</f>
        <v>4693.313136053348</v>
      </c>
      <c r="O27" s="107">
        <f>'Cash Flow'!O25</f>
        <v>5509.6507480837263</v>
      </c>
    </row>
    <row r="28" spans="2:16" s="97" customFormat="1" ht="27" customHeight="1" x14ac:dyDescent="0.25">
      <c r="B28" s="45" t="s">
        <v>491</v>
      </c>
      <c r="C28" s="107">
        <f>'Cash Flow'!C21</f>
        <v>0</v>
      </c>
      <c r="D28" s="107">
        <f>C28-'Cash Flow'!D11</f>
        <v>0</v>
      </c>
      <c r="E28" s="107">
        <f>15.8-3.16</f>
        <v>12.64</v>
      </c>
      <c r="F28" s="107">
        <f>E28-'Cash Flow'!F11</f>
        <v>9.48</v>
      </c>
      <c r="G28" s="107">
        <f>F28-'Cash Flow'!G11</f>
        <v>6.32</v>
      </c>
      <c r="H28" s="107">
        <f>G28-'Cash Flow'!H11</f>
        <v>3.16</v>
      </c>
      <c r="I28" s="107">
        <f>H28-'Cash Flow'!I11</f>
        <v>0</v>
      </c>
      <c r="J28" s="107">
        <f>I28-'Cash Flow'!J11</f>
        <v>0</v>
      </c>
      <c r="K28" s="107">
        <f>J28-'Cash Flow'!K11</f>
        <v>0</v>
      </c>
      <c r="L28" s="107">
        <f>K28-'Cash Flow'!L11</f>
        <v>0</v>
      </c>
      <c r="M28" s="107">
        <f>L28-'Cash Flow'!M11</f>
        <v>0</v>
      </c>
      <c r="N28" s="107">
        <f>M28-'Cash Flow'!N11</f>
        <v>0</v>
      </c>
      <c r="O28" s="107">
        <f>N28-'Cash Flow'!O11</f>
        <v>0</v>
      </c>
    </row>
    <row r="29" spans="2:16" s="97" customFormat="1" ht="21" customHeight="1" x14ac:dyDescent="0.25">
      <c r="B29" s="134" t="s">
        <v>43</v>
      </c>
      <c r="C29" s="152">
        <f t="shared" ref="C29:N29" si="17">C23+C24+C28</f>
        <v>58.913208384984003</v>
      </c>
      <c r="D29" s="152">
        <f t="shared" si="17"/>
        <v>3200</v>
      </c>
      <c r="E29" s="152">
        <f t="shared" si="17"/>
        <v>3507.1155110944997</v>
      </c>
      <c r="F29" s="152">
        <f t="shared" si="17"/>
        <v>3719.5687251258628</v>
      </c>
      <c r="G29" s="152">
        <f t="shared" si="17"/>
        <v>3968.6900601868106</v>
      </c>
      <c r="H29" s="152">
        <f t="shared" si="17"/>
        <v>4171.1286734247697</v>
      </c>
      <c r="I29" s="152">
        <f t="shared" si="17"/>
        <v>4419.5444030929666</v>
      </c>
      <c r="J29" s="152">
        <f t="shared" si="17"/>
        <v>4718.0407849586709</v>
      </c>
      <c r="K29" s="152">
        <f t="shared" si="17"/>
        <v>5066.571803912886</v>
      </c>
      <c r="L29" s="152">
        <f t="shared" si="17"/>
        <v>5424.6266007647537</v>
      </c>
      <c r="M29" s="152">
        <f t="shared" si="17"/>
        <v>5839.7680347233563</v>
      </c>
      <c r="N29" s="152">
        <f t="shared" si="17"/>
        <v>6271.6035000285092</v>
      </c>
      <c r="O29" s="152">
        <f t="shared" ref="O29" si="18">O23+O24+O28</f>
        <v>6919.4445798677771</v>
      </c>
    </row>
    <row r="31" spans="2:16" x14ac:dyDescent="0.25">
      <c r="B31" s="148" t="s">
        <v>498</v>
      </c>
      <c r="C31" s="147">
        <f t="shared" ref="C31:N31" si="19">C29-C14</f>
        <v>0</v>
      </c>
      <c r="D31" s="147">
        <f t="shared" si="19"/>
        <v>0</v>
      </c>
      <c r="E31" s="147">
        <f t="shared" si="19"/>
        <v>0</v>
      </c>
      <c r="F31" s="147">
        <f t="shared" si="19"/>
        <v>0</v>
      </c>
      <c r="G31" s="149">
        <f t="shared" si="19"/>
        <v>0</v>
      </c>
      <c r="H31" s="149">
        <f t="shared" si="19"/>
        <v>0</v>
      </c>
      <c r="I31" s="149">
        <f t="shared" si="19"/>
        <v>0</v>
      </c>
      <c r="J31" s="149">
        <f t="shared" si="19"/>
        <v>0</v>
      </c>
      <c r="K31" s="149">
        <f t="shared" si="19"/>
        <v>0</v>
      </c>
      <c r="L31" s="149">
        <f t="shared" si="19"/>
        <v>0</v>
      </c>
      <c r="M31" s="149">
        <f t="shared" si="19"/>
        <v>0</v>
      </c>
      <c r="N31" s="149">
        <f t="shared" si="19"/>
        <v>0</v>
      </c>
      <c r="O31" s="149">
        <f t="shared" ref="O31" si="20">O29-O14</f>
        <v>0</v>
      </c>
    </row>
    <row r="32" spans="2:16" x14ac:dyDescent="0.25">
      <c r="C32" s="131"/>
    </row>
    <row r="33" spans="2:15" x14ac:dyDescent="0.25">
      <c r="B33" s="51" t="s">
        <v>912</v>
      </c>
      <c r="C33" s="131">
        <f>C14-C6-C7-C9</f>
        <v>0</v>
      </c>
      <c r="D33" s="131">
        <f t="shared" ref="D33:O33" si="21">D14-D6-D7-D9</f>
        <v>2200</v>
      </c>
      <c r="E33" s="131">
        <f t="shared" si="21"/>
        <v>2197.0650439999999</v>
      </c>
      <c r="F33" s="131">
        <f t="shared" si="21"/>
        <v>2065.7182962000002</v>
      </c>
      <c r="G33" s="131">
        <f t="shared" si="21"/>
        <v>1934.4042110099999</v>
      </c>
      <c r="H33" s="131">
        <f t="shared" si="21"/>
        <v>1715.1244215605002</v>
      </c>
      <c r="I33" s="131">
        <f t="shared" si="21"/>
        <v>1495.8806426385256</v>
      </c>
      <c r="J33" s="131">
        <f t="shared" si="21"/>
        <v>1276.674674770451</v>
      </c>
      <c r="K33" s="131">
        <f t="shared" si="21"/>
        <v>1057.5084085089734</v>
      </c>
      <c r="L33" s="131">
        <f t="shared" si="21"/>
        <v>794.38382893442213</v>
      </c>
      <c r="M33" s="131">
        <f t="shared" si="21"/>
        <v>531.30302038114405</v>
      </c>
      <c r="N33" s="131">
        <f t="shared" si="21"/>
        <v>224.26817140020103</v>
      </c>
      <c r="O33" s="131">
        <f t="shared" si="21"/>
        <v>71.281579970211169</v>
      </c>
    </row>
    <row r="34" spans="2:15" x14ac:dyDescent="0.25">
      <c r="B34" s="51" t="s">
        <v>720</v>
      </c>
      <c r="C34" s="131">
        <f>C6+C7+C9</f>
        <v>58.913208384984003</v>
      </c>
      <c r="D34" s="131">
        <f t="shared" ref="D34:O34" si="22">D6+D7+D9</f>
        <v>1000</v>
      </c>
      <c r="E34" s="131">
        <f t="shared" si="22"/>
        <v>1310.0504670944997</v>
      </c>
      <c r="F34" s="131">
        <f t="shared" si="22"/>
        <v>1653.8504289258631</v>
      </c>
      <c r="G34" s="131">
        <f t="shared" si="22"/>
        <v>2034.2858491768106</v>
      </c>
      <c r="H34" s="131">
        <f t="shared" si="22"/>
        <v>2456.0042518642695</v>
      </c>
      <c r="I34" s="131">
        <f t="shared" si="22"/>
        <v>2923.6637604544421</v>
      </c>
      <c r="J34" s="131">
        <f t="shared" si="22"/>
        <v>3441.3661101882199</v>
      </c>
      <c r="K34" s="131">
        <f t="shared" si="22"/>
        <v>4009.0633954039117</v>
      </c>
      <c r="L34" s="131">
        <f t="shared" si="22"/>
        <v>4630.2427718303315</v>
      </c>
      <c r="M34" s="131">
        <f t="shared" si="22"/>
        <v>5308.4650143422123</v>
      </c>
      <c r="N34" s="131">
        <f t="shared" si="22"/>
        <v>6047.3353286283082</v>
      </c>
      <c r="O34" s="131">
        <f t="shared" si="22"/>
        <v>6848.1629998975659</v>
      </c>
    </row>
    <row r="35" spans="2:15" x14ac:dyDescent="0.25">
      <c r="B35" s="51" t="s">
        <v>913</v>
      </c>
      <c r="C35" s="96">
        <f>C33/C34</f>
        <v>0</v>
      </c>
      <c r="D35" s="131">
        <f t="shared" ref="D35:O35" si="23">D33/D34</f>
        <v>2.2000000000000002</v>
      </c>
      <c r="E35" s="131">
        <f t="shared" si="23"/>
        <v>1.6770842797169248</v>
      </c>
      <c r="F35" s="131">
        <f t="shared" si="23"/>
        <v>1.249035741122996</v>
      </c>
      <c r="G35" s="131">
        <f t="shared" si="23"/>
        <v>0.95090088337033429</v>
      </c>
      <c r="H35" s="131">
        <f t="shared" si="23"/>
        <v>0.69833935354900445</v>
      </c>
      <c r="I35" s="131">
        <f t="shared" si="23"/>
        <v>0.51164592278765053</v>
      </c>
      <c r="J35" s="131">
        <f t="shared" si="23"/>
        <v>0.37097903387577247</v>
      </c>
      <c r="K35" s="131">
        <f t="shared" si="23"/>
        <v>0.26377941783642705</v>
      </c>
      <c r="L35" s="131">
        <f t="shared" si="23"/>
        <v>0.17156418530953244</v>
      </c>
      <c r="M35" s="131">
        <f t="shared" si="23"/>
        <v>0.10008599829624749</v>
      </c>
      <c r="N35" s="131">
        <f t="shared" si="23"/>
        <v>3.7085453214163143E-2</v>
      </c>
      <c r="O35" s="131">
        <f t="shared" si="23"/>
        <v>1.0408861467122991E-2</v>
      </c>
    </row>
    <row r="36" spans="2:15" x14ac:dyDescent="0.25">
      <c r="B36" s="51" t="s">
        <v>915</v>
      </c>
      <c r="C36" s="131">
        <f>C24</f>
        <v>0</v>
      </c>
      <c r="D36" s="131">
        <f t="shared" ref="D36:O36" si="24">D24</f>
        <v>15.800000000000182</v>
      </c>
      <c r="E36" s="131">
        <f t="shared" si="24"/>
        <v>486.67761187423679</v>
      </c>
      <c r="F36" s="131">
        <f t="shared" si="24"/>
        <v>878.69292668533694</v>
      </c>
      <c r="G36" s="131">
        <f t="shared" si="24"/>
        <v>1307.3763625260215</v>
      </c>
      <c r="H36" s="131">
        <f t="shared" si="24"/>
        <v>1689.3770765437173</v>
      </c>
      <c r="I36" s="131">
        <f t="shared" si="24"/>
        <v>2117.3549069916517</v>
      </c>
      <c r="J36" s="131">
        <f t="shared" si="24"/>
        <v>2592.2533896370924</v>
      </c>
      <c r="K36" s="131">
        <f t="shared" si="24"/>
        <v>3117.1865093710439</v>
      </c>
      <c r="L36" s="131">
        <f t="shared" si="24"/>
        <v>3651.6434070026494</v>
      </c>
      <c r="M36" s="131">
        <f t="shared" si="24"/>
        <v>4243.186941740988</v>
      </c>
      <c r="N36" s="131">
        <f t="shared" si="24"/>
        <v>4851.4245078258782</v>
      </c>
      <c r="O36" s="131">
        <f t="shared" si="24"/>
        <v>5675.6676884448834</v>
      </c>
    </row>
    <row r="37" spans="2:15" x14ac:dyDescent="0.25">
      <c r="B37" s="51" t="s">
        <v>916</v>
      </c>
      <c r="C37" s="131">
        <f>C11+C12+C13</f>
        <v>0</v>
      </c>
      <c r="D37" s="131">
        <f t="shared" ref="D37:O37" si="25">D11+D12+D13</f>
        <v>66</v>
      </c>
      <c r="E37" s="131">
        <f t="shared" si="25"/>
        <v>195.065044</v>
      </c>
      <c r="F37" s="131">
        <f t="shared" si="25"/>
        <v>195.7182962</v>
      </c>
      <c r="G37" s="131">
        <f t="shared" si="25"/>
        <v>284.40421101000004</v>
      </c>
      <c r="H37" s="131">
        <f t="shared" si="25"/>
        <v>285.12442156049997</v>
      </c>
      <c r="I37" s="131">
        <f t="shared" si="25"/>
        <v>285.88064263852505</v>
      </c>
      <c r="J37" s="131">
        <f t="shared" si="25"/>
        <v>286.67467477045125</v>
      </c>
      <c r="K37" s="131">
        <f t="shared" si="25"/>
        <v>331.50840850897384</v>
      </c>
      <c r="L37" s="131">
        <f t="shared" si="25"/>
        <v>332.38382893442252</v>
      </c>
      <c r="M37" s="131">
        <f t="shared" si="25"/>
        <v>377.30302038114371</v>
      </c>
      <c r="N37" s="131">
        <f t="shared" si="25"/>
        <v>224.26817140020086</v>
      </c>
      <c r="O37" s="131">
        <f t="shared" si="25"/>
        <v>71.281579970210856</v>
      </c>
    </row>
    <row r="38" spans="2:15" x14ac:dyDescent="0.25">
      <c r="B38" s="51" t="s">
        <v>914</v>
      </c>
      <c r="C38" s="96" t="e">
        <f>C36/C37</f>
        <v>#DIV/0!</v>
      </c>
      <c r="D38" s="131">
        <f t="shared" ref="D38:O38" si="26">D36/D37</f>
        <v>0.23939393939394216</v>
      </c>
      <c r="E38" s="131">
        <f t="shared" si="26"/>
        <v>2.4949504118956178</v>
      </c>
      <c r="F38" s="131">
        <f t="shared" si="26"/>
        <v>4.489579889799475</v>
      </c>
      <c r="G38" s="131">
        <f t="shared" si="26"/>
        <v>4.5968952354227</v>
      </c>
      <c r="H38" s="131">
        <f t="shared" si="26"/>
        <v>5.9250521835263132</v>
      </c>
      <c r="I38" s="131">
        <f t="shared" si="26"/>
        <v>7.4064297863947735</v>
      </c>
      <c r="J38" s="131">
        <f t="shared" si="26"/>
        <v>9.0424917782248642</v>
      </c>
      <c r="K38" s="131">
        <f t="shared" si="26"/>
        <v>9.4030390462529176</v>
      </c>
      <c r="L38" s="131">
        <f t="shared" si="26"/>
        <v>10.986224626839768</v>
      </c>
      <c r="M38" s="131">
        <f t="shared" si="26"/>
        <v>11.246098526999885</v>
      </c>
      <c r="N38" s="131">
        <f t="shared" si="26"/>
        <v>21.632247133137028</v>
      </c>
      <c r="O38" s="131">
        <f t="shared" si="26"/>
        <v>79.623202667740955</v>
      </c>
    </row>
    <row r="39" spans="2:15" x14ac:dyDescent="0.25">
      <c r="B39" s="51" t="s">
        <v>918</v>
      </c>
      <c r="C39" s="131">
        <f>C6+C7+C8+C9</f>
        <v>58.913208384984003</v>
      </c>
      <c r="D39" s="131">
        <f t="shared" ref="D39:O39" si="27">D6+D7+D8+D9</f>
        <v>3134</v>
      </c>
      <c r="E39" s="131">
        <f t="shared" si="27"/>
        <v>3312.0504670944997</v>
      </c>
      <c r="F39" s="131">
        <f t="shared" si="27"/>
        <v>3523.8504289258631</v>
      </c>
      <c r="G39" s="131">
        <f t="shared" si="27"/>
        <v>3684.2858491768106</v>
      </c>
      <c r="H39" s="131">
        <f t="shared" si="27"/>
        <v>3886.0042518642695</v>
      </c>
      <c r="I39" s="131">
        <f t="shared" si="27"/>
        <v>4133.6637604544421</v>
      </c>
      <c r="J39" s="131">
        <f t="shared" si="27"/>
        <v>4431.3661101882199</v>
      </c>
      <c r="K39" s="131">
        <f t="shared" si="27"/>
        <v>4735.0633954039113</v>
      </c>
      <c r="L39" s="131">
        <f t="shared" si="27"/>
        <v>5092.2427718303315</v>
      </c>
      <c r="M39" s="131">
        <f t="shared" si="27"/>
        <v>5462.4650143422123</v>
      </c>
      <c r="N39" s="131">
        <f t="shared" si="27"/>
        <v>6047.3353286283082</v>
      </c>
      <c r="O39" s="131">
        <f t="shared" si="27"/>
        <v>6848.1629998975659</v>
      </c>
    </row>
    <row r="40" spans="2:15" x14ac:dyDescent="0.25">
      <c r="B40" s="51" t="s">
        <v>919</v>
      </c>
      <c r="C40" s="131">
        <f>C23</f>
        <v>58.913208384984003</v>
      </c>
      <c r="D40" s="131">
        <f t="shared" ref="D40:O40" si="28">D23</f>
        <v>3184.2</v>
      </c>
      <c r="E40" s="131">
        <f t="shared" si="28"/>
        <v>3007.7978992202629</v>
      </c>
      <c r="F40" s="131">
        <f t="shared" si="28"/>
        <v>2831.3957984405261</v>
      </c>
      <c r="G40" s="131">
        <f t="shared" si="28"/>
        <v>2654.9936976607892</v>
      </c>
      <c r="H40" s="131">
        <f t="shared" si="28"/>
        <v>2478.5915968810523</v>
      </c>
      <c r="I40" s="131">
        <f t="shared" si="28"/>
        <v>2302.1894961013154</v>
      </c>
      <c r="J40" s="131">
        <f t="shared" si="28"/>
        <v>2125.7873953215785</v>
      </c>
      <c r="K40" s="131">
        <f t="shared" si="28"/>
        <v>1949.3852945418416</v>
      </c>
      <c r="L40" s="131">
        <f t="shared" si="28"/>
        <v>1772.9831937621047</v>
      </c>
      <c r="M40" s="131">
        <f t="shared" si="28"/>
        <v>1596.5810929823679</v>
      </c>
      <c r="N40" s="131">
        <f t="shared" si="28"/>
        <v>1420.178992202631</v>
      </c>
      <c r="O40" s="131">
        <f t="shared" si="28"/>
        <v>1243.7768914228941</v>
      </c>
    </row>
    <row r="41" spans="2:15" x14ac:dyDescent="0.25">
      <c r="B41" s="51" t="s">
        <v>917</v>
      </c>
      <c r="C41" s="131">
        <f>C39-C40</f>
        <v>0</v>
      </c>
      <c r="D41" s="131">
        <f t="shared" ref="D41:O41" si="29">D39-D40</f>
        <v>-50.199999999999818</v>
      </c>
      <c r="E41" s="131">
        <f t="shared" si="29"/>
        <v>304.25256787423677</v>
      </c>
      <c r="F41" s="131">
        <f t="shared" si="29"/>
        <v>692.45463048533702</v>
      </c>
      <c r="G41" s="131">
        <f t="shared" si="29"/>
        <v>1029.2921515160215</v>
      </c>
      <c r="H41" s="131">
        <f t="shared" si="29"/>
        <v>1407.4126549832172</v>
      </c>
      <c r="I41" s="131">
        <f t="shared" si="29"/>
        <v>1831.4742643531267</v>
      </c>
      <c r="J41" s="131">
        <f t="shared" si="29"/>
        <v>2305.5787148666413</v>
      </c>
      <c r="K41" s="131">
        <f t="shared" si="29"/>
        <v>2785.6781008620696</v>
      </c>
      <c r="L41" s="131">
        <f t="shared" si="29"/>
        <v>3319.2595780682268</v>
      </c>
      <c r="M41" s="131">
        <f t="shared" si="29"/>
        <v>3865.8839213598444</v>
      </c>
      <c r="N41" s="131">
        <f t="shared" si="29"/>
        <v>4627.1563364256772</v>
      </c>
      <c r="O41" s="131">
        <f t="shared" si="29"/>
        <v>5604.3861084746713</v>
      </c>
    </row>
    <row r="42" spans="2:15" x14ac:dyDescent="0.25">
      <c r="B42" s="51" t="s">
        <v>920</v>
      </c>
      <c r="C42" s="322">
        <v>0</v>
      </c>
      <c r="D42" s="322">
        <v>0</v>
      </c>
      <c r="E42" s="322">
        <f>'P &amp; L'!E29/BS!E34</f>
        <v>0.23667062825613602</v>
      </c>
      <c r="F42" s="322">
        <f>'P &amp; L'!F29/BS!F34</f>
        <v>0.20787850933693766</v>
      </c>
      <c r="G42" s="322">
        <f>'P &amp; L'!G29/BS!G34</f>
        <v>0.1870117812621534</v>
      </c>
      <c r="H42" s="322">
        <f>'P &amp; L'!H29/BS!H34</f>
        <v>0.17170915008284166</v>
      </c>
      <c r="I42" s="322">
        <f>'P &amp; L'!I29/BS!I34</f>
        <v>0.15995666632933234</v>
      </c>
      <c r="J42" s="322">
        <f>'P &amp; L'!J29/BS!J34</f>
        <v>0.15043512755039687</v>
      </c>
      <c r="K42" s="322">
        <f>'P &amp; L'!K29/BS!K34</f>
        <v>0.1416034692458378</v>
      </c>
      <c r="L42" s="322">
        <f>'P &amp; L'!L29/BS!L34</f>
        <v>0.13415697773032068</v>
      </c>
      <c r="M42" s="322">
        <f>'P &amp; L'!M29/BS!M34</f>
        <v>0.12776240225366184</v>
      </c>
      <c r="N42" s="322">
        <f>'P &amp; L'!N29/BS!N34</f>
        <v>0.12218113832521521</v>
      </c>
      <c r="O42" s="322">
        <f>'P &amp; L'!O29/BS!O34</f>
        <v>0.11694050963466206</v>
      </c>
    </row>
  </sheetData>
  <customSheetViews>
    <customSheetView guid="{22475485-DA09-46DB-978D-BB94CE1E5597}">
      <pane xSplit="1" ySplit="2" topLeftCell="B20" activePane="bottomRight" state="frozen"/>
      <selection pane="bottomRight" activeCell="C22" sqref="C22"/>
      <pageMargins left="0.43" right="0.7" top="0.75" bottom="0.75" header="0.3" footer="0.3"/>
      <pageSetup paperSize="9" orientation="landscape" verticalDpi="300" r:id="rId1"/>
    </customSheetView>
  </customSheetViews>
  <mergeCells count="1">
    <mergeCell ref="B2:M2"/>
  </mergeCells>
  <pageMargins left="0.43" right="0.7" top="0.75" bottom="0.75" header="0.3" footer="0.3"/>
  <pageSetup paperSize="9" orientation="landscape"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249977111117893"/>
  </sheetPr>
  <dimension ref="B1:O27"/>
  <sheetViews>
    <sheetView showGridLines="0" zoomScaleNormal="100" workbookViewId="0">
      <pane xSplit="2" ySplit="4" topLeftCell="C5" activePane="bottomRight" state="frozen"/>
      <selection pane="topRight" activeCell="C1" sqref="C1"/>
      <selection pane="bottomLeft" activeCell="A5" sqref="A5"/>
      <selection pane="bottomRight" activeCell="J23" sqref="J23:O25"/>
    </sheetView>
  </sheetViews>
  <sheetFormatPr defaultColWidth="32.28515625" defaultRowHeight="15" x14ac:dyDescent="0.25"/>
  <cols>
    <col min="1" max="1" width="4.7109375" style="96" customWidth="1"/>
    <col min="2" max="2" width="40.28515625" style="97" customWidth="1"/>
    <col min="3" max="15" width="12.7109375" style="44" customWidth="1"/>
    <col min="16" max="16384" width="32.28515625" style="96"/>
  </cols>
  <sheetData>
    <row r="1" spans="2:15" ht="18.75" customHeight="1" x14ac:dyDescent="0.25"/>
    <row r="2" spans="2:15" ht="17.25" customHeight="1" x14ac:dyDescent="0.25">
      <c r="B2" s="355" t="s">
        <v>499</v>
      </c>
      <c r="C2" s="355"/>
      <c r="D2" s="355"/>
      <c r="E2" s="355"/>
      <c r="F2" s="355"/>
      <c r="G2" s="355"/>
      <c r="H2" s="355"/>
      <c r="I2" s="355"/>
      <c r="J2" s="355"/>
      <c r="K2" s="355"/>
      <c r="L2" s="355"/>
      <c r="M2" s="355"/>
      <c r="N2" s="150"/>
      <c r="O2" s="150"/>
    </row>
    <row r="3" spans="2:15" s="58" customFormat="1" ht="18.75" customHeight="1" x14ac:dyDescent="0.25">
      <c r="B3" s="151" t="s">
        <v>14</v>
      </c>
      <c r="C3" s="339">
        <v>2024</v>
      </c>
      <c r="D3" s="339">
        <f t="shared" ref="D3:O3" si="0">C3+1</f>
        <v>2025</v>
      </c>
      <c r="E3" s="339">
        <f t="shared" si="0"/>
        <v>2026</v>
      </c>
      <c r="F3" s="339">
        <f t="shared" si="0"/>
        <v>2027</v>
      </c>
      <c r="G3" s="339">
        <f t="shared" si="0"/>
        <v>2028</v>
      </c>
      <c r="H3" s="339">
        <f t="shared" si="0"/>
        <v>2029</v>
      </c>
      <c r="I3" s="339">
        <f t="shared" si="0"/>
        <v>2030</v>
      </c>
      <c r="J3" s="339">
        <f t="shared" si="0"/>
        <v>2031</v>
      </c>
      <c r="K3" s="339">
        <f t="shared" si="0"/>
        <v>2032</v>
      </c>
      <c r="L3" s="339">
        <f t="shared" si="0"/>
        <v>2033</v>
      </c>
      <c r="M3" s="339">
        <f t="shared" si="0"/>
        <v>2034</v>
      </c>
      <c r="N3" s="339">
        <f t="shared" si="0"/>
        <v>2035</v>
      </c>
      <c r="O3" s="339">
        <f t="shared" si="0"/>
        <v>2036</v>
      </c>
    </row>
    <row r="4" spans="2:15" s="97" customFormat="1" ht="21" customHeight="1" x14ac:dyDescent="0.25">
      <c r="B4" s="110" t="s">
        <v>445</v>
      </c>
      <c r="C4" s="71" t="s">
        <v>645</v>
      </c>
      <c r="D4" s="72" t="s">
        <v>645</v>
      </c>
      <c r="E4" s="71" t="s">
        <v>646</v>
      </c>
      <c r="F4" s="71" t="s">
        <v>646</v>
      </c>
      <c r="G4" s="71" t="s">
        <v>646</v>
      </c>
      <c r="H4" s="71" t="s">
        <v>646</v>
      </c>
      <c r="I4" s="71" t="s">
        <v>646</v>
      </c>
      <c r="J4" s="71" t="s">
        <v>646</v>
      </c>
      <c r="K4" s="71" t="s">
        <v>646</v>
      </c>
      <c r="L4" s="71" t="s">
        <v>646</v>
      </c>
      <c r="M4" s="71" t="s">
        <v>646</v>
      </c>
      <c r="N4" s="71" t="s">
        <v>646</v>
      </c>
      <c r="O4" s="71" t="s">
        <v>646</v>
      </c>
    </row>
    <row r="5" spans="2:15" s="97" customFormat="1" ht="21" customHeight="1" x14ac:dyDescent="0.25">
      <c r="B5" s="64" t="s">
        <v>44</v>
      </c>
      <c r="C5" s="44"/>
      <c r="D5" s="44"/>
      <c r="E5" s="44"/>
      <c r="F5" s="44"/>
      <c r="G5" s="44"/>
      <c r="H5" s="44"/>
      <c r="I5" s="44"/>
      <c r="J5" s="44"/>
      <c r="K5" s="44"/>
      <c r="L5" s="44"/>
      <c r="M5" s="44"/>
      <c r="N5" s="44"/>
      <c r="O5" s="44"/>
    </row>
    <row r="6" spans="2:15" s="97" customFormat="1" ht="21" customHeight="1" x14ac:dyDescent="0.25">
      <c r="B6" s="97" t="s">
        <v>494</v>
      </c>
      <c r="C6" s="107">
        <f>'P &amp; L'!C29</f>
        <v>0</v>
      </c>
      <c r="D6" s="107">
        <f>'P &amp; L'!D29</f>
        <v>0</v>
      </c>
      <c r="E6" s="107">
        <f>'P &amp; L'!E29</f>
        <v>310.05046709449971</v>
      </c>
      <c r="F6" s="107">
        <f>'P &amp; L'!F29</f>
        <v>343.79996183136336</v>
      </c>
      <c r="G6" s="107">
        <f>'P &amp; L'!G29</f>
        <v>380.43542025094769</v>
      </c>
      <c r="H6" s="107">
        <f>'P &amp; L'!H29</f>
        <v>421.7184026874591</v>
      </c>
      <c r="I6" s="107">
        <f>'P &amp; L'!I29</f>
        <v>467.65950859017221</v>
      </c>
      <c r="J6" s="107">
        <f>'P &amp; L'!J29</f>
        <v>517.70234973377796</v>
      </c>
      <c r="K6" s="107">
        <f>'P &amp; L'!K29</f>
        <v>567.69728521569186</v>
      </c>
      <c r="L6" s="107">
        <f>'P &amp; L'!L29</f>
        <v>621.17937642642005</v>
      </c>
      <c r="M6" s="107">
        <f>'P &amp; L'!M29</f>
        <v>678.22224251188049</v>
      </c>
      <c r="N6" s="107">
        <f>'P &amp; L'!N29</f>
        <v>738.87031428609612</v>
      </c>
      <c r="O6" s="107">
        <f>'P &amp; L'!O29</f>
        <v>800.82767126925751</v>
      </c>
    </row>
    <row r="7" spans="2:15" s="97" customFormat="1" ht="21" customHeight="1" x14ac:dyDescent="0.25">
      <c r="B7" s="97" t="s">
        <v>911</v>
      </c>
      <c r="C7" s="107">
        <f>C22-C8</f>
        <v>58.913208384984003</v>
      </c>
      <c r="D7" s="107">
        <f>BS!D6+BS!D9-BS!C6-BS!C9</f>
        <v>941.08679161501595</v>
      </c>
      <c r="E7" s="107">
        <f>BS!E6+BS!E9-BS!D6-BS!D9</f>
        <v>0</v>
      </c>
      <c r="F7" s="107">
        <v>0</v>
      </c>
      <c r="G7" s="107">
        <v>0</v>
      </c>
      <c r="H7" s="107">
        <v>0</v>
      </c>
      <c r="I7" s="107">
        <v>0</v>
      </c>
      <c r="J7" s="107">
        <v>0</v>
      </c>
      <c r="K7" s="107">
        <v>0</v>
      </c>
      <c r="L7" s="107">
        <v>0</v>
      </c>
      <c r="M7" s="107">
        <v>0</v>
      </c>
      <c r="N7" s="107">
        <v>0</v>
      </c>
      <c r="O7" s="107">
        <v>0</v>
      </c>
    </row>
    <row r="8" spans="2:15" s="97" customFormat="1" ht="21" customHeight="1" x14ac:dyDescent="0.25">
      <c r="B8" s="97" t="s">
        <v>581</v>
      </c>
      <c r="C8" s="107">
        <f>'TL Schd'!D6</f>
        <v>0</v>
      </c>
      <c r="D8" s="107">
        <f>'TL Schd'!E6</f>
        <v>2200</v>
      </c>
      <c r="E8" s="107">
        <f>'TL Schd'!F6</f>
        <v>0</v>
      </c>
      <c r="F8" s="107">
        <f>'TL Schd'!G6</f>
        <v>0</v>
      </c>
      <c r="G8" s="107">
        <v>0</v>
      </c>
      <c r="H8" s="107">
        <v>0</v>
      </c>
      <c r="I8" s="107">
        <v>0</v>
      </c>
      <c r="J8" s="107">
        <v>0</v>
      </c>
      <c r="K8" s="107">
        <v>0</v>
      </c>
      <c r="L8" s="107">
        <v>0</v>
      </c>
      <c r="M8" s="107">
        <v>0</v>
      </c>
      <c r="N8" s="107">
        <v>0</v>
      </c>
      <c r="O8" s="107">
        <v>0</v>
      </c>
    </row>
    <row r="9" spans="2:15" s="97" customFormat="1" ht="21" customHeight="1" x14ac:dyDescent="0.25">
      <c r="B9" s="97" t="s">
        <v>551</v>
      </c>
      <c r="C9" s="107">
        <v>0</v>
      </c>
      <c r="D9" s="107">
        <v>0</v>
      </c>
      <c r="E9" s="107">
        <f>'CoP-MoF'!D25/A</f>
        <v>50</v>
      </c>
      <c r="F9" s="107"/>
      <c r="G9" s="107"/>
      <c r="H9" s="107"/>
      <c r="I9" s="107"/>
      <c r="J9" s="107"/>
      <c r="K9" s="107"/>
      <c r="L9" s="107"/>
      <c r="M9" s="107"/>
      <c r="N9" s="107"/>
      <c r="O9" s="107"/>
    </row>
    <row r="10" spans="2:15" s="97" customFormat="1" ht="21" customHeight="1" x14ac:dyDescent="0.25">
      <c r="B10" s="97" t="s">
        <v>63</v>
      </c>
      <c r="C10" s="107">
        <f>'P &amp; L'!C31</f>
        <v>0</v>
      </c>
      <c r="D10" s="107">
        <f>'P &amp; L'!D31</f>
        <v>0</v>
      </c>
      <c r="E10" s="107">
        <f>'P &amp; L'!E31</f>
        <v>176.40210077973688</v>
      </c>
      <c r="F10" s="107">
        <f>'P &amp; L'!F31</f>
        <v>176.40210077973688</v>
      </c>
      <c r="G10" s="107">
        <f>'P &amp; L'!G31</f>
        <v>176.40210077973688</v>
      </c>
      <c r="H10" s="107">
        <f>'P &amp; L'!H31</f>
        <v>176.40210077973688</v>
      </c>
      <c r="I10" s="107">
        <f>'P &amp; L'!I31</f>
        <v>176.40210077973688</v>
      </c>
      <c r="J10" s="107">
        <f>'P &amp; L'!J31</f>
        <v>176.40210077973688</v>
      </c>
      <c r="K10" s="107">
        <f>'P &amp; L'!K31</f>
        <v>176.40210077973688</v>
      </c>
      <c r="L10" s="107">
        <f>'P &amp; L'!L31</f>
        <v>176.40210077973688</v>
      </c>
      <c r="M10" s="107">
        <f>'P &amp; L'!M31</f>
        <v>176.40210077973688</v>
      </c>
      <c r="N10" s="107">
        <f>'P &amp; L'!N31</f>
        <v>176.40210077973688</v>
      </c>
      <c r="O10" s="107">
        <f>'P &amp; L'!O31</f>
        <v>176.40210077973688</v>
      </c>
    </row>
    <row r="11" spans="2:15" s="97" customFormat="1" ht="21" customHeight="1" x14ac:dyDescent="0.25">
      <c r="B11" s="97" t="s">
        <v>497</v>
      </c>
      <c r="C11" s="107">
        <f>'P &amp; L'!C20</f>
        <v>0</v>
      </c>
      <c r="D11" s="107">
        <f>'P &amp; L'!D20</f>
        <v>0</v>
      </c>
      <c r="E11" s="107">
        <f>'P &amp; L'!E20</f>
        <v>3.16</v>
      </c>
      <c r="F11" s="107">
        <f>'P &amp; L'!F20</f>
        <v>3.16</v>
      </c>
      <c r="G11" s="107">
        <f>'P &amp; L'!G20</f>
        <v>3.16</v>
      </c>
      <c r="H11" s="107">
        <f>'P &amp; L'!H20</f>
        <v>3.16</v>
      </c>
      <c r="I11" s="107">
        <f>'P &amp; L'!I20</f>
        <v>3.16</v>
      </c>
      <c r="J11" s="107">
        <f>'P &amp; L'!J20</f>
        <v>0</v>
      </c>
      <c r="K11" s="107">
        <f>'P &amp; L'!K20</f>
        <v>0</v>
      </c>
      <c r="L11" s="107">
        <f>'P &amp; L'!L20</f>
        <v>0</v>
      </c>
      <c r="M11" s="107">
        <f>'P &amp; L'!M20</f>
        <v>0</v>
      </c>
      <c r="N11" s="107">
        <f>'P &amp; L'!N20</f>
        <v>0</v>
      </c>
      <c r="O11" s="107">
        <f>'P &amp; L'!O20</f>
        <v>0</v>
      </c>
    </row>
    <row r="12" spans="2:15" s="97" customFormat="1" ht="21" customHeight="1" x14ac:dyDescent="0.25">
      <c r="B12" s="97" t="s">
        <v>493</v>
      </c>
      <c r="C12" s="107">
        <f>WC!C26</f>
        <v>0</v>
      </c>
      <c r="D12" s="107">
        <f>BS!D11-BS!C11</f>
        <v>0</v>
      </c>
      <c r="E12" s="107">
        <f>BS!E11-BS!D11</f>
        <v>13.065044</v>
      </c>
      <c r="F12" s="107">
        <f>BS!F11-BS!E11</f>
        <v>0.65325220000000073</v>
      </c>
      <c r="G12" s="107">
        <f>BS!G11-BS!F11</f>
        <v>0.68591480999999987</v>
      </c>
      <c r="H12" s="107">
        <f>BS!H11-BS!G11</f>
        <v>0.72021055050000093</v>
      </c>
      <c r="I12" s="107">
        <f>BS!I11-BS!H11</f>
        <v>0.75622107802500338</v>
      </c>
      <c r="J12" s="107">
        <f>BS!J11-BS!I11</f>
        <v>0.79403213192624911</v>
      </c>
      <c r="K12" s="107">
        <f>BS!K11-BS!J11</f>
        <v>0.83373373852256449</v>
      </c>
      <c r="L12" s="107">
        <f>BS!L11-BS!K11</f>
        <v>0.87542042544869147</v>
      </c>
      <c r="M12" s="107">
        <f>BS!M11-BS!L11</f>
        <v>0.91919144672112196</v>
      </c>
      <c r="N12" s="107">
        <f>BS!N11-BS!M11</f>
        <v>0.96515101905718836</v>
      </c>
      <c r="O12" s="107">
        <f>BS!O11-BS!N11</f>
        <v>1.0134085700100393</v>
      </c>
    </row>
    <row r="13" spans="2:15" s="97" customFormat="1" ht="21" customHeight="1" x14ac:dyDescent="0.25">
      <c r="B13" s="97" t="s">
        <v>510</v>
      </c>
      <c r="C13" s="107"/>
      <c r="D13" s="107">
        <v>0</v>
      </c>
      <c r="E13" s="107">
        <v>0</v>
      </c>
      <c r="F13" s="107">
        <v>0</v>
      </c>
      <c r="G13" s="107">
        <f t="shared" ref="G13" si="1">F13</f>
        <v>0</v>
      </c>
      <c r="H13" s="107"/>
      <c r="I13" s="107"/>
      <c r="J13" s="107"/>
      <c r="K13" s="107"/>
      <c r="L13" s="107"/>
      <c r="M13" s="107"/>
      <c r="N13" s="107"/>
      <c r="O13" s="107"/>
    </row>
    <row r="14" spans="2:15" s="97" customFormat="1" ht="21" customHeight="1" x14ac:dyDescent="0.25">
      <c r="B14" s="92" t="s">
        <v>45</v>
      </c>
      <c r="C14" s="154">
        <f t="shared" ref="C14:N14" si="2">SUM(C6:C13)</f>
        <v>58.913208384984003</v>
      </c>
      <c r="D14" s="154">
        <f t="shared" si="2"/>
        <v>3141.086791615016</v>
      </c>
      <c r="E14" s="154">
        <f>SUM(E6:E13)</f>
        <v>552.67761187423662</v>
      </c>
      <c r="F14" s="154">
        <f t="shared" si="2"/>
        <v>524.01531481110021</v>
      </c>
      <c r="G14" s="154">
        <f t="shared" si="2"/>
        <v>560.68343584068452</v>
      </c>
      <c r="H14" s="154">
        <f t="shared" si="2"/>
        <v>602.00071401769594</v>
      </c>
      <c r="I14" s="154">
        <f t="shared" si="2"/>
        <v>647.97783044793402</v>
      </c>
      <c r="J14" s="154">
        <f t="shared" si="2"/>
        <v>694.89848264544105</v>
      </c>
      <c r="K14" s="154">
        <f t="shared" si="2"/>
        <v>744.93311973395134</v>
      </c>
      <c r="L14" s="154">
        <f t="shared" si="2"/>
        <v>798.45689763160567</v>
      </c>
      <c r="M14" s="154">
        <f t="shared" si="2"/>
        <v>855.54353473833851</v>
      </c>
      <c r="N14" s="154">
        <f t="shared" si="2"/>
        <v>916.2375660848902</v>
      </c>
      <c r="O14" s="154">
        <f t="shared" ref="O14" si="3">SUM(O6:O13)</f>
        <v>978.24318061900442</v>
      </c>
    </row>
    <row r="15" spans="2:15" s="97" customFormat="1" ht="21" customHeight="1" x14ac:dyDescent="0.25">
      <c r="B15" s="97" t="s">
        <v>46</v>
      </c>
      <c r="C15" s="44"/>
      <c r="D15" s="44"/>
      <c r="E15" s="44"/>
      <c r="F15" s="44"/>
      <c r="G15" s="44"/>
      <c r="H15" s="44"/>
      <c r="I15" s="44"/>
      <c r="J15" s="44"/>
      <c r="K15" s="44"/>
      <c r="L15" s="44"/>
      <c r="M15" s="44"/>
      <c r="N15" s="44"/>
      <c r="O15" s="44"/>
    </row>
    <row r="16" spans="2:15" s="97" customFormat="1" ht="21" customHeight="1" x14ac:dyDescent="0.25">
      <c r="C16" s="44"/>
      <c r="D16" s="44"/>
      <c r="E16" s="44"/>
      <c r="F16" s="44"/>
      <c r="G16" s="44"/>
      <c r="H16" s="44"/>
      <c r="I16" s="44"/>
      <c r="J16" s="44"/>
      <c r="K16" s="44"/>
      <c r="L16" s="44"/>
      <c r="M16" s="44"/>
      <c r="N16" s="44"/>
      <c r="O16" s="44"/>
    </row>
    <row r="17" spans="2:15" s="97" customFormat="1" ht="21" customHeight="1" x14ac:dyDescent="0.25">
      <c r="B17" s="97" t="s">
        <v>492</v>
      </c>
      <c r="C17" s="107">
        <f>BS!C21</f>
        <v>58.913208384984003</v>
      </c>
      <c r="D17" s="107">
        <f>BS!D21-BS!C21</f>
        <v>3125.2867916150158</v>
      </c>
      <c r="E17" s="107">
        <f>BS!E21-BS!D21</f>
        <v>0</v>
      </c>
      <c r="F17" s="107">
        <v>0</v>
      </c>
      <c r="G17" s="107">
        <v>0</v>
      </c>
      <c r="H17" s="107">
        <v>0</v>
      </c>
      <c r="I17" s="107">
        <v>0</v>
      </c>
      <c r="J17" s="107">
        <v>0</v>
      </c>
      <c r="K17" s="107">
        <v>0</v>
      </c>
      <c r="L17" s="107">
        <v>0</v>
      </c>
      <c r="M17" s="107">
        <v>0</v>
      </c>
      <c r="N17" s="107">
        <v>0</v>
      </c>
      <c r="O17" s="107">
        <v>0</v>
      </c>
    </row>
    <row r="18" spans="2:15" s="97" customFormat="1" ht="21" customHeight="1" x14ac:dyDescent="0.25">
      <c r="B18" s="97" t="s">
        <v>495</v>
      </c>
      <c r="C18" s="107">
        <f>'TL Schd'!D7</f>
        <v>0</v>
      </c>
      <c r="D18" s="107">
        <f>'TL Schd'!E7</f>
        <v>0</v>
      </c>
      <c r="E18" s="107">
        <f>'TL Schd'!F7</f>
        <v>66</v>
      </c>
      <c r="F18" s="107">
        <f>'TL Schd'!G7</f>
        <v>132</v>
      </c>
      <c r="G18" s="107">
        <f>'TL Schd'!H7</f>
        <v>132</v>
      </c>
      <c r="H18" s="107">
        <f>'TL Schd'!I7</f>
        <v>220</v>
      </c>
      <c r="I18" s="107">
        <f>'TL Schd'!J7</f>
        <v>220</v>
      </c>
      <c r="J18" s="107">
        <f>'TL Schd'!K7</f>
        <v>220</v>
      </c>
      <c r="K18" s="107">
        <f>'TL Schd'!L7</f>
        <v>220</v>
      </c>
      <c r="L18" s="107">
        <f>'TL Schd'!M7</f>
        <v>264</v>
      </c>
      <c r="M18" s="107">
        <f>'TL Schd'!N7</f>
        <v>264</v>
      </c>
      <c r="N18" s="107">
        <f>'TL Schd'!O7</f>
        <v>308.00000000000006</v>
      </c>
      <c r="O18" s="107">
        <f>'TL Schd'!P7</f>
        <v>154.00000000000003</v>
      </c>
    </row>
    <row r="19" spans="2:15" s="97" customFormat="1" ht="21" customHeight="1" x14ac:dyDescent="0.25">
      <c r="B19" s="97" t="s">
        <v>489</v>
      </c>
      <c r="C19" s="107">
        <f>BS!C25</f>
        <v>0</v>
      </c>
      <c r="D19" s="107">
        <f>BS!D25-BS!C25</f>
        <v>0</v>
      </c>
      <c r="E19" s="107">
        <f>BS!E25-BS!D25</f>
        <v>96.39</v>
      </c>
      <c r="F19" s="107">
        <f>BS!F25-BS!E25</f>
        <v>4.819500000000005</v>
      </c>
      <c r="G19" s="107">
        <f>BS!G25-BS!F25</f>
        <v>5.0604750000000109</v>
      </c>
      <c r="H19" s="107">
        <f>BS!H25-BS!G25</f>
        <v>5.3134987499999795</v>
      </c>
      <c r="I19" s="107">
        <f>BS!I25-BS!H25</f>
        <v>5.5791736875000311</v>
      </c>
      <c r="J19" s="107">
        <f>BS!J25-BS!I25</f>
        <v>5.8581323718750014</v>
      </c>
      <c r="K19" s="107">
        <f>BS!K25-BS!J25</f>
        <v>6.151038990468777</v>
      </c>
      <c r="L19" s="107">
        <f>BS!L25-BS!K25</f>
        <v>6.4585909399921775</v>
      </c>
      <c r="M19" s="107">
        <f>BS!M25-BS!L25</f>
        <v>6.7815204869918091</v>
      </c>
      <c r="N19" s="107">
        <f>BS!N25-BS!M25</f>
        <v>7.1205965113413754</v>
      </c>
      <c r="O19" s="107">
        <f>BS!O25-BS!N25</f>
        <v>7.4766263369084527</v>
      </c>
    </row>
    <row r="20" spans="2:15" s="97" customFormat="1" ht="21" customHeight="1" x14ac:dyDescent="0.25">
      <c r="B20" s="97" t="s">
        <v>490</v>
      </c>
      <c r="C20" s="107">
        <f>WC!C31</f>
        <v>0</v>
      </c>
      <c r="D20" s="107">
        <f>WC!D31-WC!C31</f>
        <v>0</v>
      </c>
      <c r="E20" s="107">
        <f>WC!E31-WC!D31</f>
        <v>5.53</v>
      </c>
      <c r="F20" s="107">
        <f>WC!F31-WC!E31</f>
        <v>0.27649999999999952</v>
      </c>
      <c r="G20" s="107">
        <f>WC!G31-WC!F31</f>
        <v>0.29032500000000017</v>
      </c>
      <c r="H20" s="107">
        <f>WC!H31-WC!G31</f>
        <v>0.30484125000000084</v>
      </c>
      <c r="I20" s="107">
        <f>WC!I31-WC!H31</f>
        <v>0.32008331250000133</v>
      </c>
      <c r="J20" s="107">
        <f>WC!J31-WC!I31</f>
        <v>0.33608747812500006</v>
      </c>
      <c r="K20" s="107">
        <f>WC!K31-WC!J31</f>
        <v>0.35289185203125051</v>
      </c>
      <c r="L20" s="107">
        <f>WC!L31-WC!K31</f>
        <v>0.37053644463281277</v>
      </c>
      <c r="M20" s="107">
        <f>WC!M31-WC!L31</f>
        <v>0.38906326686445247</v>
      </c>
      <c r="N20" s="107">
        <f>WC!N31-WC!M31</f>
        <v>0.40851643020767625</v>
      </c>
      <c r="O20" s="107">
        <f>WC!O31-WC!N31</f>
        <v>0.42894225171806077</v>
      </c>
    </row>
    <row r="21" spans="2:15" s="97" customFormat="1" ht="21" customHeight="1" x14ac:dyDescent="0.25">
      <c r="B21" s="97" t="s">
        <v>483</v>
      </c>
      <c r="C21" s="107">
        <v>0</v>
      </c>
      <c r="D21" s="107">
        <v>0</v>
      </c>
      <c r="E21" s="107">
        <f>'CoP-MoF'!D9/A</f>
        <v>15.8</v>
      </c>
      <c r="F21" s="107"/>
      <c r="G21" s="107"/>
      <c r="H21" s="107"/>
      <c r="I21" s="107"/>
      <c r="J21" s="44"/>
      <c r="K21" s="44"/>
      <c r="L21" s="44"/>
      <c r="M21" s="44"/>
      <c r="N21" s="44"/>
      <c r="O21" s="44"/>
    </row>
    <row r="22" spans="2:15" s="97" customFormat="1" ht="21" customHeight="1" x14ac:dyDescent="0.25">
      <c r="B22" s="92" t="s">
        <v>43</v>
      </c>
      <c r="C22" s="154">
        <f t="shared" ref="C22:J22" si="4">SUM(C17:C21)</f>
        <v>58.913208384984003</v>
      </c>
      <c r="D22" s="154">
        <f t="shared" si="4"/>
        <v>3125.2867916150158</v>
      </c>
      <c r="E22" s="154">
        <f t="shared" si="4"/>
        <v>183.72</v>
      </c>
      <c r="F22" s="154">
        <f t="shared" si="4"/>
        <v>137.096</v>
      </c>
      <c r="G22" s="154">
        <f t="shared" si="4"/>
        <v>137.35079999999999</v>
      </c>
      <c r="H22" s="154">
        <f t="shared" si="4"/>
        <v>225.61833999999999</v>
      </c>
      <c r="I22" s="154">
        <f t="shared" si="4"/>
        <v>225.89925700000003</v>
      </c>
      <c r="J22" s="154">
        <f t="shared" si="4"/>
        <v>226.19421985</v>
      </c>
      <c r="K22" s="154">
        <f t="shared" ref="K22:M22" si="5">SUM(K17:K21)</f>
        <v>226.50393084250004</v>
      </c>
      <c r="L22" s="154">
        <f t="shared" si="5"/>
        <v>270.829127384625</v>
      </c>
      <c r="M22" s="154">
        <f t="shared" si="5"/>
        <v>271.17058375385625</v>
      </c>
      <c r="N22" s="154">
        <f t="shared" ref="N22:O22" si="6">SUM(N17:N21)</f>
        <v>315.5291129415491</v>
      </c>
      <c r="O22" s="154">
        <f t="shared" si="6"/>
        <v>161.90556858862655</v>
      </c>
    </row>
    <row r="23" spans="2:15" s="97" customFormat="1" ht="21" customHeight="1" x14ac:dyDescent="0.25">
      <c r="B23" s="97" t="s">
        <v>496</v>
      </c>
      <c r="C23" s="107">
        <v>0</v>
      </c>
      <c r="D23" s="107">
        <f t="shared" ref="D23:O23" si="7">C25</f>
        <v>0</v>
      </c>
      <c r="E23" s="107">
        <f t="shared" si="7"/>
        <v>15.800000000000182</v>
      </c>
      <c r="F23" s="107">
        <f t="shared" si="7"/>
        <v>384.75761187423677</v>
      </c>
      <c r="G23" s="107">
        <f t="shared" si="7"/>
        <v>771.67692668533698</v>
      </c>
      <c r="H23" s="107">
        <f t="shared" si="7"/>
        <v>1195.0095625260215</v>
      </c>
      <c r="I23" s="107">
        <f t="shared" si="7"/>
        <v>1571.3919365437173</v>
      </c>
      <c r="J23" s="107">
        <f t="shared" si="7"/>
        <v>1993.4705099916514</v>
      </c>
      <c r="K23" s="107">
        <f t="shared" si="7"/>
        <v>2462.1747727870925</v>
      </c>
      <c r="L23" s="107">
        <f t="shared" si="7"/>
        <v>2980.6039616785438</v>
      </c>
      <c r="M23" s="107">
        <f t="shared" si="7"/>
        <v>3508.2317319255244</v>
      </c>
      <c r="N23" s="107">
        <f t="shared" si="7"/>
        <v>4092.6046829100069</v>
      </c>
      <c r="O23" s="107">
        <f t="shared" si="7"/>
        <v>4693.313136053348</v>
      </c>
    </row>
    <row r="24" spans="2:15" s="97" customFormat="1" ht="21" customHeight="1" x14ac:dyDescent="0.25">
      <c r="B24" s="97" t="s">
        <v>47</v>
      </c>
      <c r="C24" s="107">
        <f t="shared" ref="C24:I24" si="8">C14-C22</f>
        <v>0</v>
      </c>
      <c r="D24" s="107">
        <f t="shared" si="8"/>
        <v>15.800000000000182</v>
      </c>
      <c r="E24" s="107">
        <f t="shared" si="8"/>
        <v>368.95761187423659</v>
      </c>
      <c r="F24" s="107">
        <f t="shared" si="8"/>
        <v>386.91931481110021</v>
      </c>
      <c r="G24" s="107">
        <f t="shared" si="8"/>
        <v>423.33263584068453</v>
      </c>
      <c r="H24" s="107">
        <f t="shared" si="8"/>
        <v>376.38237401769595</v>
      </c>
      <c r="I24" s="107">
        <f t="shared" si="8"/>
        <v>422.07857344793399</v>
      </c>
      <c r="J24" s="107">
        <f t="shared" ref="J24:K24" si="9">J14-J22</f>
        <v>468.70426279544108</v>
      </c>
      <c r="K24" s="107">
        <f t="shared" si="9"/>
        <v>518.4291888914513</v>
      </c>
      <c r="L24" s="107">
        <f t="shared" ref="L24:M24" si="10">L14-L22</f>
        <v>527.62777024698062</v>
      </c>
      <c r="M24" s="107">
        <f t="shared" si="10"/>
        <v>584.37295098448226</v>
      </c>
      <c r="N24" s="107">
        <f t="shared" ref="N24:O24" si="11">N14-N22</f>
        <v>600.7084531433411</v>
      </c>
      <c r="O24" s="107">
        <f t="shared" si="11"/>
        <v>816.33761203037784</v>
      </c>
    </row>
    <row r="25" spans="2:15" s="97" customFormat="1" ht="21" customHeight="1" x14ac:dyDescent="0.25">
      <c r="B25" s="155" t="s">
        <v>48</v>
      </c>
      <c r="C25" s="152">
        <f>C23+C24</f>
        <v>0</v>
      </c>
      <c r="D25" s="152">
        <f t="shared" ref="D25:I25" si="12">D23+D24</f>
        <v>15.800000000000182</v>
      </c>
      <c r="E25" s="152">
        <f t="shared" si="12"/>
        <v>384.75761187423677</v>
      </c>
      <c r="F25" s="152">
        <f t="shared" si="12"/>
        <v>771.67692668533698</v>
      </c>
      <c r="G25" s="152">
        <f t="shared" si="12"/>
        <v>1195.0095625260215</v>
      </c>
      <c r="H25" s="152">
        <f t="shared" si="12"/>
        <v>1571.3919365437173</v>
      </c>
      <c r="I25" s="152">
        <f t="shared" si="12"/>
        <v>1993.4705099916514</v>
      </c>
      <c r="J25" s="152">
        <f t="shared" ref="J25:K25" si="13">J23+J24</f>
        <v>2462.1747727870925</v>
      </c>
      <c r="K25" s="152">
        <f t="shared" si="13"/>
        <v>2980.6039616785438</v>
      </c>
      <c r="L25" s="152">
        <f t="shared" ref="L25:M25" si="14">L23+L24</f>
        <v>3508.2317319255244</v>
      </c>
      <c r="M25" s="152">
        <f t="shared" si="14"/>
        <v>4092.6046829100069</v>
      </c>
      <c r="N25" s="152">
        <f t="shared" ref="N25:O25" si="15">N23+N24</f>
        <v>4693.313136053348</v>
      </c>
      <c r="O25" s="152">
        <f t="shared" si="15"/>
        <v>5509.6507480837263</v>
      </c>
    </row>
    <row r="27" spans="2:15" x14ac:dyDescent="0.25">
      <c r="C27" s="107"/>
    </row>
  </sheetData>
  <customSheetViews>
    <customSheetView guid="{22475485-DA09-46DB-978D-BB94CE1E5597}">
      <pane xSplit="2" ySplit="2" topLeftCell="C20" activePane="bottomRight" state="frozen"/>
      <selection pane="bottomRight" activeCell="A28" sqref="A28"/>
      <pageMargins left="0.35" right="0.7" top="0.75" bottom="0.75" header="0.3" footer="0.3"/>
      <pageSetup paperSize="9" orientation="landscape" verticalDpi="300" r:id="rId1"/>
    </customSheetView>
  </customSheetViews>
  <mergeCells count="1">
    <mergeCell ref="B2:M2"/>
  </mergeCells>
  <pageMargins left="0.35" right="0.7" top="0.75" bottom="0.75" header="0.3" footer="0.3"/>
  <pageSetup paperSize="9" orientation="landscape"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N54"/>
  <sheetViews>
    <sheetView topLeftCell="B1" workbookViewId="0">
      <selection activeCell="D12" sqref="D12"/>
    </sheetView>
  </sheetViews>
  <sheetFormatPr defaultColWidth="9.140625" defaultRowHeight="15" x14ac:dyDescent="0.25"/>
  <cols>
    <col min="1" max="1" width="4.42578125" style="157" customWidth="1"/>
    <col min="2" max="2" width="27" style="175" customWidth="1"/>
    <col min="3" max="3" width="12.7109375" style="165" hidden="1" customWidth="1"/>
    <col min="4" max="14" width="12.7109375" style="165" customWidth="1"/>
    <col min="15" max="16384" width="9.140625" style="157"/>
  </cols>
  <sheetData>
    <row r="2" spans="2:14" ht="18" customHeight="1" x14ac:dyDescent="0.25">
      <c r="B2" s="167" t="s">
        <v>747</v>
      </c>
      <c r="C2" s="150"/>
      <c r="D2" s="150"/>
      <c r="E2" s="150"/>
      <c r="F2" s="150"/>
      <c r="G2" s="150"/>
      <c r="H2" s="150"/>
      <c r="I2" s="150"/>
      <c r="J2" s="150"/>
      <c r="K2" s="150"/>
      <c r="L2" s="150"/>
      <c r="M2" s="150"/>
      <c r="N2" s="150"/>
    </row>
    <row r="3" spans="2:14" x14ac:dyDescent="0.25">
      <c r="B3" s="168"/>
      <c r="C3" s="177"/>
      <c r="D3" s="177"/>
      <c r="E3" s="177"/>
      <c r="F3" s="177"/>
      <c r="G3" s="177"/>
      <c r="H3" s="177"/>
      <c r="I3" s="177"/>
    </row>
    <row r="4" spans="2:14" ht="20.25" customHeight="1" x14ac:dyDescent="0.25">
      <c r="B4" s="134" t="s">
        <v>774</v>
      </c>
      <c r="C4" s="93">
        <v>2025</v>
      </c>
      <c r="D4" s="93">
        <f t="shared" ref="D4:N4" si="0">C4+1</f>
        <v>2026</v>
      </c>
      <c r="E4" s="93">
        <f t="shared" si="0"/>
        <v>2027</v>
      </c>
      <c r="F4" s="93">
        <f t="shared" si="0"/>
        <v>2028</v>
      </c>
      <c r="G4" s="93">
        <f t="shared" si="0"/>
        <v>2029</v>
      </c>
      <c r="H4" s="93">
        <f t="shared" si="0"/>
        <v>2030</v>
      </c>
      <c r="I4" s="93">
        <f t="shared" si="0"/>
        <v>2031</v>
      </c>
      <c r="J4" s="93">
        <f t="shared" si="0"/>
        <v>2032</v>
      </c>
      <c r="K4" s="93">
        <f t="shared" si="0"/>
        <v>2033</v>
      </c>
      <c r="L4" s="93">
        <f t="shared" si="0"/>
        <v>2034</v>
      </c>
      <c r="M4" s="93">
        <f t="shared" si="0"/>
        <v>2035</v>
      </c>
      <c r="N4" s="93">
        <f t="shared" si="0"/>
        <v>2036</v>
      </c>
    </row>
    <row r="5" spans="2:14" ht="20.100000000000001" customHeight="1" x14ac:dyDescent="0.25">
      <c r="B5" s="169" t="s">
        <v>748</v>
      </c>
      <c r="C5" s="160">
        <f>'P &amp; L'!D10</f>
        <v>0</v>
      </c>
      <c r="D5" s="160">
        <f>'P &amp; L'!E10</f>
        <v>1606.5</v>
      </c>
      <c r="E5" s="160">
        <f>'P &amp; L'!F10</f>
        <v>1686.825</v>
      </c>
      <c r="F5" s="160">
        <f>'P &amp; L'!G10</f>
        <v>1771.1662500000002</v>
      </c>
      <c r="G5" s="160">
        <f>'P &amp; L'!H10</f>
        <v>1859.7245625</v>
      </c>
      <c r="H5" s="160">
        <f>'P &amp; L'!I10</f>
        <v>1952.7107906250003</v>
      </c>
      <c r="I5" s="160">
        <f>'P &amp; L'!J10</f>
        <v>2050.3463301562506</v>
      </c>
      <c r="J5" s="160">
        <f>'P &amp; L'!K10</f>
        <v>2152.8636466640633</v>
      </c>
      <c r="K5" s="160">
        <f>'P &amp; L'!L10</f>
        <v>2260.5068289972664</v>
      </c>
      <c r="L5" s="160">
        <f>'P &amp; L'!M10</f>
        <v>2373.5321704471298</v>
      </c>
      <c r="M5" s="160">
        <f>'P &amp; L'!N10</f>
        <v>2492.208778969486</v>
      </c>
      <c r="N5" s="160">
        <f>'P &amp; L'!O10</f>
        <v>2616.8192179179605</v>
      </c>
    </row>
    <row r="6" spans="2:14" ht="20.100000000000001" customHeight="1" x14ac:dyDescent="0.25">
      <c r="B6" s="169" t="s">
        <v>749</v>
      </c>
      <c r="C6" s="160">
        <f>'P &amp; L'!D15</f>
        <v>0</v>
      </c>
      <c r="D6" s="160">
        <f>'P &amp; L'!E15</f>
        <v>461.34000000000003</v>
      </c>
      <c r="E6" s="160">
        <f>'P &amp; L'!F15</f>
        <v>484.40699999999998</v>
      </c>
      <c r="F6" s="160">
        <f>'P &amp; L'!G15</f>
        <v>508.62734999999998</v>
      </c>
      <c r="G6" s="160">
        <f>'P &amp; L'!H15</f>
        <v>534.05871750000006</v>
      </c>
      <c r="H6" s="160">
        <f>'P &amp; L'!I15</f>
        <v>560.76165337500015</v>
      </c>
      <c r="I6" s="160">
        <f>'P &amp; L'!J15</f>
        <v>588.79973604375016</v>
      </c>
      <c r="J6" s="160">
        <f>'P &amp; L'!K15</f>
        <v>618.23972284593776</v>
      </c>
      <c r="K6" s="160">
        <f>'P &amp; L'!L15</f>
        <v>649.15170898823465</v>
      </c>
      <c r="L6" s="160">
        <f>'P &amp; L'!M15</f>
        <v>681.60929443764633</v>
      </c>
      <c r="M6" s="160">
        <f>'P &amp; L'!N15</f>
        <v>715.68975915952865</v>
      </c>
      <c r="N6" s="160">
        <f>'P &amp; L'!O15</f>
        <v>751.47424711750523</v>
      </c>
    </row>
    <row r="7" spans="2:14" ht="20.100000000000001" customHeight="1" x14ac:dyDescent="0.25">
      <c r="B7" s="169" t="s">
        <v>750</v>
      </c>
      <c r="C7" s="160">
        <f>C5-C6</f>
        <v>0</v>
      </c>
      <c r="D7" s="160">
        <f t="shared" ref="D7:M7" si="1">D5-D6</f>
        <v>1145.1599999999999</v>
      </c>
      <c r="E7" s="160">
        <f t="shared" si="1"/>
        <v>1202.4180000000001</v>
      </c>
      <c r="F7" s="160">
        <f t="shared" si="1"/>
        <v>1262.5389000000002</v>
      </c>
      <c r="G7" s="160">
        <f t="shared" si="1"/>
        <v>1325.665845</v>
      </c>
      <c r="H7" s="160">
        <f t="shared" si="1"/>
        <v>1391.9491372500001</v>
      </c>
      <c r="I7" s="160">
        <f t="shared" si="1"/>
        <v>1461.5465941125003</v>
      </c>
      <c r="J7" s="160">
        <f t="shared" si="1"/>
        <v>1534.6239238181256</v>
      </c>
      <c r="K7" s="160">
        <f t="shared" si="1"/>
        <v>1611.3551200090319</v>
      </c>
      <c r="L7" s="160">
        <f t="shared" si="1"/>
        <v>1691.9228760094834</v>
      </c>
      <c r="M7" s="160">
        <f t="shared" si="1"/>
        <v>1776.5190198099574</v>
      </c>
      <c r="N7" s="160">
        <f t="shared" ref="N7" si="2">N5-N6</f>
        <v>1865.3449708004553</v>
      </c>
    </row>
    <row r="8" spans="2:14" ht="20.100000000000001" customHeight="1" x14ac:dyDescent="0.25">
      <c r="B8" s="169" t="s">
        <v>751</v>
      </c>
      <c r="C8" s="160">
        <f>'P &amp; L'!D21</f>
        <v>0</v>
      </c>
      <c r="D8" s="160">
        <f>'P &amp; L'!E21</f>
        <v>245.1722</v>
      </c>
      <c r="E8" s="160">
        <f>'P &amp; L'!F21</f>
        <v>257.24781000000002</v>
      </c>
      <c r="F8" s="160">
        <f>'P &amp; L'!G21</f>
        <v>269.92720050000003</v>
      </c>
      <c r="G8" s="160">
        <f>'P &amp; L'!H21</f>
        <v>283.24056052500009</v>
      </c>
      <c r="H8" s="160">
        <f>'P &amp; L'!I21</f>
        <v>297.26958855125014</v>
      </c>
      <c r="I8" s="160">
        <f>'P &amp; L'!J21</f>
        <v>308.7875679788126</v>
      </c>
      <c r="J8" s="160">
        <f>'P &amp; L'!K21</f>
        <v>324.19944637775325</v>
      </c>
      <c r="K8" s="160">
        <f>'P &amp; L'!L21</f>
        <v>340.38191869664092</v>
      </c>
      <c r="L8" s="160">
        <f>'P &amp; L'!M21</f>
        <v>357.37351463147297</v>
      </c>
      <c r="M8" s="160">
        <f>'P &amp; L'!N21</f>
        <v>375.26969036304666</v>
      </c>
      <c r="N8" s="160">
        <f>'P &amp; L'!O21</f>
        <v>394.06342488119896</v>
      </c>
    </row>
    <row r="9" spans="2:14" ht="20.100000000000001" customHeight="1" x14ac:dyDescent="0.25">
      <c r="B9" s="169" t="s">
        <v>529</v>
      </c>
      <c r="C9" s="161">
        <f>C7-C8</f>
        <v>0</v>
      </c>
      <c r="D9" s="161">
        <f t="shared" ref="D9:M9" si="3">D7-D8</f>
        <v>899.98779999999988</v>
      </c>
      <c r="E9" s="161">
        <f t="shared" si="3"/>
        <v>945.17019000000005</v>
      </c>
      <c r="F9" s="161">
        <f t="shared" si="3"/>
        <v>992.61169950000021</v>
      </c>
      <c r="G9" s="161">
        <f t="shared" si="3"/>
        <v>1042.4252844749999</v>
      </c>
      <c r="H9" s="161">
        <f t="shared" si="3"/>
        <v>1094.6795486987501</v>
      </c>
      <c r="I9" s="161">
        <f t="shared" si="3"/>
        <v>1152.7590261336877</v>
      </c>
      <c r="J9" s="161">
        <f t="shared" si="3"/>
        <v>1210.4244774403724</v>
      </c>
      <c r="K9" s="161">
        <f t="shared" si="3"/>
        <v>1270.973201312391</v>
      </c>
      <c r="L9" s="161">
        <f t="shared" si="3"/>
        <v>1334.5493613780104</v>
      </c>
      <c r="M9" s="161">
        <f t="shared" si="3"/>
        <v>1401.2493294469107</v>
      </c>
      <c r="N9" s="161">
        <f t="shared" ref="N9" si="4">N7-N8</f>
        <v>1471.2815459192564</v>
      </c>
    </row>
    <row r="10" spans="2:14" ht="20.100000000000001" customHeight="1" x14ac:dyDescent="0.25">
      <c r="B10" s="189" t="s">
        <v>752</v>
      </c>
      <c r="C10" s="188" t="e">
        <f>C7/C5</f>
        <v>#DIV/0!</v>
      </c>
      <c r="D10" s="188">
        <f t="shared" ref="D10:M10" si="5">D7/D5</f>
        <v>0.71282913165266093</v>
      </c>
      <c r="E10" s="188">
        <f t="shared" si="5"/>
        <v>0.71282913165266115</v>
      </c>
      <c r="F10" s="188">
        <f t="shared" si="5"/>
        <v>0.71282913165266115</v>
      </c>
      <c r="G10" s="188">
        <f t="shared" si="5"/>
        <v>0.71282913165266104</v>
      </c>
      <c r="H10" s="188">
        <f t="shared" si="5"/>
        <v>0.71282913165266104</v>
      </c>
      <c r="I10" s="188">
        <f t="shared" si="5"/>
        <v>0.71282913165266104</v>
      </c>
      <c r="J10" s="188">
        <f t="shared" si="5"/>
        <v>0.71282913165266104</v>
      </c>
      <c r="K10" s="188">
        <f t="shared" si="5"/>
        <v>0.71282913165266115</v>
      </c>
      <c r="L10" s="188">
        <f t="shared" si="5"/>
        <v>0.71282913165266104</v>
      </c>
      <c r="M10" s="188">
        <f t="shared" si="5"/>
        <v>0.71282913165266104</v>
      </c>
      <c r="N10" s="188">
        <f t="shared" ref="N10" si="6">N7/N5</f>
        <v>0.71282913165266104</v>
      </c>
    </row>
    <row r="11" spans="2:14" ht="30" customHeight="1" x14ac:dyDescent="0.25">
      <c r="B11" s="170" t="s">
        <v>753</v>
      </c>
      <c r="C11" s="161" t="e">
        <f>(C8/C7)*C5</f>
        <v>#DIV/0!</v>
      </c>
      <c r="D11" s="161">
        <f t="shared" ref="D11:M11" si="7">(D8/D7)*D5</f>
        <v>343.94245284501733</v>
      </c>
      <c r="E11" s="161">
        <f t="shared" si="7"/>
        <v>360.88285197265014</v>
      </c>
      <c r="F11" s="161">
        <f t="shared" si="7"/>
        <v>378.67027105666455</v>
      </c>
      <c r="G11" s="161">
        <f t="shared" si="7"/>
        <v>397.3470610948799</v>
      </c>
      <c r="H11" s="161">
        <f t="shared" si="7"/>
        <v>417.02783367178677</v>
      </c>
      <c r="I11" s="161">
        <f t="shared" si="7"/>
        <v>433.18595476436701</v>
      </c>
      <c r="J11" s="161">
        <f t="shared" si="7"/>
        <v>454.80667383235578</v>
      </c>
      <c r="K11" s="161">
        <f t="shared" si="7"/>
        <v>477.50842885374414</v>
      </c>
      <c r="L11" s="161">
        <f t="shared" si="7"/>
        <v>501.34527162620191</v>
      </c>
      <c r="M11" s="161">
        <f t="shared" si="7"/>
        <v>526.45111387774148</v>
      </c>
      <c r="N11" s="161">
        <f t="shared" ref="N11" si="8">(N8/N7)*N5</f>
        <v>552.81610610888094</v>
      </c>
    </row>
    <row r="12" spans="2:14" s="191" customFormat="1" ht="20.100000000000001" customHeight="1" x14ac:dyDescent="0.25">
      <c r="B12" s="189" t="s">
        <v>754</v>
      </c>
      <c r="C12" s="190" t="e">
        <f>C11/C5</f>
        <v>#DIV/0!</v>
      </c>
      <c r="D12" s="190">
        <f t="shared" ref="D12:M12" si="9">D11/D5</f>
        <v>0.21409427503580289</v>
      </c>
      <c r="E12" s="190">
        <f t="shared" si="9"/>
        <v>0.21394208170536372</v>
      </c>
      <c r="F12" s="190">
        <f t="shared" si="9"/>
        <v>0.21379713567637398</v>
      </c>
      <c r="G12" s="190">
        <f t="shared" si="9"/>
        <v>0.21365909183924106</v>
      </c>
      <c r="H12" s="190">
        <f t="shared" si="9"/>
        <v>0.21356354237091582</v>
      </c>
      <c r="I12" s="190">
        <f t="shared" si="9"/>
        <v>0.21127452879209691</v>
      </c>
      <c r="J12" s="190">
        <f t="shared" si="9"/>
        <v>0.21125660909231037</v>
      </c>
      <c r="K12" s="190">
        <f t="shared" si="9"/>
        <v>0.21123954271156134</v>
      </c>
      <c r="L12" s="190">
        <f t="shared" si="9"/>
        <v>0.21122328901560988</v>
      </c>
      <c r="M12" s="190">
        <f t="shared" si="9"/>
        <v>0.21123876872603986</v>
      </c>
      <c r="N12" s="190">
        <f t="shared" ref="N12" si="10">N11/N5</f>
        <v>0.2112549855655379</v>
      </c>
    </row>
    <row r="13" spans="2:14" ht="20.100000000000001" customHeight="1" x14ac:dyDescent="0.25">
      <c r="B13" s="171"/>
      <c r="C13" s="178"/>
      <c r="D13" s="163"/>
      <c r="E13" s="178"/>
      <c r="F13" s="179"/>
      <c r="G13" s="180"/>
      <c r="H13" s="156"/>
      <c r="I13" s="180"/>
    </row>
    <row r="14" spans="2:14" x14ac:dyDescent="0.25">
      <c r="B14" s="171"/>
      <c r="C14" s="181"/>
      <c r="D14" s="181"/>
      <c r="E14" s="181"/>
      <c r="F14" s="181"/>
      <c r="G14" s="181"/>
      <c r="H14" s="182"/>
      <c r="I14" s="182"/>
    </row>
    <row r="15" spans="2:14" hidden="1" x14ac:dyDescent="0.25">
      <c r="B15" s="172"/>
      <c r="C15" s="183"/>
      <c r="D15" s="183"/>
      <c r="E15" s="183"/>
      <c r="F15" s="183"/>
      <c r="G15" s="183"/>
      <c r="H15" s="180"/>
      <c r="I15" s="180"/>
    </row>
    <row r="16" spans="2:14" hidden="1" x14ac:dyDescent="0.25">
      <c r="B16" s="370" t="s">
        <v>738</v>
      </c>
      <c r="C16" s="370"/>
      <c r="D16" s="370"/>
      <c r="E16" s="370"/>
      <c r="F16" s="370"/>
      <c r="G16" s="370"/>
      <c r="H16" s="370"/>
      <c r="I16" s="370"/>
    </row>
    <row r="17" spans="2:10" hidden="1" x14ac:dyDescent="0.25">
      <c r="B17" s="162" t="s">
        <v>739</v>
      </c>
      <c r="C17" s="159">
        <f t="shared" ref="C17:J17" si="11">C4</f>
        <v>2025</v>
      </c>
      <c r="D17" s="159">
        <f t="shared" si="11"/>
        <v>2026</v>
      </c>
      <c r="E17" s="159">
        <f t="shared" si="11"/>
        <v>2027</v>
      </c>
      <c r="F17" s="159">
        <f t="shared" si="11"/>
        <v>2028</v>
      </c>
      <c r="G17" s="159">
        <f t="shared" si="11"/>
        <v>2029</v>
      </c>
      <c r="H17" s="159">
        <f t="shared" si="11"/>
        <v>2030</v>
      </c>
      <c r="I17" s="159">
        <f t="shared" si="11"/>
        <v>2031</v>
      </c>
      <c r="J17" s="159">
        <f t="shared" si="11"/>
        <v>2032</v>
      </c>
    </row>
    <row r="18" spans="2:10" hidden="1" x14ac:dyDescent="0.25">
      <c r="B18" s="173" t="s">
        <v>740</v>
      </c>
      <c r="C18" s="164">
        <v>0.13</v>
      </c>
      <c r="D18" s="164">
        <f>C18</f>
        <v>0.13</v>
      </c>
      <c r="E18" s="164">
        <f t="shared" ref="E18:J18" si="12">D18</f>
        <v>0.13</v>
      </c>
      <c r="F18" s="164">
        <f t="shared" si="12"/>
        <v>0.13</v>
      </c>
      <c r="G18" s="164">
        <f t="shared" si="12"/>
        <v>0.13</v>
      </c>
      <c r="H18" s="164">
        <f t="shared" si="12"/>
        <v>0.13</v>
      </c>
      <c r="I18" s="164">
        <f t="shared" si="12"/>
        <v>0.13</v>
      </c>
      <c r="J18" s="164">
        <f t="shared" si="12"/>
        <v>0.13</v>
      </c>
    </row>
    <row r="19" spans="2:10" hidden="1" x14ac:dyDescent="0.25">
      <c r="B19" s="173" t="s">
        <v>741</v>
      </c>
      <c r="C19" s="164">
        <v>0.2</v>
      </c>
      <c r="D19" s="164">
        <v>0.2</v>
      </c>
      <c r="E19" s="164">
        <v>0.2</v>
      </c>
      <c r="F19" s="164">
        <v>0.2</v>
      </c>
      <c r="G19" s="164">
        <v>0.2</v>
      </c>
      <c r="H19" s="164">
        <v>0.2</v>
      </c>
      <c r="I19" s="164">
        <v>0.2</v>
      </c>
      <c r="J19" s="164">
        <v>0.2</v>
      </c>
    </row>
    <row r="20" spans="2:10" hidden="1" x14ac:dyDescent="0.25">
      <c r="B20" s="173" t="s">
        <v>742</v>
      </c>
      <c r="C20" s="184">
        <v>0</v>
      </c>
      <c r="D20" s="184">
        <v>0</v>
      </c>
      <c r="E20" s="184">
        <v>0</v>
      </c>
      <c r="F20" s="184">
        <v>0</v>
      </c>
      <c r="G20" s="184">
        <v>0</v>
      </c>
      <c r="H20" s="184">
        <v>0</v>
      </c>
      <c r="I20" s="184">
        <v>0</v>
      </c>
      <c r="J20" s="184">
        <v>0</v>
      </c>
    </row>
    <row r="21" spans="2:10" hidden="1" x14ac:dyDescent="0.25">
      <c r="B21" s="173" t="s">
        <v>743</v>
      </c>
      <c r="C21" s="184">
        <v>0.33989999999999998</v>
      </c>
      <c r="D21" s="184">
        <v>0.33989999999999998</v>
      </c>
      <c r="E21" s="184">
        <v>0.33989999999999998</v>
      </c>
      <c r="F21" s="184">
        <v>0.33989999999999998</v>
      </c>
      <c r="G21" s="184">
        <v>0.33989999999999998</v>
      </c>
      <c r="H21" s="184">
        <v>0.33989999999999998</v>
      </c>
      <c r="I21" s="184">
        <v>0.33989999999999998</v>
      </c>
      <c r="J21" s="184">
        <v>0.33989999999999998</v>
      </c>
    </row>
    <row r="22" spans="2:10" hidden="1" x14ac:dyDescent="0.25">
      <c r="B22" s="174" t="s">
        <v>744</v>
      </c>
      <c r="C22" s="185">
        <f>C18*C20*(1-C21)+C19*(1-C20)</f>
        <v>0.2</v>
      </c>
      <c r="D22" s="185">
        <f>D18*D20*(1-D21)+D19*(1-D20)</f>
        <v>0.2</v>
      </c>
      <c r="E22" s="185">
        <f>E18*E20*(1-E21)+E19*(1-E20)</f>
        <v>0.2</v>
      </c>
      <c r="F22" s="185">
        <f t="shared" ref="F22:J22" si="13">F18*F20*(1-F21)+F19*(1-F20)</f>
        <v>0.2</v>
      </c>
      <c r="G22" s="185">
        <f t="shared" si="13"/>
        <v>0.2</v>
      </c>
      <c r="H22" s="185">
        <f t="shared" si="13"/>
        <v>0.2</v>
      </c>
      <c r="I22" s="185">
        <f t="shared" si="13"/>
        <v>0.2</v>
      </c>
      <c r="J22" s="185">
        <f t="shared" si="13"/>
        <v>0.2</v>
      </c>
    </row>
    <row r="23" spans="2:10" hidden="1" x14ac:dyDescent="0.25">
      <c r="B23" s="173" t="s">
        <v>745</v>
      </c>
      <c r="E23" s="166">
        <f>1/(1+E22)</f>
        <v>0.83333333333333337</v>
      </c>
      <c r="F23" s="186">
        <f t="shared" ref="F23:J23" si="14">E23/(1+F22)</f>
        <v>0.69444444444444453</v>
      </c>
      <c r="G23" s="186">
        <f t="shared" si="14"/>
        <v>0.57870370370370383</v>
      </c>
      <c r="H23" s="186">
        <f t="shared" si="14"/>
        <v>0.48225308641975323</v>
      </c>
      <c r="I23" s="186">
        <f t="shared" si="14"/>
        <v>0.40187757201646102</v>
      </c>
      <c r="J23" s="186">
        <f t="shared" si="14"/>
        <v>0.33489797668038418</v>
      </c>
    </row>
    <row r="24" spans="2:10" hidden="1" x14ac:dyDescent="0.25">
      <c r="E24" s="187"/>
      <c r="F24" s="187"/>
      <c r="G24" s="187"/>
      <c r="H24" s="187"/>
      <c r="I24" s="187"/>
    </row>
    <row r="25" spans="2:10" hidden="1" x14ac:dyDescent="0.25">
      <c r="E25" s="187"/>
      <c r="F25" s="187"/>
      <c r="G25" s="187"/>
      <c r="H25" s="187"/>
      <c r="I25" s="187"/>
    </row>
    <row r="26" spans="2:10" hidden="1" x14ac:dyDescent="0.25">
      <c r="B26" s="171"/>
    </row>
    <row r="27" spans="2:10" hidden="1" x14ac:dyDescent="0.25">
      <c r="B27" s="171"/>
    </row>
    <row r="28" spans="2:10" hidden="1" x14ac:dyDescent="0.25"/>
    <row r="29" spans="2:10" hidden="1" x14ac:dyDescent="0.25"/>
    <row r="30" spans="2:10" hidden="1" x14ac:dyDescent="0.25">
      <c r="E30" s="187"/>
      <c r="F30" s="187"/>
      <c r="G30" s="187"/>
      <c r="H30" s="187"/>
      <c r="I30" s="187"/>
      <c r="J30" s="187"/>
    </row>
    <row r="31" spans="2:10" hidden="1" x14ac:dyDescent="0.25">
      <c r="B31" s="171"/>
      <c r="C31" s="163"/>
      <c r="D31" s="163"/>
    </row>
    <row r="32" spans="2:10" hidden="1" x14ac:dyDescent="0.25">
      <c r="B32" s="176"/>
      <c r="C32" s="164"/>
      <c r="D32" s="164"/>
    </row>
    <row r="33" spans="2:9" hidden="1" x14ac:dyDescent="0.25">
      <c r="B33" s="176"/>
      <c r="C33" s="164"/>
      <c r="D33" s="164"/>
    </row>
    <row r="34" spans="2:9" hidden="1" x14ac:dyDescent="0.25">
      <c r="B34" s="176"/>
      <c r="C34" s="164"/>
      <c r="D34" s="164"/>
    </row>
    <row r="35" spans="2:9" x14ac:dyDescent="0.25">
      <c r="B35" s="176"/>
      <c r="C35" s="164"/>
      <c r="D35" s="164"/>
      <c r="E35" s="187"/>
      <c r="F35" s="187"/>
      <c r="G35" s="187"/>
      <c r="H35" s="187"/>
      <c r="I35" s="187"/>
    </row>
    <row r="36" spans="2:9" x14ac:dyDescent="0.25">
      <c r="B36" s="176"/>
      <c r="C36" s="164"/>
      <c r="D36" s="164"/>
    </row>
    <row r="37" spans="2:9" x14ac:dyDescent="0.25">
      <c r="B37" s="176"/>
      <c r="C37" s="164"/>
      <c r="D37" s="164"/>
    </row>
    <row r="38" spans="2:9" x14ac:dyDescent="0.25">
      <c r="B38" s="176"/>
      <c r="C38" s="164"/>
      <c r="D38" s="164"/>
    </row>
    <row r="39" spans="2:9" x14ac:dyDescent="0.25">
      <c r="B39" s="176"/>
      <c r="C39" s="164"/>
      <c r="D39" s="164"/>
      <c r="E39" s="164"/>
      <c r="F39" s="164"/>
    </row>
    <row r="41" spans="2:9" x14ac:dyDescent="0.25">
      <c r="B41" s="176"/>
      <c r="C41" s="164"/>
      <c r="D41" s="164"/>
    </row>
    <row r="43" spans="2:9" x14ac:dyDescent="0.25">
      <c r="B43" s="371"/>
      <c r="C43" s="371"/>
      <c r="D43" s="371"/>
    </row>
    <row r="44" spans="2:9" x14ac:dyDescent="0.25">
      <c r="B44" s="171"/>
      <c r="C44" s="163"/>
      <c r="D44" s="163"/>
    </row>
    <row r="45" spans="2:9" x14ac:dyDescent="0.25">
      <c r="B45" s="171"/>
      <c r="C45" s="164"/>
      <c r="D45" s="164"/>
    </row>
    <row r="46" spans="2:9" x14ac:dyDescent="0.25">
      <c r="B46" s="171"/>
      <c r="C46" s="164"/>
      <c r="D46" s="164"/>
    </row>
    <row r="47" spans="2:9" x14ac:dyDescent="0.25">
      <c r="B47" s="171"/>
      <c r="D47" s="164"/>
    </row>
    <row r="48" spans="2:9" x14ac:dyDescent="0.25">
      <c r="B48" s="171"/>
    </row>
    <row r="49" spans="2:4" x14ac:dyDescent="0.25">
      <c r="B49" s="171"/>
    </row>
    <row r="50" spans="2:4" x14ac:dyDescent="0.25">
      <c r="B50" s="371"/>
      <c r="C50" s="371"/>
      <c r="D50" s="371"/>
    </row>
    <row r="51" spans="2:4" x14ac:dyDescent="0.25">
      <c r="C51" s="163"/>
      <c r="D51" s="163"/>
    </row>
    <row r="52" spans="2:4" x14ac:dyDescent="0.25">
      <c r="B52" s="171"/>
      <c r="D52" s="166"/>
    </row>
    <row r="53" spans="2:4" x14ac:dyDescent="0.25">
      <c r="B53" s="171"/>
      <c r="C53" s="164"/>
      <c r="D53" s="164"/>
    </row>
    <row r="54" spans="2:4" x14ac:dyDescent="0.25">
      <c r="B54" s="171"/>
      <c r="C54" s="164"/>
      <c r="D54" s="164"/>
    </row>
  </sheetData>
  <mergeCells count="3">
    <mergeCell ref="B16:I16"/>
    <mergeCell ref="B43:D43"/>
    <mergeCell ref="B50:D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77"/>
  <sheetViews>
    <sheetView showGridLines="0" workbookViewId="0">
      <pane xSplit="2" ySplit="4" topLeftCell="C12" activePane="bottomRight" state="frozen"/>
      <selection pane="topRight" activeCell="C1" sqref="C1"/>
      <selection pane="bottomLeft" activeCell="A5" sqref="A5"/>
      <selection pane="bottomRight" activeCell="E66" sqref="E66"/>
    </sheetView>
  </sheetViews>
  <sheetFormatPr defaultColWidth="9.140625" defaultRowHeight="15" x14ac:dyDescent="0.25"/>
  <cols>
    <col min="1" max="1" width="6.140625" style="157" bestFit="1" customWidth="1"/>
    <col min="2" max="2" width="37.42578125" style="175" customWidth="1"/>
    <col min="3" max="4" width="11.7109375" style="165" customWidth="1"/>
    <col min="5" max="5" width="24" style="165" customWidth="1"/>
    <col min="6" max="14" width="11.7109375" style="165" customWidth="1"/>
    <col min="15" max="16384" width="9.140625" style="157"/>
  </cols>
  <sheetData>
    <row r="1" spans="1:15" ht="18" customHeight="1" x14ac:dyDescent="0.25"/>
    <row r="2" spans="1:15" ht="21" customHeight="1" x14ac:dyDescent="0.25">
      <c r="B2" s="167" t="s">
        <v>746</v>
      </c>
      <c r="C2" s="150"/>
      <c r="D2" s="150"/>
      <c r="E2" s="150"/>
      <c r="F2" s="150"/>
      <c r="G2" s="150"/>
      <c r="H2" s="150"/>
      <c r="I2" s="150"/>
      <c r="J2" s="150"/>
      <c r="K2" s="150"/>
      <c r="L2" s="150"/>
      <c r="M2" s="150"/>
      <c r="N2" s="150"/>
      <c r="O2" s="150"/>
    </row>
    <row r="3" spans="1:15" ht="15" customHeight="1" x14ac:dyDescent="0.25">
      <c r="B3" s="168"/>
      <c r="C3" s="177"/>
      <c r="D3" s="177"/>
      <c r="E3" s="177"/>
      <c r="F3" s="177"/>
      <c r="G3" s="177"/>
      <c r="H3" s="177"/>
      <c r="I3" s="177"/>
    </row>
    <row r="4" spans="1:15" ht="22.5" customHeight="1" x14ac:dyDescent="0.25">
      <c r="B4" s="134" t="s">
        <v>774</v>
      </c>
      <c r="C4" s="340">
        <f>BS!C3</f>
        <v>2024</v>
      </c>
      <c r="D4" s="340">
        <f>BS!D3</f>
        <v>2025</v>
      </c>
      <c r="E4" s="340">
        <f>BS!E3</f>
        <v>2026</v>
      </c>
      <c r="F4" s="340">
        <f>BS!F3</f>
        <v>2027</v>
      </c>
      <c r="G4" s="340">
        <f>BS!G3</f>
        <v>2028</v>
      </c>
      <c r="H4" s="340">
        <f>BS!H3</f>
        <v>2029</v>
      </c>
      <c r="I4" s="340">
        <f>BS!I3</f>
        <v>2030</v>
      </c>
      <c r="J4" s="340">
        <f>BS!J3</f>
        <v>2031</v>
      </c>
      <c r="K4" s="340">
        <f>BS!K3</f>
        <v>2032</v>
      </c>
      <c r="L4" s="340">
        <f>BS!L3</f>
        <v>2033</v>
      </c>
      <c r="M4" s="340">
        <f>BS!M3</f>
        <v>2034</v>
      </c>
      <c r="N4" s="340">
        <f>BS!N3</f>
        <v>2035</v>
      </c>
      <c r="O4" s="340">
        <f>BS!O3</f>
        <v>2036</v>
      </c>
    </row>
    <row r="5" spans="1:15" ht="18.75" customHeight="1" x14ac:dyDescent="0.25">
      <c r="B5" s="176" t="s">
        <v>788</v>
      </c>
      <c r="C5" s="344">
        <v>0</v>
      </c>
      <c r="D5" s="344">
        <v>0</v>
      </c>
      <c r="E5" s="344">
        <v>12</v>
      </c>
      <c r="F5" s="344">
        <f t="shared" ref="F5:O5" si="0">E5</f>
        <v>12</v>
      </c>
      <c r="G5" s="344">
        <f t="shared" si="0"/>
        <v>12</v>
      </c>
      <c r="H5" s="344">
        <f t="shared" si="0"/>
        <v>12</v>
      </c>
      <c r="I5" s="344">
        <f t="shared" si="0"/>
        <v>12</v>
      </c>
      <c r="J5" s="344">
        <f t="shared" si="0"/>
        <v>12</v>
      </c>
      <c r="K5" s="344">
        <f t="shared" si="0"/>
        <v>12</v>
      </c>
      <c r="L5" s="344">
        <f t="shared" si="0"/>
        <v>12</v>
      </c>
      <c r="M5" s="344">
        <f t="shared" si="0"/>
        <v>12</v>
      </c>
      <c r="N5" s="344">
        <f t="shared" si="0"/>
        <v>12</v>
      </c>
      <c r="O5" s="344">
        <f t="shared" si="0"/>
        <v>12</v>
      </c>
    </row>
    <row r="6" spans="1:15" ht="19.5" customHeight="1" x14ac:dyDescent="0.25">
      <c r="B6" s="168" t="s">
        <v>731</v>
      </c>
      <c r="C6" s="342">
        <f>'P &amp; L'!C44</f>
        <v>0</v>
      </c>
      <c r="D6" s="342">
        <f>'P &amp; L'!D44</f>
        <v>0</v>
      </c>
      <c r="E6" s="342">
        <f>'P &amp; L'!E44</f>
        <v>723.58569922026311</v>
      </c>
      <c r="F6" s="342">
        <f>'P &amp; L'!F44</f>
        <v>768.76808922026316</v>
      </c>
      <c r="G6" s="342">
        <f>'P &amp; L'!G44</f>
        <v>816.20959872026333</v>
      </c>
      <c r="H6" s="342">
        <f>'P &amp; L'!H44</f>
        <v>866.02318369526301</v>
      </c>
      <c r="I6" s="342">
        <f>'P &amp; L'!I44</f>
        <v>918.27744791901318</v>
      </c>
      <c r="J6" s="342">
        <f>'P &amp; L'!J44</f>
        <v>976.35692535395083</v>
      </c>
      <c r="K6" s="342">
        <f>'P &amp; L'!K44</f>
        <v>1034.0223766606355</v>
      </c>
      <c r="L6" s="342">
        <f>'P &amp; L'!L44</f>
        <v>1094.5711005326539</v>
      </c>
      <c r="M6" s="342">
        <f>'P &amp; L'!M44</f>
        <v>1158.1472605982735</v>
      </c>
      <c r="N6" s="342">
        <f>'P &amp; L'!N44</f>
        <v>1224.8472286671738</v>
      </c>
      <c r="O6" s="342">
        <f>'P &amp; L'!O44</f>
        <v>1294.8794451395195</v>
      </c>
    </row>
    <row r="7" spans="1:15" ht="19.5" customHeight="1" x14ac:dyDescent="0.25">
      <c r="B7" s="168" t="s">
        <v>732</v>
      </c>
      <c r="C7" s="342">
        <f>'P &amp; L'!C28</f>
        <v>0</v>
      </c>
      <c r="D7" s="342">
        <f>'P &amp; L'!D28</f>
        <v>0</v>
      </c>
      <c r="E7" s="342">
        <f>'P &amp; L'!E28</f>
        <v>201.35273212576342</v>
      </c>
      <c r="F7" s="342">
        <f>'P &amp; L'!F28</f>
        <v>223.75812738889977</v>
      </c>
      <c r="G7" s="342">
        <f>'P &amp; L'!G28</f>
        <v>247.10417846931568</v>
      </c>
      <c r="H7" s="342">
        <f>'P &amp; L'!H28</f>
        <v>272.35478100780387</v>
      </c>
      <c r="I7" s="342">
        <f>'P &amp; L'!I28</f>
        <v>299.56793932884102</v>
      </c>
      <c r="J7" s="342">
        <f>'P &amp; L'!J28</f>
        <v>328.50457562017277</v>
      </c>
      <c r="K7" s="342">
        <f>'P &amp; L'!K28</f>
        <v>357.07509144494367</v>
      </c>
      <c r="L7" s="342">
        <f>'P &amp; L'!L28</f>
        <v>387.13172410623389</v>
      </c>
      <c r="M7" s="342">
        <f>'P &amp; L'!M28</f>
        <v>418.74501808639297</v>
      </c>
      <c r="N7" s="342">
        <f>'P &amp; L'!N28</f>
        <v>451.96691438107763</v>
      </c>
      <c r="O7" s="342">
        <f>'P &amp; L'!O28</f>
        <v>485.644273870262</v>
      </c>
    </row>
    <row r="8" spans="1:15" ht="19.5" customHeight="1" x14ac:dyDescent="0.25">
      <c r="B8" s="192" t="s">
        <v>733</v>
      </c>
      <c r="C8" s="342">
        <f>'P &amp; L'!C26</f>
        <v>0</v>
      </c>
      <c r="D8" s="342">
        <f>'P &amp; L'!D26</f>
        <v>0</v>
      </c>
      <c r="E8" s="342">
        <f>'P &amp; L'!E26</f>
        <v>176.40210077973688</v>
      </c>
      <c r="F8" s="342">
        <f>'P &amp; L'!F26</f>
        <v>176.40210077973688</v>
      </c>
      <c r="G8" s="342">
        <f>'P &amp; L'!G26</f>
        <v>176.40210077973688</v>
      </c>
      <c r="H8" s="342">
        <f>'P &amp; L'!H26</f>
        <v>176.40210077973688</v>
      </c>
      <c r="I8" s="342">
        <f>'P &amp; L'!I26</f>
        <v>176.40210077973688</v>
      </c>
      <c r="J8" s="342">
        <f>'P &amp; L'!J26</f>
        <v>176.40210077973688</v>
      </c>
      <c r="K8" s="342">
        <f>'P &amp; L'!K26</f>
        <v>176.40210077973688</v>
      </c>
      <c r="L8" s="342">
        <f>'P &amp; L'!L26</f>
        <v>176.40210077973688</v>
      </c>
      <c r="M8" s="342">
        <f>'P &amp; L'!M26</f>
        <v>176.40210077973688</v>
      </c>
      <c r="N8" s="342">
        <f>'P &amp; L'!N26</f>
        <v>176.40210077973688</v>
      </c>
      <c r="O8" s="342">
        <f>'P &amp; L'!O26</f>
        <v>176.40210077973688</v>
      </c>
    </row>
    <row r="9" spans="1:15" ht="19.5" customHeight="1" x14ac:dyDescent="0.25">
      <c r="B9" s="194" t="s">
        <v>934</v>
      </c>
      <c r="C9" s="341">
        <f t="shared" ref="C9:O9" si="1">C6-C7+C8</f>
        <v>0</v>
      </c>
      <c r="D9" s="341">
        <f t="shared" si="1"/>
        <v>0</v>
      </c>
      <c r="E9" s="341">
        <f t="shared" si="1"/>
        <v>698.6350678742366</v>
      </c>
      <c r="F9" s="341">
        <f t="shared" si="1"/>
        <v>721.41206261110028</v>
      </c>
      <c r="G9" s="341">
        <f t="shared" si="1"/>
        <v>745.50752103068453</v>
      </c>
      <c r="H9" s="341">
        <f t="shared" si="1"/>
        <v>770.07050346719598</v>
      </c>
      <c r="I9" s="341">
        <f t="shared" si="1"/>
        <v>795.11160936990905</v>
      </c>
      <c r="J9" s="341">
        <f t="shared" si="1"/>
        <v>824.25445051351494</v>
      </c>
      <c r="K9" s="341">
        <f t="shared" si="1"/>
        <v>853.34938599542875</v>
      </c>
      <c r="L9" s="341">
        <f t="shared" si="1"/>
        <v>883.84147720615692</v>
      </c>
      <c r="M9" s="341">
        <f t="shared" si="1"/>
        <v>915.80434329161744</v>
      </c>
      <c r="N9" s="341">
        <f t="shared" si="1"/>
        <v>949.28241506583299</v>
      </c>
      <c r="O9" s="341">
        <f t="shared" si="1"/>
        <v>985.63727204899442</v>
      </c>
    </row>
    <row r="10" spans="1:15" ht="19.5" customHeight="1" x14ac:dyDescent="0.25">
      <c r="B10" s="192" t="s">
        <v>734</v>
      </c>
      <c r="C10" s="343">
        <f>IFERROR(((BS!C25+BS!C26)-BS!C11)-((BS!B25+BS!B26)-BS!B11),0)</f>
        <v>0</v>
      </c>
      <c r="D10" s="343">
        <f>IFERROR(((BS!D25+BS!D26)-BS!D11)-((BS!C25+BS!C26)-BS!C11),0)</f>
        <v>0</v>
      </c>
      <c r="E10" s="343">
        <f>IFERROR(((BS!E25+BS!E26)-BS!E11)-((BS!D25+BS!D26)-BS!D11),0)</f>
        <v>88.854956000000001</v>
      </c>
      <c r="F10" s="343">
        <f>IFERROR(((BS!F25+BS!F26)-BS!F11)-((BS!E25+BS!E26)-BS!E11),0)</f>
        <v>4.4427478000000065</v>
      </c>
      <c r="G10" s="343">
        <f>IFERROR(((BS!G25+BS!G26)-BS!G11)-((BS!F25+BS!F26)-BS!F11),0)</f>
        <v>4.6648851900000068</v>
      </c>
      <c r="H10" s="343">
        <f>IFERROR(((BS!H25+BS!H26)-BS!H11)-((BS!G25+BS!G26)-BS!G11),0)</f>
        <v>4.8981294494999901</v>
      </c>
      <c r="I10" s="343">
        <f>IFERROR(((BS!I25+BS!I26)-BS!I11)-((BS!H25+BS!H26)-BS!H11),0)</f>
        <v>5.1430359219750272</v>
      </c>
      <c r="J10" s="343">
        <f>IFERROR(((BS!J25+BS!J26)-BS!J11)-((BS!I25+BS!I26)-BS!I11),0)</f>
        <v>5.4001877180737523</v>
      </c>
      <c r="K10" s="343">
        <f>IFERROR(((BS!K25+BS!K26)-BS!K11)-((BS!J25+BS!J26)-BS!J11),0)</f>
        <v>5.6701971039774719</v>
      </c>
      <c r="L10" s="343">
        <f>IFERROR(((BS!L25+BS!L26)-BS!L11)-((BS!K25+BS!K26)-BS!K11),0)</f>
        <v>5.953706959176273</v>
      </c>
      <c r="M10" s="343">
        <f>IFERROR(((BS!M25+BS!M26)-BS!M11)-((BS!L25+BS!L26)-BS!L11),0)</f>
        <v>6.2513923071351627</v>
      </c>
      <c r="N10" s="343">
        <f>IFERROR(((BS!N25+BS!N26)-BS!N11)-((BS!M25+BS!M26)-BS!M11),0)</f>
        <v>6.563961922491842</v>
      </c>
      <c r="O10" s="343">
        <f>IFERROR(((BS!O25+BS!O26)-BS!O11)-((BS!N25+BS!N26)-BS!N11),0)</f>
        <v>6.8921600186164937</v>
      </c>
    </row>
    <row r="11" spans="1:15" ht="19.5" customHeight="1" x14ac:dyDescent="0.25">
      <c r="B11" s="192" t="s">
        <v>735</v>
      </c>
      <c r="C11" s="181">
        <f>BS!C21</f>
        <v>58.913208384984003</v>
      </c>
      <c r="D11" s="181">
        <f>BS!D21-BS!C21</f>
        <v>3125.2867916150158</v>
      </c>
      <c r="E11" s="181">
        <f>BS!E21-BS!D21</f>
        <v>0</v>
      </c>
      <c r="F11" s="181">
        <f>BS!F21-BS!E21</f>
        <v>0</v>
      </c>
      <c r="G11" s="181">
        <f>BS!G21-BS!F21</f>
        <v>0</v>
      </c>
      <c r="H11" s="181">
        <f>BS!H21-BS!G21</f>
        <v>0</v>
      </c>
      <c r="I11" s="181">
        <f>BS!I21-BS!H21</f>
        <v>0</v>
      </c>
      <c r="J11" s="181">
        <f>BS!J21-BS!I21</f>
        <v>0</v>
      </c>
      <c r="K11" s="181">
        <f>BS!K21-BS!J21</f>
        <v>0</v>
      </c>
      <c r="L11" s="181">
        <f>BS!L21-BS!K21</f>
        <v>0</v>
      </c>
      <c r="M11" s="181">
        <f>BS!M21-BS!L21</f>
        <v>0</v>
      </c>
      <c r="N11" s="181">
        <f>BS!N21-BS!M21</f>
        <v>0</v>
      </c>
      <c r="O11" s="181">
        <f>BS!O21-BS!N21</f>
        <v>0</v>
      </c>
    </row>
    <row r="12" spans="1:15" ht="19.5" customHeight="1" x14ac:dyDescent="0.25">
      <c r="B12" s="194" t="s">
        <v>736</v>
      </c>
      <c r="C12" s="195">
        <f>C9-C10-C11</f>
        <v>-58.913208384984003</v>
      </c>
      <c r="D12" s="195">
        <f t="shared" ref="D12:O12" si="2">D9-D10-D11</f>
        <v>-3125.2867916150158</v>
      </c>
      <c r="E12" s="195">
        <f t="shared" si="2"/>
        <v>609.78011187423658</v>
      </c>
      <c r="F12" s="195">
        <f t="shared" si="2"/>
        <v>716.96931481110028</v>
      </c>
      <c r="G12" s="195">
        <f t="shared" si="2"/>
        <v>740.84263584068458</v>
      </c>
      <c r="H12" s="195">
        <f t="shared" si="2"/>
        <v>765.17237401769603</v>
      </c>
      <c r="I12" s="195">
        <f t="shared" si="2"/>
        <v>789.96857344793398</v>
      </c>
      <c r="J12" s="195">
        <f t="shared" si="2"/>
        <v>818.85426279544117</v>
      </c>
      <c r="K12" s="195">
        <f t="shared" si="2"/>
        <v>847.6791888914513</v>
      </c>
      <c r="L12" s="195">
        <f t="shared" si="2"/>
        <v>877.88777024698061</v>
      </c>
      <c r="M12" s="195">
        <f t="shared" si="2"/>
        <v>909.55295098448232</v>
      </c>
      <c r="N12" s="195">
        <f t="shared" si="2"/>
        <v>942.71845314334109</v>
      </c>
      <c r="O12" s="195">
        <f t="shared" si="2"/>
        <v>978.74511203037787</v>
      </c>
    </row>
    <row r="13" spans="1:15" s="191" customFormat="1" ht="21" customHeight="1" x14ac:dyDescent="0.25">
      <c r="B13" s="134" t="s">
        <v>737</v>
      </c>
      <c r="C13" s="372">
        <f>IRR(C45:O45)</f>
        <v>0.10327306792165669</v>
      </c>
      <c r="D13" s="372"/>
      <c r="E13" s="372"/>
      <c r="F13" s="372"/>
      <c r="G13" s="372"/>
      <c r="H13" s="372"/>
      <c r="I13" s="372"/>
      <c r="J13" s="372"/>
      <c r="K13" s="372"/>
      <c r="L13" s="372"/>
      <c r="M13" s="372"/>
      <c r="N13" s="372"/>
      <c r="O13" s="372"/>
    </row>
    <row r="14" spans="1:15" x14ac:dyDescent="0.25">
      <c r="B14" s="337" t="s">
        <v>928</v>
      </c>
      <c r="C14" s="178"/>
      <c r="D14" s="163"/>
      <c r="E14" s="178"/>
      <c r="F14" s="179"/>
      <c r="G14" s="180"/>
      <c r="H14" s="156"/>
      <c r="I14" s="180"/>
    </row>
    <row r="15" spans="1:15" x14ac:dyDescent="0.25">
      <c r="A15" s="269">
        <v>0.01</v>
      </c>
      <c r="B15" s="157" t="s">
        <v>786</v>
      </c>
      <c r="C15" s="335">
        <f>13.35%+A15</f>
        <v>0.14350000000000002</v>
      </c>
      <c r="D15" s="157" t="s">
        <v>935</v>
      </c>
      <c r="E15" s="157"/>
      <c r="F15" s="157"/>
      <c r="G15" s="157"/>
      <c r="H15" s="157"/>
      <c r="I15" s="157"/>
    </row>
    <row r="16" spans="1:15" ht="15" hidden="1" customHeight="1" x14ac:dyDescent="0.25">
      <c r="B16" s="157"/>
      <c r="D16" s="157"/>
      <c r="E16" s="157"/>
      <c r="F16" s="157"/>
      <c r="G16" s="157"/>
      <c r="H16" s="157"/>
      <c r="I16" s="157"/>
    </row>
    <row r="17" spans="2:10" ht="15" hidden="1" customHeight="1" x14ac:dyDescent="0.25">
      <c r="B17" s="157" t="s">
        <v>738</v>
      </c>
      <c r="D17" s="157"/>
      <c r="E17" s="157"/>
      <c r="F17" s="157"/>
      <c r="G17" s="157"/>
      <c r="H17" s="157"/>
      <c r="I17" s="157"/>
    </row>
    <row r="18" spans="2:10" ht="15" hidden="1" customHeight="1" x14ac:dyDescent="0.25">
      <c r="B18" s="157" t="s">
        <v>739</v>
      </c>
      <c r="C18" s="165">
        <f t="shared" ref="C18:J18" si="3">C4</f>
        <v>2024</v>
      </c>
      <c r="D18" s="157">
        <f t="shared" si="3"/>
        <v>2025</v>
      </c>
      <c r="E18" s="157">
        <f t="shared" si="3"/>
        <v>2026</v>
      </c>
      <c r="F18" s="157">
        <f t="shared" si="3"/>
        <v>2027</v>
      </c>
      <c r="G18" s="157">
        <f t="shared" si="3"/>
        <v>2028</v>
      </c>
      <c r="H18" s="157">
        <f t="shared" si="3"/>
        <v>2029</v>
      </c>
      <c r="I18" s="157">
        <f t="shared" si="3"/>
        <v>2030</v>
      </c>
      <c r="J18" s="159">
        <f t="shared" si="3"/>
        <v>2031</v>
      </c>
    </row>
    <row r="19" spans="2:10" ht="15" hidden="1" customHeight="1" x14ac:dyDescent="0.25">
      <c r="B19" s="157" t="s">
        <v>740</v>
      </c>
      <c r="C19" s="165">
        <v>0.13</v>
      </c>
      <c r="D19" s="157">
        <f>C19</f>
        <v>0.13</v>
      </c>
      <c r="E19" s="157">
        <f t="shared" ref="E19:J19" si="4">D19</f>
        <v>0.13</v>
      </c>
      <c r="F19" s="157">
        <f t="shared" si="4"/>
        <v>0.13</v>
      </c>
      <c r="G19" s="157">
        <f t="shared" si="4"/>
        <v>0.13</v>
      </c>
      <c r="H19" s="157">
        <f t="shared" si="4"/>
        <v>0.13</v>
      </c>
      <c r="I19" s="157">
        <f t="shared" si="4"/>
        <v>0.13</v>
      </c>
      <c r="J19" s="164">
        <f t="shared" si="4"/>
        <v>0.13</v>
      </c>
    </row>
    <row r="20" spans="2:10" ht="15" hidden="1" customHeight="1" x14ac:dyDescent="0.25">
      <c r="B20" s="157" t="s">
        <v>741</v>
      </c>
      <c r="C20" s="165">
        <v>0.2</v>
      </c>
      <c r="D20" s="157">
        <v>0.2</v>
      </c>
      <c r="E20" s="157">
        <v>0.2</v>
      </c>
      <c r="F20" s="157">
        <v>0.2</v>
      </c>
      <c r="G20" s="157">
        <v>0.2</v>
      </c>
      <c r="H20" s="157">
        <v>0.2</v>
      </c>
      <c r="I20" s="157">
        <v>0.2</v>
      </c>
      <c r="J20" s="164">
        <v>0.2</v>
      </c>
    </row>
    <row r="21" spans="2:10" ht="15" hidden="1" customHeight="1" x14ac:dyDescent="0.25">
      <c r="B21" s="157" t="s">
        <v>742</v>
      </c>
      <c r="C21" s="165">
        <v>0</v>
      </c>
      <c r="D21" s="157">
        <v>0</v>
      </c>
      <c r="E21" s="157">
        <v>0</v>
      </c>
      <c r="F21" s="157">
        <v>0</v>
      </c>
      <c r="G21" s="157">
        <v>0</v>
      </c>
      <c r="H21" s="157">
        <v>0</v>
      </c>
      <c r="I21" s="157">
        <v>0</v>
      </c>
      <c r="J21" s="184">
        <v>0</v>
      </c>
    </row>
    <row r="22" spans="2:10" ht="15" hidden="1" customHeight="1" x14ac:dyDescent="0.25">
      <c r="B22" s="157" t="s">
        <v>743</v>
      </c>
      <c r="C22" s="165">
        <v>0.33989999999999998</v>
      </c>
      <c r="D22" s="157">
        <v>0.33989999999999998</v>
      </c>
      <c r="E22" s="157">
        <v>0.33989999999999998</v>
      </c>
      <c r="F22" s="157">
        <v>0.33989999999999998</v>
      </c>
      <c r="G22" s="157">
        <v>0.33989999999999998</v>
      </c>
      <c r="H22" s="157">
        <v>0.33989999999999998</v>
      </c>
      <c r="I22" s="157">
        <v>0.33989999999999998</v>
      </c>
      <c r="J22" s="184">
        <v>0.33989999999999998</v>
      </c>
    </row>
    <row r="23" spans="2:10" ht="15" hidden="1" customHeight="1" x14ac:dyDescent="0.25">
      <c r="B23" s="157" t="s">
        <v>744</v>
      </c>
      <c r="C23" s="165">
        <f>C19*C21*(1-C22)+C20*(1-C21)</f>
        <v>0.2</v>
      </c>
      <c r="D23" s="157">
        <f>D19*D21*(1-D22)+D20*(1-D21)</f>
        <v>0.2</v>
      </c>
      <c r="E23" s="157">
        <f>E19*E21*(1-E22)+E20*(1-E21)</f>
        <v>0.2</v>
      </c>
      <c r="F23" s="157">
        <f t="shared" ref="F23:J23" si="5">F19*F21*(1-F22)+F20*(1-F21)</f>
        <v>0.2</v>
      </c>
      <c r="G23" s="157">
        <f t="shared" si="5"/>
        <v>0.2</v>
      </c>
      <c r="H23" s="157">
        <f t="shared" si="5"/>
        <v>0.2</v>
      </c>
      <c r="I23" s="157">
        <f t="shared" si="5"/>
        <v>0.2</v>
      </c>
      <c r="J23" s="185">
        <f t="shared" si="5"/>
        <v>0.2</v>
      </c>
    </row>
    <row r="24" spans="2:10" ht="15" hidden="1" customHeight="1" x14ac:dyDescent="0.25">
      <c r="B24" s="157" t="s">
        <v>745</v>
      </c>
      <c r="D24" s="157"/>
      <c r="E24" s="157">
        <f>1/(1+E23)</f>
        <v>0.83333333333333337</v>
      </c>
      <c r="F24" s="157">
        <f t="shared" ref="F24:J24" si="6">E24/(1+F23)</f>
        <v>0.69444444444444453</v>
      </c>
      <c r="G24" s="157">
        <f t="shared" si="6"/>
        <v>0.57870370370370383</v>
      </c>
      <c r="H24" s="157">
        <f t="shared" si="6"/>
        <v>0.48225308641975323</v>
      </c>
      <c r="I24" s="157">
        <f t="shared" si="6"/>
        <v>0.40187757201646102</v>
      </c>
      <c r="J24" s="186">
        <f t="shared" si="6"/>
        <v>0.33489797668038418</v>
      </c>
    </row>
    <row r="25" spans="2:10" ht="15" hidden="1" customHeight="1" x14ac:dyDescent="0.25">
      <c r="B25" s="157"/>
      <c r="D25" s="157"/>
      <c r="E25" s="157"/>
      <c r="F25" s="157"/>
      <c r="G25" s="157"/>
      <c r="H25" s="157"/>
      <c r="I25" s="157"/>
    </row>
    <row r="26" spans="2:10" ht="15" hidden="1" customHeight="1" x14ac:dyDescent="0.25">
      <c r="B26" s="157"/>
      <c r="D26" s="157"/>
      <c r="E26" s="157"/>
      <c r="F26" s="157"/>
      <c r="G26" s="157"/>
      <c r="H26" s="157"/>
      <c r="I26" s="157"/>
    </row>
    <row r="27" spans="2:10" ht="15" hidden="1" customHeight="1" x14ac:dyDescent="0.25">
      <c r="B27" s="157"/>
      <c r="D27" s="157"/>
      <c r="E27" s="157"/>
      <c r="F27" s="157"/>
      <c r="G27" s="157"/>
      <c r="H27" s="157"/>
      <c r="I27" s="157"/>
    </row>
    <row r="28" spans="2:10" ht="15" hidden="1" customHeight="1" x14ac:dyDescent="0.25">
      <c r="B28" s="157"/>
      <c r="D28" s="157"/>
      <c r="E28" s="157"/>
      <c r="F28" s="157"/>
      <c r="G28" s="157"/>
      <c r="H28" s="157"/>
      <c r="I28" s="157"/>
    </row>
    <row r="29" spans="2:10" ht="15" hidden="1" customHeight="1" x14ac:dyDescent="0.25">
      <c r="B29" s="157"/>
      <c r="D29" s="157"/>
      <c r="E29" s="157"/>
      <c r="F29" s="157"/>
      <c r="G29" s="157"/>
      <c r="H29" s="157"/>
      <c r="I29" s="157"/>
    </row>
    <row r="30" spans="2:10" ht="15" hidden="1" customHeight="1" x14ac:dyDescent="0.25">
      <c r="B30" s="157"/>
      <c r="D30" s="157"/>
      <c r="E30" s="157"/>
      <c r="F30" s="157"/>
      <c r="G30" s="157"/>
      <c r="H30" s="157"/>
      <c r="I30" s="157"/>
    </row>
    <row r="31" spans="2:10" ht="15" hidden="1" customHeight="1" x14ac:dyDescent="0.25">
      <c r="B31" s="157"/>
      <c r="D31" s="157"/>
      <c r="E31" s="157"/>
      <c r="F31" s="157"/>
      <c r="G31" s="157"/>
      <c r="H31" s="157"/>
      <c r="I31" s="157"/>
      <c r="J31" s="187"/>
    </row>
    <row r="32" spans="2:10" ht="15" hidden="1" customHeight="1" x14ac:dyDescent="0.25">
      <c r="B32" s="157"/>
      <c r="D32" s="157"/>
      <c r="E32" s="157"/>
      <c r="F32" s="157"/>
      <c r="G32" s="157"/>
      <c r="H32" s="157"/>
      <c r="I32" s="157"/>
    </row>
    <row r="33" spans="2:15" ht="15" hidden="1" customHeight="1" x14ac:dyDescent="0.25">
      <c r="B33" s="157"/>
      <c r="D33" s="157"/>
      <c r="E33" s="157"/>
      <c r="F33" s="157"/>
      <c r="G33" s="157"/>
      <c r="H33" s="157"/>
      <c r="I33" s="157"/>
    </row>
    <row r="34" spans="2:15" ht="15" hidden="1" customHeight="1" x14ac:dyDescent="0.25">
      <c r="B34" s="157"/>
      <c r="D34" s="157"/>
      <c r="E34" s="157"/>
      <c r="F34" s="157"/>
      <c r="G34" s="157"/>
      <c r="H34" s="157"/>
      <c r="I34" s="157"/>
    </row>
    <row r="35" spans="2:15" ht="15" hidden="1" customHeight="1" x14ac:dyDescent="0.25">
      <c r="B35" s="157"/>
      <c r="D35" s="157"/>
      <c r="E35" s="157"/>
      <c r="F35" s="157"/>
      <c r="G35" s="157"/>
      <c r="H35" s="157"/>
      <c r="I35" s="157"/>
    </row>
    <row r="36" spans="2:15" x14ac:dyDescent="0.25">
      <c r="B36" s="266" t="s">
        <v>787</v>
      </c>
      <c r="C36" s="336">
        <v>5.0000000000000001E-3</v>
      </c>
      <c r="D36" s="157"/>
      <c r="E36" s="157"/>
      <c r="F36" s="157"/>
      <c r="G36" s="157"/>
      <c r="H36" s="157"/>
      <c r="I36" s="157"/>
    </row>
    <row r="37" spans="2:15" x14ac:dyDescent="0.25">
      <c r="B37" s="157"/>
      <c r="D37" s="157"/>
      <c r="E37" s="157"/>
      <c r="F37" s="157"/>
      <c r="G37" s="157"/>
      <c r="H37" s="157"/>
      <c r="I37" s="157"/>
      <c r="J37" s="157"/>
      <c r="K37" s="157"/>
      <c r="L37" s="157"/>
      <c r="M37" s="157"/>
      <c r="N37" s="157"/>
    </row>
    <row r="38" spans="2:15" x14ac:dyDescent="0.25">
      <c r="B38" s="176" t="s">
        <v>789</v>
      </c>
      <c r="C38" s="270">
        <f>C5/12</f>
        <v>0</v>
      </c>
      <c r="D38" s="270">
        <f>D5/12</f>
        <v>0</v>
      </c>
      <c r="E38" s="270">
        <f t="shared" ref="E38:O38" si="7">D38+1</f>
        <v>1</v>
      </c>
      <c r="F38" s="270">
        <f t="shared" si="7"/>
        <v>2</v>
      </c>
      <c r="G38" s="270">
        <f t="shared" si="7"/>
        <v>3</v>
      </c>
      <c r="H38" s="270">
        <f t="shared" si="7"/>
        <v>4</v>
      </c>
      <c r="I38" s="270">
        <f t="shared" si="7"/>
        <v>5</v>
      </c>
      <c r="J38" s="270">
        <f t="shared" si="7"/>
        <v>6</v>
      </c>
      <c r="K38" s="270">
        <f t="shared" si="7"/>
        <v>7</v>
      </c>
      <c r="L38" s="270">
        <f t="shared" si="7"/>
        <v>8</v>
      </c>
      <c r="M38" s="270">
        <f t="shared" si="7"/>
        <v>9</v>
      </c>
      <c r="N38" s="270">
        <f t="shared" si="7"/>
        <v>10</v>
      </c>
      <c r="O38" s="270">
        <f t="shared" si="7"/>
        <v>11</v>
      </c>
    </row>
    <row r="39" spans="2:15" x14ac:dyDescent="0.25">
      <c r="B39" s="176"/>
      <c r="C39" s="164"/>
      <c r="D39" s="164"/>
    </row>
    <row r="40" spans="2:15" x14ac:dyDescent="0.25">
      <c r="B40" s="176" t="s">
        <v>790</v>
      </c>
      <c r="C40" s="270">
        <f>1/(1+$C$15)^C38</f>
        <v>1</v>
      </c>
      <c r="D40" s="270">
        <f t="shared" ref="D40:O40" si="8">1/(1+$C$15)^D38</f>
        <v>1</v>
      </c>
      <c r="E40" s="270">
        <f t="shared" si="8"/>
        <v>0.87450808919982514</v>
      </c>
      <c r="F40" s="270">
        <f t="shared" si="8"/>
        <v>0.76476439807592933</v>
      </c>
      <c r="G40" s="270">
        <f t="shared" si="8"/>
        <v>0.66879265244943542</v>
      </c>
      <c r="H40" s="270">
        <f t="shared" si="8"/>
        <v>0.58486458456443846</v>
      </c>
      <c r="I40" s="270">
        <f t="shared" si="8"/>
        <v>0.51146881028809665</v>
      </c>
      <c r="J40" s="270">
        <f t="shared" si="8"/>
        <v>0.44728361197035121</v>
      </c>
      <c r="K40" s="270">
        <f t="shared" si="8"/>
        <v>0.39115313683458791</v>
      </c>
      <c r="L40" s="270">
        <f t="shared" si="8"/>
        <v>0.34206658227773318</v>
      </c>
      <c r="M40" s="270">
        <f t="shared" si="8"/>
        <v>0.29913999324681517</v>
      </c>
      <c r="N40" s="270">
        <f t="shared" si="8"/>
        <v>0.26160034389752096</v>
      </c>
      <c r="O40" s="270">
        <f t="shared" si="8"/>
        <v>0.22877161687583819</v>
      </c>
    </row>
    <row r="42" spans="2:15" x14ac:dyDescent="0.25">
      <c r="B42" s="266" t="s">
        <v>791</v>
      </c>
      <c r="C42" s="270">
        <f>C12*C40</f>
        <v>-58.913208384984003</v>
      </c>
      <c r="D42" s="270">
        <f t="shared" ref="D42:O42" si="9">D12*D40</f>
        <v>-3125.2867916150158</v>
      </c>
      <c r="E42" s="270">
        <f t="shared" si="9"/>
        <v>533.25764046719428</v>
      </c>
      <c r="F42" s="270">
        <f t="shared" si="9"/>
        <v>548.31260648042257</v>
      </c>
      <c r="G42" s="270">
        <f t="shared" si="9"/>
        <v>495.47011147152261</v>
      </c>
      <c r="H42" s="270">
        <f t="shared" si="9"/>
        <v>447.52222265004491</v>
      </c>
      <c r="I42" s="270">
        <f t="shared" si="9"/>
        <v>404.04428642639971</v>
      </c>
      <c r="J42" s="270">
        <f t="shared" si="9"/>
        <v>366.2600923404641</v>
      </c>
      <c r="K42" s="270">
        <f t="shared" si="9"/>
        <v>331.57237376429032</v>
      </c>
      <c r="L42" s="270">
        <f t="shared" si="9"/>
        <v>300.29606919180452</v>
      </c>
      <c r="M42" s="270">
        <f t="shared" si="9"/>
        <v>272.08366361511884</v>
      </c>
      <c r="N42" s="270">
        <f t="shared" si="9"/>
        <v>246.61547154083704</v>
      </c>
      <c r="O42" s="270">
        <f t="shared" si="9"/>
        <v>223.90910178851294</v>
      </c>
    </row>
    <row r="43" spans="2:15" x14ac:dyDescent="0.25">
      <c r="B43" s="266" t="s">
        <v>792</v>
      </c>
      <c r="C43" s="270"/>
      <c r="N43" s="166"/>
      <c r="O43" s="166">
        <f>O12*(1+C36)/(C15-C36)</f>
        <v>7102.085469967722</v>
      </c>
    </row>
    <row r="44" spans="2:15" x14ac:dyDescent="0.25">
      <c r="B44" s="266" t="s">
        <v>793</v>
      </c>
      <c r="C44" s="270"/>
      <c r="D44" s="265"/>
      <c r="N44" s="166"/>
      <c r="O44" s="166">
        <f>O43*O40</f>
        <v>1624.7555761549129</v>
      </c>
    </row>
    <row r="45" spans="2:15" x14ac:dyDescent="0.25">
      <c r="B45" s="266" t="s">
        <v>794</v>
      </c>
      <c r="C45" s="270">
        <f>C42+C44</f>
        <v>-58.913208384984003</v>
      </c>
      <c r="D45" s="270">
        <f t="shared" ref="D45:O45" si="10">D42+D44</f>
        <v>-3125.2867916150158</v>
      </c>
      <c r="E45" s="270">
        <f t="shared" si="10"/>
        <v>533.25764046719428</v>
      </c>
      <c r="F45" s="270">
        <f t="shared" si="10"/>
        <v>548.31260648042257</v>
      </c>
      <c r="G45" s="270">
        <f t="shared" si="10"/>
        <v>495.47011147152261</v>
      </c>
      <c r="H45" s="270">
        <f t="shared" si="10"/>
        <v>447.52222265004491</v>
      </c>
      <c r="I45" s="270">
        <f t="shared" si="10"/>
        <v>404.04428642639971</v>
      </c>
      <c r="J45" s="270">
        <f t="shared" si="10"/>
        <v>366.2600923404641</v>
      </c>
      <c r="K45" s="270">
        <f t="shared" si="10"/>
        <v>331.57237376429032</v>
      </c>
      <c r="L45" s="270">
        <f t="shared" si="10"/>
        <v>300.29606919180452</v>
      </c>
      <c r="M45" s="270">
        <f t="shared" si="10"/>
        <v>272.08366361511884</v>
      </c>
      <c r="N45" s="270">
        <f t="shared" si="10"/>
        <v>246.61547154083704</v>
      </c>
      <c r="O45" s="270">
        <f t="shared" si="10"/>
        <v>1848.6646779434259</v>
      </c>
    </row>
    <row r="46" spans="2:15" x14ac:dyDescent="0.25">
      <c r="B46" s="171"/>
      <c r="C46" s="164"/>
      <c r="D46" s="164"/>
    </row>
    <row r="47" spans="2:15" ht="16.5" customHeight="1" x14ac:dyDescent="0.25">
      <c r="B47" s="134" t="s">
        <v>329</v>
      </c>
      <c r="C47" s="373">
        <f>SUM(C45:O45)</f>
        <v>2609.8992158915253</v>
      </c>
      <c r="D47" s="373"/>
      <c r="E47" s="373"/>
      <c r="F47" s="373"/>
      <c r="G47" s="373"/>
      <c r="H47" s="373"/>
      <c r="I47" s="373"/>
      <c r="J47" s="373"/>
      <c r="K47" s="373"/>
      <c r="L47" s="373"/>
      <c r="M47" s="373"/>
      <c r="N47" s="373"/>
      <c r="O47" s="373"/>
    </row>
    <row r="48" spans="2:15" x14ac:dyDescent="0.25">
      <c r="B48" s="171"/>
      <c r="C48" s="309"/>
      <c r="D48" s="164"/>
    </row>
    <row r="49" spans="2:15" x14ac:dyDescent="0.25">
      <c r="B49" s="171"/>
      <c r="C49" s="164"/>
    </row>
    <row r="50" spans="2:15" x14ac:dyDescent="0.25">
      <c r="B50" s="125" t="s">
        <v>319</v>
      </c>
      <c r="C50" s="93">
        <f>C4</f>
        <v>2024</v>
      </c>
      <c r="D50" s="93">
        <f t="shared" ref="D50:O50" si="11">D4</f>
        <v>2025</v>
      </c>
      <c r="E50" s="93">
        <f t="shared" si="11"/>
        <v>2026</v>
      </c>
      <c r="F50" s="93">
        <f t="shared" si="11"/>
        <v>2027</v>
      </c>
      <c r="G50" s="93">
        <f t="shared" si="11"/>
        <v>2028</v>
      </c>
      <c r="H50" s="93">
        <f t="shared" si="11"/>
        <v>2029</v>
      </c>
      <c r="I50" s="93">
        <f t="shared" si="11"/>
        <v>2030</v>
      </c>
      <c r="J50" s="93">
        <f t="shared" si="11"/>
        <v>2031</v>
      </c>
      <c r="K50" s="93">
        <f t="shared" si="11"/>
        <v>2032</v>
      </c>
      <c r="L50" s="93">
        <f t="shared" si="11"/>
        <v>2033</v>
      </c>
      <c r="M50" s="93">
        <f t="shared" si="11"/>
        <v>2034</v>
      </c>
      <c r="N50" s="93">
        <f t="shared" si="11"/>
        <v>2035</v>
      </c>
      <c r="O50" s="326">
        <f t="shared" si="11"/>
        <v>2036</v>
      </c>
    </row>
    <row r="51" spans="2:15" x14ac:dyDescent="0.25">
      <c r="B51" s="271"/>
      <c r="C51" s="271"/>
      <c r="D51" s="267"/>
      <c r="E51" s="272"/>
      <c r="F51" s="268"/>
      <c r="G51" s="268"/>
      <c r="H51" s="268"/>
      <c r="I51" s="268"/>
      <c r="J51" s="117"/>
    </row>
    <row r="52" spans="2:15" x14ac:dyDescent="0.25">
      <c r="B52" s="133" t="s">
        <v>795</v>
      </c>
      <c r="C52" s="270">
        <v>0</v>
      </c>
      <c r="D52" s="270">
        <v>0</v>
      </c>
      <c r="E52" s="270">
        <f t="shared" ref="E52:J52" si="12">D52+1</f>
        <v>1</v>
      </c>
      <c r="F52" s="270">
        <f t="shared" si="12"/>
        <v>2</v>
      </c>
      <c r="G52" s="270">
        <f t="shared" si="12"/>
        <v>3</v>
      </c>
      <c r="H52" s="270">
        <f t="shared" si="12"/>
        <v>4</v>
      </c>
      <c r="I52" s="270">
        <f t="shared" si="12"/>
        <v>5</v>
      </c>
      <c r="J52" s="270">
        <f t="shared" si="12"/>
        <v>6</v>
      </c>
      <c r="K52" s="270">
        <f t="shared" ref="K52" si="13">J52+1</f>
        <v>7</v>
      </c>
      <c r="L52" s="270">
        <f t="shared" ref="L52" si="14">K52+1</f>
        <v>8</v>
      </c>
      <c r="M52" s="270">
        <f t="shared" ref="M52" si="15">L52+1</f>
        <v>9</v>
      </c>
      <c r="N52" s="270">
        <f t="shared" ref="N52:O52" si="16">M52+1</f>
        <v>10</v>
      </c>
      <c r="O52" s="270">
        <f t="shared" si="16"/>
        <v>11</v>
      </c>
    </row>
    <row r="53" spans="2:15" x14ac:dyDescent="0.25">
      <c r="B53" s="133" t="s">
        <v>796</v>
      </c>
      <c r="C53" s="270">
        <f>'P &amp; L'!C29+'P &amp; L'!C26+'P &amp; L'!C20</f>
        <v>0</v>
      </c>
      <c r="D53" s="270">
        <f>'P &amp; L'!D29+'P &amp; L'!D26+'P &amp; L'!D20</f>
        <v>0</v>
      </c>
      <c r="E53" s="270">
        <f>'P &amp; L'!E29+'P &amp; L'!E26+'P &amp; L'!E20</f>
        <v>489.61256787423662</v>
      </c>
      <c r="F53" s="270">
        <f>'P &amp; L'!F29+'P &amp; L'!F26+'P &amp; L'!F20</f>
        <v>523.36206261110021</v>
      </c>
      <c r="G53" s="270">
        <f>'P &amp; L'!G29+'P &amp; L'!G26+'P &amp; L'!G20</f>
        <v>559.99752103068454</v>
      </c>
      <c r="H53" s="270">
        <f>'P &amp; L'!H29+'P &amp; L'!H26+'P &amp; L'!H20</f>
        <v>601.2805034671959</v>
      </c>
      <c r="I53" s="270">
        <f>'P &amp; L'!I29+'P &amp; L'!I26+'P &amp; L'!I20</f>
        <v>647.22160936990906</v>
      </c>
      <c r="J53" s="270">
        <f>'P &amp; L'!J29+'P &amp; L'!J26+'P &amp; L'!J20</f>
        <v>694.10445051351485</v>
      </c>
      <c r="K53" s="270">
        <f>'P &amp; L'!K29+'P &amp; L'!K26+'P &amp; L'!K20</f>
        <v>744.09938599542875</v>
      </c>
      <c r="L53" s="270">
        <f>'P &amp; L'!L29+'P &amp; L'!L26+'P &amp; L'!L20</f>
        <v>797.58147720615693</v>
      </c>
      <c r="M53" s="270">
        <f>'P &amp; L'!M29+'P &amp; L'!M26+'P &amp; L'!M20</f>
        <v>854.62434329161738</v>
      </c>
      <c r="N53" s="270">
        <f>'P &amp; L'!N29+'P &amp; L'!N26+'P &amp; L'!N20</f>
        <v>915.272415065833</v>
      </c>
      <c r="O53" s="270">
        <f>'P &amp; L'!O29+'P &amp; L'!O26+'P &amp; L'!O20</f>
        <v>977.22977204899439</v>
      </c>
    </row>
    <row r="54" spans="2:15" x14ac:dyDescent="0.25">
      <c r="B54" s="133" t="s">
        <v>797</v>
      </c>
      <c r="C54" s="270">
        <f>C53</f>
        <v>0</v>
      </c>
      <c r="D54" s="270">
        <f>C54+D53</f>
        <v>0</v>
      </c>
      <c r="E54" s="270">
        <f t="shared" ref="E54:O54" si="17">D54+E53</f>
        <v>489.61256787423662</v>
      </c>
      <c r="F54" s="270">
        <f t="shared" si="17"/>
        <v>1012.9746304853368</v>
      </c>
      <c r="G54" s="270">
        <f t="shared" si="17"/>
        <v>1572.9721515160213</v>
      </c>
      <c r="H54" s="270">
        <f t="shared" si="17"/>
        <v>2174.2526549832173</v>
      </c>
      <c r="I54" s="270">
        <f t="shared" si="17"/>
        <v>2821.4742643531263</v>
      </c>
      <c r="J54" s="270">
        <f t="shared" si="17"/>
        <v>3515.5787148666413</v>
      </c>
      <c r="K54" s="270">
        <f t="shared" si="17"/>
        <v>4259.6781008620701</v>
      </c>
      <c r="L54" s="270">
        <f t="shared" si="17"/>
        <v>5057.2595780682268</v>
      </c>
      <c r="M54" s="270">
        <f t="shared" si="17"/>
        <v>5911.883921359844</v>
      </c>
      <c r="N54" s="270">
        <f t="shared" si="17"/>
        <v>6827.1563364256772</v>
      </c>
      <c r="O54" s="270">
        <f t="shared" si="17"/>
        <v>7804.3861084746713</v>
      </c>
    </row>
    <row r="55" spans="2:15" x14ac:dyDescent="0.25">
      <c r="B55" s="133" t="s">
        <v>798</v>
      </c>
      <c r="C55" s="270">
        <f>'CoP-MoF'!D14/10^5</f>
        <v>3200</v>
      </c>
      <c r="D55" s="270"/>
      <c r="E55" s="270"/>
      <c r="F55" s="270"/>
      <c r="G55" s="270"/>
      <c r="H55" s="270"/>
      <c r="I55" s="270"/>
      <c r="J55" s="270"/>
      <c r="K55" s="270"/>
      <c r="L55" s="270"/>
      <c r="M55" s="270"/>
      <c r="N55" s="270"/>
    </row>
    <row r="56" spans="2:15" x14ac:dyDescent="0.25">
      <c r="B56" s="273" t="s">
        <v>799</v>
      </c>
      <c r="C56" s="275">
        <f>5+(C55-H54)/I53</f>
        <v>6.5848471839736327</v>
      </c>
      <c r="D56" s="275" t="s">
        <v>800</v>
      </c>
      <c r="E56" s="274"/>
      <c r="F56" s="274"/>
      <c r="G56" s="274"/>
      <c r="H56" s="274"/>
      <c r="I56" s="274"/>
      <c r="J56" s="274"/>
      <c r="K56" s="274"/>
      <c r="L56" s="274"/>
      <c r="M56" s="274"/>
      <c r="N56" s="274"/>
    </row>
    <row r="57" spans="2:15" x14ac:dyDescent="0.25">
      <c r="C57" s="165">
        <f>5</f>
        <v>5</v>
      </c>
      <c r="D57" s="165">
        <f>3/12</f>
        <v>0.25</v>
      </c>
    </row>
    <row r="58" spans="2:15" x14ac:dyDescent="0.25">
      <c r="C58" s="166"/>
      <c r="D58" s="166"/>
      <c r="E58" s="166"/>
      <c r="F58" s="166"/>
      <c r="G58" s="166"/>
      <c r="H58" s="166"/>
      <c r="I58" s="166"/>
      <c r="J58" s="166"/>
      <c r="K58" s="166"/>
      <c r="L58" s="166"/>
      <c r="M58" s="166"/>
      <c r="N58" s="166"/>
    </row>
    <row r="61" spans="2:15" x14ac:dyDescent="0.25">
      <c r="B61" s="326" t="s">
        <v>319</v>
      </c>
      <c r="C61" s="134" t="s">
        <v>796</v>
      </c>
      <c r="D61" s="326"/>
      <c r="E61" s="334" t="s">
        <v>797</v>
      </c>
      <c r="F61" s="326"/>
    </row>
    <row r="62" spans="2:15" hidden="1" x14ac:dyDescent="0.25">
      <c r="B62" s="213">
        <v>2024</v>
      </c>
      <c r="C62" s="166">
        <f t="array" ref="C62:C74">TRANSPOSE(C53:O53)</f>
        <v>0</v>
      </c>
      <c r="E62" s="166">
        <f>C62</f>
        <v>0</v>
      </c>
    </row>
    <row r="63" spans="2:15" hidden="1" x14ac:dyDescent="0.25">
      <c r="B63" s="213">
        <f t="shared" ref="B63:B74" si="18">B62+1</f>
        <v>2025</v>
      </c>
      <c r="C63" s="166">
        <v>0</v>
      </c>
      <c r="E63" s="166">
        <f>C63+E62</f>
        <v>0</v>
      </c>
    </row>
    <row r="64" spans="2:15" x14ac:dyDescent="0.25">
      <c r="B64" s="213">
        <f t="shared" si="18"/>
        <v>2026</v>
      </c>
      <c r="C64" s="166">
        <v>489.61256787423662</v>
      </c>
      <c r="E64" s="166">
        <f t="shared" ref="E64:E74" si="19">C64+E63</f>
        <v>489.61256787423662</v>
      </c>
    </row>
    <row r="65" spans="2:5" x14ac:dyDescent="0.25">
      <c r="B65" s="213">
        <f t="shared" si="18"/>
        <v>2027</v>
      </c>
      <c r="C65" s="166">
        <v>523.36206261110021</v>
      </c>
      <c r="E65" s="166">
        <f t="shared" si="19"/>
        <v>1012.9746304853368</v>
      </c>
    </row>
    <row r="66" spans="2:5" x14ac:dyDescent="0.25">
      <c r="B66" s="213">
        <f t="shared" si="18"/>
        <v>2028</v>
      </c>
      <c r="C66" s="166">
        <v>559.99752103068454</v>
      </c>
      <c r="E66" s="166">
        <f t="shared" si="19"/>
        <v>1572.9721515160213</v>
      </c>
    </row>
    <row r="67" spans="2:5" x14ac:dyDescent="0.25">
      <c r="B67" s="213">
        <f t="shared" si="18"/>
        <v>2029</v>
      </c>
      <c r="C67" s="166">
        <v>601.2805034671959</v>
      </c>
      <c r="E67" s="166">
        <f t="shared" si="19"/>
        <v>2174.2526549832173</v>
      </c>
    </row>
    <row r="68" spans="2:5" x14ac:dyDescent="0.25">
      <c r="B68" s="213">
        <f t="shared" si="18"/>
        <v>2030</v>
      </c>
      <c r="C68" s="166">
        <v>647.22160936990906</v>
      </c>
      <c r="E68" s="166">
        <f t="shared" si="19"/>
        <v>2821.4742643531263</v>
      </c>
    </row>
    <row r="69" spans="2:5" x14ac:dyDescent="0.25">
      <c r="B69" s="213">
        <f t="shared" si="18"/>
        <v>2031</v>
      </c>
      <c r="C69" s="166">
        <v>694.10445051351485</v>
      </c>
      <c r="E69" s="166">
        <f t="shared" si="19"/>
        <v>3515.5787148666413</v>
      </c>
    </row>
    <row r="70" spans="2:5" x14ac:dyDescent="0.25">
      <c r="B70" s="213">
        <f t="shared" si="18"/>
        <v>2032</v>
      </c>
      <c r="C70" s="166">
        <v>744.09938599542875</v>
      </c>
      <c r="E70" s="166">
        <f t="shared" si="19"/>
        <v>4259.6781008620701</v>
      </c>
    </row>
    <row r="71" spans="2:5" x14ac:dyDescent="0.25">
      <c r="B71" s="213">
        <f t="shared" si="18"/>
        <v>2033</v>
      </c>
      <c r="C71" s="166">
        <v>797.58147720615693</v>
      </c>
      <c r="E71" s="166">
        <f t="shared" si="19"/>
        <v>5057.2595780682268</v>
      </c>
    </row>
    <row r="72" spans="2:5" x14ac:dyDescent="0.25">
      <c r="B72" s="213">
        <f t="shared" si="18"/>
        <v>2034</v>
      </c>
      <c r="C72" s="166">
        <v>854.62434329161738</v>
      </c>
      <c r="E72" s="166">
        <f t="shared" si="19"/>
        <v>5911.883921359844</v>
      </c>
    </row>
    <row r="73" spans="2:5" x14ac:dyDescent="0.25">
      <c r="B73" s="213">
        <f t="shared" si="18"/>
        <v>2035</v>
      </c>
      <c r="C73" s="166">
        <v>915.272415065833</v>
      </c>
      <c r="E73" s="166">
        <f t="shared" si="19"/>
        <v>6827.1563364256772</v>
      </c>
    </row>
    <row r="74" spans="2:5" x14ac:dyDescent="0.25">
      <c r="B74" s="213">
        <f t="shared" si="18"/>
        <v>2036</v>
      </c>
      <c r="C74" s="166">
        <v>977.22977204899439</v>
      </c>
      <c r="E74" s="166">
        <f t="shared" si="19"/>
        <v>7804.3861084746713</v>
      </c>
    </row>
    <row r="75" spans="2:5" x14ac:dyDescent="0.25">
      <c r="B75" s="332" t="s">
        <v>555</v>
      </c>
      <c r="C75" s="333">
        <f>SUM(C62:C74)</f>
        <v>7804.3861084746713</v>
      </c>
      <c r="D75" s="332"/>
      <c r="E75" s="332"/>
    </row>
    <row r="76" spans="2:5" x14ac:dyDescent="0.25">
      <c r="B76" s="328" t="s">
        <v>798</v>
      </c>
      <c r="C76" s="329">
        <f>C55</f>
        <v>3200</v>
      </c>
      <c r="D76" s="328"/>
      <c r="E76" s="328"/>
    </row>
    <row r="77" spans="2:5" x14ac:dyDescent="0.25">
      <c r="B77" s="330" t="s">
        <v>899</v>
      </c>
      <c r="C77" s="331">
        <f>5+(C76-E68)/C69</f>
        <v>5.5453440550148203</v>
      </c>
      <c r="D77" s="330" t="s">
        <v>800</v>
      </c>
      <c r="E77" s="330"/>
    </row>
  </sheetData>
  <mergeCells count="2">
    <mergeCell ref="C13:O13"/>
    <mergeCell ref="C47:O47"/>
  </mergeCells>
  <hyperlinks>
    <hyperlink ref="B14"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sheetPr>
  <dimension ref="B1:N28"/>
  <sheetViews>
    <sheetView showGridLines="0" workbookViewId="0">
      <pane xSplit="3" ySplit="4" topLeftCell="D5" activePane="bottomRight" state="frozen"/>
      <selection pane="topRight" activeCell="D1" sqref="D1"/>
      <selection pane="bottomLeft" activeCell="A5" sqref="A5"/>
      <selection pane="bottomRight" activeCell="N5" sqref="N5:N6"/>
    </sheetView>
  </sheetViews>
  <sheetFormatPr defaultColWidth="8.85546875" defaultRowHeight="15" x14ac:dyDescent="0.25"/>
  <cols>
    <col min="1" max="1" width="5.42578125" style="96" customWidth="1"/>
    <col min="2" max="2" width="35" style="51" customWidth="1"/>
    <col min="3" max="3" width="12.140625" style="44" hidden="1" customWidth="1"/>
    <col min="4" max="14" width="12.140625" style="44" customWidth="1"/>
    <col min="15" max="251" width="8.85546875" style="96"/>
    <col min="252" max="252" width="22.42578125" style="96" customWidth="1"/>
    <col min="253" max="261" width="8.85546875" style="96"/>
    <col min="262" max="262" width="0" style="96" hidden="1" customWidth="1"/>
    <col min="263" max="507" width="8.85546875" style="96"/>
    <col min="508" max="508" width="22.42578125" style="96" customWidth="1"/>
    <col min="509" max="517" width="8.85546875" style="96"/>
    <col min="518" max="518" width="0" style="96" hidden="1" customWidth="1"/>
    <col min="519" max="763" width="8.85546875" style="96"/>
    <col min="764" max="764" width="22.42578125" style="96" customWidth="1"/>
    <col min="765" max="773" width="8.85546875" style="96"/>
    <col min="774" max="774" width="0" style="96" hidden="1" customWidth="1"/>
    <col min="775" max="1019" width="8.85546875" style="96"/>
    <col min="1020" max="1020" width="22.42578125" style="96" customWidth="1"/>
    <col min="1021" max="1029" width="8.85546875" style="96"/>
    <col min="1030" max="1030" width="0" style="96" hidden="1" customWidth="1"/>
    <col min="1031" max="1275" width="8.85546875" style="96"/>
    <col min="1276" max="1276" width="22.42578125" style="96" customWidth="1"/>
    <col min="1277" max="1285" width="8.85546875" style="96"/>
    <col min="1286" max="1286" width="0" style="96" hidden="1" customWidth="1"/>
    <col min="1287" max="1531" width="8.85546875" style="96"/>
    <col min="1532" max="1532" width="22.42578125" style="96" customWidth="1"/>
    <col min="1533" max="1541" width="8.85546875" style="96"/>
    <col min="1542" max="1542" width="0" style="96" hidden="1" customWidth="1"/>
    <col min="1543" max="1787" width="8.85546875" style="96"/>
    <col min="1788" max="1788" width="22.42578125" style="96" customWidth="1"/>
    <col min="1789" max="1797" width="8.85546875" style="96"/>
    <col min="1798" max="1798" width="0" style="96" hidden="1" customWidth="1"/>
    <col min="1799" max="2043" width="8.85546875" style="96"/>
    <col min="2044" max="2044" width="22.42578125" style="96" customWidth="1"/>
    <col min="2045" max="2053" width="8.85546875" style="96"/>
    <col min="2054" max="2054" width="0" style="96" hidden="1" customWidth="1"/>
    <col min="2055" max="2299" width="8.85546875" style="96"/>
    <col min="2300" max="2300" width="22.42578125" style="96" customWidth="1"/>
    <col min="2301" max="2309" width="8.85546875" style="96"/>
    <col min="2310" max="2310" width="0" style="96" hidden="1" customWidth="1"/>
    <col min="2311" max="2555" width="8.85546875" style="96"/>
    <col min="2556" max="2556" width="22.42578125" style="96" customWidth="1"/>
    <col min="2557" max="2565" width="8.85546875" style="96"/>
    <col min="2566" max="2566" width="0" style="96" hidden="1" customWidth="1"/>
    <col min="2567" max="2811" width="8.85546875" style="96"/>
    <col min="2812" max="2812" width="22.42578125" style="96" customWidth="1"/>
    <col min="2813" max="2821" width="8.85546875" style="96"/>
    <col min="2822" max="2822" width="0" style="96" hidden="1" customWidth="1"/>
    <col min="2823" max="3067" width="8.85546875" style="96"/>
    <col min="3068" max="3068" width="22.42578125" style="96" customWidth="1"/>
    <col min="3069" max="3077" width="8.85546875" style="96"/>
    <col min="3078" max="3078" width="0" style="96" hidden="1" customWidth="1"/>
    <col min="3079" max="3323" width="8.85546875" style="96"/>
    <col min="3324" max="3324" width="22.42578125" style="96" customWidth="1"/>
    <col min="3325" max="3333" width="8.85546875" style="96"/>
    <col min="3334" max="3334" width="0" style="96" hidden="1" customWidth="1"/>
    <col min="3335" max="3579" width="8.85546875" style="96"/>
    <col min="3580" max="3580" width="22.42578125" style="96" customWidth="1"/>
    <col min="3581" max="3589" width="8.85546875" style="96"/>
    <col min="3590" max="3590" width="0" style="96" hidden="1" customWidth="1"/>
    <col min="3591" max="3835" width="8.85546875" style="96"/>
    <col min="3836" max="3836" width="22.42578125" style="96" customWidth="1"/>
    <col min="3837" max="3845" width="8.85546875" style="96"/>
    <col min="3846" max="3846" width="0" style="96" hidden="1" customWidth="1"/>
    <col min="3847" max="4091" width="8.85546875" style="96"/>
    <col min="4092" max="4092" width="22.42578125" style="96" customWidth="1"/>
    <col min="4093" max="4101" width="8.85546875" style="96"/>
    <col min="4102" max="4102" width="0" style="96" hidden="1" customWidth="1"/>
    <col min="4103" max="4347" width="8.85546875" style="96"/>
    <col min="4348" max="4348" width="22.42578125" style="96" customWidth="1"/>
    <col min="4349" max="4357" width="8.85546875" style="96"/>
    <col min="4358" max="4358" width="0" style="96" hidden="1" customWidth="1"/>
    <col min="4359" max="4603" width="8.85546875" style="96"/>
    <col min="4604" max="4604" width="22.42578125" style="96" customWidth="1"/>
    <col min="4605" max="4613" width="8.85546875" style="96"/>
    <col min="4614" max="4614" width="0" style="96" hidden="1" customWidth="1"/>
    <col min="4615" max="4859" width="8.85546875" style="96"/>
    <col min="4860" max="4860" width="22.42578125" style="96" customWidth="1"/>
    <col min="4861" max="4869" width="8.85546875" style="96"/>
    <col min="4870" max="4870" width="0" style="96" hidden="1" customWidth="1"/>
    <col min="4871" max="5115" width="8.85546875" style="96"/>
    <col min="5116" max="5116" width="22.42578125" style="96" customWidth="1"/>
    <col min="5117" max="5125" width="8.85546875" style="96"/>
    <col min="5126" max="5126" width="0" style="96" hidden="1" customWidth="1"/>
    <col min="5127" max="5371" width="8.85546875" style="96"/>
    <col min="5372" max="5372" width="22.42578125" style="96" customWidth="1"/>
    <col min="5373" max="5381" width="8.85546875" style="96"/>
    <col min="5382" max="5382" width="0" style="96" hidden="1" customWidth="1"/>
    <col min="5383" max="5627" width="8.85546875" style="96"/>
    <col min="5628" max="5628" width="22.42578125" style="96" customWidth="1"/>
    <col min="5629" max="5637" width="8.85546875" style="96"/>
    <col min="5638" max="5638" width="0" style="96" hidden="1" customWidth="1"/>
    <col min="5639" max="5883" width="8.85546875" style="96"/>
    <col min="5884" max="5884" width="22.42578125" style="96" customWidth="1"/>
    <col min="5885" max="5893" width="8.85546875" style="96"/>
    <col min="5894" max="5894" width="0" style="96" hidden="1" customWidth="1"/>
    <col min="5895" max="6139" width="8.85546875" style="96"/>
    <col min="6140" max="6140" width="22.42578125" style="96" customWidth="1"/>
    <col min="6141" max="6149" width="8.85546875" style="96"/>
    <col min="6150" max="6150" width="0" style="96" hidden="1" customWidth="1"/>
    <col min="6151" max="6395" width="8.85546875" style="96"/>
    <col min="6396" max="6396" width="22.42578125" style="96" customWidth="1"/>
    <col min="6397" max="6405" width="8.85546875" style="96"/>
    <col min="6406" max="6406" width="0" style="96" hidden="1" customWidth="1"/>
    <col min="6407" max="6651" width="8.85546875" style="96"/>
    <col min="6652" max="6652" width="22.42578125" style="96" customWidth="1"/>
    <col min="6653" max="6661" width="8.85546875" style="96"/>
    <col min="6662" max="6662" width="0" style="96" hidden="1" customWidth="1"/>
    <col min="6663" max="6907" width="8.85546875" style="96"/>
    <col min="6908" max="6908" width="22.42578125" style="96" customWidth="1"/>
    <col min="6909" max="6917" width="8.85546875" style="96"/>
    <col min="6918" max="6918" width="0" style="96" hidden="1" customWidth="1"/>
    <col min="6919" max="7163" width="8.85546875" style="96"/>
    <col min="7164" max="7164" width="22.42578125" style="96" customWidth="1"/>
    <col min="7165" max="7173" width="8.85546875" style="96"/>
    <col min="7174" max="7174" width="0" style="96" hidden="1" customWidth="1"/>
    <col min="7175" max="7419" width="8.85546875" style="96"/>
    <col min="7420" max="7420" width="22.42578125" style="96" customWidth="1"/>
    <col min="7421" max="7429" width="8.85546875" style="96"/>
    <col min="7430" max="7430" width="0" style="96" hidden="1" customWidth="1"/>
    <col min="7431" max="7675" width="8.85546875" style="96"/>
    <col min="7676" max="7676" width="22.42578125" style="96" customWidth="1"/>
    <col min="7677" max="7685" width="8.85546875" style="96"/>
    <col min="7686" max="7686" width="0" style="96" hidden="1" customWidth="1"/>
    <col min="7687" max="7931" width="8.85546875" style="96"/>
    <col min="7932" max="7932" width="22.42578125" style="96" customWidth="1"/>
    <col min="7933" max="7941" width="8.85546875" style="96"/>
    <col min="7942" max="7942" width="0" style="96" hidden="1" customWidth="1"/>
    <col min="7943" max="8187" width="8.85546875" style="96"/>
    <col min="8188" max="8188" width="22.42578125" style="96" customWidth="1"/>
    <col min="8189" max="8197" width="8.85546875" style="96"/>
    <col min="8198" max="8198" width="0" style="96" hidden="1" customWidth="1"/>
    <col min="8199" max="8443" width="8.85546875" style="96"/>
    <col min="8444" max="8444" width="22.42578125" style="96" customWidth="1"/>
    <col min="8445" max="8453" width="8.85546875" style="96"/>
    <col min="8454" max="8454" width="0" style="96" hidden="1" customWidth="1"/>
    <col min="8455" max="8699" width="8.85546875" style="96"/>
    <col min="8700" max="8700" width="22.42578125" style="96" customWidth="1"/>
    <col min="8701" max="8709" width="8.85546875" style="96"/>
    <col min="8710" max="8710" width="0" style="96" hidden="1" customWidth="1"/>
    <col min="8711" max="8955" width="8.85546875" style="96"/>
    <col min="8956" max="8956" width="22.42578125" style="96" customWidth="1"/>
    <col min="8957" max="8965" width="8.85546875" style="96"/>
    <col min="8966" max="8966" width="0" style="96" hidden="1" customWidth="1"/>
    <col min="8967" max="9211" width="8.85546875" style="96"/>
    <col min="9212" max="9212" width="22.42578125" style="96" customWidth="1"/>
    <col min="9213" max="9221" width="8.85546875" style="96"/>
    <col min="9222" max="9222" width="0" style="96" hidden="1" customWidth="1"/>
    <col min="9223" max="9467" width="8.85546875" style="96"/>
    <col min="9468" max="9468" width="22.42578125" style="96" customWidth="1"/>
    <col min="9469" max="9477" width="8.85546875" style="96"/>
    <col min="9478" max="9478" width="0" style="96" hidden="1" customWidth="1"/>
    <col min="9479" max="9723" width="8.85546875" style="96"/>
    <col min="9724" max="9724" width="22.42578125" style="96" customWidth="1"/>
    <col min="9725" max="9733" width="8.85546875" style="96"/>
    <col min="9734" max="9734" width="0" style="96" hidden="1" customWidth="1"/>
    <col min="9735" max="9979" width="8.85546875" style="96"/>
    <col min="9980" max="9980" width="22.42578125" style="96" customWidth="1"/>
    <col min="9981" max="9989" width="8.85546875" style="96"/>
    <col min="9990" max="9990" width="0" style="96" hidden="1" customWidth="1"/>
    <col min="9991" max="10235" width="8.85546875" style="96"/>
    <col min="10236" max="10236" width="22.42578125" style="96" customWidth="1"/>
    <col min="10237" max="10245" width="8.85546875" style="96"/>
    <col min="10246" max="10246" width="0" style="96" hidden="1" customWidth="1"/>
    <col min="10247" max="10491" width="8.85546875" style="96"/>
    <col min="10492" max="10492" width="22.42578125" style="96" customWidth="1"/>
    <col min="10493" max="10501" width="8.85546875" style="96"/>
    <col min="10502" max="10502" width="0" style="96" hidden="1" customWidth="1"/>
    <col min="10503" max="10747" width="8.85546875" style="96"/>
    <col min="10748" max="10748" width="22.42578125" style="96" customWidth="1"/>
    <col min="10749" max="10757" width="8.85546875" style="96"/>
    <col min="10758" max="10758" width="0" style="96" hidden="1" customWidth="1"/>
    <col min="10759" max="11003" width="8.85546875" style="96"/>
    <col min="11004" max="11004" width="22.42578125" style="96" customWidth="1"/>
    <col min="11005" max="11013" width="8.85546875" style="96"/>
    <col min="11014" max="11014" width="0" style="96" hidden="1" customWidth="1"/>
    <col min="11015" max="11259" width="8.85546875" style="96"/>
    <col min="11260" max="11260" width="22.42578125" style="96" customWidth="1"/>
    <col min="11261" max="11269" width="8.85546875" style="96"/>
    <col min="11270" max="11270" width="0" style="96" hidden="1" customWidth="1"/>
    <col min="11271" max="11515" width="8.85546875" style="96"/>
    <col min="11516" max="11516" width="22.42578125" style="96" customWidth="1"/>
    <col min="11517" max="11525" width="8.85546875" style="96"/>
    <col min="11526" max="11526" width="0" style="96" hidden="1" customWidth="1"/>
    <col min="11527" max="11771" width="8.85546875" style="96"/>
    <col min="11772" max="11772" width="22.42578125" style="96" customWidth="1"/>
    <col min="11773" max="11781" width="8.85546875" style="96"/>
    <col min="11782" max="11782" width="0" style="96" hidden="1" customWidth="1"/>
    <col min="11783" max="12027" width="8.85546875" style="96"/>
    <col min="12028" max="12028" width="22.42578125" style="96" customWidth="1"/>
    <col min="12029" max="12037" width="8.85546875" style="96"/>
    <col min="12038" max="12038" width="0" style="96" hidden="1" customWidth="1"/>
    <col min="12039" max="12283" width="8.85546875" style="96"/>
    <col min="12284" max="12284" width="22.42578125" style="96" customWidth="1"/>
    <col min="12285" max="12293" width="8.85546875" style="96"/>
    <col min="12294" max="12294" width="0" style="96" hidden="1" customWidth="1"/>
    <col min="12295" max="12539" width="8.85546875" style="96"/>
    <col min="12540" max="12540" width="22.42578125" style="96" customWidth="1"/>
    <col min="12541" max="12549" width="8.85546875" style="96"/>
    <col min="12550" max="12550" width="0" style="96" hidden="1" customWidth="1"/>
    <col min="12551" max="12795" width="8.85546875" style="96"/>
    <col min="12796" max="12796" width="22.42578125" style="96" customWidth="1"/>
    <col min="12797" max="12805" width="8.85546875" style="96"/>
    <col min="12806" max="12806" width="0" style="96" hidden="1" customWidth="1"/>
    <col min="12807" max="13051" width="8.85546875" style="96"/>
    <col min="13052" max="13052" width="22.42578125" style="96" customWidth="1"/>
    <col min="13053" max="13061" width="8.85546875" style="96"/>
    <col min="13062" max="13062" width="0" style="96" hidden="1" customWidth="1"/>
    <col min="13063" max="13307" width="8.85546875" style="96"/>
    <col min="13308" max="13308" width="22.42578125" style="96" customWidth="1"/>
    <col min="13309" max="13317" width="8.85546875" style="96"/>
    <col min="13318" max="13318" width="0" style="96" hidden="1" customWidth="1"/>
    <col min="13319" max="13563" width="8.85546875" style="96"/>
    <col min="13564" max="13564" width="22.42578125" style="96" customWidth="1"/>
    <col min="13565" max="13573" width="8.85546875" style="96"/>
    <col min="13574" max="13574" width="0" style="96" hidden="1" customWidth="1"/>
    <col min="13575" max="13819" width="8.85546875" style="96"/>
    <col min="13820" max="13820" width="22.42578125" style="96" customWidth="1"/>
    <col min="13821" max="13829" width="8.85546875" style="96"/>
    <col min="13830" max="13830" width="0" style="96" hidden="1" customWidth="1"/>
    <col min="13831" max="14075" width="8.85546875" style="96"/>
    <col min="14076" max="14076" width="22.42578125" style="96" customWidth="1"/>
    <col min="14077" max="14085" width="8.85546875" style="96"/>
    <col min="14086" max="14086" width="0" style="96" hidden="1" customWidth="1"/>
    <col min="14087" max="14331" width="8.85546875" style="96"/>
    <col min="14332" max="14332" width="22.42578125" style="96" customWidth="1"/>
    <col min="14333" max="14341" width="8.85546875" style="96"/>
    <col min="14342" max="14342" width="0" style="96" hidden="1" customWidth="1"/>
    <col min="14343" max="14587" width="8.85546875" style="96"/>
    <col min="14588" max="14588" width="22.42578125" style="96" customWidth="1"/>
    <col min="14589" max="14597" width="8.85546875" style="96"/>
    <col min="14598" max="14598" width="0" style="96" hidden="1" customWidth="1"/>
    <col min="14599" max="14843" width="8.85546875" style="96"/>
    <col min="14844" max="14844" width="22.42578125" style="96" customWidth="1"/>
    <col min="14845" max="14853" width="8.85546875" style="96"/>
    <col min="14854" max="14854" width="0" style="96" hidden="1" customWidth="1"/>
    <col min="14855" max="15099" width="8.85546875" style="96"/>
    <col min="15100" max="15100" width="22.42578125" style="96" customWidth="1"/>
    <col min="15101" max="15109" width="8.85546875" style="96"/>
    <col min="15110" max="15110" width="0" style="96" hidden="1" customWidth="1"/>
    <col min="15111" max="15355" width="8.85546875" style="96"/>
    <col min="15356" max="15356" width="22.42578125" style="96" customWidth="1"/>
    <col min="15357" max="15365" width="8.85546875" style="96"/>
    <col min="15366" max="15366" width="0" style="96" hidden="1" customWidth="1"/>
    <col min="15367" max="15611" width="8.85546875" style="96"/>
    <col min="15612" max="15612" width="22.42578125" style="96" customWidth="1"/>
    <col min="15613" max="15621" width="8.85546875" style="96"/>
    <col min="15622" max="15622" width="0" style="96" hidden="1" customWidth="1"/>
    <col min="15623" max="15867" width="8.85546875" style="96"/>
    <col min="15868" max="15868" width="22.42578125" style="96" customWidth="1"/>
    <col min="15869" max="15877" width="8.85546875" style="96"/>
    <col min="15878" max="15878" width="0" style="96" hidden="1" customWidth="1"/>
    <col min="15879" max="16123" width="8.85546875" style="96"/>
    <col min="16124" max="16124" width="22.42578125" style="96" customWidth="1"/>
    <col min="16125" max="16133" width="8.85546875" style="96"/>
    <col min="16134" max="16134" width="0" style="96" hidden="1" customWidth="1"/>
    <col min="16135" max="16384" width="8.85546875" style="96"/>
  </cols>
  <sheetData>
    <row r="1" spans="2:14" x14ac:dyDescent="0.25">
      <c r="C1" s="202"/>
      <c r="D1" s="202"/>
      <c r="E1" s="202"/>
      <c r="F1" s="202"/>
      <c r="G1" s="202"/>
      <c r="H1" s="202"/>
    </row>
    <row r="2" spans="2:14" ht="21" customHeight="1" x14ac:dyDescent="0.25">
      <c r="B2" s="203" t="s">
        <v>448</v>
      </c>
      <c r="C2" s="150"/>
      <c r="D2" s="150"/>
      <c r="E2" s="150"/>
      <c r="F2" s="150"/>
      <c r="G2" s="150"/>
      <c r="H2" s="150"/>
      <c r="I2" s="150"/>
      <c r="J2" s="150"/>
      <c r="K2" s="150"/>
      <c r="L2" s="150"/>
      <c r="M2" s="150"/>
      <c r="N2" s="150"/>
    </row>
    <row r="3" spans="2:14" ht="15" customHeight="1" x14ac:dyDescent="0.25">
      <c r="B3" s="199"/>
      <c r="C3" s="201"/>
      <c r="D3" s="201"/>
      <c r="E3" s="201"/>
      <c r="F3" s="201"/>
      <c r="G3" s="201"/>
      <c r="H3" s="201"/>
      <c r="I3" s="201"/>
      <c r="J3" s="201"/>
      <c r="K3" s="201"/>
      <c r="L3" s="201"/>
      <c r="M3" s="201"/>
      <c r="N3" s="201"/>
    </row>
    <row r="4" spans="2:14" ht="18.75" customHeight="1" x14ac:dyDescent="0.25">
      <c r="B4" s="135" t="s">
        <v>445</v>
      </c>
      <c r="C4" s="94">
        <v>2025</v>
      </c>
      <c r="D4" s="339">
        <f t="shared" ref="D4:N4" si="0">C4+1</f>
        <v>2026</v>
      </c>
      <c r="E4" s="339">
        <f t="shared" si="0"/>
        <v>2027</v>
      </c>
      <c r="F4" s="339">
        <f t="shared" si="0"/>
        <v>2028</v>
      </c>
      <c r="G4" s="339">
        <f t="shared" si="0"/>
        <v>2029</v>
      </c>
      <c r="H4" s="339">
        <f t="shared" si="0"/>
        <v>2030</v>
      </c>
      <c r="I4" s="339">
        <f t="shared" si="0"/>
        <v>2031</v>
      </c>
      <c r="J4" s="339">
        <f t="shared" si="0"/>
        <v>2032</v>
      </c>
      <c r="K4" s="339">
        <f t="shared" si="0"/>
        <v>2033</v>
      </c>
      <c r="L4" s="339">
        <f t="shared" si="0"/>
        <v>2034</v>
      </c>
      <c r="M4" s="339">
        <f t="shared" si="0"/>
        <v>2035</v>
      </c>
      <c r="N4" s="339">
        <f t="shared" si="0"/>
        <v>2036</v>
      </c>
    </row>
    <row r="5" spans="2:14" ht="18.75" customHeight="1" x14ac:dyDescent="0.25">
      <c r="B5" s="200" t="s">
        <v>449</v>
      </c>
      <c r="C5" s="197">
        <f>'P &amp; L'!D29</f>
        <v>0</v>
      </c>
      <c r="D5" s="197">
        <f>'P &amp; L'!E29</f>
        <v>310.05046709449971</v>
      </c>
      <c r="E5" s="197">
        <f>'P &amp; L'!F29</f>
        <v>343.79996183136336</v>
      </c>
      <c r="F5" s="197">
        <f>'P &amp; L'!G29</f>
        <v>380.43542025094769</v>
      </c>
      <c r="G5" s="197">
        <f>'P &amp; L'!H29</f>
        <v>421.7184026874591</v>
      </c>
      <c r="H5" s="197">
        <f>'P &amp; L'!I29</f>
        <v>467.65950859017221</v>
      </c>
      <c r="I5" s="197">
        <f>'P &amp; L'!J29</f>
        <v>517.70234973377796</v>
      </c>
      <c r="J5" s="197">
        <f>'P &amp; L'!K29</f>
        <v>567.69728521569186</v>
      </c>
      <c r="K5" s="197">
        <f>'P &amp; L'!L29</f>
        <v>621.17937642642005</v>
      </c>
      <c r="L5" s="197">
        <f>'P &amp; L'!M29</f>
        <v>678.22224251188049</v>
      </c>
      <c r="M5" s="197">
        <f>'P &amp; L'!N29</f>
        <v>738.87031428609612</v>
      </c>
      <c r="N5" s="197">
        <f>'P &amp; L'!O29</f>
        <v>800.82767126925751</v>
      </c>
    </row>
    <row r="6" spans="2:14" ht="30" x14ac:dyDescent="0.25">
      <c r="B6" s="264" t="s">
        <v>783</v>
      </c>
      <c r="C6" s="197">
        <f>'P &amp; L'!D26+'P &amp; L'!D20</f>
        <v>0</v>
      </c>
      <c r="D6" s="197">
        <f>'P &amp; L'!E26+'P &amp; L'!E20</f>
        <v>179.56210077973688</v>
      </c>
      <c r="E6" s="197">
        <f>'P &amp; L'!F26+'P &amp; L'!F20</f>
        <v>179.56210077973688</v>
      </c>
      <c r="F6" s="197">
        <f>'P &amp; L'!G26+'P &amp; L'!G20</f>
        <v>179.56210077973688</v>
      </c>
      <c r="G6" s="197">
        <f>'P &amp; L'!H26+'P &amp; L'!H20</f>
        <v>179.56210077973688</v>
      </c>
      <c r="H6" s="197">
        <f>'P &amp; L'!I26+'P &amp; L'!I20</f>
        <v>179.56210077973688</v>
      </c>
      <c r="I6" s="197">
        <f>'P &amp; L'!J26+'P &amp; L'!J20</f>
        <v>176.40210077973688</v>
      </c>
      <c r="J6" s="197">
        <f>'P &amp; L'!K26+'P &amp; L'!K20</f>
        <v>176.40210077973688</v>
      </c>
      <c r="K6" s="197">
        <f>'P &amp; L'!L26+'P &amp; L'!L20</f>
        <v>176.40210077973688</v>
      </c>
      <c r="L6" s="197">
        <f>'P &amp; L'!M26+'P &amp; L'!M20</f>
        <v>176.40210077973688</v>
      </c>
      <c r="M6" s="197">
        <f>'P &amp; L'!N26+'P &amp; L'!N20</f>
        <v>176.40210077973688</v>
      </c>
      <c r="N6" s="197">
        <f>'P &amp; L'!O26+'P &amp; L'!O20</f>
        <v>176.40210077973688</v>
      </c>
    </row>
    <row r="7" spans="2:14" ht="18.75" customHeight="1" x14ac:dyDescent="0.25">
      <c r="B7" s="200" t="s">
        <v>784</v>
      </c>
      <c r="C7" s="197">
        <f>'P &amp; L'!D24</f>
        <v>0</v>
      </c>
      <c r="D7" s="197">
        <f>'P &amp; L'!E24</f>
        <v>207.4325</v>
      </c>
      <c r="E7" s="197">
        <f>'P &amp; L'!F24</f>
        <v>196.45999999999998</v>
      </c>
      <c r="F7" s="197">
        <f>'P &amp; L'!G24</f>
        <v>183.92</v>
      </c>
      <c r="G7" s="197">
        <f>'P &amp; L'!H24</f>
        <v>167.2</v>
      </c>
      <c r="H7" s="197">
        <f>'P &amp; L'!I24</f>
        <v>146.29999999999998</v>
      </c>
      <c r="I7" s="197">
        <f>'P &amp; L'!J24</f>
        <v>125.4</v>
      </c>
      <c r="J7" s="197">
        <f>'P &amp; L'!K24</f>
        <v>104.5</v>
      </c>
      <c r="K7" s="197">
        <f>'P &amp; L'!L24</f>
        <v>81.510000000000005</v>
      </c>
      <c r="L7" s="197">
        <f>'P &amp; L'!M24</f>
        <v>56.43</v>
      </c>
      <c r="M7" s="197">
        <f>'P &amp; L'!N24</f>
        <v>29.259999999999998</v>
      </c>
      <c r="N7" s="197">
        <f>'P &amp; L'!O24</f>
        <v>3.6574999999999998</v>
      </c>
    </row>
    <row r="8" spans="2:14" ht="18.75" customHeight="1" x14ac:dyDescent="0.25">
      <c r="B8" s="200" t="s">
        <v>785</v>
      </c>
      <c r="C8" s="197">
        <f>'P &amp; L'!D25</f>
        <v>0</v>
      </c>
      <c r="D8" s="197">
        <f>'P &amp; L'!E25</f>
        <v>4.75</v>
      </c>
      <c r="E8" s="197">
        <f>'P &amp; L'!F25</f>
        <v>4.75</v>
      </c>
      <c r="F8" s="197">
        <f>'P &amp; L'!G25</f>
        <v>4.75</v>
      </c>
      <c r="G8" s="197">
        <f>'P &amp; L'!H25</f>
        <v>4.75</v>
      </c>
      <c r="H8" s="197">
        <f>'P &amp; L'!I25</f>
        <v>4.75</v>
      </c>
      <c r="I8" s="197">
        <f>'P &amp; L'!J25</f>
        <v>4.75</v>
      </c>
      <c r="J8" s="197">
        <f>'P &amp; L'!K25</f>
        <v>4.75</v>
      </c>
      <c r="K8" s="197">
        <f>'P &amp; L'!L25</f>
        <v>4.75</v>
      </c>
      <c r="L8" s="197">
        <f>'P &amp; L'!M25</f>
        <v>4.75</v>
      </c>
      <c r="M8" s="197">
        <f>'P &amp; L'!N25</f>
        <v>4.75</v>
      </c>
      <c r="N8" s="197">
        <f>'P &amp; L'!O25</f>
        <v>4.75</v>
      </c>
    </row>
    <row r="9" spans="2:14" ht="18.75" customHeight="1" x14ac:dyDescent="0.25">
      <c r="B9" s="204" t="s">
        <v>446</v>
      </c>
      <c r="C9" s="205">
        <f>SUM(C5:C8)</f>
        <v>0</v>
      </c>
      <c r="D9" s="205">
        <f t="shared" ref="D9:N9" si="1">SUM(D5:D8)</f>
        <v>701.79506787423657</v>
      </c>
      <c r="E9" s="205">
        <f t="shared" si="1"/>
        <v>724.57206261110014</v>
      </c>
      <c r="F9" s="205">
        <f t="shared" si="1"/>
        <v>748.6675210306845</v>
      </c>
      <c r="G9" s="205">
        <f t="shared" si="1"/>
        <v>773.23050346719606</v>
      </c>
      <c r="H9" s="205">
        <f t="shared" si="1"/>
        <v>798.27160936990902</v>
      </c>
      <c r="I9" s="205">
        <f t="shared" si="1"/>
        <v>824.25445051351483</v>
      </c>
      <c r="J9" s="205">
        <f t="shared" si="1"/>
        <v>853.34938599542875</v>
      </c>
      <c r="K9" s="205">
        <f t="shared" si="1"/>
        <v>883.84147720615692</v>
      </c>
      <c r="L9" s="205">
        <f t="shared" si="1"/>
        <v>915.80434329161733</v>
      </c>
      <c r="M9" s="205">
        <f t="shared" si="1"/>
        <v>949.28241506583299</v>
      </c>
      <c r="N9" s="205">
        <f t="shared" si="1"/>
        <v>985.63727204899442</v>
      </c>
    </row>
    <row r="10" spans="2:14" ht="18.75" customHeight="1" x14ac:dyDescent="0.25">
      <c r="B10" s="200" t="s">
        <v>784</v>
      </c>
      <c r="C10" s="197">
        <f t="shared" ref="C10:H10" si="2">C7</f>
        <v>0</v>
      </c>
      <c r="D10" s="197">
        <f t="shared" si="2"/>
        <v>207.4325</v>
      </c>
      <c r="E10" s="197">
        <f t="shared" si="2"/>
        <v>196.45999999999998</v>
      </c>
      <c r="F10" s="197">
        <f t="shared" si="2"/>
        <v>183.92</v>
      </c>
      <c r="G10" s="197">
        <f t="shared" si="2"/>
        <v>167.2</v>
      </c>
      <c r="H10" s="197">
        <f t="shared" si="2"/>
        <v>146.29999999999998</v>
      </c>
      <c r="I10" s="197">
        <f>I7</f>
        <v>125.4</v>
      </c>
      <c r="J10" s="197">
        <f t="shared" ref="J10:M10" si="3">J7</f>
        <v>104.5</v>
      </c>
      <c r="K10" s="197">
        <f t="shared" si="3"/>
        <v>81.510000000000005</v>
      </c>
      <c r="L10" s="197">
        <f t="shared" si="3"/>
        <v>56.43</v>
      </c>
      <c r="M10" s="197">
        <f t="shared" si="3"/>
        <v>29.259999999999998</v>
      </c>
      <c r="N10" s="197">
        <f t="shared" ref="N10" si="4">N7</f>
        <v>3.6574999999999998</v>
      </c>
    </row>
    <row r="11" spans="2:14" ht="18.75" customHeight="1" x14ac:dyDescent="0.25">
      <c r="B11" s="200" t="s">
        <v>785</v>
      </c>
      <c r="C11" s="197">
        <f>'P &amp; L'!D25</f>
        <v>0</v>
      </c>
      <c r="D11" s="197">
        <f>'P &amp; L'!E25</f>
        <v>4.75</v>
      </c>
      <c r="E11" s="197">
        <f>'P &amp; L'!F25</f>
        <v>4.75</v>
      </c>
      <c r="F11" s="197">
        <f>'P &amp; L'!G25</f>
        <v>4.75</v>
      </c>
      <c r="G11" s="197">
        <f>'P &amp; L'!H25</f>
        <v>4.75</v>
      </c>
      <c r="H11" s="197">
        <f>'P &amp; L'!I25</f>
        <v>4.75</v>
      </c>
      <c r="I11" s="197">
        <f>'P &amp; L'!J25</f>
        <v>4.75</v>
      </c>
      <c r="J11" s="197">
        <f>'P &amp; L'!K25</f>
        <v>4.75</v>
      </c>
      <c r="K11" s="197">
        <f>'P &amp; L'!L25</f>
        <v>4.75</v>
      </c>
      <c r="L11" s="197">
        <f>'P &amp; L'!M25</f>
        <v>4.75</v>
      </c>
      <c r="M11" s="197">
        <f>'P &amp; L'!N25</f>
        <v>4.75</v>
      </c>
      <c r="N11" s="197">
        <f>'P &amp; L'!O25</f>
        <v>4.75</v>
      </c>
    </row>
    <row r="12" spans="2:14" ht="18.75" customHeight="1" x14ac:dyDescent="0.25">
      <c r="B12" s="200" t="s">
        <v>717</v>
      </c>
      <c r="C12" s="197">
        <f>'TL Schd'!E7</f>
        <v>0</v>
      </c>
      <c r="D12" s="197">
        <f>'TL Schd'!F7</f>
        <v>66</v>
      </c>
      <c r="E12" s="197">
        <f>'TL Schd'!G7</f>
        <v>132</v>
      </c>
      <c r="F12" s="197">
        <f>'TL Schd'!H7</f>
        <v>132</v>
      </c>
      <c r="G12" s="197">
        <f>'TL Schd'!I7</f>
        <v>220</v>
      </c>
      <c r="H12" s="197">
        <f>'TL Schd'!J7</f>
        <v>220</v>
      </c>
      <c r="I12" s="197">
        <f>'TL Schd'!K7</f>
        <v>220</v>
      </c>
      <c r="J12" s="197">
        <f>'TL Schd'!L7</f>
        <v>220</v>
      </c>
      <c r="K12" s="197">
        <f>'TL Schd'!M7</f>
        <v>264</v>
      </c>
      <c r="L12" s="197">
        <f>'TL Schd'!N7</f>
        <v>264</v>
      </c>
      <c r="M12" s="197">
        <f>'TL Schd'!O7</f>
        <v>308.00000000000006</v>
      </c>
      <c r="N12" s="197">
        <f>'TL Schd'!P7</f>
        <v>154.00000000000003</v>
      </c>
    </row>
    <row r="13" spans="2:14" ht="18.75" customHeight="1" x14ac:dyDescent="0.25">
      <c r="B13" s="204" t="s">
        <v>446</v>
      </c>
      <c r="C13" s="205">
        <f>SUM(C10:C12)</f>
        <v>0</v>
      </c>
      <c r="D13" s="205">
        <f t="shared" ref="D13:M13" si="5">SUM(D10:D12)</f>
        <v>278.1825</v>
      </c>
      <c r="E13" s="205">
        <f t="shared" si="5"/>
        <v>333.21</v>
      </c>
      <c r="F13" s="205">
        <f t="shared" si="5"/>
        <v>320.66999999999996</v>
      </c>
      <c r="G13" s="205">
        <f t="shared" si="5"/>
        <v>391.95</v>
      </c>
      <c r="H13" s="205">
        <f t="shared" si="5"/>
        <v>371.04999999999995</v>
      </c>
      <c r="I13" s="205">
        <f t="shared" si="5"/>
        <v>350.15</v>
      </c>
      <c r="J13" s="205">
        <f t="shared" si="5"/>
        <v>329.25</v>
      </c>
      <c r="K13" s="205">
        <f t="shared" si="5"/>
        <v>350.26</v>
      </c>
      <c r="L13" s="205">
        <f t="shared" si="5"/>
        <v>325.18</v>
      </c>
      <c r="M13" s="205">
        <f t="shared" si="5"/>
        <v>342.01000000000005</v>
      </c>
      <c r="N13" s="205">
        <f t="shared" ref="N13" si="6">SUM(N10:N12)</f>
        <v>162.40750000000003</v>
      </c>
    </row>
    <row r="14" spans="2:14" ht="18.75" customHeight="1" x14ac:dyDescent="0.25">
      <c r="B14" s="200" t="s">
        <v>447</v>
      </c>
      <c r="C14" s="198" t="e">
        <f t="shared" ref="C14:M14" si="7">C9/C13</f>
        <v>#DIV/0!</v>
      </c>
      <c r="D14" s="198">
        <f t="shared" si="7"/>
        <v>2.5227865443521305</v>
      </c>
      <c r="E14" s="198">
        <f t="shared" si="7"/>
        <v>2.174520760514691</v>
      </c>
      <c r="F14" s="198">
        <f t="shared" si="7"/>
        <v>2.3346977298490179</v>
      </c>
      <c r="G14" s="198">
        <f t="shared" si="7"/>
        <v>1.9727784244602529</v>
      </c>
      <c r="H14" s="198">
        <f t="shared" si="7"/>
        <v>2.1513855528093493</v>
      </c>
      <c r="I14" s="198">
        <f t="shared" si="7"/>
        <v>2.3540038569570609</v>
      </c>
      <c r="J14" s="198">
        <f t="shared" si="7"/>
        <v>2.5917976795609072</v>
      </c>
      <c r="K14" s="198">
        <f t="shared" si="7"/>
        <v>2.5233868475023038</v>
      </c>
      <c r="L14" s="198">
        <f t="shared" si="7"/>
        <v>2.8162997210517786</v>
      </c>
      <c r="M14" s="198">
        <f t="shared" si="7"/>
        <v>2.7755984183673954</v>
      </c>
      <c r="N14" s="198">
        <f t="shared" ref="N14" si="8">N9/N13</f>
        <v>6.0689147486969155</v>
      </c>
    </row>
    <row r="15" spans="2:14" ht="18.75" customHeight="1" x14ac:dyDescent="0.25">
      <c r="B15" s="206" t="s">
        <v>306</v>
      </c>
      <c r="C15" s="374">
        <f>SUM(D9:N9)/SUM(D13:N13)</f>
        <v>2.5767815245882959</v>
      </c>
      <c r="D15" s="374"/>
      <c r="E15" s="374"/>
      <c r="F15" s="374"/>
      <c r="G15" s="374"/>
      <c r="H15" s="374"/>
      <c r="I15" s="374"/>
      <c r="J15" s="374"/>
      <c r="K15" s="374"/>
      <c r="L15" s="374"/>
      <c r="M15" s="374"/>
      <c r="N15" s="374"/>
    </row>
    <row r="16" spans="2:14" ht="18.75" customHeight="1" x14ac:dyDescent="0.25">
      <c r="B16" s="206" t="s">
        <v>826</v>
      </c>
      <c r="C16" s="374">
        <f>MAX(D14:N14)</f>
        <v>6.0689147486969155</v>
      </c>
      <c r="D16" s="374"/>
      <c r="E16" s="374"/>
      <c r="F16" s="374"/>
      <c r="G16" s="374"/>
      <c r="H16" s="374"/>
      <c r="I16" s="374"/>
      <c r="J16" s="374"/>
      <c r="K16" s="374"/>
      <c r="L16" s="374"/>
      <c r="M16" s="374"/>
      <c r="N16" s="374"/>
    </row>
    <row r="17" spans="3:13" x14ac:dyDescent="0.25">
      <c r="C17" s="107"/>
      <c r="D17" s="107"/>
      <c r="E17" s="107"/>
      <c r="F17" s="107"/>
      <c r="G17" s="107"/>
      <c r="H17" s="107"/>
      <c r="I17" s="107"/>
      <c r="J17" s="107"/>
      <c r="K17" s="107"/>
      <c r="L17" s="107"/>
      <c r="M17" s="107"/>
    </row>
    <row r="26" spans="3:13" hidden="1" x14ac:dyDescent="0.25">
      <c r="D26" s="44">
        <v>719.64</v>
      </c>
      <c r="E26" s="44">
        <f>D26-50</f>
        <v>669.64</v>
      </c>
    </row>
    <row r="27" spans="3:13" hidden="1" x14ac:dyDescent="0.25">
      <c r="D27" s="44">
        <v>302.64</v>
      </c>
      <c r="E27" s="44">
        <f>D27-50</f>
        <v>252.64</v>
      </c>
    </row>
    <row r="28" spans="3:13" hidden="1" x14ac:dyDescent="0.25">
      <c r="D28" s="44">
        <f>D26/D27</f>
        <v>2.3778747026169706</v>
      </c>
      <c r="E28" s="107">
        <f>E26/E27</f>
        <v>2.6505699810006336</v>
      </c>
    </row>
  </sheetData>
  <customSheetViews>
    <customSheetView guid="{22475485-DA09-46DB-978D-BB94CE1E5597}" hiddenColumns="1">
      <selection activeCell="A18" sqref="A18"/>
      <pageMargins left="0.7" right="0.7" top="0.75" bottom="0.75" header="0.3" footer="0.3"/>
    </customSheetView>
  </customSheetViews>
  <mergeCells count="2">
    <mergeCell ref="C15:N15"/>
    <mergeCell ref="C16:N1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14999847407452621"/>
  </sheetPr>
  <dimension ref="B1:C13"/>
  <sheetViews>
    <sheetView showGridLines="0" zoomScaleNormal="100" workbookViewId="0">
      <selection activeCell="C10" sqref="C10"/>
    </sheetView>
  </sheetViews>
  <sheetFormatPr defaultColWidth="8.85546875" defaultRowHeight="15" x14ac:dyDescent="0.25"/>
  <cols>
    <col min="1" max="1" width="5" style="96" customWidth="1"/>
    <col min="2" max="2" width="47.28515625" style="97" customWidth="1"/>
    <col min="3" max="3" width="30.85546875" style="44" customWidth="1"/>
    <col min="4" max="4" width="9.140625" style="96" bestFit="1" customWidth="1"/>
    <col min="5" max="16384" width="8.85546875" style="96"/>
  </cols>
  <sheetData>
    <row r="1" spans="2:3" ht="16.5" customHeight="1" x14ac:dyDescent="0.25"/>
    <row r="2" spans="2:3" ht="20.25" customHeight="1" x14ac:dyDescent="0.25">
      <c r="B2" s="155" t="s">
        <v>445</v>
      </c>
      <c r="C2" s="93" t="s">
        <v>669</v>
      </c>
    </row>
    <row r="3" spans="2:3" ht="20.25" customHeight="1" x14ac:dyDescent="0.25">
      <c r="B3" s="64" t="s">
        <v>670</v>
      </c>
      <c r="C3" s="207">
        <v>45385</v>
      </c>
    </row>
    <row r="4" spans="2:3" ht="20.25" customHeight="1" x14ac:dyDescent="0.25">
      <c r="B4" s="115" t="s">
        <v>671</v>
      </c>
      <c r="C4" s="47" t="s">
        <v>922</v>
      </c>
    </row>
    <row r="5" spans="2:3" ht="20.25" customHeight="1" x14ac:dyDescent="0.25">
      <c r="B5" s="115" t="s">
        <v>729</v>
      </c>
      <c r="C5" s="47" t="s">
        <v>923</v>
      </c>
    </row>
    <row r="6" spans="2:3" ht="20.25" customHeight="1" x14ac:dyDescent="0.25">
      <c r="B6" s="115" t="s">
        <v>672</v>
      </c>
      <c r="C6" s="207" t="s">
        <v>924</v>
      </c>
    </row>
    <row r="7" spans="2:3" ht="30" x14ac:dyDescent="0.25">
      <c r="B7" s="115" t="s">
        <v>673</v>
      </c>
      <c r="C7" s="47" t="s">
        <v>926</v>
      </c>
    </row>
    <row r="8" spans="2:3" ht="20.25" customHeight="1" x14ac:dyDescent="0.25">
      <c r="B8" s="115" t="s">
        <v>730</v>
      </c>
      <c r="C8" s="47" t="s">
        <v>925</v>
      </c>
    </row>
    <row r="9" spans="2:3" ht="20.25" customHeight="1" x14ac:dyDescent="0.25">
      <c r="B9" s="118" t="s">
        <v>674</v>
      </c>
      <c r="C9" s="73"/>
    </row>
    <row r="10" spans="2:3" ht="20.25" customHeight="1" x14ac:dyDescent="0.25">
      <c r="B10" s="64" t="s">
        <v>675</v>
      </c>
      <c r="C10" s="207">
        <v>45960</v>
      </c>
    </row>
    <row r="11" spans="2:3" ht="20.25" customHeight="1" x14ac:dyDescent="0.25">
      <c r="B11" s="64" t="s">
        <v>676</v>
      </c>
      <c r="C11" s="207">
        <v>49582</v>
      </c>
    </row>
    <row r="12" spans="2:3" ht="20.25" customHeight="1" x14ac:dyDescent="0.25">
      <c r="B12" s="64" t="s">
        <v>677</v>
      </c>
      <c r="C12" s="47">
        <v>10</v>
      </c>
    </row>
    <row r="13" spans="2:3" ht="20.25" customHeight="1" x14ac:dyDescent="0.25">
      <c r="B13" s="64" t="s">
        <v>678</v>
      </c>
      <c r="C13" s="208">
        <v>9.5000000000000001E-2</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2:R119"/>
  <sheetViews>
    <sheetView showGridLines="0" topLeftCell="B1" zoomScaleNormal="100" workbookViewId="0">
      <pane xSplit="3" ySplit="4" topLeftCell="E5" activePane="bottomRight" state="frozen"/>
      <selection activeCell="B1" sqref="B1"/>
      <selection pane="topRight" activeCell="D1" sqref="D1"/>
      <selection pane="bottomLeft" activeCell="B8" sqref="B8"/>
      <selection pane="bottomRight" activeCell="G32" sqref="G32"/>
    </sheetView>
  </sheetViews>
  <sheetFormatPr defaultColWidth="9.140625" defaultRowHeight="15" x14ac:dyDescent="0.25"/>
  <cols>
    <col min="1" max="1" width="7" style="97" customWidth="1"/>
    <col min="2" max="2" width="5.5703125" style="97" customWidth="1"/>
    <col min="3" max="3" width="21.85546875" style="51" customWidth="1"/>
    <col min="4" max="4" width="18.28515625" style="97" customWidth="1"/>
    <col min="5" max="5" width="15" style="97" customWidth="1"/>
    <col min="6" max="6" width="17.140625" style="97" customWidth="1"/>
    <col min="7" max="7" width="17.28515625" style="97" customWidth="1"/>
    <col min="8" max="8" width="14.28515625" style="97" customWidth="1"/>
    <col min="9" max="16" width="12.7109375" style="97" customWidth="1"/>
    <col min="17" max="17" width="9.42578125" style="97" bestFit="1" customWidth="1"/>
    <col min="18" max="16384" width="9.140625" style="97"/>
  </cols>
  <sheetData>
    <row r="2" spans="1:17" ht="19.5" customHeight="1" x14ac:dyDescent="0.25">
      <c r="A2" s="209"/>
      <c r="C2" s="167" t="s">
        <v>775</v>
      </c>
      <c r="D2" s="158"/>
      <c r="E2" s="158"/>
      <c r="F2" s="158"/>
      <c r="G2" s="158"/>
      <c r="H2" s="158"/>
      <c r="I2" s="158"/>
      <c r="J2" s="158"/>
      <c r="K2" s="158"/>
      <c r="L2" s="158"/>
      <c r="M2" s="158"/>
      <c r="N2" s="158"/>
      <c r="O2" s="158"/>
      <c r="P2" s="158"/>
      <c r="Q2" s="158"/>
    </row>
    <row r="3" spans="1:17" x14ac:dyDescent="0.25">
      <c r="C3" s="114"/>
    </row>
    <row r="4" spans="1:17" x14ac:dyDescent="0.25">
      <c r="C4" s="134" t="s">
        <v>776</v>
      </c>
      <c r="D4" s="210">
        <v>2024</v>
      </c>
      <c r="E4" s="210">
        <f t="shared" ref="E4:K4" si="0">D4+1</f>
        <v>2025</v>
      </c>
      <c r="F4" s="210">
        <f t="shared" si="0"/>
        <v>2026</v>
      </c>
      <c r="G4" s="210">
        <f t="shared" si="0"/>
        <v>2027</v>
      </c>
      <c r="H4" s="210">
        <f t="shared" si="0"/>
        <v>2028</v>
      </c>
      <c r="I4" s="210">
        <f t="shared" si="0"/>
        <v>2029</v>
      </c>
      <c r="J4" s="210">
        <f>I4+1</f>
        <v>2030</v>
      </c>
      <c r="K4" s="210">
        <f t="shared" si="0"/>
        <v>2031</v>
      </c>
      <c r="L4" s="210">
        <f>K4+1</f>
        <v>2032</v>
      </c>
      <c r="M4" s="210">
        <f>L4+1</f>
        <v>2033</v>
      </c>
      <c r="N4" s="210">
        <f>M4+1</f>
        <v>2034</v>
      </c>
      <c r="O4" s="210">
        <f>N4+1</f>
        <v>2035</v>
      </c>
      <c r="P4" s="210">
        <f>O4+1</f>
        <v>2036</v>
      </c>
      <c r="Q4" s="210" t="s">
        <v>555</v>
      </c>
    </row>
    <row r="5" spans="1:17" x14ac:dyDescent="0.25">
      <c r="C5" s="51" t="s">
        <v>625</v>
      </c>
      <c r="D5" s="54">
        <v>0</v>
      </c>
      <c r="E5" s="54">
        <f t="shared" ref="E5:K5" si="1">D8</f>
        <v>0</v>
      </c>
      <c r="F5" s="54">
        <f t="shared" si="1"/>
        <v>2200</v>
      </c>
      <c r="G5" s="54">
        <f t="shared" si="1"/>
        <v>2134</v>
      </c>
      <c r="H5" s="54">
        <f t="shared" si="1"/>
        <v>2002</v>
      </c>
      <c r="I5" s="54">
        <f t="shared" si="1"/>
        <v>1870</v>
      </c>
      <c r="J5" s="54">
        <f t="shared" si="1"/>
        <v>1650</v>
      </c>
      <c r="K5" s="54">
        <f t="shared" si="1"/>
        <v>1430</v>
      </c>
      <c r="L5" s="54">
        <f t="shared" ref="L5" si="2">K8</f>
        <v>1210</v>
      </c>
      <c r="M5" s="54">
        <f t="shared" ref="M5" si="3">L8</f>
        <v>990</v>
      </c>
      <c r="N5" s="54">
        <f t="shared" ref="N5" si="4">M8</f>
        <v>726</v>
      </c>
      <c r="O5" s="107">
        <f>N8</f>
        <v>462</v>
      </c>
      <c r="P5" s="107">
        <f>O8</f>
        <v>153.99999999999994</v>
      </c>
    </row>
    <row r="6" spans="1:17" x14ac:dyDescent="0.25">
      <c r="C6" s="51" t="s">
        <v>624</v>
      </c>
      <c r="D6" s="54">
        <f>D30</f>
        <v>0</v>
      </c>
      <c r="E6" s="54">
        <f>D43-D30</f>
        <v>2200</v>
      </c>
      <c r="F6" s="54">
        <v>0</v>
      </c>
      <c r="G6" s="54">
        <v>0</v>
      </c>
      <c r="H6" s="54">
        <v>0</v>
      </c>
      <c r="I6" s="54">
        <v>0</v>
      </c>
      <c r="J6" s="54"/>
      <c r="K6" s="54"/>
      <c r="L6" s="54"/>
      <c r="M6" s="54"/>
      <c r="N6" s="54"/>
      <c r="O6" s="107"/>
      <c r="P6" s="107"/>
    </row>
    <row r="7" spans="1:17" x14ac:dyDescent="0.25">
      <c r="C7" s="51" t="s">
        <v>556</v>
      </c>
      <c r="D7" s="54">
        <f>SUM(E22:E22)</f>
        <v>0</v>
      </c>
      <c r="E7" s="54">
        <f>SUM(E32:E43)</f>
        <v>0</v>
      </c>
      <c r="F7" s="54">
        <f>SUM(E45:E56)</f>
        <v>66</v>
      </c>
      <c r="G7" s="54">
        <f>SUM(E58:E61)</f>
        <v>132</v>
      </c>
      <c r="H7" s="54">
        <f>SUM(E63:E66)</f>
        <v>132</v>
      </c>
      <c r="I7" s="54">
        <f>SUM(E68:E71)</f>
        <v>220</v>
      </c>
      <c r="J7" s="54">
        <f>SUM(E73:E76)</f>
        <v>220</v>
      </c>
      <c r="K7" s="54">
        <f>SUM(E78:E81)</f>
        <v>220</v>
      </c>
      <c r="L7" s="54">
        <f>SUM(E83:E86)</f>
        <v>220</v>
      </c>
      <c r="M7" s="54">
        <f>SUM(E88:E91)</f>
        <v>264</v>
      </c>
      <c r="N7" s="54">
        <f>SUM(E93:E96)</f>
        <v>264</v>
      </c>
      <c r="O7" s="107">
        <f>SUM(E98:E101)</f>
        <v>308.00000000000006</v>
      </c>
      <c r="P7" s="107">
        <f>SUM(E103:E106)</f>
        <v>154.00000000000003</v>
      </c>
      <c r="Q7" s="211">
        <f>SUM(D7:P7)</f>
        <v>2200</v>
      </c>
    </row>
    <row r="8" spans="1:17" x14ac:dyDescent="0.25">
      <c r="C8" s="51" t="s">
        <v>557</v>
      </c>
      <c r="D8" s="54">
        <f t="shared" ref="D8:P8" si="5">D5+D6-D7</f>
        <v>0</v>
      </c>
      <c r="E8" s="54">
        <f t="shared" si="5"/>
        <v>2200</v>
      </c>
      <c r="F8" s="54">
        <f t="shared" si="5"/>
        <v>2134</v>
      </c>
      <c r="G8" s="54">
        <f t="shared" si="5"/>
        <v>2002</v>
      </c>
      <c r="H8" s="54">
        <f t="shared" si="5"/>
        <v>1870</v>
      </c>
      <c r="I8" s="54">
        <f t="shared" si="5"/>
        <v>1650</v>
      </c>
      <c r="J8" s="54">
        <f t="shared" si="5"/>
        <v>1430</v>
      </c>
      <c r="K8" s="54">
        <f t="shared" si="5"/>
        <v>1210</v>
      </c>
      <c r="L8" s="54">
        <f t="shared" si="5"/>
        <v>990</v>
      </c>
      <c r="M8" s="54">
        <f t="shared" si="5"/>
        <v>726</v>
      </c>
      <c r="N8" s="54">
        <f t="shared" si="5"/>
        <v>462</v>
      </c>
      <c r="O8" s="107">
        <f t="shared" si="5"/>
        <v>153.99999999999994</v>
      </c>
      <c r="P8" s="107">
        <f t="shared" si="5"/>
        <v>0</v>
      </c>
      <c r="Q8" s="211"/>
    </row>
    <row r="9" spans="1:17" x14ac:dyDescent="0.25">
      <c r="C9" s="51" t="s">
        <v>320</v>
      </c>
      <c r="D9" s="107">
        <f>SUM(G22:G30)</f>
        <v>0</v>
      </c>
      <c r="E9" s="107">
        <f>SUM(G32:G43)</f>
        <v>126.27083333333334</v>
      </c>
      <c r="F9" s="107">
        <f>SUM(G45:G56)</f>
        <v>207.4325</v>
      </c>
      <c r="G9" s="107">
        <f>SUM(G58:G61)</f>
        <v>196.45999999999998</v>
      </c>
      <c r="H9" s="107">
        <f>SUM(G63:G66)</f>
        <v>183.92</v>
      </c>
      <c r="I9" s="107">
        <f>SUM(G68:G71)</f>
        <v>167.2</v>
      </c>
      <c r="J9" s="107">
        <f>SUM(G73:G76)</f>
        <v>146.29999999999998</v>
      </c>
      <c r="K9" s="107">
        <f>SUM(G78:G81)</f>
        <v>125.4</v>
      </c>
      <c r="L9" s="107">
        <f>SUM(G83:G86)</f>
        <v>104.5</v>
      </c>
      <c r="M9" s="107">
        <f>SUM(G88:G91)</f>
        <v>81.510000000000005</v>
      </c>
      <c r="N9" s="107">
        <f>SUM(G93:G96)</f>
        <v>56.43</v>
      </c>
      <c r="O9" s="107">
        <f>SUM(G98:G101)</f>
        <v>29.259999999999998</v>
      </c>
      <c r="P9" s="107">
        <f>SUM(G103:G106)</f>
        <v>3.6574999999999998</v>
      </c>
      <c r="Q9" s="211">
        <f>SUM(D9:P9)</f>
        <v>1428.3408333333334</v>
      </c>
    </row>
    <row r="10" spans="1:17" x14ac:dyDescent="0.25">
      <c r="C10" s="51" t="s">
        <v>558</v>
      </c>
      <c r="D10" s="107">
        <f>SUM(G22:G30)</f>
        <v>0</v>
      </c>
      <c r="E10" s="107">
        <f>SUM(G32:G43)</f>
        <v>126.27083333333334</v>
      </c>
      <c r="F10" s="107"/>
      <c r="G10" s="54"/>
      <c r="H10" s="54"/>
      <c r="I10" s="54"/>
      <c r="J10" s="54"/>
      <c r="K10" s="54"/>
      <c r="L10" s="54"/>
      <c r="M10" s="54"/>
      <c r="N10" s="54"/>
      <c r="O10" s="99"/>
      <c r="P10" s="99"/>
      <c r="Q10" s="211">
        <f>SUM(D10:P10)</f>
        <v>126.27083333333334</v>
      </c>
    </row>
    <row r="11" spans="1:17" x14ac:dyDescent="0.25">
      <c r="C11" s="134" t="s">
        <v>559</v>
      </c>
      <c r="D11" s="152">
        <f t="shared" ref="D11:P11" si="6">D9-D10</f>
        <v>0</v>
      </c>
      <c r="E11" s="152">
        <f>E9-E10</f>
        <v>0</v>
      </c>
      <c r="F11" s="152">
        <f t="shared" si="6"/>
        <v>207.4325</v>
      </c>
      <c r="G11" s="152">
        <f t="shared" si="6"/>
        <v>196.45999999999998</v>
      </c>
      <c r="H11" s="152">
        <f t="shared" si="6"/>
        <v>183.92</v>
      </c>
      <c r="I11" s="152">
        <f t="shared" si="6"/>
        <v>167.2</v>
      </c>
      <c r="J11" s="152">
        <f t="shared" si="6"/>
        <v>146.29999999999998</v>
      </c>
      <c r="K11" s="152">
        <f t="shared" si="6"/>
        <v>125.4</v>
      </c>
      <c r="L11" s="152">
        <f t="shared" si="6"/>
        <v>104.5</v>
      </c>
      <c r="M11" s="152">
        <f t="shared" si="6"/>
        <v>81.510000000000005</v>
      </c>
      <c r="N11" s="152">
        <f t="shared" si="6"/>
        <v>56.43</v>
      </c>
      <c r="O11" s="152">
        <f t="shared" si="6"/>
        <v>29.259999999999998</v>
      </c>
      <c r="P11" s="152">
        <f t="shared" si="6"/>
        <v>3.6574999999999998</v>
      </c>
      <c r="Q11" s="210">
        <f>SUM(D11:P11)</f>
        <v>1302.0700000000002</v>
      </c>
    </row>
    <row r="12" spans="1:17" x14ac:dyDescent="0.25">
      <c r="O12" s="212"/>
      <c r="P12" s="212"/>
    </row>
    <row r="13" spans="1:17" x14ac:dyDescent="0.25">
      <c r="C13" s="114" t="s">
        <v>553</v>
      </c>
      <c r="F13" s="99"/>
    </row>
    <row r="15" spans="1:17" x14ac:dyDescent="0.25">
      <c r="A15" s="213" t="s">
        <v>560</v>
      </c>
      <c r="C15" s="134" t="s">
        <v>561</v>
      </c>
      <c r="D15" s="210">
        <f>'CoP-MoF'!D20/A</f>
        <v>2200</v>
      </c>
      <c r="E15" s="375" t="s">
        <v>576</v>
      </c>
      <c r="F15" s="152" t="s">
        <v>562</v>
      </c>
      <c r="G15" s="152">
        <v>10</v>
      </c>
    </row>
    <row r="16" spans="1:17" x14ac:dyDescent="0.25">
      <c r="C16" s="134" t="s">
        <v>317</v>
      </c>
      <c r="D16" s="235">
        <v>9.5000000000000001E-2</v>
      </c>
      <c r="E16" s="375"/>
      <c r="F16" s="235" t="s">
        <v>563</v>
      </c>
      <c r="G16" s="152" t="s">
        <v>577</v>
      </c>
      <c r="H16" s="47" t="s">
        <v>578</v>
      </c>
      <c r="I16" s="47" t="s">
        <v>680</v>
      </c>
    </row>
    <row r="17" spans="1:10" x14ac:dyDescent="0.25">
      <c r="C17" s="214"/>
      <c r="D17" s="215"/>
      <c r="E17" s="215"/>
      <c r="F17" s="215"/>
      <c r="G17" s="215"/>
    </row>
    <row r="18" spans="1:10" x14ac:dyDescent="0.25">
      <c r="C18" s="214"/>
      <c r="D18" s="216" t="s">
        <v>564</v>
      </c>
      <c r="E18" s="216" t="s">
        <v>565</v>
      </c>
      <c r="F18" s="216" t="s">
        <v>566</v>
      </c>
      <c r="G18" s="216" t="s">
        <v>320</v>
      </c>
      <c r="J18" s="47" t="s">
        <v>623</v>
      </c>
    </row>
    <row r="19" spans="1:10" x14ac:dyDescent="0.25">
      <c r="A19" s="44">
        <v>0</v>
      </c>
      <c r="C19" s="217" t="s">
        <v>657</v>
      </c>
      <c r="D19" s="218"/>
      <c r="E19" s="218"/>
      <c r="F19" s="218"/>
      <c r="G19" s="218"/>
    </row>
    <row r="20" spans="1:10" x14ac:dyDescent="0.25">
      <c r="A20" s="44"/>
      <c r="C20" s="219" t="s">
        <v>622</v>
      </c>
      <c r="D20" s="218">
        <f>D15*H20</f>
        <v>0</v>
      </c>
      <c r="E20" s="218">
        <v>0</v>
      </c>
      <c r="F20" s="218">
        <f t="shared" ref="F20" si="7">D20-E20</f>
        <v>0</v>
      </c>
      <c r="G20" s="218">
        <f>AVERAGE(D20,F20)*$D$16/12</f>
        <v>0</v>
      </c>
      <c r="H20" s="61">
        <v>0</v>
      </c>
    </row>
    <row r="21" spans="1:10" x14ac:dyDescent="0.25">
      <c r="A21" s="44">
        <v>1</v>
      </c>
      <c r="C21" s="220" t="s">
        <v>658</v>
      </c>
      <c r="D21" s="221"/>
      <c r="E21" s="221"/>
      <c r="F21" s="221"/>
      <c r="G21" s="221"/>
      <c r="I21" s="61"/>
    </row>
    <row r="22" spans="1:10" x14ac:dyDescent="0.25">
      <c r="A22" s="44"/>
      <c r="C22" s="222" t="s">
        <v>614</v>
      </c>
      <c r="D22" s="221">
        <v>0</v>
      </c>
      <c r="E22" s="221">
        <v>0</v>
      </c>
      <c r="F22" s="221">
        <f t="shared" ref="F22:F27" si="8">D22-E22</f>
        <v>0</v>
      </c>
      <c r="G22" s="221">
        <f t="shared" ref="G22:G27" si="9">AVERAGE(D22,F22)*$D$16/12</f>
        <v>0</v>
      </c>
      <c r="H22" s="61"/>
      <c r="I22" s="44"/>
    </row>
    <row r="23" spans="1:10" x14ac:dyDescent="0.25">
      <c r="A23" s="44"/>
      <c r="C23" s="222" t="s">
        <v>615</v>
      </c>
      <c r="D23" s="221">
        <v>0</v>
      </c>
      <c r="E23" s="221">
        <f t="shared" ref="E23:E27" si="10">E22</f>
        <v>0</v>
      </c>
      <c r="F23" s="221">
        <f t="shared" si="8"/>
        <v>0</v>
      </c>
      <c r="G23" s="221">
        <f t="shared" si="9"/>
        <v>0</v>
      </c>
      <c r="H23" s="61"/>
      <c r="I23" s="44"/>
    </row>
    <row r="24" spans="1:10" x14ac:dyDescent="0.25">
      <c r="A24" s="44"/>
      <c r="C24" s="222" t="s">
        <v>616</v>
      </c>
      <c r="D24" s="221">
        <v>0</v>
      </c>
      <c r="E24" s="221">
        <f t="shared" si="10"/>
        <v>0</v>
      </c>
      <c r="F24" s="221">
        <f t="shared" si="8"/>
        <v>0</v>
      </c>
      <c r="G24" s="221">
        <f t="shared" si="9"/>
        <v>0</v>
      </c>
      <c r="H24" s="61"/>
      <c r="I24" s="44"/>
    </row>
    <row r="25" spans="1:10" x14ac:dyDescent="0.25">
      <c r="A25" s="44"/>
      <c r="C25" s="222" t="s">
        <v>617</v>
      </c>
      <c r="D25" s="221">
        <v>0</v>
      </c>
      <c r="E25" s="221">
        <f t="shared" si="10"/>
        <v>0</v>
      </c>
      <c r="F25" s="221">
        <f t="shared" si="8"/>
        <v>0</v>
      </c>
      <c r="G25" s="221">
        <f t="shared" si="9"/>
        <v>0</v>
      </c>
      <c r="H25" s="61"/>
      <c r="I25" s="44"/>
    </row>
    <row r="26" spans="1:10" x14ac:dyDescent="0.25">
      <c r="A26" s="44"/>
      <c r="C26" s="222" t="s">
        <v>618</v>
      </c>
      <c r="D26" s="221">
        <v>0</v>
      </c>
      <c r="E26" s="221">
        <f t="shared" si="10"/>
        <v>0</v>
      </c>
      <c r="F26" s="221">
        <f t="shared" si="8"/>
        <v>0</v>
      </c>
      <c r="G26" s="221">
        <f t="shared" si="9"/>
        <v>0</v>
      </c>
      <c r="H26" s="61"/>
      <c r="I26" s="44"/>
    </row>
    <row r="27" spans="1:10" x14ac:dyDescent="0.25">
      <c r="A27" s="44"/>
      <c r="C27" s="222" t="s">
        <v>619</v>
      </c>
      <c r="D27" s="221">
        <f>+D15*H28</f>
        <v>0</v>
      </c>
      <c r="E27" s="221">
        <f t="shared" si="10"/>
        <v>0</v>
      </c>
      <c r="F27" s="221">
        <f t="shared" si="8"/>
        <v>0</v>
      </c>
      <c r="G27" s="221">
        <f t="shared" si="9"/>
        <v>0</v>
      </c>
      <c r="H27" s="61"/>
      <c r="I27" s="44"/>
    </row>
    <row r="28" spans="1:10" x14ac:dyDescent="0.25">
      <c r="A28" s="44"/>
      <c r="C28" s="222" t="s">
        <v>620</v>
      </c>
      <c r="D28" s="221">
        <f>+F27+D14*H28</f>
        <v>0</v>
      </c>
      <c r="E28" s="221">
        <f t="shared" ref="E28:E43" si="11">E27</f>
        <v>0</v>
      </c>
      <c r="F28" s="221">
        <f t="shared" ref="F28:F30" si="12">D28-E28</f>
        <v>0</v>
      </c>
      <c r="G28" s="221">
        <f t="shared" ref="G28:G43" si="13">AVERAGE(D28,F28)*$D$16/12</f>
        <v>0</v>
      </c>
      <c r="H28" s="223"/>
      <c r="I28" s="224"/>
    </row>
    <row r="29" spans="1:10" x14ac:dyDescent="0.25">
      <c r="A29" s="44"/>
      <c r="C29" s="222" t="s">
        <v>621</v>
      </c>
      <c r="D29" s="221">
        <f>+F28+D15*H29</f>
        <v>0</v>
      </c>
      <c r="E29" s="221">
        <f t="shared" si="11"/>
        <v>0</v>
      </c>
      <c r="F29" s="221">
        <f t="shared" si="12"/>
        <v>0</v>
      </c>
      <c r="G29" s="221">
        <f t="shared" si="13"/>
        <v>0</v>
      </c>
      <c r="H29" s="223"/>
      <c r="I29" s="224"/>
    </row>
    <row r="30" spans="1:10" x14ac:dyDescent="0.25">
      <c r="A30" s="44"/>
      <c r="C30" s="222" t="s">
        <v>622</v>
      </c>
      <c r="D30" s="221">
        <f>D15*H30</f>
        <v>0</v>
      </c>
      <c r="E30" s="221">
        <f t="shared" si="11"/>
        <v>0</v>
      </c>
      <c r="F30" s="221">
        <f t="shared" si="12"/>
        <v>0</v>
      </c>
      <c r="G30" s="221">
        <f t="shared" si="13"/>
        <v>0</v>
      </c>
      <c r="H30" s="223">
        <v>0</v>
      </c>
      <c r="I30" s="224"/>
    </row>
    <row r="31" spans="1:10" x14ac:dyDescent="0.25">
      <c r="A31" s="44">
        <f>A21+1</f>
        <v>2</v>
      </c>
      <c r="C31" s="220" t="s">
        <v>659</v>
      </c>
      <c r="D31" s="221"/>
      <c r="E31" s="221"/>
      <c r="F31" s="221"/>
      <c r="G31" s="221"/>
      <c r="H31" s="225"/>
      <c r="I31" s="226"/>
    </row>
    <row r="32" spans="1:10" x14ac:dyDescent="0.25">
      <c r="A32" s="44"/>
      <c r="C32" s="227" t="s">
        <v>700</v>
      </c>
      <c r="D32" s="221">
        <f>+F30+D15*H32</f>
        <v>550</v>
      </c>
      <c r="E32" s="221">
        <f t="shared" si="11"/>
        <v>0</v>
      </c>
      <c r="F32" s="221">
        <f t="shared" ref="F32" si="14">D32-E32</f>
        <v>550</v>
      </c>
      <c r="G32" s="221">
        <f t="shared" si="13"/>
        <v>4.354166666666667</v>
      </c>
      <c r="H32" s="223">
        <v>0.25</v>
      </c>
      <c r="I32" s="226"/>
    </row>
    <row r="33" spans="1:10" x14ac:dyDescent="0.25">
      <c r="A33" s="44"/>
      <c r="C33" s="227" t="s">
        <v>612</v>
      </c>
      <c r="D33" s="221">
        <f>+F32+D15*H33</f>
        <v>770</v>
      </c>
      <c r="E33" s="221">
        <f t="shared" si="11"/>
        <v>0</v>
      </c>
      <c r="F33" s="221">
        <f t="shared" ref="F33:F43" si="15">D33-E33</f>
        <v>770</v>
      </c>
      <c r="G33" s="221">
        <f t="shared" si="13"/>
        <v>6.0958333333333341</v>
      </c>
      <c r="H33" s="223">
        <v>0.1</v>
      </c>
      <c r="I33" s="226"/>
    </row>
    <row r="34" spans="1:10" x14ac:dyDescent="0.25">
      <c r="A34" s="44"/>
      <c r="C34" s="227" t="s">
        <v>613</v>
      </c>
      <c r="D34" s="221">
        <f>+F33+$D$15*H34</f>
        <v>770</v>
      </c>
      <c r="E34" s="221">
        <f t="shared" si="11"/>
        <v>0</v>
      </c>
      <c r="F34" s="221">
        <f t="shared" si="15"/>
        <v>770</v>
      </c>
      <c r="G34" s="221">
        <f t="shared" si="13"/>
        <v>6.0958333333333341</v>
      </c>
      <c r="H34" s="223">
        <v>0</v>
      </c>
      <c r="I34" s="226"/>
    </row>
    <row r="35" spans="1:10" x14ac:dyDescent="0.25">
      <c r="A35" s="44"/>
      <c r="C35" s="227" t="s">
        <v>614</v>
      </c>
      <c r="D35" s="221">
        <f>+F34+$D$15*H35</f>
        <v>770</v>
      </c>
      <c r="E35" s="221">
        <f t="shared" si="11"/>
        <v>0</v>
      </c>
      <c r="F35" s="221">
        <f t="shared" si="15"/>
        <v>770</v>
      </c>
      <c r="G35" s="221">
        <f t="shared" si="13"/>
        <v>6.0958333333333341</v>
      </c>
      <c r="H35" s="223">
        <v>0</v>
      </c>
      <c r="I35" s="226"/>
    </row>
    <row r="36" spans="1:10" x14ac:dyDescent="0.25">
      <c r="A36" s="44"/>
      <c r="C36" s="227" t="s">
        <v>615</v>
      </c>
      <c r="D36" s="221">
        <f>+F35+$D$15*H36</f>
        <v>1100</v>
      </c>
      <c r="E36" s="221">
        <f t="shared" si="11"/>
        <v>0</v>
      </c>
      <c r="F36" s="221">
        <f t="shared" si="15"/>
        <v>1100</v>
      </c>
      <c r="G36" s="221">
        <f t="shared" si="13"/>
        <v>8.7083333333333339</v>
      </c>
      <c r="H36" s="223">
        <v>0.15</v>
      </c>
      <c r="I36" s="226"/>
    </row>
    <row r="37" spans="1:10" x14ac:dyDescent="0.25">
      <c r="A37" s="44"/>
      <c r="C37" s="227" t="s">
        <v>616</v>
      </c>
      <c r="D37" s="221">
        <f>+F36+$D$15*H37</f>
        <v>1100</v>
      </c>
      <c r="E37" s="221">
        <f t="shared" si="11"/>
        <v>0</v>
      </c>
      <c r="F37" s="221">
        <f t="shared" si="15"/>
        <v>1100</v>
      </c>
      <c r="G37" s="221">
        <f t="shared" si="13"/>
        <v>8.7083333333333339</v>
      </c>
      <c r="H37" s="223">
        <v>0</v>
      </c>
      <c r="I37" s="226"/>
    </row>
    <row r="38" spans="1:10" x14ac:dyDescent="0.25">
      <c r="A38" s="44"/>
      <c r="C38" s="227" t="s">
        <v>617</v>
      </c>
      <c r="D38" s="221">
        <f>+F37+$D$15*H38</f>
        <v>1320</v>
      </c>
      <c r="E38" s="221">
        <v>0</v>
      </c>
      <c r="F38" s="221">
        <f t="shared" si="15"/>
        <v>1320</v>
      </c>
      <c r="G38" s="221">
        <f t="shared" si="13"/>
        <v>10.450000000000001</v>
      </c>
      <c r="H38" s="223">
        <v>0.1</v>
      </c>
      <c r="I38" s="226"/>
    </row>
    <row r="39" spans="1:10" x14ac:dyDescent="0.25">
      <c r="A39" s="44"/>
      <c r="C39" s="227" t="s">
        <v>618</v>
      </c>
      <c r="D39" s="221">
        <f t="shared" ref="D39:D40" si="16">+F38+$D$15*H39</f>
        <v>1540</v>
      </c>
      <c r="E39" s="221">
        <v>0</v>
      </c>
      <c r="F39" s="221">
        <f t="shared" si="15"/>
        <v>1540</v>
      </c>
      <c r="G39" s="221">
        <f t="shared" si="13"/>
        <v>12.191666666666668</v>
      </c>
      <c r="H39" s="223">
        <v>0.1</v>
      </c>
      <c r="I39" s="226"/>
    </row>
    <row r="40" spans="1:10" x14ac:dyDescent="0.25">
      <c r="A40" s="44"/>
      <c r="C40" s="227" t="s">
        <v>619</v>
      </c>
      <c r="D40" s="221">
        <f t="shared" si="16"/>
        <v>1760</v>
      </c>
      <c r="E40" s="221">
        <v>0</v>
      </c>
      <c r="F40" s="221">
        <f t="shared" si="15"/>
        <v>1760</v>
      </c>
      <c r="G40" s="221">
        <f t="shared" si="13"/>
        <v>13.933333333333332</v>
      </c>
      <c r="H40" s="223">
        <v>0.1</v>
      </c>
      <c r="I40" s="226"/>
    </row>
    <row r="41" spans="1:10" x14ac:dyDescent="0.25">
      <c r="A41" s="44"/>
      <c r="C41" s="227" t="s">
        <v>620</v>
      </c>
      <c r="D41" s="221">
        <f>+F40+$D$15*H41</f>
        <v>1980</v>
      </c>
      <c r="E41" s="221">
        <v>0</v>
      </c>
      <c r="F41" s="221">
        <f t="shared" si="15"/>
        <v>1980</v>
      </c>
      <c r="G41" s="221">
        <f t="shared" si="13"/>
        <v>15.674999999999999</v>
      </c>
      <c r="H41" s="223">
        <v>0.1</v>
      </c>
      <c r="I41" s="226"/>
    </row>
    <row r="42" spans="1:10" x14ac:dyDescent="0.25">
      <c r="A42" s="44"/>
      <c r="C42" s="227" t="s">
        <v>621</v>
      </c>
      <c r="D42" s="221">
        <f>+F41+$D$15*H42</f>
        <v>2090</v>
      </c>
      <c r="E42" s="221">
        <v>0</v>
      </c>
      <c r="F42" s="221">
        <f t="shared" si="15"/>
        <v>2090</v>
      </c>
      <c r="G42" s="221">
        <f t="shared" si="13"/>
        <v>16.545833333333334</v>
      </c>
      <c r="H42" s="223">
        <v>0.05</v>
      </c>
      <c r="I42" s="226"/>
    </row>
    <row r="43" spans="1:10" x14ac:dyDescent="0.25">
      <c r="A43" s="44"/>
      <c r="C43" s="227" t="s">
        <v>622</v>
      </c>
      <c r="D43" s="221">
        <f>+F42+$D$15*H43</f>
        <v>2200</v>
      </c>
      <c r="E43" s="221">
        <f t="shared" si="11"/>
        <v>0</v>
      </c>
      <c r="F43" s="221">
        <f t="shared" si="15"/>
        <v>2200</v>
      </c>
      <c r="G43" s="221">
        <f t="shared" si="13"/>
        <v>17.416666666666668</v>
      </c>
      <c r="H43" s="223">
        <v>0.05</v>
      </c>
      <c r="I43" s="226"/>
    </row>
    <row r="44" spans="1:10" x14ac:dyDescent="0.25">
      <c r="A44" s="44">
        <f>A31+1</f>
        <v>3</v>
      </c>
      <c r="C44" s="220" t="s">
        <v>660</v>
      </c>
      <c r="D44" s="221"/>
      <c r="E44" s="230"/>
      <c r="F44" s="230"/>
      <c r="G44" s="230"/>
      <c r="H44" s="225"/>
      <c r="I44" s="226">
        <v>0.06</v>
      </c>
      <c r="J44" s="97">
        <v>6</v>
      </c>
    </row>
    <row r="45" spans="1:10" x14ac:dyDescent="0.25">
      <c r="A45" s="44"/>
      <c r="C45" s="228" t="s">
        <v>700</v>
      </c>
      <c r="D45" s="229">
        <f>+F43+$D$15*H45</f>
        <v>2200</v>
      </c>
      <c r="E45" s="229">
        <v>0</v>
      </c>
      <c r="F45" s="229">
        <f>D45-E45</f>
        <v>2200</v>
      </c>
      <c r="G45" s="229">
        <f>AVERAGE(D45,F45)*$D$16/12</f>
        <v>17.416666666666668</v>
      </c>
      <c r="H45" s="223"/>
      <c r="I45" s="321" t="s">
        <v>728</v>
      </c>
    </row>
    <row r="46" spans="1:10" x14ac:dyDescent="0.25">
      <c r="A46" s="44"/>
      <c r="C46" s="227" t="s">
        <v>612</v>
      </c>
      <c r="D46" s="221">
        <f>+F45+$D$15*H46</f>
        <v>2200</v>
      </c>
      <c r="E46" s="221">
        <v>0</v>
      </c>
      <c r="F46" s="221">
        <f>D46-E46</f>
        <v>2200</v>
      </c>
      <c r="G46" s="221">
        <f t="shared" ref="G46:G56" si="17">AVERAGE(D46,F46)*$D$16/12</f>
        <v>17.416666666666668</v>
      </c>
      <c r="H46" s="223"/>
      <c r="I46" s="224"/>
    </row>
    <row r="47" spans="1:10" x14ac:dyDescent="0.25">
      <c r="A47" s="44"/>
      <c r="C47" s="227" t="s">
        <v>613</v>
      </c>
      <c r="D47" s="323">
        <f>+F46+$D$15*H47</f>
        <v>2200</v>
      </c>
      <c r="E47" s="221">
        <v>0</v>
      </c>
      <c r="F47" s="221">
        <f>D47-E47</f>
        <v>2200</v>
      </c>
      <c r="G47" s="221">
        <f t="shared" si="17"/>
        <v>17.416666666666668</v>
      </c>
      <c r="H47" s="223"/>
      <c r="I47" s="226"/>
    </row>
    <row r="48" spans="1:10" x14ac:dyDescent="0.25">
      <c r="A48" s="44"/>
      <c r="C48" s="227" t="s">
        <v>614</v>
      </c>
      <c r="D48" s="323">
        <f t="shared" ref="D48:D50" si="18">+F47+$D$15*H48</f>
        <v>2200</v>
      </c>
      <c r="E48" s="221">
        <v>0</v>
      </c>
      <c r="F48" s="221">
        <f>D48-E48</f>
        <v>2200</v>
      </c>
      <c r="G48" s="221">
        <f t="shared" si="17"/>
        <v>17.416666666666668</v>
      </c>
      <c r="H48" s="223"/>
    </row>
    <row r="49" spans="1:10" x14ac:dyDescent="0.25">
      <c r="A49" s="44"/>
      <c r="C49" s="227" t="s">
        <v>615</v>
      </c>
      <c r="D49" s="221">
        <f t="shared" si="18"/>
        <v>2200</v>
      </c>
      <c r="E49" s="221">
        <v>0</v>
      </c>
      <c r="F49" s="221">
        <f t="shared" ref="F49:F56" si="19">D49-E49</f>
        <v>2200</v>
      </c>
      <c r="G49" s="221">
        <f t="shared" si="17"/>
        <v>17.416666666666668</v>
      </c>
      <c r="H49" s="223"/>
      <c r="I49" s="224"/>
    </row>
    <row r="50" spans="1:10" x14ac:dyDescent="0.25">
      <c r="A50" s="44"/>
      <c r="C50" s="228" t="s">
        <v>616</v>
      </c>
      <c r="D50" s="229">
        <f t="shared" si="18"/>
        <v>2200</v>
      </c>
      <c r="E50" s="229">
        <v>0</v>
      </c>
      <c r="F50" s="229">
        <f t="shared" si="19"/>
        <v>2200</v>
      </c>
      <c r="G50" s="229">
        <f t="shared" si="17"/>
        <v>17.416666666666668</v>
      </c>
      <c r="H50" s="223"/>
      <c r="I50" s="321" t="s">
        <v>921</v>
      </c>
    </row>
    <row r="51" spans="1:10" x14ac:dyDescent="0.25">
      <c r="A51" s="44"/>
      <c r="C51" s="227" t="s">
        <v>617</v>
      </c>
      <c r="D51" s="221">
        <f t="shared" ref="D51:D56" si="20">F50</f>
        <v>2200</v>
      </c>
      <c r="E51" s="221">
        <f>$D$15*$I$44/12</f>
        <v>11</v>
      </c>
      <c r="F51" s="221">
        <f t="shared" si="19"/>
        <v>2189</v>
      </c>
      <c r="G51" s="221">
        <f t="shared" si="17"/>
        <v>17.373124999999998</v>
      </c>
      <c r="H51" s="225"/>
      <c r="I51" s="226"/>
    </row>
    <row r="52" spans="1:10" x14ac:dyDescent="0.25">
      <c r="A52" s="44"/>
      <c r="C52" s="227" t="s">
        <v>618</v>
      </c>
      <c r="D52" s="221">
        <f t="shared" si="20"/>
        <v>2189</v>
      </c>
      <c r="E52" s="221">
        <f t="shared" ref="E52:E56" si="21">$D$15*$I$44/12</f>
        <v>11</v>
      </c>
      <c r="F52" s="221">
        <f t="shared" si="19"/>
        <v>2178</v>
      </c>
      <c r="G52" s="221">
        <f t="shared" si="17"/>
        <v>17.286041666666666</v>
      </c>
      <c r="H52" s="225"/>
      <c r="I52" s="224"/>
    </row>
    <row r="53" spans="1:10" x14ac:dyDescent="0.25">
      <c r="A53" s="44"/>
      <c r="C53" s="227" t="s">
        <v>619</v>
      </c>
      <c r="D53" s="221">
        <f t="shared" si="20"/>
        <v>2178</v>
      </c>
      <c r="E53" s="221">
        <f t="shared" si="21"/>
        <v>11</v>
      </c>
      <c r="F53" s="221">
        <f t="shared" si="19"/>
        <v>2167</v>
      </c>
      <c r="G53" s="221">
        <f t="shared" si="17"/>
        <v>17.198958333333334</v>
      </c>
      <c r="H53" s="225"/>
      <c r="I53" s="224"/>
    </row>
    <row r="54" spans="1:10" x14ac:dyDescent="0.25">
      <c r="A54" s="44"/>
      <c r="C54" s="227" t="s">
        <v>620</v>
      </c>
      <c r="D54" s="221">
        <f t="shared" si="20"/>
        <v>2167</v>
      </c>
      <c r="E54" s="221">
        <f t="shared" si="21"/>
        <v>11</v>
      </c>
      <c r="F54" s="221">
        <f t="shared" si="19"/>
        <v>2156</v>
      </c>
      <c r="G54" s="221">
        <f t="shared" si="17"/>
        <v>17.111875000000001</v>
      </c>
      <c r="H54" s="225"/>
      <c r="I54" s="224"/>
    </row>
    <row r="55" spans="1:10" x14ac:dyDescent="0.25">
      <c r="A55" s="44"/>
      <c r="C55" s="227" t="s">
        <v>621</v>
      </c>
      <c r="D55" s="221">
        <f t="shared" si="20"/>
        <v>2156</v>
      </c>
      <c r="E55" s="221">
        <f t="shared" si="21"/>
        <v>11</v>
      </c>
      <c r="F55" s="221">
        <f t="shared" si="19"/>
        <v>2145</v>
      </c>
      <c r="G55" s="221">
        <f t="shared" si="17"/>
        <v>17.024791666666669</v>
      </c>
      <c r="H55" s="225"/>
      <c r="I55" s="224"/>
    </row>
    <row r="56" spans="1:10" x14ac:dyDescent="0.25">
      <c r="A56" s="44"/>
      <c r="C56" s="227" t="s">
        <v>622</v>
      </c>
      <c r="D56" s="221">
        <f t="shared" si="20"/>
        <v>2145</v>
      </c>
      <c r="E56" s="221">
        <f t="shared" si="21"/>
        <v>11</v>
      </c>
      <c r="F56" s="221">
        <f t="shared" si="19"/>
        <v>2134</v>
      </c>
      <c r="G56" s="221">
        <f t="shared" si="17"/>
        <v>16.937708333333333</v>
      </c>
      <c r="H56" s="225"/>
    </row>
    <row r="57" spans="1:10" x14ac:dyDescent="0.25">
      <c r="A57" s="44">
        <f>A44+1</f>
        <v>4</v>
      </c>
      <c r="C57" s="220" t="s">
        <v>661</v>
      </c>
      <c r="D57" s="221"/>
      <c r="E57" s="230"/>
      <c r="F57" s="230"/>
      <c r="G57" s="221"/>
      <c r="H57" s="225"/>
      <c r="I57" s="226">
        <v>0.06</v>
      </c>
      <c r="J57" s="225">
        <v>12</v>
      </c>
    </row>
    <row r="58" spans="1:10" x14ac:dyDescent="0.25">
      <c r="A58" s="44"/>
      <c r="C58" s="222" t="s">
        <v>567</v>
      </c>
      <c r="D58" s="221">
        <f>F56</f>
        <v>2134</v>
      </c>
      <c r="E58" s="221">
        <f>$D$15*$I$57/4</f>
        <v>33</v>
      </c>
      <c r="F58" s="221">
        <f>D58-E58</f>
        <v>2101</v>
      </c>
      <c r="G58" s="221">
        <f>AVERAGE(D58,F58)*$D$16/4</f>
        <v>50.290624999999999</v>
      </c>
      <c r="H58" s="225"/>
      <c r="I58" s="224"/>
      <c r="J58" s="225"/>
    </row>
    <row r="59" spans="1:10" x14ac:dyDescent="0.25">
      <c r="A59" s="44"/>
      <c r="C59" s="222" t="s">
        <v>568</v>
      </c>
      <c r="D59" s="221">
        <f>F58</f>
        <v>2101</v>
      </c>
      <c r="E59" s="221">
        <f t="shared" ref="E59:E61" si="22">$D$15*$I$57/4</f>
        <v>33</v>
      </c>
      <c r="F59" s="221">
        <f>D59-E59</f>
        <v>2068</v>
      </c>
      <c r="G59" s="221">
        <f>AVERAGE(D59,F59)*$D$16/4</f>
        <v>49.506875000000001</v>
      </c>
      <c r="H59" s="225"/>
      <c r="I59" s="224"/>
      <c r="J59" s="225"/>
    </row>
    <row r="60" spans="1:10" x14ac:dyDescent="0.25">
      <c r="A60" s="44"/>
      <c r="C60" s="222" t="s">
        <v>569</v>
      </c>
      <c r="D60" s="221">
        <f>F59</f>
        <v>2068</v>
      </c>
      <c r="E60" s="221">
        <f t="shared" si="22"/>
        <v>33</v>
      </c>
      <c r="F60" s="221">
        <f>D60-E60</f>
        <v>2035</v>
      </c>
      <c r="G60" s="221">
        <f>AVERAGE(D60,F60)*$D$16/4</f>
        <v>48.723125000000003</v>
      </c>
      <c r="H60" s="225"/>
      <c r="I60" s="224"/>
      <c r="J60" s="225"/>
    </row>
    <row r="61" spans="1:10" x14ac:dyDescent="0.25">
      <c r="A61" s="44"/>
      <c r="C61" s="222" t="s">
        <v>570</v>
      </c>
      <c r="D61" s="221">
        <f>F60</f>
        <v>2035</v>
      </c>
      <c r="E61" s="221">
        <f t="shared" si="22"/>
        <v>33</v>
      </c>
      <c r="F61" s="221">
        <f>D61-E61</f>
        <v>2002</v>
      </c>
      <c r="G61" s="221">
        <f>AVERAGE(D61,F61)*$D$16/4</f>
        <v>47.939374999999998</v>
      </c>
      <c r="H61" s="225"/>
      <c r="I61" s="224"/>
      <c r="J61" s="225"/>
    </row>
    <row r="62" spans="1:10" x14ac:dyDescent="0.25">
      <c r="A62" s="44">
        <f>A57+1</f>
        <v>5</v>
      </c>
      <c r="C62" s="220" t="s">
        <v>662</v>
      </c>
      <c r="D62" s="221"/>
      <c r="E62" s="230"/>
      <c r="F62" s="230"/>
      <c r="G62" s="221"/>
      <c r="H62" s="225"/>
      <c r="I62" s="226">
        <v>0.06</v>
      </c>
      <c r="J62" s="225">
        <v>12</v>
      </c>
    </row>
    <row r="63" spans="1:10" x14ac:dyDescent="0.25">
      <c r="A63" s="44"/>
      <c r="C63" s="222" t="s">
        <v>567</v>
      </c>
      <c r="D63" s="221">
        <f>F61</f>
        <v>2002</v>
      </c>
      <c r="E63" s="221">
        <f>$D$15*$I$62/4</f>
        <v>33</v>
      </c>
      <c r="F63" s="221">
        <f>D63-E63</f>
        <v>1969</v>
      </c>
      <c r="G63" s="221">
        <f>AVERAGE(D63,F63)*$D$16/4</f>
        <v>47.155625000000001</v>
      </c>
      <c r="H63" s="225"/>
      <c r="I63" s="224"/>
      <c r="J63" s="225"/>
    </row>
    <row r="64" spans="1:10" x14ac:dyDescent="0.25">
      <c r="A64" s="44"/>
      <c r="C64" s="222" t="s">
        <v>568</v>
      </c>
      <c r="D64" s="221">
        <f>F63</f>
        <v>1969</v>
      </c>
      <c r="E64" s="221">
        <f>$D$15*$I$62/4</f>
        <v>33</v>
      </c>
      <c r="F64" s="221">
        <f>D64-E64</f>
        <v>1936</v>
      </c>
      <c r="G64" s="221">
        <f>AVERAGE(D64,F64)*$D$16/4</f>
        <v>46.371875000000003</v>
      </c>
      <c r="H64" s="225"/>
      <c r="I64" s="224"/>
      <c r="J64" s="225"/>
    </row>
    <row r="65" spans="1:10" x14ac:dyDescent="0.25">
      <c r="A65" s="44"/>
      <c r="C65" s="222" t="s">
        <v>569</v>
      </c>
      <c r="D65" s="221">
        <f>F64</f>
        <v>1936</v>
      </c>
      <c r="E65" s="221">
        <f>$D$15*$I$62/4</f>
        <v>33</v>
      </c>
      <c r="F65" s="221">
        <f>D65-E65</f>
        <v>1903</v>
      </c>
      <c r="G65" s="221">
        <f>AVERAGE(D65,F65)*$D$16/4</f>
        <v>45.588124999999998</v>
      </c>
      <c r="H65" s="225"/>
      <c r="I65" s="224"/>
      <c r="J65" s="225"/>
    </row>
    <row r="66" spans="1:10" x14ac:dyDescent="0.25">
      <c r="A66" s="44"/>
      <c r="C66" s="222" t="s">
        <v>570</v>
      </c>
      <c r="D66" s="221">
        <f>F65</f>
        <v>1903</v>
      </c>
      <c r="E66" s="221">
        <f>$D$15*$I$62/4</f>
        <v>33</v>
      </c>
      <c r="F66" s="221">
        <f>D66-E66</f>
        <v>1870</v>
      </c>
      <c r="G66" s="221">
        <f>AVERAGE(D66,F66)*$D$16/4</f>
        <v>44.804375</v>
      </c>
      <c r="H66" s="225"/>
      <c r="I66" s="224"/>
      <c r="J66" s="225"/>
    </row>
    <row r="67" spans="1:10" x14ac:dyDescent="0.25">
      <c r="A67" s="44">
        <f>A62+1</f>
        <v>6</v>
      </c>
      <c r="C67" s="220" t="s">
        <v>663</v>
      </c>
      <c r="D67" s="221"/>
      <c r="E67" s="230"/>
      <c r="F67" s="230"/>
      <c r="G67" s="221"/>
      <c r="H67" s="225"/>
      <c r="I67" s="226">
        <v>0.1</v>
      </c>
      <c r="J67" s="225">
        <v>12</v>
      </c>
    </row>
    <row r="68" spans="1:10" x14ac:dyDescent="0.25">
      <c r="A68" s="44"/>
      <c r="C68" s="222" t="s">
        <v>567</v>
      </c>
      <c r="D68" s="221">
        <f>F66</f>
        <v>1870</v>
      </c>
      <c r="E68" s="221">
        <f>$D$15*$I$67/4</f>
        <v>55</v>
      </c>
      <c r="F68" s="221">
        <f>D68-E68</f>
        <v>1815</v>
      </c>
      <c r="G68" s="221">
        <f>AVERAGE(D68,F68)*$D$16/4</f>
        <v>43.759374999999999</v>
      </c>
      <c r="H68" s="225"/>
      <c r="I68" s="225"/>
      <c r="J68" s="225"/>
    </row>
    <row r="69" spans="1:10" x14ac:dyDescent="0.25">
      <c r="A69" s="44"/>
      <c r="C69" s="222" t="s">
        <v>568</v>
      </c>
      <c r="D69" s="221">
        <f>F68</f>
        <v>1815</v>
      </c>
      <c r="E69" s="221">
        <f>$D$15*$I$67/4</f>
        <v>55</v>
      </c>
      <c r="F69" s="221">
        <f>D69-E69</f>
        <v>1760</v>
      </c>
      <c r="G69" s="221">
        <f>AVERAGE(D69,F69)*$D$16/4</f>
        <v>42.453125</v>
      </c>
      <c r="H69" s="225"/>
      <c r="I69" s="225"/>
      <c r="J69" s="225"/>
    </row>
    <row r="70" spans="1:10" x14ac:dyDescent="0.25">
      <c r="A70" s="44"/>
      <c r="C70" s="222" t="s">
        <v>569</v>
      </c>
      <c r="D70" s="221">
        <f>F69</f>
        <v>1760</v>
      </c>
      <c r="E70" s="221">
        <f>$D$15*$I$67/4</f>
        <v>55</v>
      </c>
      <c r="F70" s="221">
        <f>D70-E70</f>
        <v>1705</v>
      </c>
      <c r="G70" s="221">
        <f>AVERAGE(D70,F70)*$D$16/4</f>
        <v>41.146875000000001</v>
      </c>
      <c r="H70" s="225"/>
      <c r="I70" s="225"/>
      <c r="J70" s="225"/>
    </row>
    <row r="71" spans="1:10" x14ac:dyDescent="0.25">
      <c r="A71" s="44"/>
      <c r="C71" s="222" t="s">
        <v>570</v>
      </c>
      <c r="D71" s="221">
        <f>F70</f>
        <v>1705</v>
      </c>
      <c r="E71" s="221">
        <f>$D$15*$I$67/4</f>
        <v>55</v>
      </c>
      <c r="F71" s="221">
        <f>D71-E71</f>
        <v>1650</v>
      </c>
      <c r="G71" s="221">
        <f>AVERAGE(D71,F71)*$D$16/4</f>
        <v>39.840625000000003</v>
      </c>
      <c r="H71" s="225"/>
      <c r="I71" s="225"/>
      <c r="J71" s="225"/>
    </row>
    <row r="72" spans="1:10" x14ac:dyDescent="0.25">
      <c r="A72" s="44">
        <f>A67+1</f>
        <v>7</v>
      </c>
      <c r="C72" s="220" t="s">
        <v>664</v>
      </c>
      <c r="D72" s="221"/>
      <c r="E72" s="230"/>
      <c r="F72" s="230"/>
      <c r="G72" s="221"/>
      <c r="H72" s="225"/>
      <c r="I72" s="226">
        <v>0.1</v>
      </c>
      <c r="J72" s="225">
        <v>12</v>
      </c>
    </row>
    <row r="73" spans="1:10" x14ac:dyDescent="0.25">
      <c r="A73" s="44"/>
      <c r="C73" s="222" t="s">
        <v>567</v>
      </c>
      <c r="D73" s="221">
        <f>F71</f>
        <v>1650</v>
      </c>
      <c r="E73" s="221">
        <f>$D$15*$I$72/4</f>
        <v>55</v>
      </c>
      <c r="F73" s="221">
        <f>D73-E73</f>
        <v>1595</v>
      </c>
      <c r="G73" s="221">
        <f>AVERAGE(D73,F73)*$D$16/4</f>
        <v>38.534374999999997</v>
      </c>
      <c r="H73" s="225"/>
      <c r="I73" s="225"/>
      <c r="J73" s="225"/>
    </row>
    <row r="74" spans="1:10" x14ac:dyDescent="0.25">
      <c r="A74" s="44"/>
      <c r="C74" s="222" t="s">
        <v>568</v>
      </c>
      <c r="D74" s="221">
        <f>F73</f>
        <v>1595</v>
      </c>
      <c r="E74" s="221">
        <f>$D$15*$I$72/4</f>
        <v>55</v>
      </c>
      <c r="F74" s="221">
        <f>D74-E74</f>
        <v>1540</v>
      </c>
      <c r="G74" s="221">
        <f>AVERAGE(D74,F74)*$D$16/4</f>
        <v>37.228124999999999</v>
      </c>
      <c r="H74" s="225"/>
      <c r="I74" s="225"/>
      <c r="J74" s="225"/>
    </row>
    <row r="75" spans="1:10" x14ac:dyDescent="0.25">
      <c r="A75" s="44"/>
      <c r="C75" s="222" t="s">
        <v>569</v>
      </c>
      <c r="D75" s="221">
        <f>F74</f>
        <v>1540</v>
      </c>
      <c r="E75" s="221">
        <f>$D$15*$I$72/4</f>
        <v>55</v>
      </c>
      <c r="F75" s="221">
        <f>D75-E75</f>
        <v>1485</v>
      </c>
      <c r="G75" s="221">
        <f>AVERAGE(D75,F75)*$D$16/4</f>
        <v>35.921875</v>
      </c>
      <c r="H75" s="225"/>
      <c r="I75" s="225"/>
      <c r="J75" s="225"/>
    </row>
    <row r="76" spans="1:10" x14ac:dyDescent="0.25">
      <c r="A76" s="44"/>
      <c r="C76" s="222" t="s">
        <v>570</v>
      </c>
      <c r="D76" s="221">
        <f>F75</f>
        <v>1485</v>
      </c>
      <c r="E76" s="221">
        <f>$D$15*$I$72/4</f>
        <v>55</v>
      </c>
      <c r="F76" s="221">
        <f>D76-E76</f>
        <v>1430</v>
      </c>
      <c r="G76" s="221">
        <f>AVERAGE(D76,F76)*$D$16/4</f>
        <v>34.615625000000001</v>
      </c>
      <c r="H76" s="225"/>
      <c r="I76" s="225"/>
      <c r="J76" s="225"/>
    </row>
    <row r="77" spans="1:10" x14ac:dyDescent="0.25">
      <c r="A77" s="44">
        <f>A72+1</f>
        <v>8</v>
      </c>
      <c r="C77" s="220" t="s">
        <v>665</v>
      </c>
      <c r="D77" s="221"/>
      <c r="E77" s="230"/>
      <c r="F77" s="230"/>
      <c r="G77" s="221"/>
      <c r="H77" s="225"/>
      <c r="I77" s="226">
        <v>0.1</v>
      </c>
      <c r="J77" s="225">
        <v>12</v>
      </c>
    </row>
    <row r="78" spans="1:10" x14ac:dyDescent="0.25">
      <c r="A78" s="44"/>
      <c r="C78" s="222" t="s">
        <v>567</v>
      </c>
      <c r="D78" s="221">
        <f>F76</f>
        <v>1430</v>
      </c>
      <c r="E78" s="221">
        <f>$D$15*$I$77/4</f>
        <v>55</v>
      </c>
      <c r="F78" s="221">
        <f>D78-E78</f>
        <v>1375</v>
      </c>
      <c r="G78" s="221">
        <f>AVERAGE(D78,F78)*$D$16/4</f>
        <v>33.309375000000003</v>
      </c>
      <c r="H78" s="225"/>
      <c r="I78" s="225"/>
      <c r="J78" s="225"/>
    </row>
    <row r="79" spans="1:10" x14ac:dyDescent="0.25">
      <c r="A79" s="44"/>
      <c r="C79" s="222" t="s">
        <v>568</v>
      </c>
      <c r="D79" s="221">
        <f>F78</f>
        <v>1375</v>
      </c>
      <c r="E79" s="221">
        <f>$D$15*$I$77/4</f>
        <v>55</v>
      </c>
      <c r="F79" s="221">
        <f>D79-E79</f>
        <v>1320</v>
      </c>
      <c r="G79" s="221">
        <f>AVERAGE(D79,F79)*$D$16/4</f>
        <v>32.003124999999997</v>
      </c>
      <c r="H79" s="225"/>
      <c r="I79" s="225"/>
      <c r="J79" s="225"/>
    </row>
    <row r="80" spans="1:10" x14ac:dyDescent="0.25">
      <c r="A80" s="44"/>
      <c r="C80" s="222" t="s">
        <v>569</v>
      </c>
      <c r="D80" s="221">
        <f>F79</f>
        <v>1320</v>
      </c>
      <c r="E80" s="221">
        <f>$D$15*$I$77/4</f>
        <v>55</v>
      </c>
      <c r="F80" s="221">
        <f>D80-E80</f>
        <v>1265</v>
      </c>
      <c r="G80" s="221">
        <f>AVERAGE(D80,F80)*$D$16/4</f>
        <v>30.696875000000002</v>
      </c>
      <c r="H80" s="225"/>
      <c r="I80" s="225"/>
      <c r="J80" s="225"/>
    </row>
    <row r="81" spans="1:10" x14ac:dyDescent="0.25">
      <c r="A81" s="44"/>
      <c r="C81" s="222" t="s">
        <v>570</v>
      </c>
      <c r="D81" s="221">
        <f>F80</f>
        <v>1265</v>
      </c>
      <c r="E81" s="221">
        <f>$D$15*$I$77/4</f>
        <v>55</v>
      </c>
      <c r="F81" s="221">
        <f>D81-E81</f>
        <v>1210</v>
      </c>
      <c r="G81" s="221">
        <f>AVERAGE(D81,F81)*$D$16/4</f>
        <v>29.390625</v>
      </c>
      <c r="H81" s="225"/>
      <c r="I81" s="225"/>
      <c r="J81" s="225"/>
    </row>
    <row r="82" spans="1:10" x14ac:dyDescent="0.25">
      <c r="A82" s="44">
        <f>A77+1</f>
        <v>9</v>
      </c>
      <c r="C82" s="220" t="s">
        <v>666</v>
      </c>
      <c r="D82" s="221"/>
      <c r="E82" s="230"/>
      <c r="F82" s="230"/>
      <c r="G82" s="221"/>
      <c r="I82" s="226">
        <v>0.1</v>
      </c>
      <c r="J82" s="225">
        <v>12</v>
      </c>
    </row>
    <row r="83" spans="1:10" x14ac:dyDescent="0.25">
      <c r="A83" s="44"/>
      <c r="C83" s="222" t="s">
        <v>567</v>
      </c>
      <c r="D83" s="221">
        <f>F81</f>
        <v>1210</v>
      </c>
      <c r="E83" s="221">
        <f>$D$15*$I$82/4</f>
        <v>55</v>
      </c>
      <c r="F83" s="221">
        <f>D83-E83</f>
        <v>1155</v>
      </c>
      <c r="G83" s="221">
        <f>AVERAGE(D83,F83)*$D$16/4</f>
        <v>28.084375000000001</v>
      </c>
      <c r="J83" s="225"/>
    </row>
    <row r="84" spans="1:10" x14ac:dyDescent="0.25">
      <c r="A84" s="44"/>
      <c r="C84" s="222" t="s">
        <v>568</v>
      </c>
      <c r="D84" s="221">
        <f>F83</f>
        <v>1155</v>
      </c>
      <c r="E84" s="221">
        <f>$D$15*$I$82/4</f>
        <v>55</v>
      </c>
      <c r="F84" s="221">
        <f>D84-E84</f>
        <v>1100</v>
      </c>
      <c r="G84" s="221">
        <f>AVERAGE(D84,F84)*$D$16/4</f>
        <v>26.778124999999999</v>
      </c>
      <c r="J84" s="225"/>
    </row>
    <row r="85" spans="1:10" x14ac:dyDescent="0.25">
      <c r="A85" s="44"/>
      <c r="C85" s="222" t="s">
        <v>569</v>
      </c>
      <c r="D85" s="221">
        <f>F84</f>
        <v>1100</v>
      </c>
      <c r="E85" s="221">
        <f>$D$15*$I$82/4</f>
        <v>55</v>
      </c>
      <c r="F85" s="221">
        <f>D85-E85</f>
        <v>1045</v>
      </c>
      <c r="G85" s="221">
        <f>AVERAGE(D85,F85)*$D$16/4</f>
        <v>25.471875000000001</v>
      </c>
      <c r="J85" s="225"/>
    </row>
    <row r="86" spans="1:10" x14ac:dyDescent="0.25">
      <c r="A86" s="44"/>
      <c r="C86" s="222" t="s">
        <v>570</v>
      </c>
      <c r="D86" s="221">
        <f>F85</f>
        <v>1045</v>
      </c>
      <c r="E86" s="221">
        <f>$D$15*$I$82/4</f>
        <v>55</v>
      </c>
      <c r="F86" s="221">
        <f>D86-E86</f>
        <v>990</v>
      </c>
      <c r="G86" s="221">
        <f>AVERAGE(D86,F86)*$D$16/4</f>
        <v>24.165624999999999</v>
      </c>
      <c r="J86" s="225"/>
    </row>
    <row r="87" spans="1:10" x14ac:dyDescent="0.25">
      <c r="A87" s="44">
        <f>A82+1</f>
        <v>10</v>
      </c>
      <c r="C87" s="220" t="s">
        <v>667</v>
      </c>
      <c r="D87" s="221"/>
      <c r="E87" s="230"/>
      <c r="F87" s="230"/>
      <c r="G87" s="221"/>
      <c r="I87" s="226">
        <v>0.12</v>
      </c>
      <c r="J87" s="225">
        <v>12</v>
      </c>
    </row>
    <row r="88" spans="1:10" x14ac:dyDescent="0.25">
      <c r="A88" s="44"/>
      <c r="C88" s="222" t="s">
        <v>567</v>
      </c>
      <c r="D88" s="221">
        <f>F86</f>
        <v>990</v>
      </c>
      <c r="E88" s="221">
        <f>$D$15*$I$87/4</f>
        <v>66</v>
      </c>
      <c r="F88" s="221">
        <f>D88-E88</f>
        <v>924</v>
      </c>
      <c r="G88" s="221">
        <f>AVERAGE(D88,F88)*$D$16/4</f>
        <v>22.728750000000002</v>
      </c>
      <c r="J88" s="225"/>
    </row>
    <row r="89" spans="1:10" x14ac:dyDescent="0.25">
      <c r="A89" s="44"/>
      <c r="C89" s="222" t="s">
        <v>568</v>
      </c>
      <c r="D89" s="221">
        <f>F88</f>
        <v>924</v>
      </c>
      <c r="E89" s="221">
        <f>$D$15*$I$87/4</f>
        <v>66</v>
      </c>
      <c r="F89" s="221">
        <f>D89-E89</f>
        <v>858</v>
      </c>
      <c r="G89" s="221">
        <f>AVERAGE(D89,F89)*$D$16/4</f>
        <v>21.161249999999999</v>
      </c>
      <c r="J89" s="225"/>
    </row>
    <row r="90" spans="1:10" x14ac:dyDescent="0.25">
      <c r="A90" s="44"/>
      <c r="C90" s="222" t="s">
        <v>569</v>
      </c>
      <c r="D90" s="221">
        <f>F89</f>
        <v>858</v>
      </c>
      <c r="E90" s="221">
        <f>$D$15*$I$87/4</f>
        <v>66</v>
      </c>
      <c r="F90" s="221">
        <f>D90-E90</f>
        <v>792</v>
      </c>
      <c r="G90" s="221">
        <f>AVERAGE(D90,F90)*$D$16/4</f>
        <v>19.59375</v>
      </c>
      <c r="J90" s="225"/>
    </row>
    <row r="91" spans="1:10" x14ac:dyDescent="0.25">
      <c r="A91" s="44"/>
      <c r="C91" s="222" t="s">
        <v>570</v>
      </c>
      <c r="D91" s="221">
        <f>F90</f>
        <v>792</v>
      </c>
      <c r="E91" s="221">
        <f>$D$15*$I$87/4</f>
        <v>66</v>
      </c>
      <c r="F91" s="221">
        <f>D91-E91</f>
        <v>726</v>
      </c>
      <c r="G91" s="221">
        <f>AVERAGE(D91,F91)*$D$16/4</f>
        <v>18.026250000000001</v>
      </c>
      <c r="J91" s="225"/>
    </row>
    <row r="92" spans="1:10" x14ac:dyDescent="0.25">
      <c r="A92" s="44">
        <f>A87+1</f>
        <v>11</v>
      </c>
      <c r="C92" s="220" t="s">
        <v>668</v>
      </c>
      <c r="D92" s="221"/>
      <c r="E92" s="230"/>
      <c r="F92" s="230"/>
      <c r="G92" s="221"/>
      <c r="I92" s="226">
        <v>0.12</v>
      </c>
      <c r="J92" s="225">
        <v>12</v>
      </c>
    </row>
    <row r="93" spans="1:10" x14ac:dyDescent="0.25">
      <c r="A93" s="44"/>
      <c r="C93" s="222" t="s">
        <v>567</v>
      </c>
      <c r="D93" s="221">
        <f>F91</f>
        <v>726</v>
      </c>
      <c r="E93" s="221">
        <f>$D$15*$I$92/4</f>
        <v>66</v>
      </c>
      <c r="F93" s="221">
        <f>D93-E93</f>
        <v>660</v>
      </c>
      <c r="G93" s="221">
        <f>AVERAGE(D93,F93)*$D$16/4</f>
        <v>16.458749999999998</v>
      </c>
      <c r="J93" s="225"/>
    </row>
    <row r="94" spans="1:10" x14ac:dyDescent="0.25">
      <c r="A94" s="44"/>
      <c r="C94" s="222" t="s">
        <v>568</v>
      </c>
      <c r="D94" s="221">
        <f>F93</f>
        <v>660</v>
      </c>
      <c r="E94" s="221">
        <f>$D$15*$I$92/4</f>
        <v>66</v>
      </c>
      <c r="F94" s="221">
        <f>D94-E94</f>
        <v>594</v>
      </c>
      <c r="G94" s="221">
        <f>AVERAGE(D94,F94)*$D$16/4</f>
        <v>14.891249999999999</v>
      </c>
      <c r="J94" s="225"/>
    </row>
    <row r="95" spans="1:10" x14ac:dyDescent="0.25">
      <c r="A95" s="44"/>
      <c r="C95" s="222" t="s">
        <v>569</v>
      </c>
      <c r="D95" s="221">
        <f>F94</f>
        <v>594</v>
      </c>
      <c r="E95" s="221">
        <f>$D$15*$I$92/4</f>
        <v>66</v>
      </c>
      <c r="F95" s="221">
        <f>D95-E95</f>
        <v>528</v>
      </c>
      <c r="G95" s="221">
        <f>AVERAGE(D95,F95)*$D$16/4</f>
        <v>13.32375</v>
      </c>
      <c r="J95" s="225"/>
    </row>
    <row r="96" spans="1:10" x14ac:dyDescent="0.25">
      <c r="A96" s="44"/>
      <c r="C96" s="222" t="s">
        <v>570</v>
      </c>
      <c r="D96" s="221">
        <f>F95</f>
        <v>528</v>
      </c>
      <c r="E96" s="221">
        <f>$D$15*$I$92/4</f>
        <v>66</v>
      </c>
      <c r="F96" s="221">
        <f>D96-E96</f>
        <v>462</v>
      </c>
      <c r="G96" s="221">
        <f>AVERAGE(D96,F96)*$D$16/4</f>
        <v>11.75625</v>
      </c>
      <c r="J96" s="225"/>
    </row>
    <row r="97" spans="1:16" x14ac:dyDescent="0.25">
      <c r="A97" s="44">
        <f>A92+1</f>
        <v>12</v>
      </c>
      <c r="C97" s="220" t="s">
        <v>691</v>
      </c>
      <c r="D97" s="221"/>
      <c r="E97" s="230"/>
      <c r="F97" s="230"/>
      <c r="G97" s="221"/>
      <c r="I97" s="226">
        <v>0.14000000000000001</v>
      </c>
      <c r="J97" s="225">
        <v>12</v>
      </c>
    </row>
    <row r="98" spans="1:16" x14ac:dyDescent="0.25">
      <c r="A98" s="44"/>
      <c r="C98" s="222" t="s">
        <v>567</v>
      </c>
      <c r="D98" s="221">
        <f>F96</f>
        <v>462</v>
      </c>
      <c r="E98" s="221">
        <f>$D$15*$I$97/4</f>
        <v>77.000000000000014</v>
      </c>
      <c r="F98" s="221">
        <f>D98-E98</f>
        <v>385</v>
      </c>
      <c r="G98" s="221">
        <f>AVERAGE(D98,F98)*$D$16/4</f>
        <v>10.058125</v>
      </c>
      <c r="H98" s="99"/>
      <c r="J98" s="225"/>
    </row>
    <row r="99" spans="1:16" x14ac:dyDescent="0.25">
      <c r="A99" s="44"/>
      <c r="C99" s="222" t="s">
        <v>568</v>
      </c>
      <c r="D99" s="221">
        <f>F98</f>
        <v>385</v>
      </c>
      <c r="E99" s="221">
        <f>$D$15*$I$97/4</f>
        <v>77.000000000000014</v>
      </c>
      <c r="F99" s="221">
        <f>D99-E99</f>
        <v>308</v>
      </c>
      <c r="G99" s="221">
        <f>AVERAGE(D99,F99)*$D$16/4</f>
        <v>8.2293749999999992</v>
      </c>
      <c r="J99" s="225"/>
    </row>
    <row r="100" spans="1:16" x14ac:dyDescent="0.25">
      <c r="A100" s="44"/>
      <c r="C100" s="222" t="s">
        <v>569</v>
      </c>
      <c r="D100" s="221">
        <f>F99</f>
        <v>308</v>
      </c>
      <c r="E100" s="221">
        <f>$D$15*$I$97/4</f>
        <v>77.000000000000014</v>
      </c>
      <c r="F100" s="221">
        <f>D100-E100</f>
        <v>231</v>
      </c>
      <c r="G100" s="221">
        <f>AVERAGE(D100,F100)*$D$16/4</f>
        <v>6.4006249999999998</v>
      </c>
      <c r="J100" s="225"/>
    </row>
    <row r="101" spans="1:16" x14ac:dyDescent="0.25">
      <c r="A101" s="44"/>
      <c r="C101" s="222" t="s">
        <v>570</v>
      </c>
      <c r="D101" s="221">
        <f>F100</f>
        <v>231</v>
      </c>
      <c r="E101" s="221">
        <f>$D$15*$I$97/4</f>
        <v>77.000000000000014</v>
      </c>
      <c r="F101" s="221">
        <f>D101-E101</f>
        <v>154</v>
      </c>
      <c r="G101" s="221">
        <f>AVERAGE(D101,F101)*$D$16/4</f>
        <v>4.5718750000000004</v>
      </c>
      <c r="J101" s="225"/>
    </row>
    <row r="102" spans="1:16" x14ac:dyDescent="0.25">
      <c r="A102" s="44"/>
      <c r="C102" s="220" t="s">
        <v>765</v>
      </c>
      <c r="D102" s="221"/>
      <c r="E102" s="230"/>
      <c r="F102" s="230"/>
      <c r="G102" s="221"/>
      <c r="I102" s="226">
        <v>0.14000000000000001</v>
      </c>
      <c r="J102" s="225">
        <v>6</v>
      </c>
    </row>
    <row r="103" spans="1:16" x14ac:dyDescent="0.25">
      <c r="A103" s="44"/>
      <c r="C103" s="222" t="s">
        <v>567</v>
      </c>
      <c r="D103" s="221">
        <f>F101</f>
        <v>154</v>
      </c>
      <c r="E103" s="221">
        <f>$D$15*$I$102/4</f>
        <v>77.000000000000014</v>
      </c>
      <c r="F103" s="221">
        <f>D103-E103</f>
        <v>76.999999999999986</v>
      </c>
      <c r="G103" s="221">
        <f>AVERAGE(D103,F103)*$D$16/4</f>
        <v>2.743125</v>
      </c>
    </row>
    <row r="104" spans="1:16" x14ac:dyDescent="0.25">
      <c r="A104" s="44"/>
      <c r="C104" s="222" t="s">
        <v>568</v>
      </c>
      <c r="D104" s="221">
        <f>F103</f>
        <v>76.999999999999986</v>
      </c>
      <c r="E104" s="221">
        <f>$D$15*$I$102/4</f>
        <v>77.000000000000014</v>
      </c>
      <c r="F104" s="221">
        <f>D104-E104</f>
        <v>0</v>
      </c>
      <c r="G104" s="221">
        <f>AVERAGE(D104,F104)*$D$16/4</f>
        <v>0.91437499999999983</v>
      </c>
    </row>
    <row r="105" spans="1:16" x14ac:dyDescent="0.25">
      <c r="A105" s="44"/>
      <c r="C105" s="222" t="s">
        <v>569</v>
      </c>
      <c r="D105" s="221">
        <f>F104</f>
        <v>0</v>
      </c>
      <c r="E105" s="221">
        <v>0</v>
      </c>
      <c r="F105" s="221">
        <f>D105-E105</f>
        <v>0</v>
      </c>
      <c r="G105" s="221">
        <f>AVERAGE(D105,F105)*$D$16/4</f>
        <v>0</v>
      </c>
    </row>
    <row r="106" spans="1:16" x14ac:dyDescent="0.25">
      <c r="C106" s="222" t="s">
        <v>570</v>
      </c>
      <c r="D106" s="221">
        <f>F105</f>
        <v>0</v>
      </c>
      <c r="E106" s="221">
        <v>0</v>
      </c>
      <c r="F106" s="221">
        <f>D106-E106</f>
        <v>0</v>
      </c>
      <c r="G106" s="221">
        <f>AVERAGE(D106,F106)*$D$16/4</f>
        <v>0</v>
      </c>
    </row>
    <row r="108" spans="1:16" x14ac:dyDescent="0.25">
      <c r="C108" s="114" t="s">
        <v>555</v>
      </c>
      <c r="E108" s="211">
        <f>SUM(E20:E106)</f>
        <v>2200</v>
      </c>
      <c r="F108" s="211"/>
      <c r="G108" s="211">
        <f>SUM(G20:G106)</f>
        <v>1428.3408333333332</v>
      </c>
      <c r="I108" s="231"/>
    </row>
    <row r="111" spans="1:16" s="64" customFormat="1" ht="18.75" customHeight="1" x14ac:dyDescent="0.25">
      <c r="C111" s="134" t="s">
        <v>571</v>
      </c>
      <c r="D111" s="155"/>
      <c r="E111" s="93" t="s">
        <v>572</v>
      </c>
      <c r="F111" s="236">
        <f>'Loan Assumptions'!C13</f>
        <v>9.5000000000000001E-2</v>
      </c>
      <c r="G111" s="155"/>
      <c r="H111" s="155"/>
      <c r="I111" s="155"/>
      <c r="J111" s="155"/>
      <c r="K111" s="155"/>
      <c r="L111" s="155"/>
      <c r="M111" s="155"/>
      <c r="N111" s="155"/>
      <c r="O111" s="155"/>
      <c r="P111" s="155"/>
    </row>
    <row r="113" spans="3:18" ht="17.25" customHeight="1" x14ac:dyDescent="0.25">
      <c r="C113" s="237" t="s">
        <v>554</v>
      </c>
      <c r="D113" s="193"/>
      <c r="E113" s="193">
        <v>2025</v>
      </c>
      <c r="F113" s="193">
        <f t="shared" ref="F113:K113" si="23">E113+1</f>
        <v>2026</v>
      </c>
      <c r="G113" s="193">
        <f t="shared" si="23"/>
        <v>2027</v>
      </c>
      <c r="H113" s="193">
        <f t="shared" si="23"/>
        <v>2028</v>
      </c>
      <c r="I113" s="193">
        <f t="shared" si="23"/>
        <v>2029</v>
      </c>
      <c r="J113" s="193">
        <f t="shared" si="23"/>
        <v>2030</v>
      </c>
      <c r="K113" s="193">
        <f t="shared" si="23"/>
        <v>2031</v>
      </c>
      <c r="L113" s="193">
        <f>K113+1</f>
        <v>2032</v>
      </c>
      <c r="M113" s="193">
        <f t="shared" ref="M113:P113" si="24">L113+1</f>
        <v>2033</v>
      </c>
      <c r="N113" s="193">
        <f t="shared" si="24"/>
        <v>2034</v>
      </c>
      <c r="O113" s="193">
        <f t="shared" si="24"/>
        <v>2035</v>
      </c>
      <c r="P113" s="193">
        <f t="shared" si="24"/>
        <v>2036</v>
      </c>
      <c r="Q113" s="232"/>
      <c r="R113" s="232"/>
    </row>
    <row r="114" spans="3:18" ht="20.25" customHeight="1" x14ac:dyDescent="0.25">
      <c r="C114" s="169" t="s">
        <v>573</v>
      </c>
      <c r="D114" s="233"/>
      <c r="E114" s="233">
        <f>'CoP-MoF'!D25/A</f>
        <v>50</v>
      </c>
      <c r="F114" s="233">
        <f t="shared" ref="F114:J114" si="25">E114</f>
        <v>50</v>
      </c>
      <c r="G114" s="233">
        <f t="shared" si="25"/>
        <v>50</v>
      </c>
      <c r="H114" s="233">
        <f t="shared" si="25"/>
        <v>50</v>
      </c>
      <c r="I114" s="233">
        <f t="shared" si="25"/>
        <v>50</v>
      </c>
      <c r="J114" s="233">
        <f t="shared" si="25"/>
        <v>50</v>
      </c>
      <c r="K114" s="233">
        <f>J114</f>
        <v>50</v>
      </c>
      <c r="L114" s="233">
        <f t="shared" ref="L114:P114" si="26">K114</f>
        <v>50</v>
      </c>
      <c r="M114" s="233">
        <f t="shared" si="26"/>
        <v>50</v>
      </c>
      <c r="N114" s="233">
        <f t="shared" si="26"/>
        <v>50</v>
      </c>
      <c r="O114" s="233">
        <f t="shared" si="26"/>
        <v>50</v>
      </c>
      <c r="P114" s="233">
        <f t="shared" si="26"/>
        <v>50</v>
      </c>
      <c r="Q114" s="233"/>
      <c r="R114" s="233"/>
    </row>
    <row r="115" spans="3:18" ht="20.25" customHeight="1" x14ac:dyDescent="0.25">
      <c r="C115" s="169" t="s">
        <v>320</v>
      </c>
      <c r="D115" s="234"/>
      <c r="E115" s="234">
        <f t="shared" ref="E115:K115" si="27">E114*$F$111</f>
        <v>4.75</v>
      </c>
      <c r="F115" s="234">
        <f t="shared" si="27"/>
        <v>4.75</v>
      </c>
      <c r="G115" s="234">
        <f t="shared" si="27"/>
        <v>4.75</v>
      </c>
      <c r="H115" s="234">
        <f t="shared" si="27"/>
        <v>4.75</v>
      </c>
      <c r="I115" s="234">
        <f t="shared" si="27"/>
        <v>4.75</v>
      </c>
      <c r="J115" s="234">
        <f t="shared" si="27"/>
        <v>4.75</v>
      </c>
      <c r="K115" s="234">
        <f t="shared" si="27"/>
        <v>4.75</v>
      </c>
      <c r="L115" s="234">
        <f t="shared" ref="L115:N115" si="28">L114*$F$111</f>
        <v>4.75</v>
      </c>
      <c r="M115" s="234">
        <f t="shared" si="28"/>
        <v>4.75</v>
      </c>
      <c r="N115" s="234">
        <f t="shared" si="28"/>
        <v>4.75</v>
      </c>
      <c r="O115" s="234">
        <f t="shared" ref="O115:P115" si="29">O114*$F$111</f>
        <v>4.75</v>
      </c>
      <c r="P115" s="234">
        <f t="shared" si="29"/>
        <v>4.75</v>
      </c>
      <c r="Q115" s="234"/>
      <c r="R115" s="234"/>
    </row>
    <row r="117" spans="3:18" x14ac:dyDescent="0.25">
      <c r="C117" s="51" t="s">
        <v>574</v>
      </c>
      <c r="D117" s="44"/>
      <c r="E117" s="44">
        <v>0</v>
      </c>
      <c r="F117" s="44">
        <v>12</v>
      </c>
      <c r="G117" s="44">
        <v>12</v>
      </c>
      <c r="H117" s="44">
        <f t="shared" ref="H117:K117" si="30">G117</f>
        <v>12</v>
      </c>
      <c r="I117" s="44">
        <f t="shared" si="30"/>
        <v>12</v>
      </c>
      <c r="J117" s="44">
        <f t="shared" si="30"/>
        <v>12</v>
      </c>
      <c r="K117" s="44">
        <f t="shared" si="30"/>
        <v>12</v>
      </c>
      <c r="L117" s="44">
        <f t="shared" ref="L117" si="31">K117</f>
        <v>12</v>
      </c>
      <c r="M117" s="44">
        <f t="shared" ref="M117" si="32">L117</f>
        <v>12</v>
      </c>
      <c r="N117" s="44">
        <f t="shared" ref="N117:P117" si="33">M117</f>
        <v>12</v>
      </c>
      <c r="O117" s="44">
        <f t="shared" si="33"/>
        <v>12</v>
      </c>
      <c r="P117" s="44">
        <f t="shared" si="33"/>
        <v>12</v>
      </c>
      <c r="Q117" s="44"/>
      <c r="R117" s="44"/>
    </row>
    <row r="118" spans="3:18" x14ac:dyDescent="0.25">
      <c r="D118" s="44"/>
      <c r="E118" s="44"/>
      <c r="F118" s="44"/>
      <c r="G118" s="44"/>
      <c r="H118" s="44"/>
      <c r="I118" s="44"/>
      <c r="J118" s="44"/>
      <c r="K118" s="44"/>
      <c r="L118" s="44"/>
      <c r="M118" s="44"/>
      <c r="N118" s="44"/>
      <c r="O118" s="44"/>
      <c r="P118" s="44"/>
      <c r="Q118" s="44"/>
      <c r="R118" s="44"/>
    </row>
    <row r="119" spans="3:18" x14ac:dyDescent="0.25">
      <c r="C119" s="114" t="s">
        <v>575</v>
      </c>
      <c r="D119" s="129"/>
      <c r="E119" s="129">
        <f>E115*E117/12</f>
        <v>0</v>
      </c>
      <c r="F119" s="129">
        <f>F115*F117/12</f>
        <v>4.75</v>
      </c>
      <c r="G119" s="129">
        <f t="shared" ref="G119:N119" si="34">G115*G117/12</f>
        <v>4.75</v>
      </c>
      <c r="H119" s="129">
        <f t="shared" si="34"/>
        <v>4.75</v>
      </c>
      <c r="I119" s="129">
        <f t="shared" si="34"/>
        <v>4.75</v>
      </c>
      <c r="J119" s="129">
        <f t="shared" si="34"/>
        <v>4.75</v>
      </c>
      <c r="K119" s="129">
        <f t="shared" si="34"/>
        <v>4.75</v>
      </c>
      <c r="L119" s="129">
        <f t="shared" si="34"/>
        <v>4.75</v>
      </c>
      <c r="M119" s="129">
        <f t="shared" si="34"/>
        <v>4.75</v>
      </c>
      <c r="N119" s="129">
        <f t="shared" si="34"/>
        <v>4.75</v>
      </c>
      <c r="O119" s="129">
        <f t="shared" ref="O119:P119" si="35">O115*O117/12</f>
        <v>4.75</v>
      </c>
      <c r="P119" s="129">
        <f t="shared" si="35"/>
        <v>4.75</v>
      </c>
      <c r="Q119" s="107"/>
      <c r="R119" s="107"/>
    </row>
  </sheetData>
  <mergeCells count="1">
    <mergeCell ref="E15:E16"/>
  </mergeCells>
  <dataValidations count="1">
    <dataValidation type="list" allowBlank="1" showInputMessage="1" showErrorMessage="1" sqref="D16">
      <formula1>"9.50%,11.50%"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B1:P54"/>
  <sheetViews>
    <sheetView showGridLines="0" topLeftCell="A2" zoomScaleNormal="100" workbookViewId="0">
      <pane xSplit="2" ySplit="4" topLeftCell="C6" activePane="bottomRight" state="frozen"/>
      <selection activeCell="A2" sqref="A2"/>
      <selection pane="topRight" activeCell="B2" sqref="B2"/>
      <selection pane="bottomLeft" activeCell="A3" sqref="A3"/>
      <selection pane="bottomRight" activeCell="E33" sqref="E33"/>
    </sheetView>
  </sheetViews>
  <sheetFormatPr defaultColWidth="32.28515625" defaultRowHeight="15" x14ac:dyDescent="0.25"/>
  <cols>
    <col min="1" max="1" width="4.5703125" style="96" customWidth="1"/>
    <col min="2" max="2" width="42.85546875" style="51" customWidth="1"/>
    <col min="3" max="15" width="10.28515625" style="44" customWidth="1"/>
    <col min="16" max="16384" width="32.28515625" style="96"/>
  </cols>
  <sheetData>
    <row r="1" spans="2:15" s="97" customFormat="1" ht="26.25" customHeight="1" x14ac:dyDescent="0.25">
      <c r="B1" s="114" t="s">
        <v>17</v>
      </c>
      <c r="C1" s="47"/>
      <c r="D1" s="47"/>
      <c r="E1" s="47"/>
      <c r="F1" s="47"/>
      <c r="G1" s="47"/>
      <c r="H1" s="47"/>
      <c r="I1" s="47"/>
      <c r="J1" s="47"/>
      <c r="K1" s="44"/>
      <c r="L1" s="44"/>
      <c r="M1" s="44"/>
      <c r="N1" s="44"/>
      <c r="O1" s="44"/>
    </row>
    <row r="2" spans="2:15" s="97" customFormat="1" ht="16.5" customHeight="1" x14ac:dyDescent="0.25">
      <c r="B2" s="114"/>
      <c r="C2" s="47"/>
      <c r="D2" s="47"/>
      <c r="E2" s="47"/>
      <c r="F2" s="47"/>
      <c r="G2" s="47"/>
      <c r="H2" s="47"/>
      <c r="I2" s="47"/>
      <c r="J2" s="47"/>
      <c r="K2" s="44"/>
      <c r="L2" s="44"/>
      <c r="M2" s="44"/>
      <c r="N2" s="44"/>
      <c r="O2" s="44"/>
    </row>
    <row r="3" spans="2:15" s="97" customFormat="1" ht="17.25" customHeight="1" x14ac:dyDescent="0.25">
      <c r="B3" s="167" t="s">
        <v>777</v>
      </c>
      <c r="C3" s="240"/>
      <c r="D3" s="240"/>
      <c r="E3" s="240"/>
      <c r="F3" s="240"/>
      <c r="G3" s="240"/>
      <c r="H3" s="240"/>
      <c r="I3" s="240"/>
      <c r="J3" s="240"/>
      <c r="K3" s="150"/>
      <c r="L3" s="150"/>
      <c r="M3" s="150"/>
      <c r="N3" s="150"/>
      <c r="O3" s="150"/>
    </row>
    <row r="4" spans="2:15" s="97" customFormat="1" ht="12.75" customHeight="1" x14ac:dyDescent="0.25">
      <c r="B4" s="114"/>
      <c r="C4" s="47"/>
      <c r="D4" s="47"/>
      <c r="E4" s="47"/>
      <c r="F4" s="47"/>
      <c r="G4" s="47"/>
      <c r="H4" s="47"/>
      <c r="I4" s="47"/>
      <c r="J4" s="47"/>
      <c r="K4" s="44"/>
      <c r="L4" s="44"/>
      <c r="M4" s="44"/>
      <c r="N4" s="44"/>
      <c r="O4" s="44"/>
    </row>
    <row r="5" spans="2:15" s="58" customFormat="1" ht="20.25" customHeight="1" x14ac:dyDescent="0.25">
      <c r="B5" s="135" t="s">
        <v>14</v>
      </c>
      <c r="C5" s="210">
        <v>2024</v>
      </c>
      <c r="D5" s="94">
        <v>2025</v>
      </c>
      <c r="E5" s="94">
        <f>D5+1</f>
        <v>2026</v>
      </c>
      <c r="F5" s="94">
        <f t="shared" ref="F5:O5" si="0">E5+1</f>
        <v>2027</v>
      </c>
      <c r="G5" s="94">
        <f t="shared" si="0"/>
        <v>2028</v>
      </c>
      <c r="H5" s="94">
        <f t="shared" si="0"/>
        <v>2029</v>
      </c>
      <c r="I5" s="94">
        <f t="shared" si="0"/>
        <v>2030</v>
      </c>
      <c r="J5" s="94">
        <f t="shared" si="0"/>
        <v>2031</v>
      </c>
      <c r="K5" s="94">
        <f t="shared" si="0"/>
        <v>2032</v>
      </c>
      <c r="L5" s="94">
        <f t="shared" si="0"/>
        <v>2033</v>
      </c>
      <c r="M5" s="94">
        <f t="shared" si="0"/>
        <v>2034</v>
      </c>
      <c r="N5" s="94">
        <f t="shared" si="0"/>
        <v>2035</v>
      </c>
      <c r="O5" s="94">
        <f t="shared" si="0"/>
        <v>2036</v>
      </c>
    </row>
    <row r="6" spans="2:15" s="97" customFormat="1" ht="21" hidden="1" customHeight="1" x14ac:dyDescent="0.25">
      <c r="B6" s="51" t="s">
        <v>514</v>
      </c>
      <c r="C6" s="54"/>
      <c r="D6" s="54">
        <f>'P &amp; L'!D23</f>
        <v>0</v>
      </c>
      <c r="E6" s="54">
        <f>'P &amp; L'!E23</f>
        <v>899.98779999999999</v>
      </c>
      <c r="F6" s="54">
        <f>'P &amp; L'!F23</f>
        <v>945.17019000000005</v>
      </c>
      <c r="G6" s="54">
        <f>'P &amp; L'!G23</f>
        <v>992.61169950000021</v>
      </c>
      <c r="H6" s="54">
        <f>'P &amp; L'!H23</f>
        <v>1042.4252844749999</v>
      </c>
      <c r="I6" s="54">
        <f>'P &amp; L'!I23</f>
        <v>1094.6795486987501</v>
      </c>
      <c r="J6" s="54">
        <f>'P &amp; L'!J23</f>
        <v>1152.7590261336877</v>
      </c>
      <c r="K6" s="54">
        <f>'P &amp; L'!K23</f>
        <v>1210.4244774403724</v>
      </c>
      <c r="L6" s="54">
        <f>'P &amp; L'!L23</f>
        <v>1270.9732013123908</v>
      </c>
      <c r="M6" s="54">
        <f>'P &amp; L'!M23</f>
        <v>1334.5493613780104</v>
      </c>
      <c r="N6" s="54">
        <f>'P &amp; L'!N23</f>
        <v>1401.2493294469107</v>
      </c>
      <c r="O6" s="54">
        <f>'P &amp; L'!O23</f>
        <v>1471.2815459192564</v>
      </c>
    </row>
    <row r="7" spans="2:15" s="97" customFormat="1" ht="21" hidden="1" customHeight="1" x14ac:dyDescent="0.25">
      <c r="B7" s="51" t="s">
        <v>515</v>
      </c>
      <c r="C7" s="54"/>
      <c r="D7" s="54">
        <f>'P &amp; L'!D27+'P &amp; L'!D24</f>
        <v>0</v>
      </c>
      <c r="E7" s="54">
        <f>'P &amp; L'!E27+'P &amp; L'!E24</f>
        <v>718.83569922026311</v>
      </c>
      <c r="F7" s="54">
        <f>'P &amp; L'!F27+'P &amp; L'!F24</f>
        <v>764.01808922026316</v>
      </c>
      <c r="G7" s="54">
        <f>'P &amp; L'!G27+'P &amp; L'!G24</f>
        <v>811.45959872026333</v>
      </c>
      <c r="H7" s="54">
        <f>'P &amp; L'!H27+'P &amp; L'!H24</f>
        <v>861.27318369526301</v>
      </c>
      <c r="I7" s="54">
        <f>'P &amp; L'!I27+'P &amp; L'!I24</f>
        <v>913.52744791901318</v>
      </c>
      <c r="J7" s="54">
        <f>'P &amp; L'!J27+'P &amp; L'!J24</f>
        <v>971.60692535395071</v>
      </c>
      <c r="K7" s="54">
        <f>'P &amp; L'!K27+'P &amp; L'!K24</f>
        <v>1029.2723766606355</v>
      </c>
      <c r="L7" s="54">
        <f>'P &amp; L'!L27+'P &amp; L'!L24</f>
        <v>1089.8211005326539</v>
      </c>
      <c r="M7" s="54">
        <f>'P &amp; L'!M27+'P &amp; L'!M24</f>
        <v>1153.3972605982735</v>
      </c>
      <c r="N7" s="54">
        <f>'P &amp; L'!N27+'P &amp; L'!N24</f>
        <v>1220.0972286671738</v>
      </c>
      <c r="O7" s="54">
        <f>'P &amp; L'!O27+'P &amp; L'!O24</f>
        <v>1290.1294451395195</v>
      </c>
    </row>
    <row r="8" spans="2:15" s="97" customFormat="1" ht="21" hidden="1" customHeight="1" x14ac:dyDescent="0.25">
      <c r="B8" s="51" t="s">
        <v>49</v>
      </c>
      <c r="C8" s="54"/>
      <c r="D8" s="54">
        <f>'P &amp; L'!D27</f>
        <v>0</v>
      </c>
      <c r="E8" s="54">
        <f>'P &amp; L'!E27</f>
        <v>511.4031992202631</v>
      </c>
      <c r="F8" s="54">
        <f>'P &amp; L'!F27</f>
        <v>567.55808922026313</v>
      </c>
      <c r="G8" s="54">
        <f>'P &amp; L'!G27</f>
        <v>627.53959872026337</v>
      </c>
      <c r="H8" s="54">
        <f>'P &amp; L'!H27</f>
        <v>694.07318369526297</v>
      </c>
      <c r="I8" s="54">
        <f>'P &amp; L'!I27</f>
        <v>767.22744791901323</v>
      </c>
      <c r="J8" s="54">
        <f>'P &amp; L'!J27</f>
        <v>846.20692535395074</v>
      </c>
      <c r="K8" s="54">
        <f>'P &amp; L'!K27</f>
        <v>924.77237666063547</v>
      </c>
      <c r="L8" s="54">
        <f>'P &amp; L'!L27</f>
        <v>1008.3111005326539</v>
      </c>
      <c r="M8" s="54">
        <f>'P &amp; L'!M27</f>
        <v>1096.9672605982735</v>
      </c>
      <c r="N8" s="54">
        <f>'P &amp; L'!N27</f>
        <v>1190.8372286671738</v>
      </c>
      <c r="O8" s="54">
        <f>'P &amp; L'!O27</f>
        <v>1286.4719451395194</v>
      </c>
    </row>
    <row r="9" spans="2:15" s="97" customFormat="1" ht="21" hidden="1" customHeight="1" x14ac:dyDescent="0.25">
      <c r="B9" s="51" t="s">
        <v>65</v>
      </c>
      <c r="C9" s="54"/>
      <c r="D9" s="54">
        <f>'P &amp; L'!D29</f>
        <v>0</v>
      </c>
      <c r="E9" s="54">
        <f>'P &amp; L'!E29</f>
        <v>310.05046709449971</v>
      </c>
      <c r="F9" s="54">
        <f>'P &amp; L'!F29</f>
        <v>343.79996183136336</v>
      </c>
      <c r="G9" s="54">
        <f>'P &amp; L'!G29</f>
        <v>380.43542025094769</v>
      </c>
      <c r="H9" s="54">
        <f>'P &amp; L'!H29</f>
        <v>421.7184026874591</v>
      </c>
      <c r="I9" s="54">
        <f>'P &amp; L'!I29</f>
        <v>467.65950859017221</v>
      </c>
      <c r="J9" s="54">
        <f>'P &amp; L'!J29</f>
        <v>517.70234973377796</v>
      </c>
      <c r="K9" s="54">
        <f>'P &amp; L'!K29</f>
        <v>567.69728521569186</v>
      </c>
      <c r="L9" s="54">
        <f>'P &amp; L'!L29</f>
        <v>621.17937642642005</v>
      </c>
      <c r="M9" s="54">
        <f>'P &amp; L'!M29</f>
        <v>678.22224251188049</v>
      </c>
      <c r="N9" s="54">
        <f>'P &amp; L'!N29</f>
        <v>738.87031428609612</v>
      </c>
      <c r="O9" s="54">
        <f>'P &amp; L'!O29</f>
        <v>800.82767126925751</v>
      </c>
    </row>
    <row r="10" spans="2:15" s="97" customFormat="1" ht="21" hidden="1" customHeight="1" x14ac:dyDescent="0.25">
      <c r="B10" s="51" t="s">
        <v>516</v>
      </c>
      <c r="C10" s="107"/>
      <c r="D10" s="54">
        <f>'P &amp; L'!D24</f>
        <v>0</v>
      </c>
      <c r="E10" s="54">
        <f>'P &amp; L'!E24</f>
        <v>207.4325</v>
      </c>
      <c r="F10" s="54">
        <f>'P &amp; L'!F24</f>
        <v>196.45999999999998</v>
      </c>
      <c r="G10" s="54">
        <f>'P &amp; L'!G24</f>
        <v>183.92</v>
      </c>
      <c r="H10" s="54">
        <f>'P &amp; L'!H24</f>
        <v>167.2</v>
      </c>
      <c r="I10" s="54">
        <f>'P &amp; L'!I24</f>
        <v>146.29999999999998</v>
      </c>
      <c r="J10" s="54">
        <f>'P &amp; L'!J24</f>
        <v>125.4</v>
      </c>
      <c r="K10" s="54">
        <f>'P &amp; L'!K24</f>
        <v>104.5</v>
      </c>
      <c r="L10" s="54">
        <f>'P &amp; L'!L24</f>
        <v>81.510000000000005</v>
      </c>
      <c r="M10" s="54">
        <f>'P &amp; L'!M24</f>
        <v>56.43</v>
      </c>
      <c r="N10" s="54">
        <f>'P &amp; L'!N24</f>
        <v>29.259999999999998</v>
      </c>
      <c r="O10" s="54">
        <f>'P &amp; L'!O24</f>
        <v>3.6574999999999998</v>
      </c>
    </row>
    <row r="11" spans="2:15" s="97" customFormat="1" ht="21" hidden="1" customHeight="1" x14ac:dyDescent="0.25">
      <c r="B11" s="51" t="s">
        <v>547</v>
      </c>
      <c r="C11" s="107"/>
      <c r="D11" s="107">
        <f>'P &amp; L'!D25</f>
        <v>0</v>
      </c>
      <c r="E11" s="107">
        <f>'P &amp; L'!E25</f>
        <v>4.75</v>
      </c>
      <c r="F11" s="107">
        <f>'P &amp; L'!F25</f>
        <v>4.75</v>
      </c>
      <c r="G11" s="107">
        <f>'P &amp; L'!G25</f>
        <v>4.75</v>
      </c>
      <c r="H11" s="107">
        <f>'P &amp; L'!H25</f>
        <v>4.75</v>
      </c>
      <c r="I11" s="107">
        <f>'P &amp; L'!I25</f>
        <v>4.75</v>
      </c>
      <c r="J11" s="107">
        <f>'P &amp; L'!J25</f>
        <v>4.75</v>
      </c>
      <c r="K11" s="107">
        <f>'P &amp; L'!K25</f>
        <v>4.75</v>
      </c>
      <c r="L11" s="107">
        <f>'P &amp; L'!L25</f>
        <v>4.75</v>
      </c>
      <c r="M11" s="107">
        <f>'P &amp; L'!M25</f>
        <v>4.75</v>
      </c>
      <c r="N11" s="107">
        <f>'P &amp; L'!N25</f>
        <v>4.75</v>
      </c>
      <c r="O11" s="107">
        <f>'P &amp; L'!O25</f>
        <v>4.75</v>
      </c>
    </row>
    <row r="12" spans="2:15" s="97" customFormat="1" ht="21" hidden="1" customHeight="1" x14ac:dyDescent="0.25">
      <c r="B12" s="51" t="s">
        <v>517</v>
      </c>
      <c r="C12" s="54">
        <f>SUM(BS!C6:C8)</f>
        <v>58.913208384984003</v>
      </c>
      <c r="D12" s="54">
        <f>SUM(BS!D6:D8)</f>
        <v>2634</v>
      </c>
      <c r="E12" s="54">
        <f>SUM(BS!E6:E8)</f>
        <v>2812.0504670944997</v>
      </c>
      <c r="F12" s="54">
        <f>SUM(BS!F6:F8)</f>
        <v>3023.8504289258631</v>
      </c>
      <c r="G12" s="54">
        <f>SUM(BS!G6:G8)</f>
        <v>3184.2858491768106</v>
      </c>
      <c r="H12" s="54">
        <f>SUM(BS!H6:H8)</f>
        <v>3386.0042518642695</v>
      </c>
      <c r="I12" s="54">
        <f>SUM(BS!I6:I8)</f>
        <v>3633.6637604544421</v>
      </c>
      <c r="J12" s="54">
        <f>SUM(BS!J6:J8)</f>
        <v>3931.3661101882199</v>
      </c>
      <c r="K12" s="54">
        <f>SUM(BS!K6:K8)</f>
        <v>4235.0633954039113</v>
      </c>
      <c r="L12" s="54">
        <f>SUM(BS!L6:L8)</f>
        <v>4592.2427718303315</v>
      </c>
      <c r="M12" s="54">
        <f>SUM(BS!M6:M8)</f>
        <v>4962.4650143422123</v>
      </c>
      <c r="N12" s="54">
        <f>SUM(BS!N6:N8)</f>
        <v>5547.3353286283082</v>
      </c>
      <c r="O12" s="54">
        <f>SUM(BS!O6:O8)</f>
        <v>6348.1629998975659</v>
      </c>
    </row>
    <row r="13" spans="2:15" s="97" customFormat="1" ht="21" hidden="1" customHeight="1" x14ac:dyDescent="0.25">
      <c r="B13" s="51" t="s">
        <v>518</v>
      </c>
      <c r="C13" s="54">
        <f>BS!C6</f>
        <v>58.913208384984003</v>
      </c>
      <c r="D13" s="54">
        <f>BS!D6</f>
        <v>500</v>
      </c>
      <c r="E13" s="54">
        <f>BS!E6</f>
        <v>500</v>
      </c>
      <c r="F13" s="54">
        <f>BS!F6</f>
        <v>500</v>
      </c>
      <c r="G13" s="54">
        <f>BS!G6</f>
        <v>500</v>
      </c>
      <c r="H13" s="54">
        <f>BS!H6</f>
        <v>500</v>
      </c>
      <c r="I13" s="54">
        <f>BS!I6</f>
        <v>500</v>
      </c>
      <c r="J13" s="54">
        <f>BS!J6</f>
        <v>500</v>
      </c>
      <c r="K13" s="54">
        <f>BS!K6</f>
        <v>500</v>
      </c>
      <c r="L13" s="54">
        <f>BS!L6</f>
        <v>500</v>
      </c>
      <c r="M13" s="54">
        <f>BS!M6</f>
        <v>500</v>
      </c>
      <c r="N13" s="54">
        <f>BS!N6</f>
        <v>500</v>
      </c>
      <c r="O13" s="54">
        <f>BS!O6</f>
        <v>500</v>
      </c>
    </row>
    <row r="14" spans="2:15" s="97" customFormat="1" ht="21" hidden="1" customHeight="1" x14ac:dyDescent="0.25">
      <c r="B14" s="51" t="s">
        <v>519</v>
      </c>
      <c r="C14" s="54">
        <f>BS!C6+BS!C7</f>
        <v>58.913208384984003</v>
      </c>
      <c r="D14" s="54">
        <f>BS!D6+BS!D7</f>
        <v>500</v>
      </c>
      <c r="E14" s="54">
        <f>BS!E6+BS!E7</f>
        <v>810.05046709449971</v>
      </c>
      <c r="F14" s="54">
        <f>BS!F6+BS!F7</f>
        <v>1153.8504289258631</v>
      </c>
      <c r="G14" s="54">
        <f>BS!G6+BS!G7</f>
        <v>1534.2858491768106</v>
      </c>
      <c r="H14" s="54">
        <f>BS!H6+BS!H7</f>
        <v>1956.0042518642697</v>
      </c>
      <c r="I14" s="54">
        <f>BS!I6+BS!I7</f>
        <v>2423.6637604544421</v>
      </c>
      <c r="J14" s="54">
        <f>BS!J6+BS!J7</f>
        <v>2941.3661101882199</v>
      </c>
      <c r="K14" s="54">
        <f>BS!K6+BS!K7</f>
        <v>3509.0633954039117</v>
      </c>
      <c r="L14" s="54">
        <f>BS!L6+BS!L7</f>
        <v>4130.2427718303315</v>
      </c>
      <c r="M14" s="54">
        <f>BS!M6+BS!M7</f>
        <v>4808.4650143422123</v>
      </c>
      <c r="N14" s="54">
        <f>BS!N6+BS!N7</f>
        <v>5547.3353286283082</v>
      </c>
      <c r="O14" s="54">
        <f>BS!O6+BS!O7</f>
        <v>6348.1629998975659</v>
      </c>
    </row>
    <row r="15" spans="2:15" s="97" customFormat="1" ht="21" hidden="1" customHeight="1" x14ac:dyDescent="0.25">
      <c r="B15" s="51" t="s">
        <v>579</v>
      </c>
      <c r="C15" s="54">
        <f>BS!C8</f>
        <v>0</v>
      </c>
      <c r="D15" s="54">
        <f>BS!D8</f>
        <v>2134</v>
      </c>
      <c r="E15" s="54">
        <f>BS!E8</f>
        <v>2002</v>
      </c>
      <c r="F15" s="54">
        <f>BS!F8</f>
        <v>1870</v>
      </c>
      <c r="G15" s="54">
        <f>BS!G8</f>
        <v>1650</v>
      </c>
      <c r="H15" s="54">
        <f>BS!H8</f>
        <v>1430</v>
      </c>
      <c r="I15" s="54">
        <f>BS!I8</f>
        <v>1210</v>
      </c>
      <c r="J15" s="54">
        <f>BS!J8</f>
        <v>990</v>
      </c>
      <c r="K15" s="54">
        <f>BS!K8</f>
        <v>726</v>
      </c>
      <c r="L15" s="54">
        <f>BS!L8</f>
        <v>462</v>
      </c>
      <c r="M15" s="54">
        <f>BS!M8</f>
        <v>153.99999999999994</v>
      </c>
      <c r="N15" s="54">
        <f>BS!N8</f>
        <v>0</v>
      </c>
      <c r="O15" s="54">
        <f>BS!O8</f>
        <v>0</v>
      </c>
    </row>
    <row r="16" spans="2:15" s="97" customFormat="1" ht="21" hidden="1" customHeight="1" x14ac:dyDescent="0.25">
      <c r="B16" s="51" t="s">
        <v>719</v>
      </c>
      <c r="C16" s="54">
        <f>C15+BS!C11+BS!C12+BS!C13</f>
        <v>0</v>
      </c>
      <c r="D16" s="54">
        <f>D15+BS!D11+BS!D12+BS!D13</f>
        <v>2200</v>
      </c>
      <c r="E16" s="54">
        <f>E15+BS!E11+BS!E12+BS!E13</f>
        <v>2197.0650439999999</v>
      </c>
      <c r="F16" s="54">
        <f>F15+BS!F11+BS!F12+BS!F13</f>
        <v>2065.7182961999997</v>
      </c>
      <c r="G16" s="54">
        <f>G15+BS!G11+BS!G12+BS!G13</f>
        <v>1934.4042110099999</v>
      </c>
      <c r="H16" s="54">
        <f>H15+BS!H11+BS!H12+BS!H13</f>
        <v>1715.1244215605</v>
      </c>
      <c r="I16" s="54">
        <f>I15+BS!I11+BS!I12+BS!I13</f>
        <v>1495.8806426385249</v>
      </c>
      <c r="J16" s="54">
        <f>J15+BS!J11+BS!J12+BS!J13</f>
        <v>1276.6746747704512</v>
      </c>
      <c r="K16" s="54">
        <f>K15+BS!K11+BS!K12+BS!K13</f>
        <v>1057.5084085089738</v>
      </c>
      <c r="L16" s="54">
        <f>L15+BS!L11+BS!L12+BS!L13</f>
        <v>794.38382893442258</v>
      </c>
      <c r="M16" s="54">
        <f>M15+BS!M11+BS!M12+BS!M13</f>
        <v>531.3030203811436</v>
      </c>
      <c r="N16" s="54">
        <f>N15+BS!N11+BS!N12+BS!N13</f>
        <v>224.26817140020086</v>
      </c>
      <c r="O16" s="54">
        <f>O15+BS!O11+BS!O12+BS!O13</f>
        <v>71.281579970210856</v>
      </c>
    </row>
    <row r="17" spans="2:16" s="97" customFormat="1" ht="21" hidden="1" customHeight="1" x14ac:dyDescent="0.25">
      <c r="B17" s="51" t="s">
        <v>720</v>
      </c>
      <c r="C17" s="54">
        <f>C14-BS!C28</f>
        <v>58.913208384984003</v>
      </c>
      <c r="D17" s="54">
        <f>D14-BS!D28</f>
        <v>500</v>
      </c>
      <c r="E17" s="54">
        <f>E14-BS!E28</f>
        <v>797.41046709449972</v>
      </c>
      <c r="F17" s="54">
        <f>F14-BS!F28</f>
        <v>1144.3704289258631</v>
      </c>
      <c r="G17" s="54">
        <f>G14-BS!G28</f>
        <v>1527.9658491768107</v>
      </c>
      <c r="H17" s="54">
        <f>H14-BS!H28</f>
        <v>1952.8442518642696</v>
      </c>
      <c r="I17" s="54">
        <f>I14-BS!I28</f>
        <v>2423.6637604544421</v>
      </c>
      <c r="J17" s="54">
        <f>J14-BS!J28</f>
        <v>2941.3661101882199</v>
      </c>
      <c r="K17" s="54">
        <f>K14-BS!K28</f>
        <v>3509.0633954039117</v>
      </c>
      <c r="L17" s="54">
        <f>L14-BS!L28</f>
        <v>4130.2427718303315</v>
      </c>
      <c r="M17" s="54">
        <f>M14-BS!M28</f>
        <v>4808.4650143422123</v>
      </c>
      <c r="N17" s="54">
        <f>N14-BS!N28</f>
        <v>5547.3353286283082</v>
      </c>
      <c r="O17" s="54">
        <f>O14-BS!O28</f>
        <v>6348.1629998975659</v>
      </c>
    </row>
    <row r="18" spans="2:16" s="97" customFormat="1" ht="21" hidden="1" customHeight="1" x14ac:dyDescent="0.25">
      <c r="B18" s="51" t="s">
        <v>520</v>
      </c>
      <c r="C18" s="54"/>
      <c r="D18" s="54">
        <f>'P &amp; L'!D10</f>
        <v>0</v>
      </c>
      <c r="E18" s="54">
        <f>'P &amp; L'!E10</f>
        <v>1606.5</v>
      </c>
      <c r="F18" s="54">
        <f>'P &amp; L'!F10</f>
        <v>1686.825</v>
      </c>
      <c r="G18" s="54">
        <f>'P &amp; L'!G10</f>
        <v>1771.1662500000002</v>
      </c>
      <c r="H18" s="54">
        <f>'P &amp; L'!H10</f>
        <v>1859.7245625</v>
      </c>
      <c r="I18" s="54">
        <f>'P &amp; L'!I10</f>
        <v>1952.7107906250003</v>
      </c>
      <c r="J18" s="54">
        <f>'P &amp; L'!J10</f>
        <v>2050.3463301562506</v>
      </c>
      <c r="K18" s="54">
        <f>'P &amp; L'!K10</f>
        <v>2152.8636466640633</v>
      </c>
      <c r="L18" s="54">
        <f>'P &amp; L'!L10</f>
        <v>2260.5068289972664</v>
      </c>
      <c r="M18" s="54">
        <f>'P &amp; L'!M10</f>
        <v>2373.5321704471298</v>
      </c>
      <c r="N18" s="54">
        <f>'P &amp; L'!N10</f>
        <v>2492.208778969486</v>
      </c>
      <c r="O18" s="54">
        <f>'P &amp; L'!O10</f>
        <v>2616.8192179179605</v>
      </c>
    </row>
    <row r="19" spans="2:16" s="97" customFormat="1" ht="21" hidden="1" customHeight="1" x14ac:dyDescent="0.25">
      <c r="B19" s="51" t="s">
        <v>503</v>
      </c>
      <c r="C19" s="54">
        <f>BS!C23</f>
        <v>58.913208384984003</v>
      </c>
      <c r="D19" s="54">
        <f>BS!D23</f>
        <v>3184.2</v>
      </c>
      <c r="E19" s="54">
        <f>BS!E23</f>
        <v>3007.7978992202629</v>
      </c>
      <c r="F19" s="54">
        <f>BS!F23</f>
        <v>2831.3957984405261</v>
      </c>
      <c r="G19" s="54">
        <f>BS!G23</f>
        <v>2654.9936976607892</v>
      </c>
      <c r="H19" s="54">
        <f>BS!H23</f>
        <v>2478.5915968810523</v>
      </c>
      <c r="I19" s="54">
        <f>BS!I23</f>
        <v>2302.1894961013154</v>
      </c>
      <c r="J19" s="54">
        <f>BS!J23</f>
        <v>2125.7873953215785</v>
      </c>
      <c r="K19" s="54">
        <f>BS!K23</f>
        <v>1949.3852945418416</v>
      </c>
      <c r="L19" s="54">
        <f>BS!L23</f>
        <v>1772.9831937621047</v>
      </c>
      <c r="M19" s="54">
        <f>BS!M23</f>
        <v>1596.5810929823679</v>
      </c>
      <c r="N19" s="54">
        <f>BS!N23</f>
        <v>1420.178992202631</v>
      </c>
      <c r="O19" s="54">
        <f>BS!O23</f>
        <v>1243.7768914228941</v>
      </c>
    </row>
    <row r="20" spans="2:16" s="97" customFormat="1" ht="21" hidden="1" customHeight="1" x14ac:dyDescent="0.25">
      <c r="B20" s="51" t="s">
        <v>527</v>
      </c>
      <c r="C20" s="54"/>
      <c r="D20" s="54">
        <f>BS!D8</f>
        <v>2134</v>
      </c>
      <c r="E20" s="54">
        <f>BS!E8</f>
        <v>2002</v>
      </c>
      <c r="F20" s="54">
        <f>BS!F8</f>
        <v>1870</v>
      </c>
      <c r="G20" s="54">
        <f>BS!G8</f>
        <v>1650</v>
      </c>
      <c r="H20" s="54">
        <f>BS!H8</f>
        <v>1430</v>
      </c>
      <c r="I20" s="54">
        <f>BS!I8</f>
        <v>1210</v>
      </c>
      <c r="J20" s="54">
        <f>BS!J8</f>
        <v>990</v>
      </c>
      <c r="K20" s="54">
        <f>BS!K8</f>
        <v>726</v>
      </c>
      <c r="L20" s="54">
        <f>BS!L8</f>
        <v>462</v>
      </c>
      <c r="M20" s="54">
        <f>BS!M8</f>
        <v>153.99999999999994</v>
      </c>
      <c r="N20" s="54">
        <f>BS!N8</f>
        <v>0</v>
      </c>
      <c r="O20" s="54">
        <f>BS!O8</f>
        <v>0</v>
      </c>
    </row>
    <row r="21" spans="2:16" s="97" customFormat="1" ht="21" hidden="1" customHeight="1" x14ac:dyDescent="0.25">
      <c r="B21" s="51" t="s">
        <v>769</v>
      </c>
      <c r="C21" s="54">
        <f>BS!C8+BS!C12</f>
        <v>0</v>
      </c>
      <c r="D21" s="54">
        <f>BS!D8+BS!D12</f>
        <v>2200</v>
      </c>
      <c r="E21" s="54">
        <f>BS!E8+BS!E12</f>
        <v>2134</v>
      </c>
      <c r="F21" s="54">
        <f>BS!F8+BS!F12</f>
        <v>2002</v>
      </c>
      <c r="G21" s="54">
        <f>BS!G8+BS!G12</f>
        <v>1870</v>
      </c>
      <c r="H21" s="54">
        <f>BS!H8+BS!H12</f>
        <v>1650</v>
      </c>
      <c r="I21" s="54">
        <f>BS!I8+BS!I12</f>
        <v>1430</v>
      </c>
      <c r="J21" s="54">
        <f>BS!J8+BS!J12</f>
        <v>1210</v>
      </c>
      <c r="K21" s="54">
        <f>BS!K8+BS!K12</f>
        <v>990</v>
      </c>
      <c r="L21" s="54">
        <f>BS!L8+BS!L12</f>
        <v>726</v>
      </c>
      <c r="M21" s="54">
        <f>BS!M8+BS!M12</f>
        <v>462</v>
      </c>
      <c r="N21" s="54">
        <f>BS!N8+BS!N12</f>
        <v>154.00000000000003</v>
      </c>
      <c r="O21" s="54">
        <f>BS!O8+BS!O12</f>
        <v>0</v>
      </c>
    </row>
    <row r="22" spans="2:16" s="97" customFormat="1" ht="21" hidden="1" customHeight="1" x14ac:dyDescent="0.25">
      <c r="B22" s="51" t="s">
        <v>770</v>
      </c>
      <c r="C22" s="54">
        <f>BS!C6</f>
        <v>58.913208384984003</v>
      </c>
      <c r="D22" s="54">
        <f>BS!D6</f>
        <v>500</v>
      </c>
      <c r="E22" s="54">
        <f>BS!E6</f>
        <v>500</v>
      </c>
      <c r="F22" s="54">
        <f>BS!F6</f>
        <v>500</v>
      </c>
      <c r="G22" s="54">
        <f>BS!G6</f>
        <v>500</v>
      </c>
      <c r="H22" s="54">
        <f>BS!H6</f>
        <v>500</v>
      </c>
      <c r="I22" s="54">
        <f>BS!I6</f>
        <v>500</v>
      </c>
      <c r="J22" s="54">
        <f>BS!J6</f>
        <v>500</v>
      </c>
      <c r="K22" s="54">
        <f>BS!K6</f>
        <v>500</v>
      </c>
      <c r="L22" s="54">
        <f>BS!L6</f>
        <v>500</v>
      </c>
      <c r="M22" s="54">
        <f>BS!M6</f>
        <v>500</v>
      </c>
      <c r="N22" s="54">
        <f>BS!N6</f>
        <v>500</v>
      </c>
      <c r="O22" s="54">
        <f>BS!O6</f>
        <v>500</v>
      </c>
    </row>
    <row r="23" spans="2:16" s="97" customFormat="1" ht="21" hidden="1" customHeight="1" x14ac:dyDescent="0.25">
      <c r="B23" s="51"/>
      <c r="C23" s="107"/>
      <c r="D23" s="54"/>
      <c r="E23" s="54"/>
      <c r="F23" s="54"/>
      <c r="G23" s="54"/>
      <c r="H23" s="54"/>
      <c r="I23" s="54"/>
      <c r="J23" s="44"/>
      <c r="K23" s="44"/>
      <c r="L23" s="44"/>
      <c r="M23" s="44"/>
      <c r="N23" s="44"/>
      <c r="O23" s="44"/>
    </row>
    <row r="24" spans="2:16" s="97" customFormat="1" ht="21" hidden="1" customHeight="1" x14ac:dyDescent="0.25">
      <c r="B24" s="51" t="s">
        <v>485</v>
      </c>
      <c r="C24" s="107"/>
      <c r="D24" s="107">
        <f>BS!D25+BS!D26+BS!D27</f>
        <v>15.800000000000182</v>
      </c>
      <c r="E24" s="107">
        <f>BS!E25+BS!E26+BS!E27</f>
        <v>486.67761187423679</v>
      </c>
      <c r="F24" s="107">
        <f>BS!F25+BS!F26+BS!F27</f>
        <v>878.69292668533694</v>
      </c>
      <c r="G24" s="107">
        <f>BS!G25+BS!G26+BS!G27</f>
        <v>1307.3763625260215</v>
      </c>
      <c r="H24" s="107">
        <f>BS!H25+BS!H26+BS!H27</f>
        <v>1689.3770765437173</v>
      </c>
      <c r="I24" s="107">
        <f>BS!I25+BS!I26+BS!I27</f>
        <v>2117.3549069916517</v>
      </c>
      <c r="J24" s="107">
        <f>BS!J25+BS!J26+BS!J27</f>
        <v>2592.2533896370924</v>
      </c>
      <c r="K24" s="107">
        <f>BS!K25+BS!K26+BS!K27</f>
        <v>3117.1865093710439</v>
      </c>
      <c r="L24" s="107">
        <f>BS!L25+BS!L26+BS!L27</f>
        <v>3651.6434070026494</v>
      </c>
      <c r="M24" s="107">
        <f>BS!M25+BS!M26+BS!M27</f>
        <v>4243.186941740988</v>
      </c>
      <c r="N24" s="107">
        <f>BS!N25+BS!N26+BS!N27</f>
        <v>4851.4245078258782</v>
      </c>
      <c r="O24" s="107">
        <f>BS!O25+BS!O26+BS!O27</f>
        <v>5675.6676884448834</v>
      </c>
    </row>
    <row r="25" spans="2:16" s="97" customFormat="1" ht="21" hidden="1" customHeight="1" x14ac:dyDescent="0.25">
      <c r="B25" s="51" t="s">
        <v>549</v>
      </c>
      <c r="C25" s="107"/>
      <c r="D25" s="107">
        <f>BS!D11+BS!D12</f>
        <v>66</v>
      </c>
      <c r="E25" s="107">
        <f>BS!E11+BS!E12</f>
        <v>145.065044</v>
      </c>
      <c r="F25" s="107">
        <f>BS!F11+BS!F12</f>
        <v>145.7182962</v>
      </c>
      <c r="G25" s="107">
        <f>BS!G11+BS!G12</f>
        <v>234.40421101000001</v>
      </c>
      <c r="H25" s="107">
        <f>BS!H11+BS!H12</f>
        <v>235.1244215605</v>
      </c>
      <c r="I25" s="107">
        <f>BS!I11+BS!I12</f>
        <v>235.88064263852502</v>
      </c>
      <c r="J25" s="107">
        <f>BS!J11+BS!J12</f>
        <v>236.67467477045125</v>
      </c>
      <c r="K25" s="107">
        <f>BS!K11+BS!K12</f>
        <v>281.50840850897384</v>
      </c>
      <c r="L25" s="107">
        <f>BS!L11+BS!L12</f>
        <v>282.38382893442252</v>
      </c>
      <c r="M25" s="107">
        <f>BS!M11+BS!M12</f>
        <v>327.30302038114371</v>
      </c>
      <c r="N25" s="107">
        <f>BS!N11+BS!N12</f>
        <v>174.26817140020086</v>
      </c>
      <c r="O25" s="107">
        <f>BS!O11+BS!O12</f>
        <v>21.28157997021086</v>
      </c>
    </row>
    <row r="26" spans="2:16" s="97" customFormat="1" ht="21" hidden="1" customHeight="1" x14ac:dyDescent="0.25">
      <c r="B26" s="51"/>
      <c r="C26" s="238"/>
      <c r="D26" s="107"/>
      <c r="E26" s="107"/>
      <c r="F26" s="107"/>
      <c r="G26" s="107"/>
      <c r="H26" s="107"/>
      <c r="I26" s="107"/>
      <c r="J26" s="44"/>
      <c r="K26" s="44"/>
      <c r="L26" s="44"/>
      <c r="M26" s="44"/>
      <c r="N26" s="44"/>
      <c r="O26" s="44"/>
    </row>
    <row r="27" spans="2:16" s="97" customFormat="1" ht="21" customHeight="1" x14ac:dyDescent="0.25">
      <c r="B27" s="241" t="s">
        <v>521</v>
      </c>
      <c r="C27" s="242"/>
      <c r="D27" s="242" t="e">
        <f t="shared" ref="D27:I27" si="1">D9/D18</f>
        <v>#DIV/0!</v>
      </c>
      <c r="E27" s="242">
        <f t="shared" si="1"/>
        <v>0.19299748963243057</v>
      </c>
      <c r="F27" s="242">
        <f t="shared" si="1"/>
        <v>0.20381483664954181</v>
      </c>
      <c r="G27" s="242">
        <f t="shared" si="1"/>
        <v>0.21479373844829508</v>
      </c>
      <c r="H27" s="242">
        <f t="shared" si="1"/>
        <v>0.22676390428513205</v>
      </c>
      <c r="I27" s="242">
        <f t="shared" si="1"/>
        <v>0.23949245880926859</v>
      </c>
      <c r="J27" s="242">
        <f t="shared" ref="J27:K27" si="2">J9/J18</f>
        <v>0.25249507467078769</v>
      </c>
      <c r="K27" s="242">
        <f t="shared" si="2"/>
        <v>0.26369402729957303</v>
      </c>
      <c r="L27" s="242">
        <f t="shared" ref="L27:M27" si="3">L9/L18</f>
        <v>0.27479650512799719</v>
      </c>
      <c r="M27" s="242">
        <f t="shared" si="3"/>
        <v>0.28574385928129886</v>
      </c>
      <c r="N27" s="242">
        <f t="shared" ref="N27:O27" si="4">N9/N18</f>
        <v>0.29647207750853632</v>
      </c>
      <c r="O27" s="242">
        <f t="shared" si="4"/>
        <v>0.30603095001206315</v>
      </c>
    </row>
    <row r="28" spans="2:16" s="97" customFormat="1" ht="21" customHeight="1" x14ac:dyDescent="0.25">
      <c r="B28" s="241" t="s">
        <v>522</v>
      </c>
      <c r="C28" s="242"/>
      <c r="D28" s="242">
        <f t="shared" ref="D28:I28" si="5">D7/D12</f>
        <v>0</v>
      </c>
      <c r="E28" s="242">
        <f t="shared" si="5"/>
        <v>0.25562688423689178</v>
      </c>
      <c r="F28" s="242">
        <f t="shared" si="5"/>
        <v>0.25266398162810549</v>
      </c>
      <c r="G28" s="242">
        <f t="shared" si="5"/>
        <v>0.25483252357197728</v>
      </c>
      <c r="H28" s="242">
        <f t="shared" si="5"/>
        <v>0.25436269999397149</v>
      </c>
      <c r="I28" s="242">
        <f t="shared" si="5"/>
        <v>0.2514067090799737</v>
      </c>
      <c r="J28" s="242">
        <f t="shared" ref="J28:K28" si="6">J7/J12</f>
        <v>0.24714231595882419</v>
      </c>
      <c r="K28" s="242">
        <f t="shared" si="6"/>
        <v>0.24303588413284438</v>
      </c>
      <c r="L28" s="242">
        <f t="shared" ref="L28:M28" si="7">L7/L12</f>
        <v>0.23731783241465773</v>
      </c>
      <c r="M28" s="242">
        <f t="shared" si="7"/>
        <v>0.23242426037559871</v>
      </c>
      <c r="N28" s="242">
        <f t="shared" ref="N28:O28" si="8">N7/N12</f>
        <v>0.21994293771472218</v>
      </c>
      <c r="O28" s="242">
        <f t="shared" si="8"/>
        <v>0.20322878369070502</v>
      </c>
    </row>
    <row r="29" spans="2:16" s="97" customFormat="1" ht="21" customHeight="1" x14ac:dyDescent="0.25">
      <c r="B29" s="241" t="s">
        <v>523</v>
      </c>
      <c r="C29" s="242"/>
      <c r="D29" s="242">
        <f t="shared" ref="D29:I29" si="9">D9/D13</f>
        <v>0</v>
      </c>
      <c r="E29" s="242">
        <f t="shared" si="9"/>
        <v>0.62010093418899936</v>
      </c>
      <c r="F29" s="242">
        <f t="shared" si="9"/>
        <v>0.68759992366272671</v>
      </c>
      <c r="G29" s="242">
        <f t="shared" si="9"/>
        <v>0.76087084050189535</v>
      </c>
      <c r="H29" s="242">
        <f t="shared" si="9"/>
        <v>0.84343680537491816</v>
      </c>
      <c r="I29" s="242">
        <f t="shared" si="9"/>
        <v>0.93531901718034438</v>
      </c>
      <c r="J29" s="242">
        <f t="shared" ref="J29:K29" si="10">J9/J13</f>
        <v>1.0354046994675559</v>
      </c>
      <c r="K29" s="242">
        <f t="shared" si="10"/>
        <v>1.1353945704313837</v>
      </c>
      <c r="L29" s="242">
        <f t="shared" ref="L29:M29" si="11">L9/L13</f>
        <v>1.2423587528528401</v>
      </c>
      <c r="M29" s="242">
        <f t="shared" si="11"/>
        <v>1.3564444850237609</v>
      </c>
      <c r="N29" s="242">
        <f t="shared" ref="N29:O29" si="12">N9/N13</f>
        <v>1.4777406285721921</v>
      </c>
      <c r="O29" s="242">
        <f t="shared" si="12"/>
        <v>1.6016553425385149</v>
      </c>
    </row>
    <row r="30" spans="2:16" s="97" customFormat="1" ht="21" customHeight="1" x14ac:dyDescent="0.25">
      <c r="B30" s="241" t="s">
        <v>524</v>
      </c>
      <c r="C30" s="242"/>
      <c r="D30" s="242">
        <f t="shared" ref="D30:I30" si="13">D9/D14</f>
        <v>0</v>
      </c>
      <c r="E30" s="242">
        <f t="shared" si="13"/>
        <v>0.38275450689707402</v>
      </c>
      <c r="F30" s="242">
        <f t="shared" si="13"/>
        <v>0.29795886296234425</v>
      </c>
      <c r="G30" s="242">
        <f t="shared" si="13"/>
        <v>0.24795602491873495</v>
      </c>
      <c r="H30" s="242">
        <f t="shared" si="13"/>
        <v>0.21560198669584632</v>
      </c>
      <c r="I30" s="242">
        <f t="shared" si="13"/>
        <v>0.1929556055673684</v>
      </c>
      <c r="J30" s="242">
        <f t="shared" ref="J30:K30" si="14">J9/J14</f>
        <v>0.17600745039543883</v>
      </c>
      <c r="K30" s="242">
        <f t="shared" si="14"/>
        <v>0.16178028757167748</v>
      </c>
      <c r="L30" s="242">
        <f t="shared" ref="L30:M30" si="15">L9/L14</f>
        <v>0.15039778791287425</v>
      </c>
      <c r="M30" s="242">
        <f t="shared" si="15"/>
        <v>0.14104755685836259</v>
      </c>
      <c r="N30" s="242">
        <f t="shared" ref="N30:O30" si="16">N9/N14</f>
        <v>0.13319373546304022</v>
      </c>
      <c r="O30" s="242">
        <f t="shared" si="16"/>
        <v>0.12615108831990918</v>
      </c>
      <c r="P30" s="47" t="s">
        <v>768</v>
      </c>
    </row>
    <row r="31" spans="2:16" s="97" customFormat="1" ht="21" customHeight="1" x14ac:dyDescent="0.25">
      <c r="B31" s="241" t="s">
        <v>525</v>
      </c>
      <c r="C31" s="243"/>
      <c r="D31" s="243" t="e">
        <f>DSCR!C14</f>
        <v>#DIV/0!</v>
      </c>
      <c r="E31" s="243">
        <f>DSCR!D14</f>
        <v>2.5227865443521305</v>
      </c>
      <c r="F31" s="243">
        <f>DSCR!E14</f>
        <v>2.174520760514691</v>
      </c>
      <c r="G31" s="243">
        <f>DSCR!F14</f>
        <v>2.3346977298490179</v>
      </c>
      <c r="H31" s="243">
        <f>DSCR!G14</f>
        <v>1.9727784244602529</v>
      </c>
      <c r="I31" s="243">
        <f>DSCR!H14</f>
        <v>2.1513855528093493</v>
      </c>
      <c r="J31" s="243">
        <f>DSCR!I14</f>
        <v>2.3540038569570609</v>
      </c>
      <c r="K31" s="243">
        <f>DSCR!J14</f>
        <v>2.5917976795609072</v>
      </c>
      <c r="L31" s="243">
        <f>DSCR!K14</f>
        <v>2.5233868475023038</v>
      </c>
      <c r="M31" s="243">
        <f>DSCR!L14</f>
        <v>2.8162997210517786</v>
      </c>
      <c r="N31" s="243">
        <f>DSCR!M14</f>
        <v>2.7755984183673954</v>
      </c>
      <c r="O31" s="243">
        <f>DSCR!N14</f>
        <v>6.0689147486969155</v>
      </c>
      <c r="P31" s="129">
        <f>DSCR!C15</f>
        <v>2.5767815245882959</v>
      </c>
    </row>
    <row r="32" spans="2:16" s="97" customFormat="1" ht="21" customHeight="1" x14ac:dyDescent="0.25">
      <c r="B32" s="241" t="s">
        <v>526</v>
      </c>
      <c r="C32" s="243"/>
      <c r="D32" s="243">
        <f t="shared" ref="D32:M32" si="17">D19/D20</f>
        <v>1.4921274601686971</v>
      </c>
      <c r="E32" s="243">
        <f t="shared" si="17"/>
        <v>1.5023965530570744</v>
      </c>
      <c r="F32" s="243">
        <f t="shared" si="17"/>
        <v>1.5141154002355754</v>
      </c>
      <c r="G32" s="243">
        <f t="shared" si="17"/>
        <v>1.6090870894913873</v>
      </c>
      <c r="H32" s="243">
        <f t="shared" si="17"/>
        <v>1.7332808369797568</v>
      </c>
      <c r="I32" s="243">
        <f t="shared" si="17"/>
        <v>1.9026359471911698</v>
      </c>
      <c r="J32" s="243">
        <f t="shared" si="17"/>
        <v>2.1472599952743217</v>
      </c>
      <c r="K32" s="243">
        <f t="shared" si="17"/>
        <v>2.6851037114901399</v>
      </c>
      <c r="L32" s="243">
        <f t="shared" si="17"/>
        <v>3.8376259605240364</v>
      </c>
      <c r="M32" s="243">
        <f t="shared" si="17"/>
        <v>10.367409694690704</v>
      </c>
      <c r="N32" s="243"/>
      <c r="O32" s="243"/>
    </row>
    <row r="33" spans="2:15" s="97" customFormat="1" ht="21" customHeight="1" x14ac:dyDescent="0.25">
      <c r="B33" s="241" t="s">
        <v>548</v>
      </c>
      <c r="C33" s="243"/>
      <c r="D33" s="244" t="e">
        <f>D6/(D10+D11)</f>
        <v>#DIV/0!</v>
      </c>
      <c r="E33" s="244">
        <f t="shared" ref="E33:I33" si="18">E6/(E10+E11)</f>
        <v>4.2415741166213046</v>
      </c>
      <c r="F33" s="244">
        <f t="shared" si="18"/>
        <v>4.6974314894885945</v>
      </c>
      <c r="G33" s="244">
        <f t="shared" si="18"/>
        <v>5.2610998012402623</v>
      </c>
      <c r="H33" s="244">
        <f t="shared" si="18"/>
        <v>6.0623744371910435</v>
      </c>
      <c r="I33" s="244">
        <f t="shared" si="18"/>
        <v>7.2471337219381011</v>
      </c>
      <c r="J33" s="244">
        <f t="shared" ref="J33:K33" si="19">J6/(J10+J11)</f>
        <v>8.8571573271893023</v>
      </c>
      <c r="K33" s="244">
        <f t="shared" si="19"/>
        <v>11.079400251170457</v>
      </c>
      <c r="L33" s="244">
        <f t="shared" ref="L33:M33" si="20">L6/(L10+L11)</f>
        <v>14.734212860101909</v>
      </c>
      <c r="M33" s="244">
        <f t="shared" si="20"/>
        <v>21.813490705753683</v>
      </c>
      <c r="N33" s="244">
        <f t="shared" ref="N33:O33" si="21">N6/(N10+N11)</f>
        <v>41.201097602084999</v>
      </c>
      <c r="O33" s="244">
        <f t="shared" si="21"/>
        <v>174.9963182776398</v>
      </c>
    </row>
    <row r="34" spans="2:15" s="97" customFormat="1" ht="21" customHeight="1" x14ac:dyDescent="0.25">
      <c r="B34" s="241" t="s">
        <v>550</v>
      </c>
      <c r="C34" s="243"/>
      <c r="D34" s="243">
        <f t="shared" ref="D34:I34" si="22">D24/D25</f>
        <v>0.23939393939394216</v>
      </c>
      <c r="E34" s="243">
        <f t="shared" si="22"/>
        <v>3.3548923879569279</v>
      </c>
      <c r="F34" s="243">
        <f t="shared" si="22"/>
        <v>6.0300796097651395</v>
      </c>
      <c r="G34" s="243">
        <f t="shared" si="22"/>
        <v>5.5774440096140037</v>
      </c>
      <c r="H34" s="243">
        <f t="shared" si="22"/>
        <v>7.185034482302906</v>
      </c>
      <c r="I34" s="243">
        <f t="shared" si="22"/>
        <v>8.9763826455076661</v>
      </c>
      <c r="J34" s="243">
        <f t="shared" ref="J34:K34" si="23">J24/J25</f>
        <v>10.952812725532619</v>
      </c>
      <c r="K34" s="243">
        <f t="shared" si="23"/>
        <v>11.073155952539425</v>
      </c>
      <c r="L34" s="243">
        <f t="shared" ref="L34:M34" si="24">L24/L25</f>
        <v>12.931489103969419</v>
      </c>
      <c r="M34" s="243">
        <f t="shared" si="24"/>
        <v>12.964093447105393</v>
      </c>
      <c r="N34" s="243">
        <f t="shared" ref="N34:O34" si="25">N24/N25</f>
        <v>27.83884440196913</v>
      </c>
      <c r="O34" s="243">
        <f t="shared" si="25"/>
        <v>266.69390601588162</v>
      </c>
    </row>
    <row r="35" spans="2:15" s="97" customFormat="1" ht="21" customHeight="1" x14ac:dyDescent="0.25">
      <c r="B35" s="241" t="s">
        <v>718</v>
      </c>
      <c r="C35" s="243">
        <f>C16/C17</f>
        <v>0</v>
      </c>
      <c r="D35" s="243">
        <f t="shared" ref="D35:N35" si="26">D16/D17</f>
        <v>4.4000000000000004</v>
      </c>
      <c r="E35" s="243">
        <f t="shared" si="26"/>
        <v>2.7552498175818774</v>
      </c>
      <c r="F35" s="243">
        <f t="shared" si="26"/>
        <v>1.8051133129496701</v>
      </c>
      <c r="G35" s="243">
        <f t="shared" si="26"/>
        <v>1.2659996373951403</v>
      </c>
      <c r="H35" s="243">
        <f t="shared" si="26"/>
        <v>0.87826994903621625</v>
      </c>
      <c r="I35" s="243">
        <f t="shared" si="26"/>
        <v>0.6171980895394682</v>
      </c>
      <c r="J35" s="243">
        <f t="shared" si="26"/>
        <v>0.43404140353298487</v>
      </c>
      <c r="K35" s="243">
        <f t="shared" si="26"/>
        <v>0.30136486274202778</v>
      </c>
      <c r="L35" s="243">
        <f t="shared" si="26"/>
        <v>0.19233344692287629</v>
      </c>
      <c r="M35" s="243">
        <f t="shared" si="26"/>
        <v>0.11049326943139352</v>
      </c>
      <c r="N35" s="243">
        <f t="shared" si="26"/>
        <v>4.0428089905222252E-2</v>
      </c>
      <c r="O35" s="243">
        <f t="shared" ref="O35" si="27">O16/O17</f>
        <v>1.1228694028707369E-2</v>
      </c>
    </row>
    <row r="36" spans="2:15" s="97" customFormat="1" ht="21" customHeight="1" x14ac:dyDescent="0.25">
      <c r="B36" s="241" t="s">
        <v>580</v>
      </c>
      <c r="C36" s="243">
        <f>C21/C22</f>
        <v>0</v>
      </c>
      <c r="D36" s="243">
        <f>D21/D22</f>
        <v>4.4000000000000004</v>
      </c>
      <c r="E36" s="243">
        <f t="shared" ref="E36:O36" si="28">E21/E22</f>
        <v>4.2679999999999998</v>
      </c>
      <c r="F36" s="243">
        <f t="shared" si="28"/>
        <v>4.0039999999999996</v>
      </c>
      <c r="G36" s="243">
        <f t="shared" si="28"/>
        <v>3.74</v>
      </c>
      <c r="H36" s="243">
        <f t="shared" si="28"/>
        <v>3.3</v>
      </c>
      <c r="I36" s="243">
        <f t="shared" si="28"/>
        <v>2.86</v>
      </c>
      <c r="J36" s="243">
        <f t="shared" si="28"/>
        <v>2.42</v>
      </c>
      <c r="K36" s="243">
        <f t="shared" si="28"/>
        <v>1.98</v>
      </c>
      <c r="L36" s="243">
        <f t="shared" si="28"/>
        <v>1.452</v>
      </c>
      <c r="M36" s="243">
        <f t="shared" si="28"/>
        <v>0.92400000000000004</v>
      </c>
      <c r="N36" s="243">
        <f t="shared" si="28"/>
        <v>0.30800000000000005</v>
      </c>
      <c r="O36" s="243">
        <f t="shared" si="28"/>
        <v>0</v>
      </c>
    </row>
    <row r="37" spans="2:15" s="97" customFormat="1" ht="21" customHeight="1" x14ac:dyDescent="0.25">
      <c r="B37" s="145" t="s">
        <v>528</v>
      </c>
      <c r="C37" s="245"/>
      <c r="D37" s="245"/>
      <c r="E37" s="245"/>
      <c r="F37" s="245"/>
      <c r="G37" s="245"/>
      <c r="H37" s="245"/>
      <c r="I37" s="245"/>
      <c r="J37" s="73"/>
      <c r="K37" s="73"/>
      <c r="L37" s="73"/>
      <c r="M37" s="73"/>
      <c r="N37" s="73"/>
      <c r="O37" s="73"/>
    </row>
    <row r="38" spans="2:15" s="97" customFormat="1" ht="20.25" customHeight="1" x14ac:dyDescent="0.25">
      <c r="B38" s="51" t="s">
        <v>29</v>
      </c>
      <c r="C38" s="107"/>
      <c r="D38" s="107">
        <f>'P &amp; L'!D10</f>
        <v>0</v>
      </c>
      <c r="E38" s="107">
        <f>'P &amp; L'!E10</f>
        <v>1606.5</v>
      </c>
      <c r="F38" s="107">
        <f>'P &amp; L'!F10</f>
        <v>1686.825</v>
      </c>
      <c r="G38" s="107">
        <f>'P &amp; L'!G10</f>
        <v>1771.1662500000002</v>
      </c>
      <c r="H38" s="107">
        <f>'P &amp; L'!H10</f>
        <v>1859.7245625</v>
      </c>
      <c r="I38" s="107">
        <f>'P &amp; L'!I10</f>
        <v>1952.7107906250003</v>
      </c>
      <c r="J38" s="107">
        <f>'P &amp; L'!J10</f>
        <v>2050.3463301562506</v>
      </c>
      <c r="K38" s="107">
        <f>'P &amp; L'!K10</f>
        <v>2152.8636466640633</v>
      </c>
      <c r="L38" s="107">
        <f>'P &amp; L'!L10</f>
        <v>2260.5068289972664</v>
      </c>
      <c r="M38" s="107">
        <f>'P &amp; L'!M10</f>
        <v>2373.5321704471298</v>
      </c>
      <c r="N38" s="107">
        <f>'P &amp; L'!N10</f>
        <v>2492.208778969486</v>
      </c>
      <c r="O38" s="107">
        <f>'P &amp; L'!O10</f>
        <v>2616.8192179179605</v>
      </c>
    </row>
    <row r="39" spans="2:15" s="97" customFormat="1" ht="20.25" customHeight="1" x14ac:dyDescent="0.25">
      <c r="B39" s="51" t="s">
        <v>30</v>
      </c>
      <c r="C39" s="107"/>
      <c r="D39" s="107">
        <f>'P &amp; L'!D15</f>
        <v>0</v>
      </c>
      <c r="E39" s="107">
        <f>'P &amp; L'!E15</f>
        <v>461.34000000000003</v>
      </c>
      <c r="F39" s="107">
        <f>'P &amp; L'!F15</f>
        <v>484.40699999999998</v>
      </c>
      <c r="G39" s="107">
        <f>'P &amp; L'!G15</f>
        <v>508.62734999999998</v>
      </c>
      <c r="H39" s="107">
        <f>'P &amp; L'!H15</f>
        <v>534.05871750000006</v>
      </c>
      <c r="I39" s="107">
        <f>'P &amp; L'!I15</f>
        <v>560.76165337500015</v>
      </c>
      <c r="J39" s="107">
        <f>'P &amp; L'!J15</f>
        <v>588.79973604375016</v>
      </c>
      <c r="K39" s="107">
        <f>'P &amp; L'!K15</f>
        <v>618.23972284593776</v>
      </c>
      <c r="L39" s="107">
        <f>'P &amp; L'!L15</f>
        <v>649.15170898823465</v>
      </c>
      <c r="M39" s="107">
        <f>'P &amp; L'!M15</f>
        <v>681.60929443764633</v>
      </c>
      <c r="N39" s="107">
        <f>'P &amp; L'!N15</f>
        <v>715.68975915952865</v>
      </c>
      <c r="O39" s="107">
        <f>'P &amp; L'!O15</f>
        <v>751.47424711750523</v>
      </c>
    </row>
    <row r="40" spans="2:15" s="97" customFormat="1" ht="20.25" customHeight="1" x14ac:dyDescent="0.25">
      <c r="B40" s="51" t="s">
        <v>31</v>
      </c>
      <c r="C40" s="107"/>
      <c r="D40" s="107">
        <f t="shared" ref="D40:I40" si="29">D38-D39</f>
        <v>0</v>
      </c>
      <c r="E40" s="107">
        <f t="shared" si="29"/>
        <v>1145.1599999999999</v>
      </c>
      <c r="F40" s="107">
        <f t="shared" si="29"/>
        <v>1202.4180000000001</v>
      </c>
      <c r="G40" s="107">
        <f t="shared" si="29"/>
        <v>1262.5389000000002</v>
      </c>
      <c r="H40" s="107">
        <f t="shared" si="29"/>
        <v>1325.665845</v>
      </c>
      <c r="I40" s="107">
        <f t="shared" si="29"/>
        <v>1391.9491372500001</v>
      </c>
      <c r="J40" s="107">
        <f t="shared" ref="J40:K40" si="30">J38-J39</f>
        <v>1461.5465941125003</v>
      </c>
      <c r="K40" s="107">
        <f t="shared" si="30"/>
        <v>1534.6239238181256</v>
      </c>
      <c r="L40" s="107">
        <f t="shared" ref="L40:M40" si="31">L38-L39</f>
        <v>1611.3551200090319</v>
      </c>
      <c r="M40" s="107">
        <f t="shared" si="31"/>
        <v>1691.9228760094834</v>
      </c>
      <c r="N40" s="107">
        <f t="shared" ref="N40:O40" si="32">N38-N39</f>
        <v>1776.5190198099574</v>
      </c>
      <c r="O40" s="107">
        <f t="shared" si="32"/>
        <v>1865.3449708004553</v>
      </c>
    </row>
    <row r="41" spans="2:15" s="97" customFormat="1" ht="20.25" customHeight="1" x14ac:dyDescent="0.25">
      <c r="B41" s="51" t="s">
        <v>32</v>
      </c>
      <c r="C41" s="107"/>
      <c r="D41" s="107">
        <f>'P &amp; L'!D21</f>
        <v>0</v>
      </c>
      <c r="E41" s="107">
        <f>'P &amp; L'!E21</f>
        <v>245.1722</v>
      </c>
      <c r="F41" s="107">
        <f>'P &amp; L'!F21</f>
        <v>257.24781000000002</v>
      </c>
      <c r="G41" s="107">
        <f>'P &amp; L'!G21</f>
        <v>269.92720050000003</v>
      </c>
      <c r="H41" s="107">
        <f>'P &amp; L'!H21</f>
        <v>283.24056052500009</v>
      </c>
      <c r="I41" s="107">
        <f>'P &amp; L'!I21</f>
        <v>297.26958855125014</v>
      </c>
      <c r="J41" s="107">
        <f>'P &amp; L'!J21</f>
        <v>308.7875679788126</v>
      </c>
      <c r="K41" s="107">
        <f>'P &amp; L'!K21</f>
        <v>324.19944637775325</v>
      </c>
      <c r="L41" s="107">
        <f>'P &amp; L'!L21</f>
        <v>340.38191869664092</v>
      </c>
      <c r="M41" s="107">
        <f>'P &amp; L'!M21</f>
        <v>357.37351463147297</v>
      </c>
      <c r="N41" s="107">
        <f>'P &amp; L'!N21</f>
        <v>375.26969036304666</v>
      </c>
      <c r="O41" s="107">
        <f>'P &amp; L'!O21</f>
        <v>394.06342488119896</v>
      </c>
    </row>
    <row r="42" spans="2:15" s="97" customFormat="1" ht="20.25" customHeight="1" x14ac:dyDescent="0.25">
      <c r="B42" s="51" t="s">
        <v>33</v>
      </c>
      <c r="C42" s="107"/>
      <c r="D42" s="107">
        <f>'P &amp; L'!D24</f>
        <v>0</v>
      </c>
      <c r="E42" s="107">
        <f>'P &amp; L'!E24</f>
        <v>207.4325</v>
      </c>
      <c r="F42" s="107">
        <f>'P &amp; L'!F24</f>
        <v>196.45999999999998</v>
      </c>
      <c r="G42" s="107">
        <f>'P &amp; L'!G24</f>
        <v>183.92</v>
      </c>
      <c r="H42" s="107">
        <f>'P &amp; L'!H24</f>
        <v>167.2</v>
      </c>
      <c r="I42" s="107">
        <f>'P &amp; L'!I24</f>
        <v>146.29999999999998</v>
      </c>
      <c r="J42" s="107">
        <f>'P &amp; L'!J24</f>
        <v>125.4</v>
      </c>
      <c r="K42" s="107">
        <f>'P &amp; L'!K24</f>
        <v>104.5</v>
      </c>
      <c r="L42" s="107">
        <f>'P &amp; L'!L24</f>
        <v>81.510000000000005</v>
      </c>
      <c r="M42" s="107">
        <f>'P &amp; L'!M24</f>
        <v>56.43</v>
      </c>
      <c r="N42" s="107">
        <f>'P &amp; L'!N24</f>
        <v>29.259999999999998</v>
      </c>
      <c r="O42" s="107">
        <f>'P &amp; L'!O24</f>
        <v>3.6574999999999998</v>
      </c>
    </row>
    <row r="43" spans="2:15" s="97" customFormat="1" ht="20.25" customHeight="1" x14ac:dyDescent="0.25">
      <c r="B43" s="51" t="s">
        <v>34</v>
      </c>
      <c r="C43" s="107"/>
      <c r="D43" s="107">
        <f>'P &amp; L'!D26</f>
        <v>0</v>
      </c>
      <c r="E43" s="107">
        <f>'P &amp; L'!E26</f>
        <v>176.40210077973688</v>
      </c>
      <c r="F43" s="107">
        <f>'P &amp; L'!F26</f>
        <v>176.40210077973688</v>
      </c>
      <c r="G43" s="107">
        <f>'P &amp; L'!G26</f>
        <v>176.40210077973688</v>
      </c>
      <c r="H43" s="107">
        <f>'P &amp; L'!H26</f>
        <v>176.40210077973688</v>
      </c>
      <c r="I43" s="107">
        <f>'P &amp; L'!I26</f>
        <v>176.40210077973688</v>
      </c>
      <c r="J43" s="107">
        <f>'P &amp; L'!J26</f>
        <v>176.40210077973688</v>
      </c>
      <c r="K43" s="107">
        <f>'P &amp; L'!K26</f>
        <v>176.40210077973688</v>
      </c>
      <c r="L43" s="107">
        <f>'P &amp; L'!L26</f>
        <v>176.40210077973688</v>
      </c>
      <c r="M43" s="107">
        <f>'P &amp; L'!M26</f>
        <v>176.40210077973688</v>
      </c>
      <c r="N43" s="107">
        <f>'P &amp; L'!N26</f>
        <v>176.40210077973688</v>
      </c>
      <c r="O43" s="107">
        <f>'P &amp; L'!O26</f>
        <v>176.40210077973688</v>
      </c>
    </row>
    <row r="44" spans="2:15" s="97" customFormat="1" ht="20.25" customHeight="1" x14ac:dyDescent="0.25">
      <c r="B44" s="51" t="s">
        <v>35</v>
      </c>
      <c r="C44" s="44"/>
      <c r="D44" s="107">
        <f t="shared" ref="D44:I44" si="33">D41+D42+D43</f>
        <v>0</v>
      </c>
      <c r="E44" s="107">
        <f t="shared" si="33"/>
        <v>629.00680077973686</v>
      </c>
      <c r="F44" s="107">
        <f t="shared" si="33"/>
        <v>630.10991077973688</v>
      </c>
      <c r="G44" s="107">
        <f t="shared" si="33"/>
        <v>630.24930127973687</v>
      </c>
      <c r="H44" s="107">
        <f t="shared" si="33"/>
        <v>626.84266130473702</v>
      </c>
      <c r="I44" s="107">
        <f t="shared" si="33"/>
        <v>619.97168933098703</v>
      </c>
      <c r="J44" s="107">
        <f t="shared" ref="J44:K44" si="34">J41+J42+J43</f>
        <v>610.58966875854946</v>
      </c>
      <c r="K44" s="107">
        <f t="shared" si="34"/>
        <v>605.10154715749013</v>
      </c>
      <c r="L44" s="107">
        <f t="shared" ref="L44:M44" si="35">L41+L42+L43</f>
        <v>598.2940194763778</v>
      </c>
      <c r="M44" s="107">
        <f t="shared" si="35"/>
        <v>590.20561541120992</v>
      </c>
      <c r="N44" s="107">
        <f t="shared" ref="N44:O44" si="36">N41+N42+N43</f>
        <v>580.9317911427836</v>
      </c>
      <c r="O44" s="107">
        <f t="shared" si="36"/>
        <v>574.12302566093581</v>
      </c>
    </row>
    <row r="45" spans="2:15" ht="20.25" hidden="1" customHeight="1" x14ac:dyDescent="0.25">
      <c r="B45" s="51" t="s">
        <v>36</v>
      </c>
    </row>
    <row r="46" spans="2:15" ht="20.25" hidden="1" customHeight="1" x14ac:dyDescent="0.25">
      <c r="B46" s="51" t="s">
        <v>37</v>
      </c>
    </row>
    <row r="47" spans="2:15" ht="20.25" hidden="1" customHeight="1" x14ac:dyDescent="0.25">
      <c r="B47" s="51" t="s">
        <v>38</v>
      </c>
    </row>
    <row r="48" spans="2:15" ht="20.25" hidden="1" customHeight="1" x14ac:dyDescent="0.25">
      <c r="B48" s="51" t="s">
        <v>39</v>
      </c>
    </row>
    <row r="49" spans="2:15" ht="20.25" hidden="1" customHeight="1" x14ac:dyDescent="0.25">
      <c r="B49" s="51" t="s">
        <v>40</v>
      </c>
    </row>
    <row r="50" spans="2:15" ht="20.25" hidden="1" customHeight="1" x14ac:dyDescent="0.25">
      <c r="B50" s="51" t="s">
        <v>41</v>
      </c>
      <c r="C50" s="107">
        <f t="shared" ref="C50" si="37">C39-C43</f>
        <v>0</v>
      </c>
    </row>
    <row r="51" spans="2:15" ht="20.25" customHeight="1" x14ac:dyDescent="0.25">
      <c r="B51" s="169" t="s">
        <v>529</v>
      </c>
      <c r="C51" s="238"/>
      <c r="D51" s="107">
        <f t="shared" ref="D51:I51" si="38">D40-D44</f>
        <v>0</v>
      </c>
      <c r="E51" s="107">
        <f t="shared" si="38"/>
        <v>516.15319922026299</v>
      </c>
      <c r="F51" s="107">
        <f t="shared" si="38"/>
        <v>572.30808922026324</v>
      </c>
      <c r="G51" s="107">
        <f t="shared" si="38"/>
        <v>632.28959872026337</v>
      </c>
      <c r="H51" s="107">
        <f t="shared" si="38"/>
        <v>698.82318369526297</v>
      </c>
      <c r="I51" s="107">
        <f t="shared" si="38"/>
        <v>771.97744791901312</v>
      </c>
      <c r="J51" s="107">
        <f t="shared" ref="J51:K51" si="39">J40-J44</f>
        <v>850.95692535395085</v>
      </c>
      <c r="K51" s="107">
        <f t="shared" si="39"/>
        <v>929.52237666063547</v>
      </c>
      <c r="L51" s="107">
        <f t="shared" ref="L51:M51" si="40">L40-L44</f>
        <v>1013.0611005326541</v>
      </c>
      <c r="M51" s="107">
        <f t="shared" si="40"/>
        <v>1101.7172605982735</v>
      </c>
      <c r="N51" s="107">
        <f t="shared" ref="N51:O51" si="41">N40-N44</f>
        <v>1195.5872286671738</v>
      </c>
      <c r="O51" s="107">
        <f t="shared" si="41"/>
        <v>1291.2219451395194</v>
      </c>
    </row>
    <row r="52" spans="2:15" ht="20.25" customHeight="1" x14ac:dyDescent="0.25">
      <c r="B52" s="169" t="s">
        <v>530</v>
      </c>
      <c r="C52" s="107"/>
      <c r="D52" s="238" t="e">
        <f t="shared" ref="D52:I52" si="42">D40/D38</f>
        <v>#DIV/0!</v>
      </c>
      <c r="E52" s="238">
        <f t="shared" si="42"/>
        <v>0.71282913165266093</v>
      </c>
      <c r="F52" s="238">
        <f t="shared" si="42"/>
        <v>0.71282913165266115</v>
      </c>
      <c r="G52" s="238">
        <f t="shared" si="42"/>
        <v>0.71282913165266115</v>
      </c>
      <c r="H52" s="238">
        <f t="shared" si="42"/>
        <v>0.71282913165266104</v>
      </c>
      <c r="I52" s="238">
        <f t="shared" si="42"/>
        <v>0.71282913165266104</v>
      </c>
      <c r="J52" s="238">
        <f t="shared" ref="J52:K52" si="43">J40/J38</f>
        <v>0.71282913165266104</v>
      </c>
      <c r="K52" s="238">
        <f t="shared" si="43"/>
        <v>0.71282913165266104</v>
      </c>
      <c r="L52" s="238">
        <f t="shared" ref="L52:M52" si="44">L40/L38</f>
        <v>0.71282913165266115</v>
      </c>
      <c r="M52" s="238">
        <f t="shared" si="44"/>
        <v>0.71282913165266104</v>
      </c>
      <c r="N52" s="238">
        <f t="shared" ref="N52:O52" si="45">N40/N38</f>
        <v>0.71282913165266104</v>
      </c>
      <c r="O52" s="238">
        <f t="shared" si="45"/>
        <v>0.71282913165266104</v>
      </c>
    </row>
    <row r="53" spans="2:15" ht="20.25" customHeight="1" x14ac:dyDescent="0.25">
      <c r="B53" s="246" t="s">
        <v>531</v>
      </c>
      <c r="C53" s="247"/>
      <c r="D53" s="248" t="e">
        <f t="shared" ref="D53:I53" si="46">(D41/D40)*D38</f>
        <v>#DIV/0!</v>
      </c>
      <c r="E53" s="248">
        <f t="shared" si="46"/>
        <v>343.94245284501733</v>
      </c>
      <c r="F53" s="248">
        <f t="shared" si="46"/>
        <v>360.88285197265014</v>
      </c>
      <c r="G53" s="248">
        <f t="shared" si="46"/>
        <v>378.67027105666455</v>
      </c>
      <c r="H53" s="248">
        <f t="shared" si="46"/>
        <v>397.3470610948799</v>
      </c>
      <c r="I53" s="248">
        <f t="shared" si="46"/>
        <v>417.02783367178677</v>
      </c>
      <c r="J53" s="248">
        <f t="shared" ref="J53:K53" si="47">(J41/J40)*J38</f>
        <v>433.18595476436701</v>
      </c>
      <c r="K53" s="248">
        <f t="shared" si="47"/>
        <v>454.80667383235578</v>
      </c>
      <c r="L53" s="248">
        <f t="shared" ref="L53:M53" si="48">(L41/L40)*L38</f>
        <v>477.50842885374414</v>
      </c>
      <c r="M53" s="248">
        <f t="shared" si="48"/>
        <v>501.34527162620191</v>
      </c>
      <c r="N53" s="248">
        <f t="shared" ref="N53:O53" si="49">(N41/N40)*N38</f>
        <v>526.45111387774148</v>
      </c>
      <c r="O53" s="248">
        <f t="shared" si="49"/>
        <v>552.81610610888094</v>
      </c>
    </row>
    <row r="54" spans="2:15" ht="20.25" customHeight="1" x14ac:dyDescent="0.25">
      <c r="B54" s="249" t="s">
        <v>532</v>
      </c>
      <c r="C54" s="250"/>
      <c r="D54" s="251" t="e">
        <f t="shared" ref="D54:I54" si="50">D53/D38</f>
        <v>#DIV/0!</v>
      </c>
      <c r="E54" s="251">
        <f t="shared" si="50"/>
        <v>0.21409427503580289</v>
      </c>
      <c r="F54" s="251">
        <f t="shared" si="50"/>
        <v>0.21394208170536372</v>
      </c>
      <c r="G54" s="251">
        <f t="shared" si="50"/>
        <v>0.21379713567637398</v>
      </c>
      <c r="H54" s="251">
        <f t="shared" si="50"/>
        <v>0.21365909183924106</v>
      </c>
      <c r="I54" s="251">
        <f t="shared" si="50"/>
        <v>0.21356354237091582</v>
      </c>
      <c r="J54" s="251">
        <f t="shared" ref="J54:K54" si="51">J53/J38</f>
        <v>0.21127452879209691</v>
      </c>
      <c r="K54" s="251">
        <f t="shared" si="51"/>
        <v>0.21125660909231037</v>
      </c>
      <c r="L54" s="251">
        <f t="shared" ref="L54:M54" si="52">L53/L38</f>
        <v>0.21123954271156134</v>
      </c>
      <c r="M54" s="251">
        <f t="shared" si="52"/>
        <v>0.21122328901560988</v>
      </c>
      <c r="N54" s="251">
        <f t="shared" ref="N54:O54" si="53">N53/N38</f>
        <v>0.21123876872603986</v>
      </c>
      <c r="O54" s="251">
        <f t="shared" si="53"/>
        <v>0.2112549855655379</v>
      </c>
    </row>
  </sheetData>
  <customSheetViews>
    <customSheetView guid="{22475485-DA09-46DB-978D-BB94CE1E5597}" hiddenRows="1" topLeftCell="A8">
      <selection activeCell="A20" sqref="A20"/>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749992370372631"/>
  </sheetPr>
  <dimension ref="B2:O43"/>
  <sheetViews>
    <sheetView showGridLines="0" workbookViewId="0">
      <pane xSplit="2" ySplit="5" topLeftCell="C30" activePane="bottomRight" state="frozen"/>
      <selection activeCell="B8" sqref="B8"/>
      <selection pane="topRight" activeCell="B8" sqref="B8"/>
      <selection pane="bottomLeft" activeCell="B8" sqref="B8"/>
      <selection pane="bottomRight" activeCell="D15" sqref="D15"/>
    </sheetView>
  </sheetViews>
  <sheetFormatPr defaultColWidth="9.140625" defaultRowHeight="15" x14ac:dyDescent="0.25"/>
  <cols>
    <col min="1" max="1" width="5.42578125" style="97" customWidth="1"/>
    <col min="2" max="2" width="36.5703125" style="51" customWidth="1"/>
    <col min="3" max="15" width="10.5703125" style="44" customWidth="1"/>
    <col min="16" max="16384" width="9.140625" style="97"/>
  </cols>
  <sheetData>
    <row r="2" spans="2:15" x14ac:dyDescent="0.25">
      <c r="B2" s="167" t="s">
        <v>533</v>
      </c>
      <c r="C2" s="150"/>
      <c r="D2" s="150"/>
      <c r="E2" s="150"/>
      <c r="F2" s="150"/>
      <c r="G2" s="150"/>
      <c r="H2" s="150"/>
      <c r="I2" s="150"/>
      <c r="J2" s="150"/>
      <c r="K2" s="150"/>
      <c r="L2" s="150"/>
      <c r="M2" s="150"/>
      <c r="N2" s="150"/>
      <c r="O2" s="150" t="s">
        <v>766</v>
      </c>
    </row>
    <row r="3" spans="2:15" x14ac:dyDescent="0.25">
      <c r="B3" s="114"/>
    </row>
    <row r="4" spans="2:15" x14ac:dyDescent="0.25">
      <c r="B4" s="196" t="s">
        <v>402</v>
      </c>
      <c r="C4" s="126"/>
      <c r="D4" s="126">
        <v>0</v>
      </c>
      <c r="E4" s="126">
        <v>12</v>
      </c>
      <c r="F4" s="126">
        <v>12</v>
      </c>
      <c r="G4" s="126">
        <v>12</v>
      </c>
      <c r="H4" s="126">
        <v>12</v>
      </c>
      <c r="I4" s="126">
        <v>12</v>
      </c>
      <c r="J4" s="126">
        <v>12</v>
      </c>
      <c r="K4" s="126">
        <v>12</v>
      </c>
      <c r="L4" s="126">
        <v>12</v>
      </c>
      <c r="M4" s="126">
        <v>12</v>
      </c>
      <c r="N4" s="126">
        <v>12</v>
      </c>
      <c r="O4" s="126">
        <v>12</v>
      </c>
    </row>
    <row r="5" spans="2:15" x14ac:dyDescent="0.25">
      <c r="B5" s="134" t="s">
        <v>778</v>
      </c>
      <c r="C5" s="94">
        <v>2024</v>
      </c>
      <c r="D5" s="94">
        <f>C5+1</f>
        <v>2025</v>
      </c>
      <c r="E5" s="94">
        <f t="shared" ref="E5:O5" si="0">D5+1</f>
        <v>2026</v>
      </c>
      <c r="F5" s="94">
        <f t="shared" si="0"/>
        <v>2027</v>
      </c>
      <c r="G5" s="94">
        <f t="shared" si="0"/>
        <v>2028</v>
      </c>
      <c r="H5" s="94">
        <f t="shared" si="0"/>
        <v>2029</v>
      </c>
      <c r="I5" s="94">
        <f t="shared" si="0"/>
        <v>2030</v>
      </c>
      <c r="J5" s="94">
        <f t="shared" si="0"/>
        <v>2031</v>
      </c>
      <c r="K5" s="94">
        <f t="shared" si="0"/>
        <v>2032</v>
      </c>
      <c r="L5" s="94">
        <f t="shared" si="0"/>
        <v>2033</v>
      </c>
      <c r="M5" s="94">
        <f t="shared" si="0"/>
        <v>2034</v>
      </c>
      <c r="N5" s="94">
        <f t="shared" si="0"/>
        <v>2035</v>
      </c>
      <c r="O5" s="94">
        <f t="shared" si="0"/>
        <v>2036</v>
      </c>
    </row>
    <row r="6" spans="2:15" ht="16.5" customHeight="1" x14ac:dyDescent="0.25">
      <c r="B6" s="51" t="s">
        <v>538</v>
      </c>
      <c r="C6" s="48"/>
      <c r="D6" s="48">
        <f>'P &amp; L'!D10</f>
        <v>0</v>
      </c>
      <c r="E6" s="48">
        <f>'P &amp; L'!E10</f>
        <v>1606.5</v>
      </c>
      <c r="F6" s="48">
        <f>'P &amp; L'!F10</f>
        <v>1686.825</v>
      </c>
      <c r="G6" s="48">
        <f>'P &amp; L'!G10</f>
        <v>1771.1662500000002</v>
      </c>
      <c r="H6" s="48">
        <f>'P &amp; L'!H10</f>
        <v>1859.7245625</v>
      </c>
      <c r="I6" s="48">
        <f>'P &amp; L'!I10</f>
        <v>1952.7107906250003</v>
      </c>
      <c r="J6" s="48">
        <f>'P &amp; L'!J10</f>
        <v>2050.3463301562506</v>
      </c>
      <c r="K6" s="48">
        <f>'P &amp; L'!K10</f>
        <v>2152.8636466640633</v>
      </c>
      <c r="L6" s="48">
        <f>'P &amp; L'!L10</f>
        <v>2260.5068289972664</v>
      </c>
      <c r="M6" s="48">
        <f>'P &amp; L'!M10</f>
        <v>2373.5321704471298</v>
      </c>
      <c r="N6" s="48">
        <f>'P &amp; L'!N10</f>
        <v>2492.208778969486</v>
      </c>
      <c r="O6" s="48">
        <f>'P &amp; L'!O10</f>
        <v>2616.8192179179605</v>
      </c>
    </row>
    <row r="7" spans="2:15" ht="16.5" customHeight="1" x14ac:dyDescent="0.25">
      <c r="B7" s="51" t="s">
        <v>539</v>
      </c>
      <c r="C7" s="48"/>
      <c r="D7" s="48">
        <f>'P &amp; L'!D12</f>
        <v>0</v>
      </c>
      <c r="E7" s="48">
        <f>'P &amp; L'!E12</f>
        <v>276.5</v>
      </c>
      <c r="F7" s="48">
        <f>'P &amp; L'!F12</f>
        <v>290.32499999999999</v>
      </c>
      <c r="G7" s="48">
        <f>'P &amp; L'!G12</f>
        <v>304.84125</v>
      </c>
      <c r="H7" s="48">
        <f>'P &amp; L'!H12</f>
        <v>320.08331250000003</v>
      </c>
      <c r="I7" s="48">
        <f>'P &amp; L'!I12</f>
        <v>336.08747812500008</v>
      </c>
      <c r="J7" s="48">
        <f>'P &amp; L'!J12</f>
        <v>352.8918520312501</v>
      </c>
      <c r="K7" s="48">
        <f>'P &amp; L'!K12</f>
        <v>370.53644463281262</v>
      </c>
      <c r="L7" s="48">
        <f>'P &amp; L'!L12</f>
        <v>389.06326686445323</v>
      </c>
      <c r="M7" s="48">
        <f>'P &amp; L'!M12</f>
        <v>408.51643020767591</v>
      </c>
      <c r="N7" s="48">
        <f>'P &amp; L'!N12</f>
        <v>428.94225171805971</v>
      </c>
      <c r="O7" s="48">
        <f>'P &amp; L'!O12</f>
        <v>450.38936430396274</v>
      </c>
    </row>
    <row r="8" spans="2:15" ht="16.5" customHeight="1" x14ac:dyDescent="0.25">
      <c r="B8" s="51" t="s">
        <v>693</v>
      </c>
      <c r="C8" s="107"/>
      <c r="D8" s="107">
        <f>'P &amp; L'!D13</f>
        <v>0</v>
      </c>
      <c r="E8" s="107">
        <f>'P &amp; L'!E13</f>
        <v>170.24</v>
      </c>
      <c r="F8" s="107">
        <f>'P &amp; L'!F13</f>
        <v>178.75200000000001</v>
      </c>
      <c r="G8" s="107">
        <f>'P &amp; L'!G13</f>
        <v>187.68960000000001</v>
      </c>
      <c r="H8" s="107">
        <f>'P &amp; L'!H13</f>
        <v>197.07408000000004</v>
      </c>
      <c r="I8" s="107">
        <f>'P &amp; L'!I13</f>
        <v>206.92778400000006</v>
      </c>
      <c r="J8" s="107">
        <f>'P &amp; L'!J13</f>
        <v>217.27417320000006</v>
      </c>
      <c r="K8" s="107">
        <f>'P &amp; L'!K13</f>
        <v>228.13788186000008</v>
      </c>
      <c r="L8" s="107">
        <f>'P &amp; L'!L13</f>
        <v>239.54477595300008</v>
      </c>
      <c r="M8" s="107">
        <f>'P &amp; L'!M13</f>
        <v>251.5220147506501</v>
      </c>
      <c r="N8" s="107">
        <f>'P &amp; L'!N13</f>
        <v>264.0981154881826</v>
      </c>
      <c r="O8" s="107">
        <f>'P &amp; L'!O13</f>
        <v>277.30302126259176</v>
      </c>
    </row>
    <row r="9" spans="2:15" ht="16.5" customHeight="1" x14ac:dyDescent="0.25">
      <c r="B9" s="51" t="s">
        <v>540</v>
      </c>
      <c r="C9" s="107"/>
      <c r="D9" s="107">
        <f>'P &amp; L'!D17</f>
        <v>0</v>
      </c>
      <c r="E9" s="107">
        <f>'P &amp; L'!E17</f>
        <v>206.51220000000001</v>
      </c>
      <c r="F9" s="107">
        <f>'P &amp; L'!F17</f>
        <v>216.83781000000002</v>
      </c>
      <c r="G9" s="107">
        <f>'P &amp; L'!G17</f>
        <v>227.67970050000002</v>
      </c>
      <c r="H9" s="107">
        <f>'P &amp; L'!H17</f>
        <v>239.06368552500004</v>
      </c>
      <c r="I9" s="107">
        <f>'P &amp; L'!I17</f>
        <v>251.01686980125007</v>
      </c>
      <c r="J9" s="107">
        <f>'P &amp; L'!J17</f>
        <v>263.5677132913126</v>
      </c>
      <c r="K9" s="107">
        <f>'P &amp; L'!K17</f>
        <v>276.74609895587821</v>
      </c>
      <c r="L9" s="107">
        <f>'P &amp; L'!L17</f>
        <v>290.58340390367215</v>
      </c>
      <c r="M9" s="107">
        <f>'P &amp; L'!M17</f>
        <v>305.11257409885576</v>
      </c>
      <c r="N9" s="107">
        <f>'P &amp; L'!N17</f>
        <v>320.36820280379857</v>
      </c>
      <c r="O9" s="107">
        <f>'P &amp; L'!O17</f>
        <v>336.3866129439885</v>
      </c>
    </row>
    <row r="10" spans="2:15" ht="16.5" customHeight="1" x14ac:dyDescent="0.25">
      <c r="C10" s="107"/>
      <c r="D10" s="107"/>
      <c r="E10" s="107"/>
      <c r="F10" s="107"/>
      <c r="G10" s="107"/>
      <c r="H10" s="107"/>
      <c r="I10" s="107"/>
      <c r="J10" s="107"/>
      <c r="K10" s="107"/>
      <c r="L10" s="107"/>
      <c r="M10" s="107"/>
      <c r="N10" s="107"/>
      <c r="O10" s="107"/>
    </row>
    <row r="11" spans="2:15" ht="16.5" customHeight="1" x14ac:dyDescent="0.25">
      <c r="C11" s="107"/>
      <c r="D11" s="107"/>
      <c r="E11" s="107"/>
      <c r="F11" s="107"/>
      <c r="G11" s="107"/>
      <c r="H11" s="107"/>
      <c r="I11" s="107"/>
      <c r="J11" s="107"/>
      <c r="K11" s="107"/>
      <c r="L11" s="107"/>
      <c r="M11" s="107"/>
      <c r="N11" s="107"/>
      <c r="O11" s="107"/>
    </row>
    <row r="12" spans="2:15" ht="16.5" customHeight="1" x14ac:dyDescent="0.25">
      <c r="B12" s="51" t="s">
        <v>450</v>
      </c>
      <c r="D12" s="239">
        <f>C14</f>
        <v>0</v>
      </c>
      <c r="E12" s="239">
        <f t="shared" ref="E12:O12" si="1">D14</f>
        <v>0</v>
      </c>
      <c r="F12" s="239">
        <f t="shared" si="1"/>
        <v>5.53</v>
      </c>
      <c r="G12" s="239">
        <f t="shared" si="1"/>
        <v>5.8064999999999998</v>
      </c>
      <c r="H12" s="239">
        <f t="shared" si="1"/>
        <v>6.0968249999999999</v>
      </c>
      <c r="I12" s="239">
        <f t="shared" si="1"/>
        <v>6.4016662500000008</v>
      </c>
      <c r="J12" s="239">
        <f t="shared" si="1"/>
        <v>6.7217495625000021</v>
      </c>
      <c r="K12" s="239">
        <f t="shared" si="1"/>
        <v>7.0578370406250022</v>
      </c>
      <c r="L12" s="239">
        <f t="shared" si="1"/>
        <v>7.4107288926562527</v>
      </c>
      <c r="M12" s="239">
        <f t="shared" si="1"/>
        <v>7.7812653372890654</v>
      </c>
      <c r="N12" s="239">
        <f t="shared" si="1"/>
        <v>8.1703286041535179</v>
      </c>
      <c r="O12" s="239">
        <f t="shared" si="1"/>
        <v>8.5788450343611942</v>
      </c>
    </row>
    <row r="13" spans="2:15" ht="16.5" customHeight="1" x14ac:dyDescent="0.25">
      <c r="B13" s="45" t="s">
        <v>451</v>
      </c>
      <c r="C13" s="54"/>
      <c r="D13" s="54">
        <f t="shared" ref="D13:I13" si="2">D7</f>
        <v>0</v>
      </c>
      <c r="E13" s="54">
        <f t="shared" si="2"/>
        <v>276.5</v>
      </c>
      <c r="F13" s="54">
        <f t="shared" si="2"/>
        <v>290.32499999999999</v>
      </c>
      <c r="G13" s="54">
        <f t="shared" si="2"/>
        <v>304.84125</v>
      </c>
      <c r="H13" s="54">
        <f t="shared" si="2"/>
        <v>320.08331250000003</v>
      </c>
      <c r="I13" s="54">
        <f t="shared" si="2"/>
        <v>336.08747812500008</v>
      </c>
      <c r="J13" s="54">
        <f t="shared" ref="J13:K13" si="3">J7</f>
        <v>352.8918520312501</v>
      </c>
      <c r="K13" s="54">
        <f t="shared" si="3"/>
        <v>370.53644463281262</v>
      </c>
      <c r="L13" s="54">
        <f t="shared" ref="L13:M13" si="4">L7</f>
        <v>389.06326686445323</v>
      </c>
      <c r="M13" s="54">
        <f t="shared" si="4"/>
        <v>408.51643020767591</v>
      </c>
      <c r="N13" s="54">
        <f t="shared" ref="N13:O13" si="5">N7</f>
        <v>428.94225171805971</v>
      </c>
      <c r="O13" s="54">
        <f t="shared" si="5"/>
        <v>450.38936430396274</v>
      </c>
    </row>
    <row r="14" spans="2:15" ht="16.5" customHeight="1" x14ac:dyDescent="0.25">
      <c r="B14" s="51" t="s">
        <v>452</v>
      </c>
      <c r="C14" s="239"/>
      <c r="D14" s="239">
        <f>D16*D15/350</f>
        <v>0</v>
      </c>
      <c r="E14" s="239">
        <f>E16*E15/350</f>
        <v>5.53</v>
      </c>
      <c r="F14" s="239">
        <f>F16*F15/350</f>
        <v>5.8064999999999998</v>
      </c>
      <c r="G14" s="239">
        <f t="shared" ref="G14:O14" si="6">G16*G15/350</f>
        <v>6.0968249999999999</v>
      </c>
      <c r="H14" s="239">
        <f t="shared" si="6"/>
        <v>6.4016662500000008</v>
      </c>
      <c r="I14" s="239">
        <f t="shared" si="6"/>
        <v>6.7217495625000021</v>
      </c>
      <c r="J14" s="239">
        <f t="shared" si="6"/>
        <v>7.0578370406250022</v>
      </c>
      <c r="K14" s="239">
        <f t="shared" si="6"/>
        <v>7.4107288926562527</v>
      </c>
      <c r="L14" s="239">
        <f t="shared" si="6"/>
        <v>7.7812653372890654</v>
      </c>
      <c r="M14" s="239">
        <f t="shared" si="6"/>
        <v>8.1703286041535179</v>
      </c>
      <c r="N14" s="239">
        <f t="shared" si="6"/>
        <v>8.5788450343611942</v>
      </c>
      <c r="O14" s="239">
        <f t="shared" si="6"/>
        <v>9.0077872860792549</v>
      </c>
    </row>
    <row r="15" spans="2:15" ht="16.5" customHeight="1" x14ac:dyDescent="0.25">
      <c r="B15" s="51" t="s">
        <v>191</v>
      </c>
      <c r="D15" s="44">
        <v>7</v>
      </c>
      <c r="E15" s="44">
        <f>D15</f>
        <v>7</v>
      </c>
      <c r="F15" s="44">
        <f>E15</f>
        <v>7</v>
      </c>
      <c r="G15" s="44">
        <f t="shared" ref="G15:O15" si="7">F15</f>
        <v>7</v>
      </c>
      <c r="H15" s="44">
        <f t="shared" si="7"/>
        <v>7</v>
      </c>
      <c r="I15" s="44">
        <f t="shared" si="7"/>
        <v>7</v>
      </c>
      <c r="J15" s="44">
        <f t="shared" si="7"/>
        <v>7</v>
      </c>
      <c r="K15" s="44">
        <f t="shared" si="7"/>
        <v>7</v>
      </c>
      <c r="L15" s="44">
        <f t="shared" si="7"/>
        <v>7</v>
      </c>
      <c r="M15" s="44">
        <f t="shared" si="7"/>
        <v>7</v>
      </c>
      <c r="N15" s="44">
        <f t="shared" si="7"/>
        <v>7</v>
      </c>
      <c r="O15" s="44">
        <f t="shared" si="7"/>
        <v>7</v>
      </c>
    </row>
    <row r="16" spans="2:15" ht="16.5" customHeight="1" x14ac:dyDescent="0.25">
      <c r="B16" s="51" t="s">
        <v>453</v>
      </c>
      <c r="C16" s="54"/>
      <c r="D16" s="54">
        <f t="shared" ref="D16:I16" si="8">D7</f>
        <v>0</v>
      </c>
      <c r="E16" s="54">
        <f t="shared" si="8"/>
        <v>276.5</v>
      </c>
      <c r="F16" s="54">
        <f t="shared" si="8"/>
        <v>290.32499999999999</v>
      </c>
      <c r="G16" s="54">
        <f t="shared" si="8"/>
        <v>304.84125</v>
      </c>
      <c r="H16" s="54">
        <f t="shared" si="8"/>
        <v>320.08331250000003</v>
      </c>
      <c r="I16" s="54">
        <f t="shared" si="8"/>
        <v>336.08747812500008</v>
      </c>
      <c r="J16" s="54">
        <f t="shared" ref="J16:K16" si="9">J7</f>
        <v>352.8918520312501</v>
      </c>
      <c r="K16" s="54">
        <f t="shared" si="9"/>
        <v>370.53644463281262</v>
      </c>
      <c r="L16" s="54">
        <f t="shared" ref="L16:M16" si="10">L7</f>
        <v>389.06326686445323</v>
      </c>
      <c r="M16" s="54">
        <f t="shared" si="10"/>
        <v>408.51643020767591</v>
      </c>
      <c r="N16" s="54">
        <f t="shared" ref="N16:O16" si="11">N7</f>
        <v>428.94225171805971</v>
      </c>
      <c r="O16" s="54">
        <f t="shared" si="11"/>
        <v>450.38936430396274</v>
      </c>
    </row>
    <row r="17" spans="2:15" ht="16.5" customHeight="1" x14ac:dyDescent="0.25"/>
    <row r="18" spans="2:15" ht="16.5" customHeight="1" x14ac:dyDescent="0.25">
      <c r="B18" s="51" t="s">
        <v>191</v>
      </c>
    </row>
    <row r="19" spans="2:15" ht="16.5" customHeight="1" x14ac:dyDescent="0.25">
      <c r="B19" s="51" t="s">
        <v>454</v>
      </c>
      <c r="C19" s="107"/>
      <c r="D19" s="107">
        <f>D13*D20/350</f>
        <v>0</v>
      </c>
      <c r="E19" s="107">
        <f t="shared" ref="E19:O19" si="12">E13*E20/350</f>
        <v>5.53</v>
      </c>
      <c r="F19" s="107">
        <f t="shared" si="12"/>
        <v>5.8064999999999998</v>
      </c>
      <c r="G19" s="107">
        <f t="shared" si="12"/>
        <v>6.0968249999999999</v>
      </c>
      <c r="H19" s="107">
        <f t="shared" si="12"/>
        <v>6.4016662500000008</v>
      </c>
      <c r="I19" s="107">
        <f t="shared" si="12"/>
        <v>6.7217495625000021</v>
      </c>
      <c r="J19" s="107">
        <f t="shared" si="12"/>
        <v>7.0578370406250022</v>
      </c>
      <c r="K19" s="107">
        <f t="shared" si="12"/>
        <v>7.4107288926562527</v>
      </c>
      <c r="L19" s="107">
        <f t="shared" si="12"/>
        <v>7.7812653372890654</v>
      </c>
      <c r="M19" s="107">
        <f t="shared" si="12"/>
        <v>8.1703286041535179</v>
      </c>
      <c r="N19" s="107">
        <f t="shared" si="12"/>
        <v>8.5788450343611942</v>
      </c>
      <c r="O19" s="107">
        <f t="shared" si="12"/>
        <v>9.0077872860792549</v>
      </c>
    </row>
    <row r="20" spans="2:15" ht="16.5" customHeight="1" x14ac:dyDescent="0.25">
      <c r="B20" s="51" t="s">
        <v>455</v>
      </c>
      <c r="C20" s="54"/>
      <c r="D20" s="233">
        <v>7</v>
      </c>
      <c r="E20" s="233">
        <f>D20</f>
        <v>7</v>
      </c>
      <c r="F20" s="233">
        <f t="shared" ref="F20:O20" si="13">E20</f>
        <v>7</v>
      </c>
      <c r="G20" s="233">
        <f t="shared" si="13"/>
        <v>7</v>
      </c>
      <c r="H20" s="233">
        <f t="shared" si="13"/>
        <v>7</v>
      </c>
      <c r="I20" s="233">
        <f t="shared" si="13"/>
        <v>7</v>
      </c>
      <c r="J20" s="233">
        <f t="shared" si="13"/>
        <v>7</v>
      </c>
      <c r="K20" s="233">
        <f t="shared" si="13"/>
        <v>7</v>
      </c>
      <c r="L20" s="233">
        <f t="shared" si="13"/>
        <v>7</v>
      </c>
      <c r="M20" s="233">
        <f t="shared" si="13"/>
        <v>7</v>
      </c>
      <c r="N20" s="233">
        <f t="shared" si="13"/>
        <v>7</v>
      </c>
      <c r="O20" s="233">
        <f t="shared" si="13"/>
        <v>7</v>
      </c>
    </row>
    <row r="21" spans="2:15" ht="16.5" customHeight="1" x14ac:dyDescent="0.25">
      <c r="B21" s="51" t="s">
        <v>692</v>
      </c>
      <c r="C21" s="107"/>
      <c r="D21" s="107">
        <f>D8*D22/350</f>
        <v>0</v>
      </c>
      <c r="E21" s="107">
        <f t="shared" ref="E21:O21" si="14">E8*E22/350</f>
        <v>3.4048000000000003</v>
      </c>
      <c r="F21" s="107">
        <f t="shared" si="14"/>
        <v>3.5750400000000004</v>
      </c>
      <c r="G21" s="107">
        <f t="shared" si="14"/>
        <v>3.7537920000000007</v>
      </c>
      <c r="H21" s="107">
        <f t="shared" si="14"/>
        <v>3.9414816000000008</v>
      </c>
      <c r="I21" s="107">
        <f t="shared" si="14"/>
        <v>4.1385556800000014</v>
      </c>
      <c r="J21" s="107">
        <f t="shared" si="14"/>
        <v>4.3454834640000017</v>
      </c>
      <c r="K21" s="107">
        <f t="shared" si="14"/>
        <v>4.5627576372000016</v>
      </c>
      <c r="L21" s="107">
        <f t="shared" si="14"/>
        <v>4.790895519060002</v>
      </c>
      <c r="M21" s="107">
        <f t="shared" si="14"/>
        <v>5.030440295013002</v>
      </c>
      <c r="N21" s="107">
        <f t="shared" si="14"/>
        <v>5.2819623097636521</v>
      </c>
      <c r="O21" s="107">
        <f t="shared" si="14"/>
        <v>5.5460604252518353</v>
      </c>
    </row>
    <row r="22" spans="2:15" ht="16.5" customHeight="1" x14ac:dyDescent="0.25">
      <c r="B22" s="51" t="s">
        <v>455</v>
      </c>
      <c r="C22" s="54"/>
      <c r="D22" s="54">
        <v>7</v>
      </c>
      <c r="E22" s="54">
        <f t="shared" ref="E22:O22" si="15">D22</f>
        <v>7</v>
      </c>
      <c r="F22" s="54">
        <f t="shared" si="15"/>
        <v>7</v>
      </c>
      <c r="G22" s="54">
        <f t="shared" si="15"/>
        <v>7</v>
      </c>
      <c r="H22" s="54">
        <f t="shared" si="15"/>
        <v>7</v>
      </c>
      <c r="I22" s="54">
        <f t="shared" si="15"/>
        <v>7</v>
      </c>
      <c r="J22" s="54">
        <f t="shared" si="15"/>
        <v>7</v>
      </c>
      <c r="K22" s="54">
        <f t="shared" si="15"/>
        <v>7</v>
      </c>
      <c r="L22" s="54">
        <f t="shared" si="15"/>
        <v>7</v>
      </c>
      <c r="M22" s="54">
        <f t="shared" si="15"/>
        <v>7</v>
      </c>
      <c r="N22" s="54">
        <f t="shared" si="15"/>
        <v>7</v>
      </c>
      <c r="O22" s="54">
        <f t="shared" si="15"/>
        <v>7</v>
      </c>
    </row>
    <row r="23" spans="2:15" ht="16.5" customHeight="1" x14ac:dyDescent="0.25">
      <c r="B23" s="51" t="s">
        <v>458</v>
      </c>
      <c r="C23" s="107"/>
      <c r="D23" s="107">
        <f>D9*D24/350</f>
        <v>0</v>
      </c>
      <c r="E23" s="107">
        <f t="shared" ref="E23:O23" si="16">E9*E24/350</f>
        <v>4.1302440000000002</v>
      </c>
      <c r="F23" s="107">
        <f t="shared" si="16"/>
        <v>4.3367562000000008</v>
      </c>
      <c r="G23" s="107">
        <f t="shared" si="16"/>
        <v>4.5535940100000003</v>
      </c>
      <c r="H23" s="107">
        <f t="shared" si="16"/>
        <v>4.7812737105000007</v>
      </c>
      <c r="I23" s="107">
        <f t="shared" si="16"/>
        <v>5.0203373960250008</v>
      </c>
      <c r="J23" s="107">
        <f t="shared" si="16"/>
        <v>5.2713542658262522</v>
      </c>
      <c r="K23" s="107">
        <f t="shared" si="16"/>
        <v>5.5349219791175646</v>
      </c>
      <c r="L23" s="107">
        <f t="shared" si="16"/>
        <v>5.8116680780734429</v>
      </c>
      <c r="M23" s="107">
        <f t="shared" si="16"/>
        <v>6.102251481977115</v>
      </c>
      <c r="N23" s="107">
        <f t="shared" si="16"/>
        <v>6.4073640560759717</v>
      </c>
      <c r="O23" s="107">
        <f t="shared" si="16"/>
        <v>6.7277322588797697</v>
      </c>
    </row>
    <row r="24" spans="2:15" ht="16.5" customHeight="1" x14ac:dyDescent="0.25">
      <c r="B24" s="51" t="s">
        <v>455</v>
      </c>
      <c r="C24" s="54"/>
      <c r="D24" s="54">
        <v>7</v>
      </c>
      <c r="E24" s="54">
        <f t="shared" ref="E24:O24" si="17">D24</f>
        <v>7</v>
      </c>
      <c r="F24" s="54">
        <f t="shared" si="17"/>
        <v>7</v>
      </c>
      <c r="G24" s="54">
        <f t="shared" si="17"/>
        <v>7</v>
      </c>
      <c r="H24" s="54">
        <f t="shared" si="17"/>
        <v>7</v>
      </c>
      <c r="I24" s="54">
        <f t="shared" si="17"/>
        <v>7</v>
      </c>
      <c r="J24" s="54">
        <f t="shared" si="17"/>
        <v>7</v>
      </c>
      <c r="K24" s="54">
        <f t="shared" si="17"/>
        <v>7</v>
      </c>
      <c r="L24" s="54">
        <f t="shared" si="17"/>
        <v>7</v>
      </c>
      <c r="M24" s="54">
        <f t="shared" si="17"/>
        <v>7</v>
      </c>
      <c r="N24" s="54">
        <f t="shared" si="17"/>
        <v>7</v>
      </c>
      <c r="O24" s="54">
        <f t="shared" si="17"/>
        <v>7</v>
      </c>
    </row>
    <row r="25" spans="2:15" ht="16.5" customHeight="1" x14ac:dyDescent="0.25">
      <c r="C25" s="107"/>
      <c r="D25" s="107"/>
      <c r="E25" s="107"/>
      <c r="F25" s="107"/>
      <c r="G25" s="107"/>
      <c r="H25" s="107"/>
      <c r="I25" s="107"/>
      <c r="J25" s="107"/>
      <c r="K25" s="107"/>
      <c r="L25" s="107"/>
      <c r="M25" s="107"/>
      <c r="N25" s="107"/>
      <c r="O25" s="107"/>
    </row>
    <row r="26" spans="2:15" ht="16.5" customHeight="1" x14ac:dyDescent="0.25">
      <c r="B26" s="114" t="s">
        <v>486</v>
      </c>
      <c r="C26" s="129"/>
      <c r="D26" s="129">
        <f>D19+D21+D23</f>
        <v>0</v>
      </c>
      <c r="E26" s="129">
        <f t="shared" ref="E26:O26" si="18">E19+E21+E23</f>
        <v>13.065044</v>
      </c>
      <c r="F26" s="129">
        <f t="shared" si="18"/>
        <v>13.718296200000001</v>
      </c>
      <c r="G26" s="129">
        <f t="shared" si="18"/>
        <v>14.404211010000001</v>
      </c>
      <c r="H26" s="129">
        <f t="shared" si="18"/>
        <v>15.124421560500002</v>
      </c>
      <c r="I26" s="129">
        <f t="shared" si="18"/>
        <v>15.880642638525005</v>
      </c>
      <c r="J26" s="129">
        <f t="shared" si="18"/>
        <v>16.674674770451254</v>
      </c>
      <c r="K26" s="129">
        <f t="shared" si="18"/>
        <v>17.508408508973819</v>
      </c>
      <c r="L26" s="129">
        <f t="shared" si="18"/>
        <v>18.38382893442251</v>
      </c>
      <c r="M26" s="129">
        <f t="shared" si="18"/>
        <v>19.303020381143632</v>
      </c>
      <c r="N26" s="129">
        <f t="shared" si="18"/>
        <v>20.268171400200821</v>
      </c>
      <c r="O26" s="129">
        <f t="shared" si="18"/>
        <v>21.28157997021086</v>
      </c>
    </row>
    <row r="27" spans="2:15" ht="16.5" customHeight="1" x14ac:dyDescent="0.25">
      <c r="C27" s="107"/>
      <c r="D27" s="107"/>
      <c r="E27" s="107"/>
      <c r="F27" s="107"/>
      <c r="G27" s="107"/>
      <c r="H27" s="107"/>
      <c r="I27" s="107"/>
      <c r="J27" s="107"/>
      <c r="K27" s="107"/>
      <c r="L27" s="107"/>
      <c r="M27" s="107"/>
      <c r="N27" s="107"/>
      <c r="O27" s="107"/>
    </row>
    <row r="28" spans="2:15" ht="16.5" customHeight="1" x14ac:dyDescent="0.25">
      <c r="C28" s="107"/>
      <c r="D28" s="107"/>
      <c r="E28" s="107"/>
      <c r="F28" s="107"/>
      <c r="G28" s="107"/>
      <c r="H28" s="107"/>
      <c r="I28" s="107"/>
      <c r="J28" s="107"/>
      <c r="K28" s="107"/>
      <c r="L28" s="107"/>
      <c r="M28" s="107"/>
      <c r="N28" s="107"/>
      <c r="O28" s="107"/>
    </row>
    <row r="29" spans="2:15" ht="16.5" customHeight="1" x14ac:dyDescent="0.25">
      <c r="B29" s="51" t="s">
        <v>456</v>
      </c>
      <c r="C29" s="107"/>
      <c r="D29" s="107">
        <f>D6*D30/350</f>
        <v>0</v>
      </c>
      <c r="E29" s="107">
        <f t="shared" ref="E29:O29" si="19">E6*E30/350</f>
        <v>96.39</v>
      </c>
      <c r="F29" s="107">
        <f t="shared" si="19"/>
        <v>101.20950000000001</v>
      </c>
      <c r="G29" s="107">
        <f t="shared" si="19"/>
        <v>106.26997500000002</v>
      </c>
      <c r="H29" s="107">
        <f t="shared" si="19"/>
        <v>111.58347375</v>
      </c>
      <c r="I29" s="107">
        <f t="shared" si="19"/>
        <v>117.16264743750003</v>
      </c>
      <c r="J29" s="107">
        <f t="shared" si="19"/>
        <v>123.02077980937503</v>
      </c>
      <c r="K29" s="107">
        <f t="shared" si="19"/>
        <v>129.17181879984381</v>
      </c>
      <c r="L29" s="107">
        <f t="shared" si="19"/>
        <v>135.63040973983598</v>
      </c>
      <c r="M29" s="107">
        <f t="shared" si="19"/>
        <v>142.41193022682779</v>
      </c>
      <c r="N29" s="107">
        <f t="shared" si="19"/>
        <v>149.53252673816917</v>
      </c>
      <c r="O29" s="107">
        <f t="shared" si="19"/>
        <v>157.00915307507762</v>
      </c>
    </row>
    <row r="30" spans="2:15" ht="16.5" customHeight="1" x14ac:dyDescent="0.25">
      <c r="B30" s="51" t="s">
        <v>455</v>
      </c>
      <c r="C30" s="54"/>
      <c r="D30" s="54">
        <v>21</v>
      </c>
      <c r="E30" s="54">
        <f>D30</f>
        <v>21</v>
      </c>
      <c r="F30" s="54">
        <f t="shared" ref="F30:O30" si="20">E30</f>
        <v>21</v>
      </c>
      <c r="G30" s="54">
        <f t="shared" si="20"/>
        <v>21</v>
      </c>
      <c r="H30" s="54">
        <f t="shared" si="20"/>
        <v>21</v>
      </c>
      <c r="I30" s="54">
        <f t="shared" si="20"/>
        <v>21</v>
      </c>
      <c r="J30" s="54">
        <f t="shared" si="20"/>
        <v>21</v>
      </c>
      <c r="K30" s="54">
        <f t="shared" si="20"/>
        <v>21</v>
      </c>
      <c r="L30" s="54">
        <f t="shared" si="20"/>
        <v>21</v>
      </c>
      <c r="M30" s="54">
        <f t="shared" si="20"/>
        <v>21</v>
      </c>
      <c r="N30" s="54">
        <f t="shared" si="20"/>
        <v>21</v>
      </c>
      <c r="O30" s="54">
        <f t="shared" si="20"/>
        <v>21</v>
      </c>
    </row>
    <row r="31" spans="2:15" ht="16.5" customHeight="1" x14ac:dyDescent="0.25">
      <c r="B31" s="51" t="s">
        <v>457</v>
      </c>
      <c r="C31" s="239"/>
      <c r="D31" s="239">
        <f t="shared" ref="D31:I31" si="21">D14</f>
        <v>0</v>
      </c>
      <c r="E31" s="239">
        <f t="shared" si="21"/>
        <v>5.53</v>
      </c>
      <c r="F31" s="239">
        <f t="shared" si="21"/>
        <v>5.8064999999999998</v>
      </c>
      <c r="G31" s="239">
        <f t="shared" si="21"/>
        <v>6.0968249999999999</v>
      </c>
      <c r="H31" s="239">
        <f t="shared" si="21"/>
        <v>6.4016662500000008</v>
      </c>
      <c r="I31" s="239">
        <f t="shared" si="21"/>
        <v>6.7217495625000021</v>
      </c>
      <c r="J31" s="239">
        <f t="shared" ref="J31:K31" si="22">J14</f>
        <v>7.0578370406250022</v>
      </c>
      <c r="K31" s="239">
        <f t="shared" si="22"/>
        <v>7.4107288926562527</v>
      </c>
      <c r="L31" s="239">
        <f t="shared" ref="L31:M31" si="23">L14</f>
        <v>7.7812653372890654</v>
      </c>
      <c r="M31" s="239">
        <f t="shared" si="23"/>
        <v>8.1703286041535179</v>
      </c>
      <c r="N31" s="239">
        <f t="shared" ref="N31:O31" si="24">N14</f>
        <v>8.5788450343611942</v>
      </c>
      <c r="O31" s="239">
        <f t="shared" si="24"/>
        <v>9.0077872860792549</v>
      </c>
    </row>
    <row r="32" spans="2:15" ht="16.5" customHeight="1" x14ac:dyDescent="0.25"/>
    <row r="33" spans="2:15" ht="16.5" customHeight="1" x14ac:dyDescent="0.25">
      <c r="B33" s="51" t="s">
        <v>459</v>
      </c>
      <c r="C33" s="129"/>
      <c r="D33" s="129">
        <f t="shared" ref="D33:I33" si="25">D29+D31</f>
        <v>0</v>
      </c>
      <c r="E33" s="129">
        <f>E29+E31</f>
        <v>101.92</v>
      </c>
      <c r="F33" s="129">
        <f t="shared" si="25"/>
        <v>107.01600000000001</v>
      </c>
      <c r="G33" s="129">
        <f t="shared" si="25"/>
        <v>112.36680000000001</v>
      </c>
      <c r="H33" s="129">
        <f t="shared" si="25"/>
        <v>117.98514</v>
      </c>
      <c r="I33" s="129">
        <f t="shared" si="25"/>
        <v>123.88439700000004</v>
      </c>
      <c r="J33" s="129">
        <f t="shared" ref="J33:K33" si="26">J29+J31</f>
        <v>130.07861685000003</v>
      </c>
      <c r="K33" s="129">
        <f t="shared" si="26"/>
        <v>136.58254769250007</v>
      </c>
      <c r="L33" s="129">
        <f t="shared" ref="L33:M33" si="27">L29+L31</f>
        <v>143.41167507712504</v>
      </c>
      <c r="M33" s="129">
        <f t="shared" si="27"/>
        <v>150.58225883098132</v>
      </c>
      <c r="N33" s="129">
        <f t="shared" ref="N33:O33" si="28">N29+N31</f>
        <v>158.11137177253036</v>
      </c>
      <c r="O33" s="129">
        <f t="shared" si="28"/>
        <v>166.01694036115688</v>
      </c>
    </row>
    <row r="34" spans="2:15" ht="16.5" customHeight="1" x14ac:dyDescent="0.25">
      <c r="C34" s="107"/>
      <c r="D34" s="107"/>
      <c r="E34" s="107"/>
      <c r="F34" s="107"/>
      <c r="G34" s="107"/>
      <c r="H34" s="107"/>
      <c r="I34" s="107"/>
      <c r="J34" s="107"/>
      <c r="K34" s="107"/>
      <c r="L34" s="107"/>
      <c r="M34" s="107"/>
      <c r="N34" s="107"/>
      <c r="O34" s="107"/>
    </row>
    <row r="35" spans="2:15" ht="16.5" customHeight="1" x14ac:dyDescent="0.25">
      <c r="B35" s="51" t="s">
        <v>512</v>
      </c>
      <c r="C35" s="107"/>
      <c r="D35" s="107">
        <f t="shared" ref="D35:I35" si="29">D33-D26</f>
        <v>0</v>
      </c>
      <c r="E35" s="107">
        <f t="shared" si="29"/>
        <v>88.854956000000001</v>
      </c>
      <c r="F35" s="107">
        <f t="shared" si="29"/>
        <v>93.297703800000008</v>
      </c>
      <c r="G35" s="107">
        <f t="shared" si="29"/>
        <v>97.962588990000015</v>
      </c>
      <c r="H35" s="107">
        <f t="shared" si="29"/>
        <v>102.8607184395</v>
      </c>
      <c r="I35" s="107">
        <f t="shared" si="29"/>
        <v>108.00375436147503</v>
      </c>
      <c r="J35" s="107">
        <f t="shared" ref="J35:K35" si="30">J33-J26</f>
        <v>113.40394207954878</v>
      </c>
      <c r="K35" s="107">
        <f t="shared" si="30"/>
        <v>119.07413918352626</v>
      </c>
      <c r="L35" s="107">
        <f t="shared" ref="L35:M35" si="31">L33-L26</f>
        <v>125.02784614270253</v>
      </c>
      <c r="M35" s="107">
        <f t="shared" si="31"/>
        <v>131.27923844983769</v>
      </c>
      <c r="N35" s="107">
        <f t="shared" ref="N35:O35" si="32">N33-N26</f>
        <v>137.84320037232953</v>
      </c>
      <c r="O35" s="107">
        <f t="shared" si="32"/>
        <v>144.73536039094603</v>
      </c>
    </row>
    <row r="36" spans="2:15" ht="16.5" customHeight="1" x14ac:dyDescent="0.25">
      <c r="B36" s="51" t="s">
        <v>513</v>
      </c>
      <c r="C36" s="107"/>
      <c r="D36" s="107">
        <f t="shared" ref="D36:I36" si="33">D35*25%</f>
        <v>0</v>
      </c>
      <c r="E36" s="107">
        <f t="shared" si="33"/>
        <v>22.213739</v>
      </c>
      <c r="F36" s="107">
        <f t="shared" si="33"/>
        <v>23.324425950000002</v>
      </c>
      <c r="G36" s="107">
        <f t="shared" si="33"/>
        <v>24.490647247500004</v>
      </c>
      <c r="H36" s="107">
        <f t="shared" si="33"/>
        <v>25.715179609875001</v>
      </c>
      <c r="I36" s="107">
        <f t="shared" si="33"/>
        <v>27.000938590368758</v>
      </c>
      <c r="J36" s="107">
        <f t="shared" ref="J36:K36" si="34">J35*25%</f>
        <v>28.350985519887196</v>
      </c>
      <c r="K36" s="107">
        <f t="shared" si="34"/>
        <v>29.768534795881564</v>
      </c>
      <c r="L36" s="107">
        <f t="shared" ref="L36:M36" si="35">L35*25%</f>
        <v>31.256961535675632</v>
      </c>
      <c r="M36" s="107">
        <f t="shared" si="35"/>
        <v>32.819809612459423</v>
      </c>
      <c r="N36" s="107">
        <f t="shared" ref="N36:O36" si="36">N35*25%</f>
        <v>34.460800093082383</v>
      </c>
      <c r="O36" s="107">
        <f t="shared" si="36"/>
        <v>36.183840097736507</v>
      </c>
    </row>
    <row r="37" spans="2:15" ht="16.5" customHeight="1" x14ac:dyDescent="0.25">
      <c r="B37" s="51" t="s">
        <v>542</v>
      </c>
      <c r="C37" s="107"/>
      <c r="D37" s="107">
        <f>D35-D36</f>
        <v>0</v>
      </c>
      <c r="E37" s="107">
        <f>E35-E36</f>
        <v>66.641216999999997</v>
      </c>
      <c r="F37" s="107">
        <f>F35-F36</f>
        <v>69.973277850000002</v>
      </c>
      <c r="G37" s="107">
        <f t="shared" ref="G37:O37" si="37">G35-G36</f>
        <v>73.471941742500007</v>
      </c>
      <c r="H37" s="107">
        <f t="shared" si="37"/>
        <v>77.145538829624996</v>
      </c>
      <c r="I37" s="107">
        <f t="shared" si="37"/>
        <v>81.00281577110627</v>
      </c>
      <c r="J37" s="107">
        <f t="shared" si="37"/>
        <v>85.052956559661595</v>
      </c>
      <c r="K37" s="107">
        <f t="shared" si="37"/>
        <v>89.305604387644692</v>
      </c>
      <c r="L37" s="107">
        <f t="shared" si="37"/>
        <v>93.7708846070269</v>
      </c>
      <c r="M37" s="107">
        <f t="shared" si="37"/>
        <v>98.459428837378269</v>
      </c>
      <c r="N37" s="107">
        <f t="shared" si="37"/>
        <v>103.38240027924715</v>
      </c>
      <c r="O37" s="107">
        <f t="shared" si="37"/>
        <v>108.55152029320952</v>
      </c>
    </row>
    <row r="38" spans="2:15" x14ac:dyDescent="0.25">
      <c r="E38" s="107"/>
    </row>
    <row r="39" spans="2:15" x14ac:dyDescent="0.25">
      <c r="D39" s="107"/>
      <c r="E39" s="44">
        <v>16.670000000000002</v>
      </c>
    </row>
    <row r="40" spans="2:15" x14ac:dyDescent="0.25">
      <c r="D40" s="107"/>
      <c r="E40" s="307">
        <f>E39/E37</f>
        <v>0.25014549179076367</v>
      </c>
    </row>
    <row r="41" spans="2:15" x14ac:dyDescent="0.25">
      <c r="D41" s="107"/>
    </row>
    <row r="43" spans="2:15" x14ac:dyDescent="0.25">
      <c r="D43" s="252"/>
    </row>
  </sheetData>
  <customSheetViews>
    <customSheetView guid="{22475485-DA09-46DB-978D-BB94CE1E5597}">
      <pane xSplit="1" ySplit="5" topLeftCell="B9" activePane="bottomRight" state="frozen"/>
      <selection pane="bottomRight" activeCell="B22" sqref="B22"/>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ignoredErrors>
    <ignoredError sqref="E21:O21 E23:O2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5"/>
  <sheetViews>
    <sheetView workbookViewId="0">
      <selection activeCell="I13" sqref="I13:J13"/>
    </sheetView>
  </sheetViews>
  <sheetFormatPr defaultColWidth="32.28515625" defaultRowHeight="15" x14ac:dyDescent="0.25"/>
  <cols>
    <col min="1" max="1" width="34.7109375" style="1" customWidth="1"/>
    <col min="2" max="2" width="8.7109375" style="1" customWidth="1"/>
    <col min="3" max="3" width="12.140625" style="1" bestFit="1" customWidth="1"/>
    <col min="4" max="4" width="10.28515625" style="1" bestFit="1" customWidth="1"/>
    <col min="5" max="11" width="8.7109375" style="1" customWidth="1"/>
    <col min="12" max="12" width="40.42578125" style="1" customWidth="1"/>
    <col min="13" max="16384" width="32.28515625" style="1"/>
  </cols>
  <sheetData>
    <row r="1" spans="1:11" ht="26.25" customHeight="1" x14ac:dyDescent="0.25">
      <c r="A1" s="376" t="s">
        <v>18</v>
      </c>
      <c r="B1" s="376"/>
      <c r="C1" s="376"/>
      <c r="D1" s="376"/>
      <c r="E1" s="377"/>
      <c r="F1" s="377"/>
      <c r="G1" s="377"/>
      <c r="H1" s="377"/>
      <c r="I1" s="377"/>
      <c r="J1" s="377"/>
      <c r="K1" s="377"/>
    </row>
    <row r="2" spans="1:11" s="2" customFormat="1" ht="21.75" customHeight="1" x14ac:dyDescent="0.25">
      <c r="A2" s="8" t="s">
        <v>14</v>
      </c>
      <c r="B2" s="9" t="s">
        <v>15</v>
      </c>
      <c r="C2" s="9" t="s">
        <v>131</v>
      </c>
      <c r="D2" s="9" t="s">
        <v>132</v>
      </c>
      <c r="E2" s="9" t="s">
        <v>133</v>
      </c>
      <c r="F2" s="9" t="s">
        <v>134</v>
      </c>
      <c r="G2" s="9" t="s">
        <v>135</v>
      </c>
      <c r="H2" s="9" t="s">
        <v>136</v>
      </c>
      <c r="I2" s="9" t="s">
        <v>137</v>
      </c>
      <c r="J2" s="9" t="s">
        <v>138</v>
      </c>
      <c r="K2" s="9" t="s">
        <v>139</v>
      </c>
    </row>
    <row r="3" spans="1:11" s="2" customFormat="1" ht="23.25" customHeight="1" x14ac:dyDescent="0.25">
      <c r="A3" s="379" t="s">
        <v>19</v>
      </c>
      <c r="B3" s="379"/>
      <c r="C3" s="379"/>
      <c r="D3" s="379"/>
      <c r="E3" s="379"/>
      <c r="F3" s="379"/>
      <c r="G3" s="379"/>
      <c r="H3" s="379"/>
      <c r="I3" s="379"/>
      <c r="J3" s="379"/>
      <c r="K3" s="379"/>
    </row>
    <row r="4" spans="1:11" ht="22.5" customHeight="1" x14ac:dyDescent="0.25">
      <c r="A4" s="378" t="s">
        <v>20</v>
      </c>
      <c r="B4" s="378"/>
      <c r="C4" s="378"/>
      <c r="D4" s="378"/>
      <c r="E4" s="378"/>
      <c r="F4" s="378"/>
      <c r="G4" s="378"/>
      <c r="H4" s="378"/>
      <c r="I4" s="378"/>
      <c r="J4" s="378"/>
      <c r="K4" s="378"/>
    </row>
    <row r="5" spans="1:11" ht="21" customHeight="1" x14ac:dyDescent="0.25">
      <c r="A5" s="10" t="s">
        <v>21</v>
      </c>
      <c r="B5" s="31">
        <f>'CoP-MoF'!D23/A</f>
        <v>3200</v>
      </c>
      <c r="C5" s="32">
        <f>'CoP-MoF'!D20/A</f>
        <v>2200</v>
      </c>
      <c r="D5" s="10"/>
      <c r="E5" s="10"/>
      <c r="F5" s="10"/>
      <c r="G5" s="10"/>
      <c r="H5" s="10"/>
      <c r="I5" s="10"/>
      <c r="J5" s="10"/>
      <c r="K5" s="10"/>
    </row>
    <row r="6" spans="1:11" ht="18.75" customHeight="1" x14ac:dyDescent="0.25">
      <c r="A6" s="10" t="s">
        <v>507</v>
      </c>
      <c r="B6" s="32">
        <f>'P &amp; L'!C29+'P &amp; L'!C26</f>
        <v>0</v>
      </c>
      <c r="C6" s="32">
        <f>'P &amp; L'!D29+'P &amp; L'!D26</f>
        <v>0</v>
      </c>
      <c r="D6" s="32">
        <f>'P &amp; L'!E29+'P &amp; L'!E26</f>
        <v>486.45256787423659</v>
      </c>
      <c r="E6" s="32">
        <f>'P &amp; L'!F29+'P &amp; L'!F26</f>
        <v>520.20206261110025</v>
      </c>
      <c r="F6" s="32">
        <f>'P &amp; L'!G29+'P &amp; L'!G26</f>
        <v>556.83752103068457</v>
      </c>
      <c r="G6" s="32">
        <f>'P &amp; L'!H29+'P &amp; L'!H26</f>
        <v>598.12050346719593</v>
      </c>
      <c r="H6" s="32">
        <f>'P &amp; L'!I29+'P &amp; L'!I26</f>
        <v>644.06160936990909</v>
      </c>
      <c r="I6" s="32" t="e">
        <f>'P &amp; L'!#REF!+'P &amp; L'!#REF!</f>
        <v>#REF!</v>
      </c>
      <c r="J6" s="32" t="e">
        <f>'P &amp; L'!#REF!+'P &amp; L'!#REF!</f>
        <v>#REF!</v>
      </c>
      <c r="K6" s="32" t="e">
        <f>'P &amp; L'!#REF!+'P &amp; L'!#REF!</f>
        <v>#REF!</v>
      </c>
    </row>
    <row r="7" spans="1:11" ht="18.75" customHeight="1" x14ac:dyDescent="0.25">
      <c r="A7" s="10" t="s">
        <v>510</v>
      </c>
      <c r="B7" s="32">
        <f>'Cash Flow'!C13</f>
        <v>0</v>
      </c>
      <c r="C7" s="32">
        <f>'Cash Flow'!D13</f>
        <v>0</v>
      </c>
      <c r="D7" s="32">
        <f>'Cash Flow'!E13</f>
        <v>0</v>
      </c>
      <c r="E7" s="32">
        <f>'Cash Flow'!F13</f>
        <v>0</v>
      </c>
      <c r="F7" s="32">
        <f>'Cash Flow'!G13</f>
        <v>0</v>
      </c>
      <c r="G7" s="32">
        <f>'Cash Flow'!H13</f>
        <v>0</v>
      </c>
      <c r="H7" s="32">
        <f>'Cash Flow'!I13</f>
        <v>0</v>
      </c>
      <c r="I7" s="32"/>
      <c r="J7" s="32"/>
      <c r="K7" s="32"/>
    </row>
    <row r="8" spans="1:11" ht="18.75" customHeight="1" x14ac:dyDescent="0.25">
      <c r="A8" s="10" t="s">
        <v>508</v>
      </c>
      <c r="B8" s="32">
        <f>+B6+B7</f>
        <v>0</v>
      </c>
      <c r="C8" s="32">
        <f t="shared" ref="C8:H8" si="0">B8+C6+C7</f>
        <v>0</v>
      </c>
      <c r="D8" s="32">
        <f t="shared" si="0"/>
        <v>486.45256787423659</v>
      </c>
      <c r="E8" s="32">
        <f t="shared" si="0"/>
        <v>1006.6546304853368</v>
      </c>
      <c r="F8" s="32">
        <f t="shared" si="0"/>
        <v>1563.4921515160213</v>
      </c>
      <c r="G8" s="32">
        <f t="shared" si="0"/>
        <v>2161.612654983217</v>
      </c>
      <c r="H8" s="32">
        <f t="shared" si="0"/>
        <v>2805.6742643531261</v>
      </c>
      <c r="I8" s="32" t="e">
        <f t="shared" ref="I8:K8" si="1">H8+I6</f>
        <v>#REF!</v>
      </c>
      <c r="J8" s="32" t="e">
        <f t="shared" si="1"/>
        <v>#REF!</v>
      </c>
      <c r="K8" s="32" t="e">
        <f t="shared" si="1"/>
        <v>#REF!</v>
      </c>
    </row>
    <row r="9" spans="1:11" ht="18.75" customHeight="1" x14ac:dyDescent="0.25">
      <c r="A9" s="10" t="s">
        <v>323</v>
      </c>
      <c r="B9" s="10"/>
      <c r="C9" s="32">
        <f>((C5-D8)/E6)+3</f>
        <v>6.2940035330209767</v>
      </c>
      <c r="D9" s="33">
        <f>((B5-D8)/E6)+3</f>
        <v>8.2163334733918454</v>
      </c>
      <c r="E9" s="10"/>
      <c r="F9" s="10"/>
      <c r="G9" s="10"/>
      <c r="H9" s="10"/>
      <c r="I9" s="10"/>
      <c r="J9" s="10"/>
      <c r="K9" s="10"/>
    </row>
    <row r="10" spans="1:11" ht="18.75" customHeight="1" x14ac:dyDescent="0.25">
      <c r="A10" s="378" t="s">
        <v>22</v>
      </c>
      <c r="B10" s="380"/>
      <c r="C10" s="380"/>
      <c r="D10" s="380"/>
      <c r="E10" s="380"/>
      <c r="F10" s="380"/>
      <c r="G10" s="380"/>
      <c r="H10" s="380"/>
      <c r="I10" s="380"/>
      <c r="J10" s="380"/>
      <c r="K10" s="380"/>
    </row>
    <row r="11" spans="1:11" ht="21" customHeight="1" x14ac:dyDescent="0.25">
      <c r="A11" s="10" t="s">
        <v>327</v>
      </c>
      <c r="B11" s="34">
        <f>B5</f>
        <v>3200</v>
      </c>
      <c r="C11" s="10"/>
      <c r="D11" s="10"/>
      <c r="E11" s="10"/>
      <c r="F11" s="10"/>
      <c r="G11" s="10"/>
      <c r="H11" s="10"/>
      <c r="I11" s="10"/>
      <c r="J11" s="10"/>
      <c r="K11" s="10"/>
    </row>
    <row r="12" spans="1:11" ht="18.75" customHeight="1" x14ac:dyDescent="0.25">
      <c r="A12" s="10" t="s">
        <v>507</v>
      </c>
      <c r="B12" s="32">
        <f>B6+B7</f>
        <v>0</v>
      </c>
      <c r="C12" s="32">
        <f t="shared" ref="C12:K12" si="2">C6+C7</f>
        <v>0</v>
      </c>
      <c r="D12" s="32">
        <f t="shared" si="2"/>
        <v>486.45256787423659</v>
      </c>
      <c r="E12" s="32">
        <f t="shared" si="2"/>
        <v>520.20206261110025</v>
      </c>
      <c r="F12" s="32">
        <f t="shared" si="2"/>
        <v>556.83752103068457</v>
      </c>
      <c r="G12" s="32">
        <f t="shared" si="2"/>
        <v>598.12050346719593</v>
      </c>
      <c r="H12" s="32">
        <f t="shared" si="2"/>
        <v>644.06160936990909</v>
      </c>
      <c r="I12" s="32" t="e">
        <f t="shared" si="2"/>
        <v>#REF!</v>
      </c>
      <c r="J12" s="32" t="e">
        <f t="shared" si="2"/>
        <v>#REF!</v>
      </c>
      <c r="K12" s="32" t="e">
        <f t="shared" si="2"/>
        <v>#REF!</v>
      </c>
    </row>
    <row r="13" spans="1:11" ht="18.75" customHeight="1" x14ac:dyDescent="0.25">
      <c r="A13" s="41" t="s">
        <v>509</v>
      </c>
      <c r="B13" s="31">
        <f>B12-B11</f>
        <v>-3200</v>
      </c>
      <c r="C13" s="31">
        <f t="shared" ref="C13:K13" si="3">C12-C11</f>
        <v>0</v>
      </c>
      <c r="D13" s="31">
        <f t="shared" si="3"/>
        <v>486.45256787423659</v>
      </c>
      <c r="E13" s="31">
        <f t="shared" si="3"/>
        <v>520.20206261110025</v>
      </c>
      <c r="F13" s="31">
        <f t="shared" si="3"/>
        <v>556.83752103068457</v>
      </c>
      <c r="G13" s="31">
        <f t="shared" si="3"/>
        <v>598.12050346719593</v>
      </c>
      <c r="H13" s="31">
        <f t="shared" si="3"/>
        <v>644.06160936990909</v>
      </c>
      <c r="I13" s="31" t="e">
        <f t="shared" si="3"/>
        <v>#REF!</v>
      </c>
      <c r="J13" s="31" t="e">
        <f t="shared" si="3"/>
        <v>#REF!</v>
      </c>
      <c r="K13" s="31" t="e">
        <f t="shared" si="3"/>
        <v>#REF!</v>
      </c>
    </row>
    <row r="14" spans="1:11" ht="18.75" customHeight="1" x14ac:dyDescent="0.25">
      <c r="A14" s="14" t="s">
        <v>330</v>
      </c>
      <c r="B14" s="10"/>
      <c r="C14" s="10"/>
      <c r="D14" s="10"/>
      <c r="E14" s="10"/>
      <c r="F14" s="10"/>
      <c r="G14" s="10"/>
      <c r="H14" s="42" t="e">
        <f>IRR(#REF!)</f>
        <v>#REF!</v>
      </c>
      <c r="I14" s="10"/>
      <c r="J14" s="10"/>
      <c r="K14" s="42" t="e">
        <f>IRR(B13:K13)</f>
        <v>#VALUE!</v>
      </c>
    </row>
    <row r="15" spans="1:11" ht="18.75" hidden="1" customHeight="1" x14ac:dyDescent="0.25">
      <c r="A15" s="378" t="s">
        <v>27</v>
      </c>
      <c r="B15" s="381"/>
      <c r="C15" s="381"/>
      <c r="D15" s="381"/>
      <c r="E15" s="381"/>
      <c r="F15" s="381"/>
      <c r="G15" s="381"/>
      <c r="H15" s="381"/>
      <c r="I15" s="381"/>
      <c r="J15" s="381"/>
      <c r="K15" s="381"/>
    </row>
    <row r="16" spans="1:11" ht="18.75" hidden="1" customHeight="1" x14ac:dyDescent="0.25">
      <c r="A16" s="10" t="s">
        <v>28</v>
      </c>
      <c r="B16" s="7"/>
      <c r="C16" s="7"/>
      <c r="D16" s="7"/>
      <c r="E16" s="7"/>
      <c r="F16" s="7"/>
      <c r="G16" s="7"/>
      <c r="H16" s="7"/>
      <c r="I16" s="7"/>
      <c r="J16" s="7"/>
      <c r="K16" s="7"/>
    </row>
    <row r="17" spans="1:11" ht="18.75" hidden="1" customHeight="1" x14ac:dyDescent="0.25">
      <c r="A17" s="10" t="s">
        <v>23</v>
      </c>
      <c r="B17" s="7"/>
      <c r="C17" s="7"/>
      <c r="D17" s="7"/>
      <c r="E17" s="7"/>
      <c r="F17" s="7"/>
      <c r="G17" s="7"/>
      <c r="H17" s="7"/>
      <c r="I17" s="7"/>
      <c r="J17" s="7"/>
      <c r="K17" s="7"/>
    </row>
    <row r="18" spans="1:11" ht="18.75" hidden="1" customHeight="1" x14ac:dyDescent="0.25">
      <c r="A18" s="10" t="s">
        <v>24</v>
      </c>
      <c r="B18" s="7"/>
      <c r="C18" s="7"/>
      <c r="D18" s="7"/>
      <c r="E18" s="7"/>
      <c r="F18" s="7"/>
      <c r="G18" s="7"/>
      <c r="H18" s="7"/>
      <c r="I18" s="7"/>
      <c r="J18" s="7"/>
      <c r="K18" s="7"/>
    </row>
    <row r="19" spans="1:11" ht="18.75" hidden="1" customHeight="1" x14ac:dyDescent="0.25">
      <c r="A19" s="10" t="s">
        <v>26</v>
      </c>
      <c r="B19" s="7"/>
      <c r="C19" s="7"/>
      <c r="D19" s="7"/>
      <c r="E19" s="7"/>
      <c r="F19" s="7"/>
      <c r="G19" s="7"/>
      <c r="H19" s="7"/>
      <c r="I19" s="7"/>
      <c r="J19" s="7"/>
      <c r="K19" s="7"/>
    </row>
    <row r="20" spans="1:11" ht="18.75" hidden="1" customHeight="1" x14ac:dyDescent="0.25">
      <c r="A20" s="10" t="s">
        <v>25</v>
      </c>
      <c r="B20" s="7"/>
      <c r="C20" s="7"/>
      <c r="D20" s="7"/>
      <c r="E20" s="7"/>
      <c r="F20" s="7"/>
      <c r="G20" s="7"/>
      <c r="H20" s="7"/>
      <c r="I20" s="7"/>
      <c r="J20" s="7"/>
      <c r="K20" s="7"/>
    </row>
    <row r="21" spans="1:11" ht="18.75" hidden="1" customHeight="1" x14ac:dyDescent="0.25">
      <c r="A21" s="3"/>
    </row>
    <row r="22" spans="1:11" ht="18.75" customHeight="1" x14ac:dyDescent="0.25">
      <c r="A22" s="3"/>
    </row>
    <row r="23" spans="1:11" ht="18.75" customHeight="1" x14ac:dyDescent="0.25"/>
    <row r="24" spans="1:11" ht="18.75" customHeight="1" x14ac:dyDescent="0.25"/>
    <row r="25" spans="1:11" ht="18.75" customHeight="1" x14ac:dyDescent="0.25"/>
  </sheetData>
  <customSheetViews>
    <customSheetView guid="{22475485-DA09-46DB-978D-BB94CE1E5597}" hiddenRows="1">
      <selection activeCell="D25" sqref="D25"/>
      <pageMargins left="0.7" right="0.7" top="0.75" bottom="0.75" header="0.3" footer="0.3"/>
      <pageSetup paperSize="9" orientation="landscape" verticalDpi="300" r:id="rId1"/>
    </customSheetView>
  </customSheetViews>
  <mergeCells count="5">
    <mergeCell ref="A1:K1"/>
    <mergeCell ref="A4:K4"/>
    <mergeCell ref="A3:K3"/>
    <mergeCell ref="A10:K10"/>
    <mergeCell ref="A15:K15"/>
  </mergeCells>
  <pageMargins left="0.7" right="0.7" top="0.75" bottom="0.75" header="0.3" footer="0.3"/>
  <pageSetup paperSize="9" orientation="landscape"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Q37"/>
  <sheetViews>
    <sheetView view="pageBreakPreview" topLeftCell="A8" zoomScaleSheetLayoutView="100" workbookViewId="0">
      <selection activeCell="D31" sqref="D31"/>
    </sheetView>
  </sheetViews>
  <sheetFormatPr defaultColWidth="8.85546875" defaultRowHeight="15" x14ac:dyDescent="0.25"/>
  <cols>
    <col min="5" max="5" width="11.140625" bestFit="1" customWidth="1"/>
    <col min="6" max="6" width="17.85546875" customWidth="1"/>
  </cols>
  <sheetData>
    <row r="2" spans="2:17" x14ac:dyDescent="0.25">
      <c r="B2" t="s">
        <v>329</v>
      </c>
    </row>
    <row r="3" spans="2:17" x14ac:dyDescent="0.25">
      <c r="C3" s="24" t="s">
        <v>319</v>
      </c>
      <c r="D3" s="24" t="s">
        <v>322</v>
      </c>
      <c r="E3" s="24" t="s">
        <v>324</v>
      </c>
      <c r="F3" s="24" t="s">
        <v>325</v>
      </c>
    </row>
    <row r="4" spans="2:17" x14ac:dyDescent="0.25">
      <c r="C4" s="24"/>
      <c r="D4" s="24"/>
      <c r="E4" s="25">
        <v>0.12</v>
      </c>
      <c r="F4" s="24"/>
    </row>
    <row r="5" spans="2:17" x14ac:dyDescent="0.25">
      <c r="C5" s="24">
        <v>1</v>
      </c>
      <c r="D5" s="40">
        <f t="array" ref="D5:D14">TRANSPOSE('PBP-IRR'!B12:K12)</f>
        <v>0</v>
      </c>
      <c r="E5" s="26">
        <f>(1/(1+$E$4))^C5</f>
        <v>0.89285714285714279</v>
      </c>
      <c r="F5" s="26">
        <f>E5*D5</f>
        <v>0</v>
      </c>
      <c r="G5" s="23"/>
      <c r="H5" s="23"/>
      <c r="I5" s="23"/>
      <c r="J5" s="23"/>
      <c r="K5" s="23"/>
      <c r="L5" s="23"/>
      <c r="M5" s="23"/>
      <c r="N5" s="23"/>
      <c r="O5" s="23"/>
      <c r="P5" s="23"/>
      <c r="Q5" s="23"/>
    </row>
    <row r="6" spans="2:17" x14ac:dyDescent="0.25">
      <c r="C6" s="24">
        <f>C5+1</f>
        <v>2</v>
      </c>
      <c r="D6" s="40">
        <v>0</v>
      </c>
      <c r="E6" s="26">
        <f t="shared" ref="E6:E14" si="0">(1/(1+$E$4))^C6</f>
        <v>0.79719387755102034</v>
      </c>
      <c r="F6" s="26">
        <f t="shared" ref="F6:F14" si="1">E6*D6</f>
        <v>0</v>
      </c>
    </row>
    <row r="7" spans="2:17" x14ac:dyDescent="0.25">
      <c r="C7" s="24">
        <f t="shared" ref="C7:C14" si="2">C6+1</f>
        <v>3</v>
      </c>
      <c r="D7" s="40">
        <v>486.45256787423659</v>
      </c>
      <c r="E7" s="26">
        <f t="shared" si="0"/>
        <v>0.71178024781341098</v>
      </c>
      <c r="F7" s="26">
        <f t="shared" si="1"/>
        <v>346.24732931099425</v>
      </c>
    </row>
    <row r="8" spans="2:17" x14ac:dyDescent="0.25">
      <c r="C8" s="24">
        <f t="shared" si="2"/>
        <v>4</v>
      </c>
      <c r="D8" s="40">
        <v>520.20206261110025</v>
      </c>
      <c r="E8" s="26">
        <f t="shared" si="0"/>
        <v>0.63551807840483121</v>
      </c>
      <c r="F8" s="26">
        <f t="shared" si="1"/>
        <v>330.59781521283611</v>
      </c>
    </row>
    <row r="9" spans="2:17" x14ac:dyDescent="0.25">
      <c r="C9" s="24">
        <f t="shared" si="2"/>
        <v>5</v>
      </c>
      <c r="D9" s="40">
        <v>556.83752103068457</v>
      </c>
      <c r="E9" s="26">
        <f t="shared" si="0"/>
        <v>0.5674268557185993</v>
      </c>
      <c r="F9" s="26">
        <f t="shared" si="1"/>
        <v>315.96456370458077</v>
      </c>
    </row>
    <row r="10" spans="2:17" x14ac:dyDescent="0.25">
      <c r="C10" s="24">
        <f t="shared" si="2"/>
        <v>6</v>
      </c>
      <c r="D10" s="40">
        <v>598.12050346719593</v>
      </c>
      <c r="E10" s="26">
        <f t="shared" si="0"/>
        <v>0.50663112117732079</v>
      </c>
      <c r="F10" s="26">
        <f t="shared" si="1"/>
        <v>303.02646127072904</v>
      </c>
    </row>
    <row r="11" spans="2:17" x14ac:dyDescent="0.25">
      <c r="C11" s="24">
        <f t="shared" si="2"/>
        <v>7</v>
      </c>
      <c r="D11" s="40">
        <v>644.06160936990909</v>
      </c>
      <c r="E11" s="26">
        <f t="shared" si="0"/>
        <v>0.45234921533689348</v>
      </c>
      <c r="F11" s="26">
        <f t="shared" si="1"/>
        <v>291.34076362709516</v>
      </c>
    </row>
    <row r="12" spans="2:17" x14ac:dyDescent="0.25">
      <c r="C12" s="24">
        <f t="shared" si="2"/>
        <v>8</v>
      </c>
      <c r="D12" s="40" t="e">
        <v>#REF!</v>
      </c>
      <c r="E12" s="26">
        <f t="shared" si="0"/>
        <v>0.40388322797936921</v>
      </c>
      <c r="F12" s="26" t="e">
        <f t="shared" si="1"/>
        <v>#REF!</v>
      </c>
    </row>
    <row r="13" spans="2:17" x14ac:dyDescent="0.25">
      <c r="C13" s="24">
        <f t="shared" si="2"/>
        <v>9</v>
      </c>
      <c r="D13" s="40" t="e">
        <v>#REF!</v>
      </c>
      <c r="E13" s="26">
        <f t="shared" si="0"/>
        <v>0.36061002498157962</v>
      </c>
      <c r="F13" s="26" t="e">
        <f t="shared" si="1"/>
        <v>#REF!</v>
      </c>
    </row>
    <row r="14" spans="2:17" x14ac:dyDescent="0.25">
      <c r="C14" s="24">
        <f t="shared" si="2"/>
        <v>10</v>
      </c>
      <c r="D14" s="40" t="e">
        <v>#REF!</v>
      </c>
      <c r="E14" s="26">
        <f t="shared" si="0"/>
        <v>0.3219732365906961</v>
      </c>
      <c r="F14" s="26" t="e">
        <f t="shared" si="1"/>
        <v>#REF!</v>
      </c>
    </row>
    <row r="15" spans="2:17" x14ac:dyDescent="0.25">
      <c r="C15" s="24"/>
      <c r="D15" s="24"/>
      <c r="E15" s="24"/>
      <c r="F15" s="24"/>
    </row>
    <row r="16" spans="2:17" x14ac:dyDescent="0.25">
      <c r="C16" s="24"/>
      <c r="D16" s="24"/>
      <c r="E16" s="24" t="s">
        <v>326</v>
      </c>
      <c r="F16" s="39" t="e">
        <f>SUM(F5:F15)</f>
        <v>#REF!</v>
      </c>
    </row>
    <row r="17" spans="2:6" x14ac:dyDescent="0.25">
      <c r="C17" s="24"/>
      <c r="D17" s="24" t="s">
        <v>328</v>
      </c>
      <c r="E17" s="24" t="s">
        <v>327</v>
      </c>
      <c r="F17" s="39">
        <f>('CoP-MoF'!D6+'CoP-MoF'!D7+'CoP-MoF'!D8)/A</f>
        <v>2976.7440000000001</v>
      </c>
    </row>
    <row r="18" spans="2:6" x14ac:dyDescent="0.25">
      <c r="C18" s="24"/>
      <c r="D18" s="24"/>
      <c r="E18" s="24" t="s">
        <v>329</v>
      </c>
      <c r="F18" s="39" t="e">
        <f>F16-F17</f>
        <v>#REF!</v>
      </c>
    </row>
    <row r="21" spans="2:6" x14ac:dyDescent="0.25">
      <c r="B21" t="s">
        <v>330</v>
      </c>
    </row>
    <row r="22" spans="2:6" x14ac:dyDescent="0.25">
      <c r="C22" s="24" t="s">
        <v>319</v>
      </c>
      <c r="D22" s="24" t="s">
        <v>322</v>
      </c>
      <c r="E22" s="24" t="s">
        <v>324</v>
      </c>
      <c r="F22" s="24" t="s">
        <v>325</v>
      </c>
    </row>
    <row r="23" spans="2:6" x14ac:dyDescent="0.25">
      <c r="C23" s="24"/>
      <c r="D23" s="24"/>
      <c r="E23" s="43">
        <v>0.16869999999999999</v>
      </c>
      <c r="F23" s="24"/>
    </row>
    <row r="24" spans="2:6" x14ac:dyDescent="0.25">
      <c r="C24" s="24">
        <v>1</v>
      </c>
      <c r="D24" s="39">
        <f>D5</f>
        <v>0</v>
      </c>
      <c r="E24" s="26">
        <f>(1/(1+$E$23))^C24</f>
        <v>0.85565157867716257</v>
      </c>
      <c r="F24" s="26">
        <f>E24*D24</f>
        <v>0</v>
      </c>
    </row>
    <row r="25" spans="2:6" x14ac:dyDescent="0.25">
      <c r="C25" s="24">
        <f>C24+1</f>
        <v>2</v>
      </c>
      <c r="D25" s="39">
        <f t="shared" ref="D25:D30" si="3">D6</f>
        <v>0</v>
      </c>
      <c r="E25" s="26">
        <f t="shared" ref="E25:E30" si="4">(1/(1+$E$23))^C25</f>
        <v>0.73213962409272049</v>
      </c>
      <c r="F25" s="26">
        <f t="shared" ref="F25:F30" si="5">E25*D25</f>
        <v>0</v>
      </c>
    </row>
    <row r="26" spans="2:6" x14ac:dyDescent="0.25">
      <c r="C26" s="24">
        <f t="shared" ref="C26:C30" si="6">C25+1</f>
        <v>3</v>
      </c>
      <c r="D26" s="39">
        <f t="shared" si="3"/>
        <v>486.45256787423659</v>
      </c>
      <c r="E26" s="26">
        <f t="shared" si="4"/>
        <v>0.6264564251670407</v>
      </c>
      <c r="F26" s="26">
        <f t="shared" si="5"/>
        <v>304.74133668382149</v>
      </c>
    </row>
    <row r="27" spans="2:6" x14ac:dyDescent="0.25">
      <c r="C27" s="24">
        <f t="shared" si="6"/>
        <v>4</v>
      </c>
      <c r="D27" s="39">
        <f t="shared" si="3"/>
        <v>520.20206261110025</v>
      </c>
      <c r="E27" s="26">
        <f t="shared" si="4"/>
        <v>0.53602842916663007</v>
      </c>
      <c r="F27" s="26">
        <f t="shared" si="5"/>
        <v>278.84309447066903</v>
      </c>
    </row>
    <row r="28" spans="2:6" x14ac:dyDescent="0.25">
      <c r="C28" s="24">
        <f t="shared" si="6"/>
        <v>5</v>
      </c>
      <c r="D28" s="39">
        <f t="shared" si="3"/>
        <v>556.83752103068457</v>
      </c>
      <c r="E28" s="26">
        <f t="shared" si="4"/>
        <v>0.45865357163226661</v>
      </c>
      <c r="F28" s="26">
        <f t="shared" si="5"/>
        <v>255.39551783958086</v>
      </c>
    </row>
    <row r="29" spans="2:6" x14ac:dyDescent="0.25">
      <c r="C29" s="24">
        <f t="shared" si="6"/>
        <v>6</v>
      </c>
      <c r="D29" s="39">
        <f t="shared" si="3"/>
        <v>598.12050346719593</v>
      </c>
      <c r="E29" s="26">
        <f t="shared" si="4"/>
        <v>0.39244765263306797</v>
      </c>
      <c r="F29" s="26">
        <f t="shared" si="5"/>
        <v>234.73098757740982</v>
      </c>
    </row>
    <row r="30" spans="2:6" x14ac:dyDescent="0.25">
      <c r="C30" s="24">
        <f t="shared" si="6"/>
        <v>7</v>
      </c>
      <c r="D30" s="39">
        <f t="shared" si="3"/>
        <v>644.06160936990909</v>
      </c>
      <c r="E30" s="26">
        <f t="shared" si="4"/>
        <v>0.33579845352363136</v>
      </c>
      <c r="F30" s="26">
        <f t="shared" si="5"/>
        <v>216.27489240035663</v>
      </c>
    </row>
    <row r="31" spans="2:6" x14ac:dyDescent="0.25">
      <c r="C31" s="24"/>
      <c r="D31" s="39"/>
      <c r="E31" s="26"/>
      <c r="F31" s="26"/>
    </row>
    <row r="32" spans="2:6" x14ac:dyDescent="0.25">
      <c r="C32" s="24"/>
      <c r="D32" s="39"/>
      <c r="E32" s="26"/>
      <c r="F32" s="26"/>
    </row>
    <row r="33" spans="3:6" x14ac:dyDescent="0.25">
      <c r="C33" s="24"/>
      <c r="D33" s="39"/>
      <c r="E33" s="26"/>
      <c r="F33" s="26"/>
    </row>
    <row r="34" spans="3:6" x14ac:dyDescent="0.25">
      <c r="C34" s="24"/>
      <c r="D34" s="24"/>
      <c r="E34" s="24"/>
      <c r="F34" s="24"/>
    </row>
    <row r="35" spans="3:6" x14ac:dyDescent="0.25">
      <c r="C35" s="24"/>
      <c r="D35" s="24"/>
      <c r="E35" s="24" t="s">
        <v>326</v>
      </c>
      <c r="F35" s="39">
        <f>SUM(F24:F34)</f>
        <v>1289.9858289718377</v>
      </c>
    </row>
    <row r="36" spans="3:6" x14ac:dyDescent="0.25">
      <c r="C36" s="24"/>
      <c r="D36" s="24" t="s">
        <v>328</v>
      </c>
      <c r="E36" s="24" t="s">
        <v>327</v>
      </c>
      <c r="F36" s="39">
        <f>F17</f>
        <v>2976.7440000000001</v>
      </c>
    </row>
    <row r="37" spans="3:6" x14ac:dyDescent="0.25">
      <c r="C37" s="24"/>
      <c r="D37" s="24"/>
      <c r="E37" s="24" t="s">
        <v>329</v>
      </c>
      <c r="F37" s="39">
        <f>F35-F36</f>
        <v>-1686.7581710281625</v>
      </c>
    </row>
  </sheetData>
  <customSheetViews>
    <customSheetView guid="{22475485-DA09-46DB-978D-BB94CE1E5597}" showPageBreaks="1" view="pageBreakPreview" topLeftCell="A27">
      <selection activeCell="E50" sqref="E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72"/>
  <sheetViews>
    <sheetView zoomScale="120" zoomScaleNormal="120" workbookViewId="0">
      <selection activeCell="C2" sqref="C2"/>
    </sheetView>
  </sheetViews>
  <sheetFormatPr defaultColWidth="13" defaultRowHeight="15" x14ac:dyDescent="0.25"/>
  <cols>
    <col min="1" max="1" width="7.28515625" style="12" customWidth="1"/>
    <col min="2" max="2" width="46.85546875" style="5" customWidth="1"/>
    <col min="3" max="3" width="17.140625" style="12" customWidth="1"/>
    <col min="4" max="4" width="14.85546875" style="12" customWidth="1"/>
    <col min="5" max="9" width="13" style="12"/>
    <col min="10" max="10" width="13.28515625" style="12" customWidth="1"/>
    <col min="11" max="16384" width="13" style="12"/>
  </cols>
  <sheetData>
    <row r="1" spans="1:6" ht="24" customHeight="1" x14ac:dyDescent="0.25">
      <c r="A1" s="376" t="s">
        <v>260</v>
      </c>
      <c r="B1" s="376"/>
      <c r="C1" s="376"/>
      <c r="D1" s="376"/>
    </row>
    <row r="2" spans="1:6" s="4" customFormat="1" ht="20.25" customHeight="1" x14ac:dyDescent="0.25">
      <c r="A2" s="16" t="s">
        <v>0</v>
      </c>
      <c r="B2" s="22" t="s">
        <v>261</v>
      </c>
      <c r="C2" s="16" t="s">
        <v>2</v>
      </c>
      <c r="D2" s="16" t="s">
        <v>3</v>
      </c>
    </row>
    <row r="3" spans="1:6" ht="21.75" customHeight="1" x14ac:dyDescent="0.25">
      <c r="A3" s="18" t="s">
        <v>90</v>
      </c>
      <c r="B3" s="379" t="s">
        <v>262</v>
      </c>
      <c r="C3" s="382"/>
      <c r="D3" s="382"/>
    </row>
    <row r="4" spans="1:6" s="6" customFormat="1" ht="20.25" customHeight="1" x14ac:dyDescent="0.25">
      <c r="A4" s="19">
        <v>1</v>
      </c>
      <c r="B4" s="20" t="s">
        <v>263</v>
      </c>
      <c r="C4" s="21">
        <v>10000</v>
      </c>
      <c r="D4" s="19" t="s">
        <v>189</v>
      </c>
      <c r="F4" s="17"/>
    </row>
    <row r="5" spans="1:6" s="6" customFormat="1" ht="20.25" customHeight="1" x14ac:dyDescent="0.25">
      <c r="A5" s="19">
        <v>2</v>
      </c>
      <c r="B5" s="20" t="s">
        <v>264</v>
      </c>
      <c r="C5" s="21">
        <v>4070</v>
      </c>
      <c r="D5" s="19" t="s">
        <v>312</v>
      </c>
      <c r="F5" s="17"/>
    </row>
    <row r="6" spans="1:6" s="6" customFormat="1" ht="20.25" customHeight="1" x14ac:dyDescent="0.25">
      <c r="A6" s="19">
        <v>3</v>
      </c>
      <c r="B6" s="20" t="s">
        <v>265</v>
      </c>
      <c r="C6" s="21">
        <v>7000</v>
      </c>
      <c r="D6" s="19" t="s">
        <v>312</v>
      </c>
      <c r="F6" s="17"/>
    </row>
    <row r="7" spans="1:6" s="6" customFormat="1" ht="20.25" customHeight="1" x14ac:dyDescent="0.25">
      <c r="A7" s="19">
        <v>4</v>
      </c>
      <c r="B7" s="20" t="s">
        <v>173</v>
      </c>
      <c r="C7" s="21">
        <v>40000</v>
      </c>
      <c r="D7" s="19" t="s">
        <v>312</v>
      </c>
      <c r="F7" s="17"/>
    </row>
    <row r="8" spans="1:6" s="6" customFormat="1" ht="20.25" customHeight="1" x14ac:dyDescent="0.25">
      <c r="A8" s="19">
        <v>5</v>
      </c>
      <c r="B8" s="20" t="s">
        <v>174</v>
      </c>
      <c r="C8" s="21">
        <v>39700</v>
      </c>
      <c r="D8" s="19" t="s">
        <v>313</v>
      </c>
      <c r="F8" s="17"/>
    </row>
    <row r="9" spans="1:6" s="6" customFormat="1" ht="20.25" customHeight="1" x14ac:dyDescent="0.25">
      <c r="A9" s="19">
        <v>6</v>
      </c>
      <c r="B9" s="20" t="s">
        <v>266</v>
      </c>
      <c r="C9" s="21">
        <v>300</v>
      </c>
      <c r="D9" s="19" t="s">
        <v>230</v>
      </c>
      <c r="F9" s="17"/>
    </row>
    <row r="10" spans="1:6" s="6" customFormat="1" ht="20.25" customHeight="1" x14ac:dyDescent="0.25">
      <c r="A10" s="19">
        <v>7</v>
      </c>
      <c r="B10" s="20" t="s">
        <v>187</v>
      </c>
      <c r="C10" s="21">
        <v>1</v>
      </c>
      <c r="D10" s="19"/>
      <c r="F10" s="17"/>
    </row>
    <row r="11" spans="1:6" ht="21.75" customHeight="1" x14ac:dyDescent="0.25">
      <c r="A11" s="18" t="s">
        <v>91</v>
      </c>
      <c r="B11" s="379" t="s">
        <v>267</v>
      </c>
      <c r="C11" s="382"/>
      <c r="D11" s="382"/>
    </row>
    <row r="12" spans="1:6" s="6" customFormat="1" ht="20.25" customHeight="1" x14ac:dyDescent="0.25">
      <c r="A12" s="19">
        <v>1</v>
      </c>
      <c r="B12" s="20" t="s">
        <v>268</v>
      </c>
      <c r="C12" s="21">
        <f>'Det Assump'!D53</f>
        <v>3500</v>
      </c>
      <c r="D12" s="19" t="s">
        <v>314</v>
      </c>
      <c r="F12" s="17"/>
    </row>
    <row r="13" spans="1:6" s="6" customFormat="1" ht="20.25" customHeight="1" x14ac:dyDescent="0.25">
      <c r="A13" s="19">
        <v>2</v>
      </c>
      <c r="B13" s="20" t="s">
        <v>269</v>
      </c>
      <c r="C13" s="21">
        <f>'Det Assump'!D54</f>
        <v>42000</v>
      </c>
      <c r="D13" s="19" t="s">
        <v>314</v>
      </c>
      <c r="F13" s="17"/>
    </row>
    <row r="14" spans="1:6" s="6" customFormat="1" ht="20.25" customHeight="1" x14ac:dyDescent="0.25">
      <c r="A14" s="19">
        <v>3</v>
      </c>
      <c r="B14" s="20" t="s">
        <v>270</v>
      </c>
      <c r="C14" s="21" t="e">
        <f>'Det Assump'!#REF!</f>
        <v>#REF!</v>
      </c>
      <c r="D14" s="19" t="s">
        <v>314</v>
      </c>
      <c r="F14" s="17"/>
    </row>
    <row r="15" spans="1:6" s="6" customFormat="1" ht="20.25" customHeight="1" x14ac:dyDescent="0.25">
      <c r="A15" s="19">
        <v>4</v>
      </c>
      <c r="B15" s="20" t="s">
        <v>271</v>
      </c>
      <c r="C15" s="21">
        <f>Assump!G16</f>
        <v>17024000</v>
      </c>
      <c r="D15" s="19" t="s">
        <v>230</v>
      </c>
      <c r="F15" s="17"/>
    </row>
    <row r="16" spans="1:6" s="6" customFormat="1" ht="20.25" customHeight="1" x14ac:dyDescent="0.25">
      <c r="A16" s="19">
        <v>5</v>
      </c>
      <c r="B16" s="20" t="s">
        <v>272</v>
      </c>
      <c r="C16" s="21">
        <f>C4*365</f>
        <v>3650000</v>
      </c>
      <c r="D16" s="19" t="s">
        <v>198</v>
      </c>
      <c r="F16" s="17"/>
    </row>
    <row r="17" spans="1:6" s="6" customFormat="1" ht="20.25" customHeight="1" x14ac:dyDescent="0.25">
      <c r="A17" s="19">
        <v>6</v>
      </c>
      <c r="B17" s="20" t="s">
        <v>273</v>
      </c>
      <c r="C17" s="21">
        <f>C5*365</f>
        <v>1485550</v>
      </c>
      <c r="D17" s="19" t="s">
        <v>198</v>
      </c>
      <c r="F17" s="17"/>
    </row>
    <row r="18" spans="1:6" s="6" customFormat="1" ht="20.25" customHeight="1" x14ac:dyDescent="0.25">
      <c r="A18" s="19">
        <v>7</v>
      </c>
      <c r="B18" s="20" t="s">
        <v>274</v>
      </c>
      <c r="C18" s="21">
        <f>C6*356</f>
        <v>2492000</v>
      </c>
      <c r="D18" s="19" t="s">
        <v>188</v>
      </c>
      <c r="F18" s="17"/>
    </row>
    <row r="19" spans="1:6" s="6" customFormat="1" ht="20.25" customHeight="1" x14ac:dyDescent="0.25">
      <c r="A19" s="19">
        <v>8</v>
      </c>
      <c r="B19" s="20" t="s">
        <v>275</v>
      </c>
      <c r="C19" s="21">
        <f>C7*365</f>
        <v>14600000</v>
      </c>
      <c r="D19" s="19" t="s">
        <v>188</v>
      </c>
      <c r="F19" s="17"/>
    </row>
    <row r="20" spans="1:6" s="6" customFormat="1" ht="20.25" customHeight="1" x14ac:dyDescent="0.25">
      <c r="A20" s="19">
        <v>9</v>
      </c>
      <c r="B20" s="20" t="s">
        <v>276</v>
      </c>
      <c r="C20" s="21">
        <f>C8*365/1000</f>
        <v>14490.5</v>
      </c>
      <c r="D20" s="19" t="s">
        <v>208</v>
      </c>
      <c r="F20" s="17"/>
    </row>
    <row r="21" spans="1:6" s="6" customFormat="1" ht="20.25" customHeight="1" x14ac:dyDescent="0.25">
      <c r="A21" s="19">
        <v>10</v>
      </c>
      <c r="B21" s="20" t="s">
        <v>180</v>
      </c>
      <c r="C21" s="21" t="e">
        <f>'Det Assump'!#REF!</f>
        <v>#REF!</v>
      </c>
      <c r="D21" s="19" t="s">
        <v>202</v>
      </c>
      <c r="F21" s="17"/>
    </row>
    <row r="22" spans="1:6" ht="21.75" customHeight="1" x14ac:dyDescent="0.25">
      <c r="A22" s="18" t="s">
        <v>94</v>
      </c>
      <c r="B22" s="379" t="s">
        <v>277</v>
      </c>
      <c r="C22" s="382"/>
      <c r="D22" s="382"/>
    </row>
    <row r="23" spans="1:6" s="6" customFormat="1" ht="33" customHeight="1" x14ac:dyDescent="0.25">
      <c r="A23" s="19">
        <v>1</v>
      </c>
      <c r="B23" s="20" t="s">
        <v>278</v>
      </c>
      <c r="C23" s="21">
        <v>56</v>
      </c>
      <c r="D23" s="19" t="s">
        <v>196</v>
      </c>
      <c r="F23" s="17"/>
    </row>
    <row r="24" spans="1:6" s="6" customFormat="1" ht="33.75" customHeight="1" x14ac:dyDescent="0.25">
      <c r="A24" s="19">
        <v>2</v>
      </c>
      <c r="B24" s="20" t="s">
        <v>278</v>
      </c>
      <c r="C24" s="21">
        <v>8</v>
      </c>
      <c r="D24" s="19" t="s">
        <v>196</v>
      </c>
      <c r="F24" s="17"/>
    </row>
    <row r="25" spans="1:6" s="6" customFormat="1" ht="20.25" customHeight="1" x14ac:dyDescent="0.25">
      <c r="A25" s="19">
        <v>3</v>
      </c>
      <c r="B25" s="20" t="s">
        <v>279</v>
      </c>
      <c r="C25" s="21">
        <v>250</v>
      </c>
      <c r="D25" s="19" t="s">
        <v>209</v>
      </c>
      <c r="F25" s="17"/>
    </row>
    <row r="26" spans="1:6" s="6" customFormat="1" ht="20.25" customHeight="1" x14ac:dyDescent="0.25">
      <c r="A26" s="19">
        <v>4</v>
      </c>
      <c r="B26" s="20" t="s">
        <v>280</v>
      </c>
      <c r="C26" s="21">
        <v>1000</v>
      </c>
      <c r="D26" s="19" t="s">
        <v>315</v>
      </c>
      <c r="F26" s="17"/>
    </row>
    <row r="27" spans="1:6" s="6" customFormat="1" ht="20.25" customHeight="1" x14ac:dyDescent="0.25">
      <c r="A27" s="19">
        <v>5</v>
      </c>
      <c r="B27" s="20" t="s">
        <v>316</v>
      </c>
      <c r="C27" s="21">
        <v>500</v>
      </c>
      <c r="D27" s="19" t="s">
        <v>315</v>
      </c>
      <c r="F27" s="17"/>
    </row>
    <row r="28" spans="1:6" s="6" customFormat="1" ht="20.25" customHeight="1" x14ac:dyDescent="0.25">
      <c r="A28" s="19">
        <v>6</v>
      </c>
      <c r="B28" s="20" t="s">
        <v>281</v>
      </c>
      <c r="C28" s="21">
        <v>500</v>
      </c>
      <c r="D28" s="19" t="s">
        <v>315</v>
      </c>
      <c r="F28" s="17"/>
    </row>
    <row r="29" spans="1:6" s="6" customFormat="1" ht="20.25" customHeight="1" x14ac:dyDescent="0.25">
      <c r="A29" s="19">
        <v>7</v>
      </c>
      <c r="B29" s="20" t="s">
        <v>282</v>
      </c>
      <c r="C29" s="21">
        <v>20</v>
      </c>
      <c r="D29" s="19" t="s">
        <v>196</v>
      </c>
      <c r="F29" s="17"/>
    </row>
    <row r="30" spans="1:6" s="6" customFormat="1" ht="20.25" customHeight="1" x14ac:dyDescent="0.25">
      <c r="A30" s="19">
        <v>8</v>
      </c>
      <c r="B30" s="20" t="s">
        <v>283</v>
      </c>
      <c r="C30" s="21"/>
      <c r="D30" s="19"/>
      <c r="F30" s="17"/>
    </row>
    <row r="31" spans="1:6" s="6" customFormat="1" ht="20.25" customHeight="1" x14ac:dyDescent="0.25">
      <c r="A31" s="19">
        <v>9</v>
      </c>
      <c r="B31" s="20" t="s">
        <v>284</v>
      </c>
      <c r="C31" s="21"/>
      <c r="D31" s="19"/>
      <c r="F31" s="17"/>
    </row>
    <row r="32" spans="1:6" s="6" customFormat="1" ht="18" customHeight="1" x14ac:dyDescent="0.25">
      <c r="A32" s="383"/>
      <c r="B32" s="384"/>
      <c r="C32" s="384"/>
      <c r="D32" s="384"/>
      <c r="E32" s="384"/>
      <c r="F32" s="17"/>
    </row>
    <row r="33" spans="1:6" ht="21.75" customHeight="1" x14ac:dyDescent="0.25">
      <c r="A33" s="18" t="s">
        <v>99</v>
      </c>
      <c r="B33" s="379" t="s">
        <v>285</v>
      </c>
      <c r="C33" s="382"/>
      <c r="D33" s="382"/>
    </row>
    <row r="34" spans="1:6" s="6" customFormat="1" ht="18" customHeight="1" x14ac:dyDescent="0.25">
      <c r="A34" s="19" t="s">
        <v>96</v>
      </c>
      <c r="B34" s="15" t="s">
        <v>111</v>
      </c>
      <c r="C34" s="21"/>
      <c r="D34" s="19"/>
      <c r="F34" s="17"/>
    </row>
    <row r="35" spans="1:6" s="6" customFormat="1" ht="18" customHeight="1" x14ac:dyDescent="0.25">
      <c r="A35" s="19">
        <v>1</v>
      </c>
      <c r="B35" s="20" t="s">
        <v>286</v>
      </c>
      <c r="C35" s="21"/>
      <c r="D35" s="19"/>
      <c r="F35" s="17"/>
    </row>
    <row r="36" spans="1:6" s="6" customFormat="1" ht="18" customHeight="1" x14ac:dyDescent="0.25">
      <c r="A36" s="19">
        <v>2</v>
      </c>
      <c r="B36" s="20" t="s">
        <v>69</v>
      </c>
      <c r="C36" s="21"/>
      <c r="D36" s="19"/>
      <c r="F36" s="17"/>
    </row>
    <row r="37" spans="1:6" s="6" customFormat="1" ht="18" customHeight="1" x14ac:dyDescent="0.25">
      <c r="A37" s="19">
        <v>3</v>
      </c>
      <c r="B37" s="20" t="s">
        <v>71</v>
      </c>
      <c r="C37" s="21"/>
      <c r="D37" s="19"/>
      <c r="F37" s="17"/>
    </row>
    <row r="38" spans="1:6" s="6" customFormat="1" ht="18" customHeight="1" x14ac:dyDescent="0.25">
      <c r="A38" s="19">
        <v>4</v>
      </c>
      <c r="B38" s="20" t="s">
        <v>115</v>
      </c>
      <c r="C38" s="21"/>
      <c r="D38" s="19"/>
      <c r="F38" s="17"/>
    </row>
    <row r="39" spans="1:6" s="6" customFormat="1" ht="18" customHeight="1" x14ac:dyDescent="0.25">
      <c r="A39" s="19">
        <v>5</v>
      </c>
      <c r="B39" s="20" t="s">
        <v>287</v>
      </c>
      <c r="C39" s="21"/>
      <c r="D39" s="19"/>
      <c r="F39" s="17"/>
    </row>
    <row r="40" spans="1:6" s="6" customFormat="1" ht="18" customHeight="1" x14ac:dyDescent="0.25">
      <c r="A40" s="19">
        <v>6</v>
      </c>
      <c r="B40" s="20" t="s">
        <v>288</v>
      </c>
      <c r="C40" s="21"/>
      <c r="D40" s="19"/>
      <c r="F40" s="17"/>
    </row>
    <row r="41" spans="1:6" s="6" customFormat="1" ht="18" customHeight="1" x14ac:dyDescent="0.25">
      <c r="A41" s="19"/>
      <c r="B41" s="16" t="s">
        <v>311</v>
      </c>
      <c r="C41" s="21"/>
      <c r="D41" s="19"/>
      <c r="F41" s="17"/>
    </row>
    <row r="42" spans="1:6" s="6" customFormat="1" ht="18" customHeight="1" x14ac:dyDescent="0.25">
      <c r="A42" s="19" t="s">
        <v>97</v>
      </c>
      <c r="B42" s="15" t="s">
        <v>289</v>
      </c>
      <c r="C42" s="21"/>
      <c r="D42" s="19"/>
      <c r="F42" s="17"/>
    </row>
    <row r="43" spans="1:6" s="6" customFormat="1" ht="18" customHeight="1" x14ac:dyDescent="0.25">
      <c r="A43" s="19">
        <v>1</v>
      </c>
      <c r="B43" s="20" t="s">
        <v>290</v>
      </c>
      <c r="C43" s="21"/>
      <c r="D43" s="19"/>
      <c r="F43" s="17"/>
    </row>
    <row r="44" spans="1:6" s="6" customFormat="1" ht="18" customHeight="1" x14ac:dyDescent="0.25">
      <c r="A44" s="19">
        <v>2</v>
      </c>
      <c r="B44" s="20" t="s">
        <v>291</v>
      </c>
      <c r="C44" s="21"/>
      <c r="D44" s="19"/>
      <c r="F44" s="17"/>
    </row>
    <row r="45" spans="1:6" s="6" customFormat="1" ht="18" customHeight="1" x14ac:dyDescent="0.25">
      <c r="A45" s="19"/>
      <c r="B45" s="20" t="s">
        <v>114</v>
      </c>
      <c r="C45" s="21"/>
      <c r="D45" s="19"/>
      <c r="F45" s="17"/>
    </row>
    <row r="46" spans="1:6" s="6" customFormat="1" ht="18" customHeight="1" x14ac:dyDescent="0.25">
      <c r="A46" s="19"/>
      <c r="B46" s="16" t="s">
        <v>292</v>
      </c>
      <c r="C46" s="21"/>
      <c r="D46" s="19"/>
      <c r="F46" s="17"/>
    </row>
    <row r="47" spans="1:6" s="6" customFormat="1" ht="18" customHeight="1" x14ac:dyDescent="0.25">
      <c r="A47" s="19"/>
      <c r="B47" s="20"/>
      <c r="C47" s="21"/>
      <c r="D47" s="19"/>
      <c r="F47" s="17"/>
    </row>
    <row r="48" spans="1:6" ht="21.75" customHeight="1" x14ac:dyDescent="0.25">
      <c r="A48" s="18" t="s">
        <v>101</v>
      </c>
      <c r="B48" s="379" t="s">
        <v>293</v>
      </c>
      <c r="C48" s="382"/>
      <c r="D48" s="382"/>
    </row>
    <row r="49" spans="1:6" s="6" customFormat="1" ht="18" customHeight="1" x14ac:dyDescent="0.25">
      <c r="A49" s="19">
        <v>1</v>
      </c>
      <c r="B49" s="20" t="s">
        <v>294</v>
      </c>
      <c r="C49" s="21"/>
      <c r="D49" s="19"/>
      <c r="F49" s="17"/>
    </row>
    <row r="50" spans="1:6" s="6" customFormat="1" ht="18" customHeight="1" x14ac:dyDescent="0.25">
      <c r="A50" s="19">
        <v>2</v>
      </c>
      <c r="B50" s="20" t="s">
        <v>295</v>
      </c>
      <c r="C50" s="21"/>
      <c r="D50" s="19"/>
      <c r="F50" s="17"/>
    </row>
    <row r="51" spans="1:6" s="6" customFormat="1" ht="18" customHeight="1" x14ac:dyDescent="0.25">
      <c r="A51" s="19">
        <v>3</v>
      </c>
      <c r="B51" s="20" t="s">
        <v>296</v>
      </c>
      <c r="C51" s="21"/>
      <c r="D51" s="19"/>
      <c r="F51" s="17"/>
    </row>
    <row r="52" spans="1:6" s="6" customFormat="1" ht="18" customHeight="1" x14ac:dyDescent="0.25">
      <c r="A52" s="19">
        <v>4</v>
      </c>
      <c r="B52" s="20" t="s">
        <v>297</v>
      </c>
      <c r="C52" s="21"/>
      <c r="D52" s="19"/>
      <c r="F52" s="17"/>
    </row>
    <row r="53" spans="1:6" s="6" customFormat="1" ht="18" customHeight="1" x14ac:dyDescent="0.25">
      <c r="A53" s="19"/>
      <c r="B53" s="20" t="s">
        <v>298</v>
      </c>
      <c r="C53" s="21"/>
      <c r="D53" s="19"/>
      <c r="F53" s="17"/>
    </row>
    <row r="54" spans="1:6" s="6" customFormat="1" ht="18" customHeight="1" x14ac:dyDescent="0.25">
      <c r="A54" s="19">
        <v>1</v>
      </c>
      <c r="B54" s="20" t="s">
        <v>51</v>
      </c>
      <c r="C54" s="21"/>
      <c r="D54" s="19"/>
      <c r="F54" s="17"/>
    </row>
    <row r="55" spans="1:6" s="6" customFormat="1" ht="18" customHeight="1" x14ac:dyDescent="0.25">
      <c r="A55" s="19">
        <v>2</v>
      </c>
      <c r="B55" s="20" t="s">
        <v>299</v>
      </c>
      <c r="C55" s="21"/>
      <c r="D55" s="19"/>
      <c r="F55" s="17"/>
    </row>
    <row r="56" spans="1:6" s="6" customFormat="1" ht="18" customHeight="1" x14ac:dyDescent="0.25">
      <c r="A56" s="19">
        <v>3</v>
      </c>
      <c r="B56" s="20" t="s">
        <v>300</v>
      </c>
      <c r="C56" s="21"/>
      <c r="D56" s="19"/>
      <c r="F56" s="17"/>
    </row>
    <row r="57" spans="1:6" s="6" customFormat="1" ht="18" customHeight="1" x14ac:dyDescent="0.25">
      <c r="A57" s="19">
        <v>4</v>
      </c>
      <c r="B57" s="20" t="s">
        <v>301</v>
      </c>
      <c r="C57" s="21"/>
      <c r="D57" s="19"/>
      <c r="F57" s="17"/>
    </row>
    <row r="58" spans="1:6" s="6" customFormat="1" ht="18" customHeight="1" x14ac:dyDescent="0.25">
      <c r="A58" s="19">
        <v>5</v>
      </c>
      <c r="B58" s="20" t="s">
        <v>52</v>
      </c>
      <c r="C58" s="21"/>
      <c r="D58" s="19"/>
      <c r="F58" s="17"/>
    </row>
    <row r="59" spans="1:6" s="6" customFormat="1" ht="18" customHeight="1" x14ac:dyDescent="0.25">
      <c r="A59" s="19">
        <v>6</v>
      </c>
      <c r="B59" s="20" t="s">
        <v>75</v>
      </c>
      <c r="C59" s="21"/>
      <c r="D59" s="19"/>
      <c r="F59" s="17"/>
    </row>
    <row r="60" spans="1:6" s="6" customFormat="1" ht="18" customHeight="1" x14ac:dyDescent="0.25">
      <c r="A60" s="19">
        <v>7</v>
      </c>
      <c r="B60" s="20" t="s">
        <v>56</v>
      </c>
      <c r="C60" s="21"/>
      <c r="D60" s="19"/>
      <c r="F60" s="17"/>
    </row>
    <row r="61" spans="1:6" s="6" customFormat="1" ht="18" customHeight="1" x14ac:dyDescent="0.25">
      <c r="A61" s="19">
        <v>8</v>
      </c>
      <c r="B61" s="20" t="s">
        <v>59</v>
      </c>
      <c r="C61" s="21"/>
      <c r="D61" s="19"/>
      <c r="F61" s="17"/>
    </row>
    <row r="62" spans="1:6" s="6" customFormat="1" ht="18" customHeight="1" x14ac:dyDescent="0.25">
      <c r="A62" s="19">
        <v>9</v>
      </c>
      <c r="B62" s="20" t="s">
        <v>61</v>
      </c>
      <c r="C62" s="21"/>
      <c r="D62" s="19"/>
      <c r="F62" s="17"/>
    </row>
    <row r="63" spans="1:6" s="6" customFormat="1" ht="18" customHeight="1" x14ac:dyDescent="0.25">
      <c r="A63" s="19">
        <v>10</v>
      </c>
      <c r="B63" s="20" t="s">
        <v>302</v>
      </c>
      <c r="C63" s="21"/>
      <c r="D63" s="19"/>
      <c r="F63" s="17"/>
    </row>
    <row r="64" spans="1:6" s="6" customFormat="1" ht="18" customHeight="1" x14ac:dyDescent="0.25">
      <c r="A64" s="19">
        <v>11</v>
      </c>
      <c r="B64" s="20" t="s">
        <v>303</v>
      </c>
      <c r="C64" s="21"/>
      <c r="D64" s="19"/>
      <c r="F64" s="17"/>
    </row>
    <row r="65" spans="1:6" s="6" customFormat="1" ht="18" customHeight="1" x14ac:dyDescent="0.25">
      <c r="A65" s="19">
        <v>12</v>
      </c>
      <c r="B65" s="20" t="s">
        <v>64</v>
      </c>
      <c r="C65" s="21"/>
      <c r="D65" s="19"/>
      <c r="F65" s="17"/>
    </row>
    <row r="66" spans="1:6" s="6" customFormat="1" ht="18" customHeight="1" x14ac:dyDescent="0.25">
      <c r="A66" s="19">
        <v>13</v>
      </c>
      <c r="B66" s="20" t="s">
        <v>304</v>
      </c>
      <c r="C66" s="21"/>
      <c r="D66" s="19"/>
      <c r="F66" s="17"/>
    </row>
    <row r="67" spans="1:6" s="6" customFormat="1" ht="18" customHeight="1" x14ac:dyDescent="0.25">
      <c r="A67" s="19">
        <v>14</v>
      </c>
      <c r="B67" s="20" t="s">
        <v>305</v>
      </c>
      <c r="C67" s="21"/>
      <c r="D67" s="19"/>
      <c r="F67" s="17"/>
    </row>
    <row r="68" spans="1:6" s="6" customFormat="1" ht="18" customHeight="1" x14ac:dyDescent="0.25">
      <c r="A68" s="19">
        <v>15</v>
      </c>
      <c r="B68" s="20" t="s">
        <v>306</v>
      </c>
      <c r="C68" s="21"/>
      <c r="D68" s="19"/>
      <c r="F68" s="17"/>
    </row>
    <row r="69" spans="1:6" s="6" customFormat="1" ht="18" customHeight="1" x14ac:dyDescent="0.25">
      <c r="A69" s="19">
        <v>16</v>
      </c>
      <c r="B69" s="20" t="s">
        <v>307</v>
      </c>
      <c r="C69" s="21"/>
      <c r="D69" s="19"/>
      <c r="F69" s="17"/>
    </row>
    <row r="70" spans="1:6" s="6" customFormat="1" ht="18" customHeight="1" x14ac:dyDescent="0.25">
      <c r="A70" s="19">
        <v>17</v>
      </c>
      <c r="B70" s="20" t="s">
        <v>308</v>
      </c>
      <c r="C70" s="21"/>
      <c r="D70" s="19"/>
      <c r="F70" s="17"/>
    </row>
    <row r="71" spans="1:6" s="6" customFormat="1" ht="18" customHeight="1" x14ac:dyDescent="0.25">
      <c r="A71" s="19">
        <v>18</v>
      </c>
      <c r="B71" s="20" t="s">
        <v>309</v>
      </c>
      <c r="C71" s="21"/>
      <c r="D71" s="19"/>
      <c r="F71" s="17"/>
    </row>
    <row r="72" spans="1:6" s="6" customFormat="1" ht="18" customHeight="1" x14ac:dyDescent="0.25">
      <c r="A72" s="19">
        <v>19</v>
      </c>
      <c r="B72" s="20" t="s">
        <v>310</v>
      </c>
      <c r="C72" s="21"/>
      <c r="D72" s="19"/>
      <c r="F72" s="17"/>
    </row>
  </sheetData>
  <customSheetViews>
    <customSheetView guid="{22475485-DA09-46DB-978D-BB94CE1E5597}" scale="120" state="hidden" topLeftCell="A83">
      <selection activeCell="A101" sqref="A101"/>
      <pageMargins left="0.7" right="0.7" top="0.75" bottom="0.75" header="0.3" footer="0.3"/>
      <pageSetup paperSize="9" orientation="portrait" verticalDpi="0" r:id="rId1"/>
    </customSheetView>
  </customSheetViews>
  <mergeCells count="7">
    <mergeCell ref="B33:D33"/>
    <mergeCell ref="B48:D48"/>
    <mergeCell ref="A32:E32"/>
    <mergeCell ref="A1:D1"/>
    <mergeCell ref="B3:D3"/>
    <mergeCell ref="B11:D11"/>
    <mergeCell ref="B22:D22"/>
  </mergeCells>
  <pageMargins left="0.7" right="0.7" top="0.75" bottom="0.75" header="0.3" footer="0.3"/>
  <pageSetup paperSize="9"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55"/>
  <sheetViews>
    <sheetView workbookViewId="0">
      <selection sqref="A1:D1"/>
    </sheetView>
  </sheetViews>
  <sheetFormatPr defaultColWidth="13" defaultRowHeight="15" x14ac:dyDescent="0.25"/>
  <cols>
    <col min="1" max="1" width="8.42578125" style="12" bestFit="1" customWidth="1"/>
    <col min="2" max="2" width="46.85546875" style="5" customWidth="1"/>
    <col min="3" max="3" width="17.140625" style="12" customWidth="1"/>
    <col min="4" max="4" width="14.85546875" style="12" customWidth="1"/>
    <col min="5" max="9" width="13" style="12"/>
    <col min="10" max="10" width="13.28515625" style="12" customWidth="1"/>
    <col min="11" max="16384" width="13" style="12"/>
  </cols>
  <sheetData>
    <row r="1" spans="1:6" ht="26.25" customHeight="1" x14ac:dyDescent="0.25">
      <c r="A1" s="376" t="s">
        <v>260</v>
      </c>
      <c r="B1" s="376"/>
      <c r="C1" s="376"/>
      <c r="D1" s="376"/>
    </row>
    <row r="2" spans="1:6" s="4" customFormat="1" ht="20.25" customHeight="1" x14ac:dyDescent="0.25">
      <c r="A2" s="16" t="s">
        <v>0</v>
      </c>
      <c r="B2" s="22" t="s">
        <v>261</v>
      </c>
      <c r="C2" s="16" t="s">
        <v>2</v>
      </c>
      <c r="D2" s="16" t="s">
        <v>3</v>
      </c>
    </row>
    <row r="3" spans="1:6" ht="21.75" customHeight="1" x14ac:dyDescent="0.25">
      <c r="A3" s="18" t="s">
        <v>90</v>
      </c>
      <c r="B3" s="379" t="s">
        <v>262</v>
      </c>
      <c r="C3" s="382"/>
      <c r="D3" s="382"/>
    </row>
    <row r="4" spans="1:6" s="6" customFormat="1" ht="20.25" customHeight="1" x14ac:dyDescent="0.25">
      <c r="A4" s="19">
        <v>1</v>
      </c>
      <c r="B4" s="20" t="s">
        <v>263</v>
      </c>
      <c r="C4" s="37">
        <f>'Det Assump'!D35</f>
        <v>12700</v>
      </c>
      <c r="D4" s="19" t="s">
        <v>189</v>
      </c>
      <c r="F4" s="17"/>
    </row>
    <row r="5" spans="1:6" s="6" customFormat="1" ht="20.25" customHeight="1" x14ac:dyDescent="0.25">
      <c r="A5" s="19">
        <v>2</v>
      </c>
      <c r="B5" s="20" t="s">
        <v>264</v>
      </c>
      <c r="C5" s="37">
        <f>'Det Assump'!D36</f>
        <v>5000</v>
      </c>
      <c r="D5" s="19" t="s">
        <v>194</v>
      </c>
      <c r="F5" s="17"/>
    </row>
    <row r="6" spans="1:6" s="6" customFormat="1" ht="20.25" customHeight="1" x14ac:dyDescent="0.25">
      <c r="A6" s="19">
        <v>3</v>
      </c>
      <c r="B6" s="20" t="s">
        <v>264</v>
      </c>
      <c r="C6" s="37">
        <f>'Det Assump'!D16</f>
        <v>5000</v>
      </c>
      <c r="D6" s="19" t="s">
        <v>312</v>
      </c>
      <c r="F6" s="17"/>
    </row>
    <row r="7" spans="1:6" s="6" customFormat="1" ht="20.25" customHeight="1" x14ac:dyDescent="0.25">
      <c r="A7" s="19">
        <v>4</v>
      </c>
      <c r="B7" s="20" t="s">
        <v>173</v>
      </c>
      <c r="C7" s="37">
        <f>'Det Assump'!D22</f>
        <v>30000</v>
      </c>
      <c r="D7" s="19" t="s">
        <v>312</v>
      </c>
      <c r="F7" s="17"/>
    </row>
    <row r="8" spans="1:6" s="6" customFormat="1" ht="20.25" customHeight="1" x14ac:dyDescent="0.25">
      <c r="A8" s="19">
        <v>5</v>
      </c>
      <c r="B8" s="20" t="s">
        <v>174</v>
      </c>
      <c r="C8" s="37">
        <f>'Det Assump'!D26</f>
        <v>90000</v>
      </c>
      <c r="D8" s="19" t="s">
        <v>313</v>
      </c>
      <c r="F8" s="17"/>
    </row>
    <row r="9" spans="1:6" s="6" customFormat="1" ht="20.25" customHeight="1" x14ac:dyDescent="0.25">
      <c r="A9" s="13">
        <v>6</v>
      </c>
      <c r="B9" s="20" t="s">
        <v>187</v>
      </c>
      <c r="C9" s="37">
        <v>1</v>
      </c>
      <c r="D9" s="19"/>
      <c r="F9" s="17"/>
    </row>
    <row r="10" spans="1:6" ht="21.75" customHeight="1" x14ac:dyDescent="0.25">
      <c r="A10" s="18" t="s">
        <v>91</v>
      </c>
      <c r="B10" s="379" t="s">
        <v>267</v>
      </c>
      <c r="C10" s="382"/>
      <c r="D10" s="382"/>
    </row>
    <row r="11" spans="1:6" s="6" customFormat="1" ht="20.25" customHeight="1" x14ac:dyDescent="0.25">
      <c r="A11" s="19">
        <v>1</v>
      </c>
      <c r="B11" s="20" t="s">
        <v>268</v>
      </c>
      <c r="C11" s="37">
        <f>'Det Assump'!D53</f>
        <v>3500</v>
      </c>
      <c r="D11" s="19" t="s">
        <v>314</v>
      </c>
      <c r="F11" s="17"/>
    </row>
    <row r="12" spans="1:6" s="6" customFormat="1" ht="31.5" x14ac:dyDescent="0.25">
      <c r="A12" s="19">
        <v>2</v>
      </c>
      <c r="B12" s="20" t="s">
        <v>545</v>
      </c>
      <c r="C12" s="37">
        <f>'Det Assump'!D54</f>
        <v>42000</v>
      </c>
      <c r="D12" s="19" t="s">
        <v>314</v>
      </c>
      <c r="F12" s="17"/>
    </row>
    <row r="13" spans="1:6" s="6" customFormat="1" ht="20.25" customHeight="1" x14ac:dyDescent="0.25">
      <c r="A13" s="19">
        <v>3</v>
      </c>
      <c r="B13" s="20" t="s">
        <v>270</v>
      </c>
      <c r="C13" s="37" t="e">
        <f>'Det Assump'!#REF!</f>
        <v>#REF!</v>
      </c>
      <c r="D13" s="19" t="s">
        <v>314</v>
      </c>
      <c r="F13" s="17"/>
    </row>
    <row r="14" spans="1:6" s="6" customFormat="1" ht="20.25" customHeight="1" x14ac:dyDescent="0.25">
      <c r="A14" s="19">
        <v>4</v>
      </c>
      <c r="B14" s="20" t="s">
        <v>271</v>
      </c>
      <c r="C14" s="37">
        <f>Assump!F16</f>
        <v>2128000</v>
      </c>
      <c r="D14" s="19" t="s">
        <v>230</v>
      </c>
      <c r="F14" s="17"/>
    </row>
    <row r="15" spans="1:6" s="6" customFormat="1" ht="20.25" customHeight="1" x14ac:dyDescent="0.25">
      <c r="A15" s="19">
        <v>5</v>
      </c>
      <c r="B15" s="20" t="s">
        <v>272</v>
      </c>
      <c r="C15" s="37">
        <f>C4*340</f>
        <v>4318000</v>
      </c>
      <c r="D15" s="19" t="s">
        <v>189</v>
      </c>
      <c r="F15" s="17"/>
    </row>
    <row r="16" spans="1:6" s="6" customFormat="1" ht="20.25" customHeight="1" x14ac:dyDescent="0.25">
      <c r="A16" s="19">
        <v>6</v>
      </c>
      <c r="B16" s="20" t="s">
        <v>331</v>
      </c>
      <c r="C16" s="37">
        <f>C6*340</f>
        <v>1700000</v>
      </c>
      <c r="D16" s="19" t="s">
        <v>198</v>
      </c>
      <c r="F16" s="17"/>
    </row>
    <row r="17" spans="1:6" s="6" customFormat="1" ht="20.25" customHeight="1" x14ac:dyDescent="0.25">
      <c r="A17" s="19">
        <v>8</v>
      </c>
      <c r="B17" s="20" t="s">
        <v>275</v>
      </c>
      <c r="C17" s="37">
        <f>C7*340</f>
        <v>10200000</v>
      </c>
      <c r="D17" s="19" t="s">
        <v>188</v>
      </c>
      <c r="F17" s="17"/>
    </row>
    <row r="18" spans="1:6" s="6" customFormat="1" ht="20.25" customHeight="1" x14ac:dyDescent="0.25">
      <c r="A18" s="19">
        <v>9</v>
      </c>
      <c r="B18" s="20" t="s">
        <v>276</v>
      </c>
      <c r="C18" s="37">
        <f>C8*340/1000</f>
        <v>30600</v>
      </c>
      <c r="D18" s="19" t="s">
        <v>208</v>
      </c>
      <c r="F18" s="17"/>
    </row>
    <row r="19" spans="1:6" ht="21.75" customHeight="1" x14ac:dyDescent="0.25">
      <c r="A19" s="18" t="s">
        <v>94</v>
      </c>
      <c r="B19" s="379" t="s">
        <v>277</v>
      </c>
      <c r="C19" s="382"/>
      <c r="D19" s="382"/>
    </row>
    <row r="20" spans="1:6" s="6" customFormat="1" ht="33" customHeight="1" x14ac:dyDescent="0.25">
      <c r="A20" s="19">
        <v>1</v>
      </c>
      <c r="B20" s="20" t="s">
        <v>278</v>
      </c>
      <c r="C20" s="37">
        <f>Assump!D5</f>
        <v>72</v>
      </c>
      <c r="D20" s="19" t="s">
        <v>196</v>
      </c>
      <c r="F20" s="17"/>
    </row>
    <row r="21" spans="1:6" s="6" customFormat="1" ht="21" customHeight="1" x14ac:dyDescent="0.25">
      <c r="A21" s="19">
        <v>2</v>
      </c>
      <c r="B21" s="20" t="s">
        <v>403</v>
      </c>
      <c r="C21" s="37">
        <f>'Det Assump'!D63</f>
        <v>3</v>
      </c>
      <c r="D21" s="19" t="s">
        <v>196</v>
      </c>
      <c r="F21" s="17"/>
    </row>
    <row r="22" spans="1:6" s="6" customFormat="1" ht="21" customHeight="1" x14ac:dyDescent="0.25">
      <c r="A22" s="19">
        <v>3</v>
      </c>
      <c r="B22" s="20" t="s">
        <v>185</v>
      </c>
      <c r="C22" s="37">
        <f>'Det Assump'!D64</f>
        <v>9.9999999999999978E-2</v>
      </c>
      <c r="D22" s="19"/>
      <c r="F22" s="17"/>
    </row>
    <row r="23" spans="1:6" s="6" customFormat="1" ht="21" customHeight="1" x14ac:dyDescent="0.25">
      <c r="A23" s="19">
        <v>4</v>
      </c>
      <c r="B23" s="20" t="s">
        <v>280</v>
      </c>
      <c r="C23" s="37">
        <f>Assump!D12</f>
        <v>700</v>
      </c>
      <c r="D23" s="19" t="s">
        <v>315</v>
      </c>
      <c r="F23" s="17"/>
    </row>
    <row r="24" spans="1:6" s="6" customFormat="1" ht="36" customHeight="1" x14ac:dyDescent="0.25">
      <c r="A24" s="19">
        <v>5</v>
      </c>
      <c r="B24" s="20" t="s">
        <v>544</v>
      </c>
      <c r="C24" s="37">
        <f>Assump!D13</f>
        <v>600</v>
      </c>
      <c r="D24" s="19" t="s">
        <v>315</v>
      </c>
      <c r="F24" s="17"/>
    </row>
    <row r="25" spans="1:6" s="6" customFormat="1" ht="36" customHeight="1" x14ac:dyDescent="0.25">
      <c r="A25" s="19">
        <v>6</v>
      </c>
      <c r="B25" s="20" t="s">
        <v>442</v>
      </c>
      <c r="C25" s="37">
        <v>0</v>
      </c>
      <c r="D25" s="19" t="s">
        <v>315</v>
      </c>
      <c r="F25" s="17"/>
    </row>
    <row r="26" spans="1:6" s="6" customFormat="1" ht="21" customHeight="1" x14ac:dyDescent="0.25">
      <c r="A26" s="19">
        <v>8</v>
      </c>
      <c r="B26" s="20" t="s">
        <v>283</v>
      </c>
      <c r="C26" s="37">
        <f>Assump!D17</f>
        <v>2</v>
      </c>
      <c r="D26" s="19" t="s">
        <v>210</v>
      </c>
      <c r="F26" s="17"/>
    </row>
    <row r="27" spans="1:6" s="6" customFormat="1" ht="21" customHeight="1" x14ac:dyDescent="0.25">
      <c r="A27" s="19">
        <v>9</v>
      </c>
      <c r="B27" s="20" t="s">
        <v>284</v>
      </c>
      <c r="C27" s="37">
        <f>Assump!D16</f>
        <v>8</v>
      </c>
      <c r="D27" s="19" t="s">
        <v>332</v>
      </c>
      <c r="F27" s="17"/>
    </row>
    <row r="28" spans="1:6" s="6" customFormat="1" ht="21" customHeight="1" x14ac:dyDescent="0.25">
      <c r="A28" s="383"/>
      <c r="B28" s="384"/>
      <c r="C28" s="384"/>
      <c r="D28" s="384"/>
      <c r="E28" s="384"/>
      <c r="F28" s="17"/>
    </row>
    <row r="29" spans="1:6" ht="21" customHeight="1" x14ac:dyDescent="0.25">
      <c r="A29" s="18" t="s">
        <v>99</v>
      </c>
      <c r="B29" s="379" t="s">
        <v>285</v>
      </c>
      <c r="C29" s="382"/>
      <c r="D29" s="382"/>
    </row>
    <row r="30" spans="1:6" s="6" customFormat="1" ht="21" customHeight="1" x14ac:dyDescent="0.25">
      <c r="A30" s="19" t="s">
        <v>96</v>
      </c>
      <c r="B30" s="15" t="s">
        <v>111</v>
      </c>
      <c r="C30" s="21"/>
      <c r="D30" s="13"/>
      <c r="F30" s="17"/>
    </row>
    <row r="31" spans="1:6" s="6" customFormat="1" ht="21" customHeight="1" x14ac:dyDescent="0.25">
      <c r="A31" s="36">
        <v>1</v>
      </c>
      <c r="B31" s="35" t="s">
        <v>537</v>
      </c>
      <c r="C31" s="37">
        <f>'CoP-MoF'!D5</f>
        <v>5000000</v>
      </c>
      <c r="D31" s="19" t="s">
        <v>197</v>
      </c>
      <c r="F31" s="17"/>
    </row>
    <row r="32" spans="1:6" s="6" customFormat="1" ht="21" customHeight="1" x14ac:dyDescent="0.25">
      <c r="A32" s="36">
        <v>2</v>
      </c>
      <c r="B32" s="35" t="s">
        <v>444</v>
      </c>
      <c r="C32" s="37">
        <f>'CoP-MoF'!D6</f>
        <v>81294080</v>
      </c>
      <c r="D32" s="19" t="s">
        <v>197</v>
      </c>
      <c r="F32" s="17"/>
    </row>
    <row r="33" spans="1:6" s="6" customFormat="1" ht="21" customHeight="1" x14ac:dyDescent="0.25">
      <c r="A33" s="36">
        <v>3</v>
      </c>
      <c r="B33" s="35" t="s">
        <v>71</v>
      </c>
      <c r="C33" s="37">
        <f>'CoP-MoF'!D7</f>
        <v>215780320</v>
      </c>
      <c r="D33" s="19" t="s">
        <v>197</v>
      </c>
      <c r="F33" s="17"/>
    </row>
    <row r="34" spans="1:6" s="6" customFormat="1" ht="21" customHeight="1" x14ac:dyDescent="0.25">
      <c r="A34" s="36">
        <v>4</v>
      </c>
      <c r="B34" s="35" t="s">
        <v>115</v>
      </c>
      <c r="C34" s="37">
        <f>'CoP-MoF'!D8</f>
        <v>600000</v>
      </c>
      <c r="D34" s="19" t="s">
        <v>197</v>
      </c>
      <c r="F34" s="17"/>
    </row>
    <row r="35" spans="1:6" s="6" customFormat="1" ht="21" customHeight="1" x14ac:dyDescent="0.25">
      <c r="A35" s="36">
        <v>5</v>
      </c>
      <c r="B35" s="35" t="s">
        <v>483</v>
      </c>
      <c r="C35" s="37">
        <f>'CoP-MoF'!D9</f>
        <v>1580000</v>
      </c>
      <c r="D35" s="19" t="s">
        <v>197</v>
      </c>
      <c r="F35" s="17"/>
    </row>
    <row r="36" spans="1:6" s="6" customFormat="1" ht="21" customHeight="1" x14ac:dyDescent="0.25">
      <c r="A36" s="36">
        <v>6</v>
      </c>
      <c r="B36" s="35" t="s">
        <v>116</v>
      </c>
      <c r="C36" s="37">
        <f>'CoP-MoF'!D12</f>
        <v>1451516.6666666865</v>
      </c>
      <c r="D36" s="19"/>
      <c r="F36" s="17"/>
    </row>
    <row r="37" spans="1:6" s="6" customFormat="1" ht="21" customHeight="1" x14ac:dyDescent="0.25">
      <c r="A37" s="36">
        <v>7</v>
      </c>
      <c r="B37" s="35" t="s">
        <v>254</v>
      </c>
      <c r="C37" s="37">
        <f>'CoP-MoF'!D13</f>
        <v>0</v>
      </c>
      <c r="D37" s="19" t="s">
        <v>197</v>
      </c>
      <c r="F37" s="17"/>
    </row>
    <row r="38" spans="1:6" s="6" customFormat="1" ht="21" customHeight="1" x14ac:dyDescent="0.25">
      <c r="A38" s="19"/>
      <c r="B38" s="16" t="s">
        <v>311</v>
      </c>
      <c r="C38" s="38">
        <f>SUM(C31:C37)</f>
        <v>305705916.66666669</v>
      </c>
      <c r="D38" s="19" t="s">
        <v>197</v>
      </c>
      <c r="F38" s="17"/>
    </row>
    <row r="39" spans="1:6" s="6" customFormat="1" ht="21" customHeight="1" x14ac:dyDescent="0.25">
      <c r="A39" s="19" t="s">
        <v>97</v>
      </c>
      <c r="B39" s="15" t="s">
        <v>289</v>
      </c>
      <c r="C39" s="37"/>
      <c r="D39" s="19" t="s">
        <v>197</v>
      </c>
      <c r="F39" s="17"/>
    </row>
    <row r="40" spans="1:6" s="6" customFormat="1" ht="21" customHeight="1" x14ac:dyDescent="0.25">
      <c r="A40" s="19">
        <v>1</v>
      </c>
      <c r="B40" s="35" t="s">
        <v>381</v>
      </c>
      <c r="C40" s="37">
        <f>'CoP-MoF'!D16</f>
        <v>50000000</v>
      </c>
      <c r="D40" s="19" t="s">
        <v>197</v>
      </c>
      <c r="F40" s="17"/>
    </row>
    <row r="41" spans="1:6" s="6" customFormat="1" ht="21" customHeight="1" x14ac:dyDescent="0.25">
      <c r="A41" s="19">
        <v>2</v>
      </c>
      <c r="B41" s="20" t="s">
        <v>291</v>
      </c>
      <c r="C41" s="37">
        <f>'CoP-MoF'!D20</f>
        <v>220000000</v>
      </c>
      <c r="D41" s="19" t="s">
        <v>197</v>
      </c>
      <c r="F41" s="17"/>
    </row>
    <row r="42" spans="1:6" s="6" customFormat="1" ht="21" customHeight="1" x14ac:dyDescent="0.25">
      <c r="A42" s="19"/>
      <c r="B42" s="20" t="s">
        <v>114</v>
      </c>
      <c r="C42" s="37">
        <f>'CoP-MoF'!D21</f>
        <v>0</v>
      </c>
      <c r="D42" s="19" t="s">
        <v>197</v>
      </c>
      <c r="F42" s="17"/>
    </row>
    <row r="43" spans="1:6" s="6" customFormat="1" ht="21" customHeight="1" x14ac:dyDescent="0.25">
      <c r="A43" s="19"/>
      <c r="B43" s="16" t="s">
        <v>292</v>
      </c>
      <c r="C43" s="38">
        <f>SUM(C40:C42)-C42</f>
        <v>270000000</v>
      </c>
      <c r="D43" s="19" t="s">
        <v>197</v>
      </c>
      <c r="F43" s="17"/>
    </row>
    <row r="44" spans="1:6" ht="21" customHeight="1" x14ac:dyDescent="0.25">
      <c r="A44" s="18" t="s">
        <v>101</v>
      </c>
      <c r="B44" s="379" t="s">
        <v>333</v>
      </c>
      <c r="C44" s="382"/>
      <c r="D44" s="382"/>
    </row>
    <row r="45" spans="1:6" s="6" customFormat="1" ht="21" customHeight="1" x14ac:dyDescent="0.25">
      <c r="A45" s="19">
        <v>1</v>
      </c>
      <c r="B45" s="27" t="s">
        <v>294</v>
      </c>
      <c r="C45" s="37">
        <f>C38</f>
        <v>305705916.66666669</v>
      </c>
      <c r="D45" s="19" t="s">
        <v>197</v>
      </c>
      <c r="F45" s="17"/>
    </row>
    <row r="46" spans="1:6" s="6" customFormat="1" ht="21" customHeight="1" x14ac:dyDescent="0.25">
      <c r="A46" s="19">
        <v>2</v>
      </c>
      <c r="B46" s="20" t="s">
        <v>295</v>
      </c>
      <c r="C46" s="37">
        <f>C42</f>
        <v>0</v>
      </c>
      <c r="D46" s="19" t="s">
        <v>197</v>
      </c>
      <c r="F46" s="17"/>
    </row>
    <row r="47" spans="1:6" s="6" customFormat="1" ht="21" customHeight="1" x14ac:dyDescent="0.25">
      <c r="A47" s="19">
        <v>3</v>
      </c>
      <c r="B47" s="20" t="s">
        <v>297</v>
      </c>
      <c r="C47" s="37">
        <f>C45-C46</f>
        <v>305705916.66666669</v>
      </c>
      <c r="D47" s="19" t="s">
        <v>197</v>
      </c>
      <c r="F47" s="17"/>
    </row>
    <row r="48" spans="1:6" s="6" customFormat="1" ht="21" customHeight="1" x14ac:dyDescent="0.25">
      <c r="A48" s="19"/>
      <c r="B48" s="16" t="s">
        <v>298</v>
      </c>
      <c r="C48" s="37"/>
      <c r="D48" s="19" t="s">
        <v>197</v>
      </c>
      <c r="F48" s="17"/>
    </row>
    <row r="49" spans="1:6" s="6" customFormat="1" ht="21" customHeight="1" x14ac:dyDescent="0.25">
      <c r="A49" s="19">
        <v>1</v>
      </c>
      <c r="B49" s="20" t="s">
        <v>51</v>
      </c>
      <c r="C49" s="37">
        <f>Assump!G5</f>
        <v>126000000</v>
      </c>
      <c r="D49" s="19" t="s">
        <v>197</v>
      </c>
      <c r="F49" s="17"/>
    </row>
    <row r="50" spans="1:6" s="6" customFormat="1" ht="21" customHeight="1" x14ac:dyDescent="0.25">
      <c r="A50" s="19">
        <v>3</v>
      </c>
      <c r="B50" s="20" t="s">
        <v>300</v>
      </c>
      <c r="C50" s="37">
        <f>Assump!G6</f>
        <v>31500000</v>
      </c>
      <c r="D50" s="19" t="s">
        <v>197</v>
      </c>
      <c r="F50" s="17"/>
    </row>
    <row r="51" spans="1:6" s="6" customFormat="1" ht="21" customHeight="1" x14ac:dyDescent="0.25">
      <c r="A51" s="19">
        <v>4</v>
      </c>
      <c r="B51" s="20" t="s">
        <v>301</v>
      </c>
      <c r="C51" s="37">
        <f>Assump!G7</f>
        <v>3149999.9999999991</v>
      </c>
      <c r="D51" s="19" t="s">
        <v>197</v>
      </c>
      <c r="F51" s="17"/>
    </row>
    <row r="52" spans="1:6" s="6" customFormat="1" ht="21" customHeight="1" x14ac:dyDescent="0.25">
      <c r="A52" s="19">
        <v>6</v>
      </c>
      <c r="B52" s="20" t="s">
        <v>75</v>
      </c>
      <c r="C52" s="37">
        <f>Assump!G8</f>
        <v>160650000</v>
      </c>
      <c r="D52" s="19" t="s">
        <v>197</v>
      </c>
      <c r="F52" s="17"/>
    </row>
    <row r="53" spans="1:6" s="6" customFormat="1" ht="21" customHeight="1" x14ac:dyDescent="0.25">
      <c r="A53" s="19">
        <v>7</v>
      </c>
      <c r="B53" s="20" t="s">
        <v>56</v>
      </c>
      <c r="C53" s="37">
        <f>Assump!G23</f>
        <v>49684000</v>
      </c>
      <c r="D53" s="19" t="s">
        <v>197</v>
      </c>
      <c r="F53" s="17"/>
    </row>
    <row r="54" spans="1:6" s="6" customFormat="1" ht="21" customHeight="1" x14ac:dyDescent="0.25">
      <c r="A54" s="19">
        <v>8</v>
      </c>
      <c r="B54" s="20" t="s">
        <v>59</v>
      </c>
      <c r="C54" s="37">
        <f>Assump!G36</f>
        <v>20651220</v>
      </c>
      <c r="D54" s="19" t="s">
        <v>197</v>
      </c>
      <c r="F54" s="17"/>
    </row>
    <row r="55" spans="1:6" s="6" customFormat="1" ht="21" customHeight="1" x14ac:dyDescent="0.25">
      <c r="A55" s="19">
        <v>9</v>
      </c>
      <c r="B55" s="20" t="s">
        <v>61</v>
      </c>
      <c r="C55" s="37">
        <f>C52-(C53+C54)</f>
        <v>90314780</v>
      </c>
      <c r="D55" s="19" t="s">
        <v>197</v>
      </c>
      <c r="F55" s="17"/>
    </row>
  </sheetData>
  <customSheetViews>
    <customSheetView guid="{22475485-DA09-46DB-978D-BB94CE1E5597}" topLeftCell="A35">
      <selection activeCell="B40" sqref="B40"/>
      <pageMargins left="0.7" right="0.7" top="0.75" bottom="0.75" header="0.3" footer="0.3"/>
      <pageSetup paperSize="9" orientation="portrait" verticalDpi="0" copies="0" r:id="rId1"/>
    </customSheetView>
  </customSheetViews>
  <mergeCells count="7">
    <mergeCell ref="B44:D44"/>
    <mergeCell ref="A1:D1"/>
    <mergeCell ref="B3:D3"/>
    <mergeCell ref="B10:D10"/>
    <mergeCell ref="B19:D19"/>
    <mergeCell ref="A28:E28"/>
    <mergeCell ref="B29:D29"/>
  </mergeCells>
  <pageMargins left="0.7" right="0.7" top="0.75" bottom="0.75" header="0.3" footer="0.3"/>
  <pageSetup paperSize="9" orientation="portrait" verticalDpi="0" copies="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Q15"/>
  <sheetViews>
    <sheetView showGridLines="0" topLeftCell="B1" workbookViewId="0">
      <pane xSplit="2" ySplit="5" topLeftCell="D6" activePane="bottomRight" state="frozen"/>
      <selection activeCell="B1" sqref="B1"/>
      <selection pane="topRight" activeCell="C1" sqref="C1"/>
      <selection pane="bottomLeft" activeCell="B5" sqref="B5"/>
      <selection pane="bottomRight" activeCell="G15" sqref="G15"/>
    </sheetView>
  </sheetViews>
  <sheetFormatPr defaultColWidth="8.85546875" defaultRowHeight="15" x14ac:dyDescent="0.25"/>
  <cols>
    <col min="1" max="1" width="6.140625" style="96" customWidth="1"/>
    <col min="2" max="2" width="4.5703125" style="96" customWidth="1"/>
    <col min="3" max="3" width="31.42578125" style="51" customWidth="1"/>
    <col min="4" max="4" width="10.28515625" style="254" customWidth="1"/>
    <col min="5" max="5" width="2.140625" style="44" customWidth="1"/>
    <col min="6" max="17" width="11.140625" style="44" customWidth="1"/>
    <col min="18" max="16384" width="8.85546875" style="96"/>
  </cols>
  <sheetData>
    <row r="2" spans="3:17" ht="17.25" customHeight="1" x14ac:dyDescent="0.25">
      <c r="C2" s="167" t="s">
        <v>466</v>
      </c>
      <c r="D2" s="253"/>
      <c r="E2" s="150"/>
      <c r="F2" s="150"/>
      <c r="G2" s="150"/>
      <c r="H2" s="150"/>
      <c r="I2" s="150"/>
      <c r="J2" s="150"/>
      <c r="K2" s="150"/>
      <c r="L2" s="240"/>
      <c r="M2" s="150"/>
      <c r="N2" s="150"/>
      <c r="O2" s="150"/>
      <c r="P2" s="150"/>
      <c r="Q2" s="150"/>
    </row>
    <row r="3" spans="3:17" ht="12" customHeight="1" x14ac:dyDescent="0.25">
      <c r="C3" s="97"/>
      <c r="D3" s="44"/>
    </row>
    <row r="4" spans="3:17" ht="16.5" customHeight="1" x14ac:dyDescent="0.25">
      <c r="C4" s="134"/>
      <c r="D4" s="235"/>
      <c r="E4" s="93"/>
      <c r="F4" s="93" t="s">
        <v>648</v>
      </c>
      <c r="G4" s="93" t="s">
        <v>648</v>
      </c>
      <c r="H4" s="93" t="s">
        <v>648</v>
      </c>
      <c r="I4" s="93" t="s">
        <v>648</v>
      </c>
      <c r="J4" s="93" t="s">
        <v>648</v>
      </c>
      <c r="K4" s="93" t="s">
        <v>648</v>
      </c>
      <c r="L4" s="93" t="s">
        <v>648</v>
      </c>
      <c r="M4" s="93" t="s">
        <v>648</v>
      </c>
      <c r="N4" s="93" t="s">
        <v>648</v>
      </c>
      <c r="O4" s="93" t="s">
        <v>648</v>
      </c>
      <c r="P4" s="93" t="s">
        <v>648</v>
      </c>
      <c r="Q4" s="93" t="s">
        <v>648</v>
      </c>
    </row>
    <row r="5" spans="3:17" ht="18.75" customHeight="1" x14ac:dyDescent="0.25">
      <c r="C5" s="135" t="s">
        <v>779</v>
      </c>
      <c r="D5" s="94"/>
      <c r="E5" s="94"/>
      <c r="F5" s="94">
        <v>2025</v>
      </c>
      <c r="G5" s="94">
        <f>F5+1</f>
        <v>2026</v>
      </c>
      <c r="H5" s="94">
        <f t="shared" ref="H5:Q5" si="0">G5+1</f>
        <v>2027</v>
      </c>
      <c r="I5" s="94">
        <f t="shared" si="0"/>
        <v>2028</v>
      </c>
      <c r="J5" s="94">
        <f t="shared" si="0"/>
        <v>2029</v>
      </c>
      <c r="K5" s="94">
        <f t="shared" si="0"/>
        <v>2030</v>
      </c>
      <c r="L5" s="94">
        <f t="shared" si="0"/>
        <v>2031</v>
      </c>
      <c r="M5" s="94">
        <f t="shared" si="0"/>
        <v>2032</v>
      </c>
      <c r="N5" s="94">
        <f t="shared" si="0"/>
        <v>2033</v>
      </c>
      <c r="O5" s="94">
        <f t="shared" si="0"/>
        <v>2034</v>
      </c>
      <c r="P5" s="94">
        <f t="shared" si="0"/>
        <v>2035</v>
      </c>
      <c r="Q5" s="94">
        <f t="shared" si="0"/>
        <v>2036</v>
      </c>
    </row>
    <row r="6" spans="3:17" ht="17.25" customHeight="1" x14ac:dyDescent="0.25">
      <c r="C6" s="51" t="s">
        <v>64</v>
      </c>
      <c r="F6" s="107">
        <f>'P &amp; L'!D27</f>
        <v>0</v>
      </c>
      <c r="G6" s="107">
        <f>'P &amp; L'!E27</f>
        <v>511.4031992202631</v>
      </c>
      <c r="H6" s="107">
        <f>'P &amp; L'!F27</f>
        <v>567.55808922026313</v>
      </c>
      <c r="I6" s="107">
        <f>'P &amp; L'!G27</f>
        <v>627.53959872026337</v>
      </c>
      <c r="J6" s="107">
        <f>'P &amp; L'!H27</f>
        <v>694.07318369526297</v>
      </c>
      <c r="K6" s="107">
        <f>'P &amp; L'!I27</f>
        <v>767.22744791901323</v>
      </c>
      <c r="L6" s="107">
        <f>'P &amp; L'!J27</f>
        <v>846.20692535395074</v>
      </c>
      <c r="M6" s="107">
        <f>'P &amp; L'!K27</f>
        <v>924.77237666063547</v>
      </c>
      <c r="N6" s="107">
        <f>'P &amp; L'!L27</f>
        <v>1008.3111005326539</v>
      </c>
      <c r="O6" s="107">
        <f>'P &amp; L'!M27</f>
        <v>1096.9672605982735</v>
      </c>
      <c r="P6" s="107">
        <f>'P &amp; L'!N27</f>
        <v>1190.8372286671738</v>
      </c>
      <c r="Q6" s="107">
        <f>'P &amp; L'!O27</f>
        <v>1286.4719451395194</v>
      </c>
    </row>
    <row r="7" spans="3:17" ht="17.25" customHeight="1" x14ac:dyDescent="0.25">
      <c r="C7" s="51" t="s">
        <v>467</v>
      </c>
      <c r="F7" s="107">
        <f>Depr!C19</f>
        <v>0</v>
      </c>
      <c r="G7" s="107">
        <f>Depr!D19</f>
        <v>176.40210077973688</v>
      </c>
      <c r="H7" s="107">
        <f>Depr!E19</f>
        <v>176.40210077973688</v>
      </c>
      <c r="I7" s="107">
        <f>Depr!F19</f>
        <v>176.40210077973688</v>
      </c>
      <c r="J7" s="107">
        <f>Depr!G19</f>
        <v>176.40210077973688</v>
      </c>
      <c r="K7" s="107">
        <f>Depr!H19</f>
        <v>176.40210077973688</v>
      </c>
      <c r="L7" s="107">
        <f>Depr!I19</f>
        <v>176.40210077973688</v>
      </c>
      <c r="M7" s="107">
        <f>Depr!J19</f>
        <v>176.40210077973688</v>
      </c>
      <c r="N7" s="107">
        <f>Depr!K19</f>
        <v>176.40210077973688</v>
      </c>
      <c r="O7" s="107">
        <f>Depr!L19</f>
        <v>176.40210077973688</v>
      </c>
      <c r="P7" s="107">
        <f>Depr!M19</f>
        <v>176.40210077973688</v>
      </c>
      <c r="Q7" s="107">
        <f>Depr!N19</f>
        <v>176.40210077973688</v>
      </c>
    </row>
    <row r="8" spans="3:17" ht="17.25" customHeight="1" x14ac:dyDescent="0.25">
      <c r="C8" s="51" t="s">
        <v>468</v>
      </c>
      <c r="F8" s="107">
        <f>Depr!C37</f>
        <v>0</v>
      </c>
      <c r="G8" s="107">
        <f>Depr!D37</f>
        <v>94.369602606061179</v>
      </c>
      <c r="H8" s="107">
        <f>Depr!E37</f>
        <v>84.490318532567684</v>
      </c>
      <c r="I8" s="107">
        <f>Depr!F37</f>
        <v>75.665311438356611</v>
      </c>
      <c r="J8" s="107">
        <f>Depr!G37</f>
        <v>67.779201339709843</v>
      </c>
      <c r="K8" s="107">
        <f>Depr!H37</f>
        <v>60.729639094149384</v>
      </c>
      <c r="L8" s="107">
        <f>Depr!I37</f>
        <v>54.425779389883409</v>
      </c>
      <c r="M8" s="107">
        <f>Depr!J37</f>
        <v>48.786940025271676</v>
      </c>
      <c r="N8" s="107">
        <f>Depr!K37</f>
        <v>43.741423810964633</v>
      </c>
      <c r="O8" s="107">
        <f>Depr!L37</f>
        <v>39.225482549855265</v>
      </c>
      <c r="P8" s="107">
        <f>Depr!M37</f>
        <v>35.182405246858785</v>
      </c>
      <c r="Q8" s="107">
        <f>Depr!N37</f>
        <v>31.561715031363587</v>
      </c>
    </row>
    <row r="9" spans="3:17" ht="17.25" customHeight="1" x14ac:dyDescent="0.25">
      <c r="C9" s="51" t="s">
        <v>469</v>
      </c>
      <c r="F9" s="107">
        <f t="shared" ref="F9:Q9" si="1">F6+F7-F8</f>
        <v>0</v>
      </c>
      <c r="G9" s="107">
        <f t="shared" si="1"/>
        <v>593.43569739393877</v>
      </c>
      <c r="H9" s="107">
        <f>H6+H7-H8</f>
        <v>659.46987146743231</v>
      </c>
      <c r="I9" s="107">
        <f>I6+I7-I8</f>
        <v>728.27638806164362</v>
      </c>
      <c r="J9" s="107">
        <f>J6+J7-J8</f>
        <v>802.69608313529</v>
      </c>
      <c r="K9" s="107">
        <f t="shared" si="1"/>
        <v>882.89990960460068</v>
      </c>
      <c r="L9" s="107">
        <f t="shared" si="1"/>
        <v>968.18324674380426</v>
      </c>
      <c r="M9" s="107">
        <f t="shared" si="1"/>
        <v>1052.3875374151007</v>
      </c>
      <c r="N9" s="107">
        <f t="shared" si="1"/>
        <v>1140.9717775014262</v>
      </c>
      <c r="O9" s="107">
        <f t="shared" si="1"/>
        <v>1234.143878828155</v>
      </c>
      <c r="P9" s="107">
        <f t="shared" si="1"/>
        <v>1332.056924200052</v>
      </c>
      <c r="Q9" s="107">
        <f t="shared" si="1"/>
        <v>1431.3123308878928</v>
      </c>
    </row>
    <row r="10" spans="3:17" ht="17.25" customHeight="1" x14ac:dyDescent="0.25">
      <c r="C10" s="51" t="s">
        <v>470</v>
      </c>
      <c r="F10" s="107">
        <f>E10+F9</f>
        <v>0</v>
      </c>
      <c r="G10" s="107">
        <f t="shared" ref="G10:Q10" si="2">F10+G9</f>
        <v>593.43569739393877</v>
      </c>
      <c r="H10" s="107">
        <f t="shared" si="2"/>
        <v>1252.9055688613712</v>
      </c>
      <c r="I10" s="107">
        <f t="shared" si="2"/>
        <v>1981.1819569230147</v>
      </c>
      <c r="J10" s="107">
        <f t="shared" si="2"/>
        <v>2783.8780400583046</v>
      </c>
      <c r="K10" s="107">
        <f t="shared" si="2"/>
        <v>3666.7779496629055</v>
      </c>
      <c r="L10" s="107">
        <f t="shared" si="2"/>
        <v>4634.9611964067099</v>
      </c>
      <c r="M10" s="107">
        <f t="shared" si="2"/>
        <v>5687.348733821811</v>
      </c>
      <c r="N10" s="107">
        <f t="shared" si="2"/>
        <v>6828.320511323237</v>
      </c>
      <c r="O10" s="107">
        <f t="shared" si="2"/>
        <v>8062.4643901513919</v>
      </c>
      <c r="P10" s="107">
        <f t="shared" si="2"/>
        <v>9394.5213143514447</v>
      </c>
      <c r="Q10" s="107">
        <f t="shared" si="2"/>
        <v>10825.833645239338</v>
      </c>
    </row>
    <row r="11" spans="3:17" ht="17.25" customHeight="1" x14ac:dyDescent="0.25">
      <c r="C11" s="51" t="s">
        <v>471</v>
      </c>
      <c r="F11" s="255">
        <f>IF(E12&lt;0,E12,0)</f>
        <v>0</v>
      </c>
      <c r="G11" s="255">
        <f t="shared" ref="G11:Q11" si="3">IF(F12&lt;0,F12,0)</f>
        <v>0</v>
      </c>
      <c r="H11" s="255">
        <f t="shared" si="3"/>
        <v>0</v>
      </c>
      <c r="I11" s="255">
        <f t="shared" si="3"/>
        <v>0</v>
      </c>
      <c r="J11" s="255">
        <f t="shared" si="3"/>
        <v>0</v>
      </c>
      <c r="K11" s="255">
        <f t="shared" si="3"/>
        <v>0</v>
      </c>
      <c r="L11" s="255">
        <f t="shared" si="3"/>
        <v>0</v>
      </c>
      <c r="M11" s="255">
        <f t="shared" si="3"/>
        <v>0</v>
      </c>
      <c r="N11" s="255">
        <f t="shared" si="3"/>
        <v>0</v>
      </c>
      <c r="O11" s="255">
        <f t="shared" si="3"/>
        <v>0</v>
      </c>
      <c r="P11" s="255">
        <f t="shared" si="3"/>
        <v>0</v>
      </c>
      <c r="Q11" s="255">
        <f t="shared" si="3"/>
        <v>0</v>
      </c>
    </row>
    <row r="12" spans="3:17" ht="17.25" customHeight="1" x14ac:dyDescent="0.25">
      <c r="C12" s="169" t="s">
        <v>472</v>
      </c>
      <c r="F12" s="107">
        <f t="shared" ref="F12:Q12" si="4">F9+F11</f>
        <v>0</v>
      </c>
      <c r="G12" s="107">
        <f t="shared" si="4"/>
        <v>593.43569739393877</v>
      </c>
      <c r="H12" s="107">
        <f t="shared" si="4"/>
        <v>659.46987146743231</v>
      </c>
      <c r="I12" s="107">
        <f t="shared" si="4"/>
        <v>728.27638806164362</v>
      </c>
      <c r="J12" s="107">
        <f t="shared" si="4"/>
        <v>802.69608313529</v>
      </c>
      <c r="K12" s="107">
        <f t="shared" si="4"/>
        <v>882.89990960460068</v>
      </c>
      <c r="L12" s="107">
        <f t="shared" si="4"/>
        <v>968.18324674380426</v>
      </c>
      <c r="M12" s="107">
        <f t="shared" si="4"/>
        <v>1052.3875374151007</v>
      </c>
      <c r="N12" s="107">
        <f t="shared" si="4"/>
        <v>1140.9717775014262</v>
      </c>
      <c r="O12" s="107">
        <f t="shared" si="4"/>
        <v>1234.143878828155</v>
      </c>
      <c r="P12" s="107">
        <f t="shared" si="4"/>
        <v>1332.056924200052</v>
      </c>
      <c r="Q12" s="107">
        <f t="shared" si="4"/>
        <v>1431.3123308878928</v>
      </c>
    </row>
    <row r="13" spans="3:17" ht="17.25" customHeight="1" x14ac:dyDescent="0.25">
      <c r="C13" s="51" t="s">
        <v>473</v>
      </c>
      <c r="D13" s="254">
        <v>0.33929999999999999</v>
      </c>
      <c r="F13" s="107">
        <f t="shared" ref="F13:Q13" si="5">F12*$D$13</f>
        <v>0</v>
      </c>
      <c r="G13" s="107">
        <f t="shared" si="5"/>
        <v>201.35273212576342</v>
      </c>
      <c r="H13" s="107">
        <f t="shared" si="5"/>
        <v>223.75812738889977</v>
      </c>
      <c r="I13" s="107">
        <f t="shared" si="5"/>
        <v>247.10417846931568</v>
      </c>
      <c r="J13" s="107">
        <f t="shared" si="5"/>
        <v>272.35478100780387</v>
      </c>
      <c r="K13" s="107">
        <f t="shared" si="5"/>
        <v>299.56793932884102</v>
      </c>
      <c r="L13" s="107">
        <f t="shared" si="5"/>
        <v>328.50457562017277</v>
      </c>
      <c r="M13" s="107">
        <f t="shared" si="5"/>
        <v>357.07509144494367</v>
      </c>
      <c r="N13" s="107">
        <f t="shared" si="5"/>
        <v>387.13172410623389</v>
      </c>
      <c r="O13" s="107">
        <f t="shared" si="5"/>
        <v>418.74501808639297</v>
      </c>
      <c r="P13" s="107">
        <f t="shared" si="5"/>
        <v>451.96691438107763</v>
      </c>
      <c r="Q13" s="107">
        <f t="shared" si="5"/>
        <v>485.644273870262</v>
      </c>
    </row>
    <row r="14" spans="3:17" ht="17.25" customHeight="1" x14ac:dyDescent="0.25">
      <c r="C14" s="169" t="s">
        <v>474</v>
      </c>
      <c r="D14" s="254">
        <v>0.2001</v>
      </c>
      <c r="F14" s="107">
        <f t="shared" ref="F14:Q14" si="6">IF(F6&lt;0,0,(IF(F12=0,0,F6*$D$14)))</f>
        <v>0</v>
      </c>
      <c r="G14" s="107">
        <f t="shared" si="6"/>
        <v>102.33178016397464</v>
      </c>
      <c r="H14" s="107">
        <f t="shared" si="6"/>
        <v>113.56837365297466</v>
      </c>
      <c r="I14" s="107">
        <f t="shared" si="6"/>
        <v>125.5706737039247</v>
      </c>
      <c r="J14" s="107">
        <f t="shared" si="6"/>
        <v>138.88404405742213</v>
      </c>
      <c r="K14" s="107">
        <f t="shared" si="6"/>
        <v>153.52221232859455</v>
      </c>
      <c r="L14" s="107">
        <f t="shared" si="6"/>
        <v>169.32600576332555</v>
      </c>
      <c r="M14" s="107">
        <f t="shared" si="6"/>
        <v>185.04695256979315</v>
      </c>
      <c r="N14" s="107">
        <f t="shared" si="6"/>
        <v>201.76305121658405</v>
      </c>
      <c r="O14" s="107">
        <f t="shared" si="6"/>
        <v>219.50314884571452</v>
      </c>
      <c r="P14" s="107">
        <f t="shared" si="6"/>
        <v>238.28652945630148</v>
      </c>
      <c r="Q14" s="107">
        <f t="shared" si="6"/>
        <v>257.42303622241786</v>
      </c>
    </row>
    <row r="15" spans="3:17" ht="17.25" customHeight="1" x14ac:dyDescent="0.25">
      <c r="C15" s="169" t="s">
        <v>475</v>
      </c>
      <c r="F15" s="129">
        <f t="shared" ref="F15:Q15" si="7">MAX(F13:F14)</f>
        <v>0</v>
      </c>
      <c r="G15" s="129">
        <f t="shared" si="7"/>
        <v>201.35273212576342</v>
      </c>
      <c r="H15" s="129">
        <f t="shared" si="7"/>
        <v>223.75812738889977</v>
      </c>
      <c r="I15" s="129">
        <f t="shared" si="7"/>
        <v>247.10417846931568</v>
      </c>
      <c r="J15" s="129">
        <f t="shared" si="7"/>
        <v>272.35478100780387</v>
      </c>
      <c r="K15" s="129">
        <f t="shared" si="7"/>
        <v>299.56793932884102</v>
      </c>
      <c r="L15" s="129">
        <f t="shared" si="7"/>
        <v>328.50457562017277</v>
      </c>
      <c r="M15" s="129">
        <f t="shared" si="7"/>
        <v>357.07509144494367</v>
      </c>
      <c r="N15" s="129">
        <f t="shared" si="7"/>
        <v>387.13172410623389</v>
      </c>
      <c r="O15" s="129">
        <f t="shared" si="7"/>
        <v>418.74501808639297</v>
      </c>
      <c r="P15" s="129">
        <f t="shared" si="7"/>
        <v>451.96691438107763</v>
      </c>
      <c r="Q15" s="129">
        <f t="shared" si="7"/>
        <v>485.644273870262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B2:N37"/>
  <sheetViews>
    <sheetView showGridLines="0" topLeftCell="D4" workbookViewId="0">
      <selection activeCell="C13" sqref="C13:N19"/>
    </sheetView>
  </sheetViews>
  <sheetFormatPr defaultColWidth="32.28515625" defaultRowHeight="15" x14ac:dyDescent="0.25"/>
  <cols>
    <col min="1" max="1" width="5" style="96" customWidth="1"/>
    <col min="2" max="2" width="31.7109375" style="97" customWidth="1"/>
    <col min="3" max="3" width="12.140625" style="44" customWidth="1"/>
    <col min="4" max="4" width="17" style="44" customWidth="1"/>
    <col min="5" max="7" width="12.140625" style="44" customWidth="1"/>
    <col min="8" max="8" width="14.42578125" style="44" customWidth="1"/>
    <col min="9" max="9" width="15.85546875" style="44" customWidth="1"/>
    <col min="10" max="14" width="12.140625" style="44" customWidth="1"/>
    <col min="15" max="117" width="14" style="96" customWidth="1"/>
    <col min="118" max="16384" width="32.28515625" style="96"/>
  </cols>
  <sheetData>
    <row r="2" spans="2:14" ht="18" customHeight="1" x14ac:dyDescent="0.25">
      <c r="B2" s="155" t="s">
        <v>445</v>
      </c>
      <c r="C2" s="93" t="s">
        <v>461</v>
      </c>
      <c r="D2" s="93" t="s">
        <v>628</v>
      </c>
      <c r="E2" s="93"/>
      <c r="F2" s="93" t="s">
        <v>462</v>
      </c>
      <c r="G2" s="126"/>
      <c r="H2" s="93" t="s">
        <v>933</v>
      </c>
      <c r="I2" s="93" t="s">
        <v>463</v>
      </c>
      <c r="K2" s="134" t="s">
        <v>929</v>
      </c>
      <c r="L2" s="134" t="s">
        <v>930</v>
      </c>
      <c r="M2" s="134" t="s">
        <v>931</v>
      </c>
      <c r="N2" s="134" t="s">
        <v>932</v>
      </c>
    </row>
    <row r="3" spans="2:14" ht="18" customHeight="1" x14ac:dyDescent="0.25">
      <c r="B3" s="53" t="s">
        <v>464</v>
      </c>
      <c r="C3" s="107">
        <f>'CoP-MoF'!D6/A</f>
        <v>812.94079999999997</v>
      </c>
      <c r="D3" s="107">
        <f>('CoP-MoF'!$D$10+'CoP-MoF'!$D$11+'CoP-MoF'!$D$12)/A*C3/$C$7</f>
        <v>42.290463483135731</v>
      </c>
      <c r="E3" s="107"/>
      <c r="F3" s="107">
        <f>C3+D3+E3</f>
        <v>855.23126348313565</v>
      </c>
      <c r="G3" s="107">
        <f>F3</f>
        <v>855.23126348313565</v>
      </c>
      <c r="H3" s="256">
        <v>3.1699999999999999E-2</v>
      </c>
      <c r="I3" s="256">
        <v>0.1</v>
      </c>
    </row>
    <row r="4" spans="2:14" ht="18" customHeight="1" x14ac:dyDescent="0.25">
      <c r="B4" s="97" t="s">
        <v>465</v>
      </c>
      <c r="C4" s="107">
        <f>'CoP-MoF'!D7/A</f>
        <v>2157.8031999999998</v>
      </c>
      <c r="D4" s="107">
        <f>('CoP-MoF'!$D$10+'CoP-MoF'!$D$11+'CoP-MoF'!$D$12)/A*C4/$C$7</f>
        <v>112.25232813188047</v>
      </c>
      <c r="E4" s="107"/>
      <c r="F4" s="107">
        <f>C4+D4+E4</f>
        <v>2270.0555281318802</v>
      </c>
      <c r="G4" s="107">
        <f>F4</f>
        <v>2270.0555281318802</v>
      </c>
      <c r="H4" s="256">
        <v>6.3299999999999995E-2</v>
      </c>
      <c r="I4" s="256">
        <v>0.15</v>
      </c>
      <c r="K4" s="54"/>
    </row>
    <row r="5" spans="2:14" ht="18" customHeight="1" x14ac:dyDescent="0.25">
      <c r="B5" s="97" t="s">
        <v>477</v>
      </c>
      <c r="C5" s="107">
        <f>'CoP-MoF'!D8/A</f>
        <v>6</v>
      </c>
      <c r="D5" s="107">
        <f>('CoP-MoF'!$D$10+'CoP-MoF'!$D$11+'CoP-MoF'!$D$12)/A*C5/$C$7</f>
        <v>0.31212946981971429</v>
      </c>
      <c r="E5" s="107"/>
      <c r="F5" s="107">
        <f t="shared" ref="F5:F6" si="0">C5+D5+E5</f>
        <v>6.3121294698197143</v>
      </c>
      <c r="G5" s="107">
        <f>F5</f>
        <v>6.3121294698197143</v>
      </c>
      <c r="H5" s="256">
        <v>9.5000000000000001E-2</v>
      </c>
      <c r="I5" s="256">
        <v>0.15</v>
      </c>
    </row>
    <row r="6" spans="2:14" x14ac:dyDescent="0.25">
      <c r="B6" s="53" t="s">
        <v>726</v>
      </c>
      <c r="C6" s="107">
        <f>'CoP-MoF'!D5/A</f>
        <v>50</v>
      </c>
      <c r="D6" s="107">
        <f>('CoP-MoF'!$D$10+'CoP-MoF'!$D$11+'CoP-MoF'!$D$12)/A*C6/$C$7</f>
        <v>2.6010789151642859</v>
      </c>
      <c r="E6" s="107"/>
      <c r="F6" s="107">
        <f t="shared" si="0"/>
        <v>52.601078915164287</v>
      </c>
      <c r="G6" s="107">
        <f>F6</f>
        <v>52.601078915164287</v>
      </c>
      <c r="H6" s="256">
        <v>9.5000000000000001E-2</v>
      </c>
      <c r="I6" s="256">
        <v>0.15</v>
      </c>
    </row>
    <row r="7" spans="2:14" ht="18" customHeight="1" x14ac:dyDescent="0.25">
      <c r="B7" s="92" t="s">
        <v>462</v>
      </c>
      <c r="C7" s="154">
        <f>SUM(C3:C6)</f>
        <v>3026.7439999999997</v>
      </c>
      <c r="D7" s="154">
        <f>SUM(D3:D6)</f>
        <v>157.45600000000022</v>
      </c>
      <c r="E7" s="154"/>
      <c r="F7" s="154">
        <f>SUM(F3:F6)</f>
        <v>3184.2</v>
      </c>
      <c r="G7" s="154">
        <f>SUM(G3:G6)</f>
        <v>3184.2</v>
      </c>
      <c r="H7" s="257"/>
      <c r="I7" s="257"/>
    </row>
    <row r="9" spans="2:14" x14ac:dyDescent="0.25">
      <c r="C9" s="44">
        <f>C13/12</f>
        <v>71.269271956927966</v>
      </c>
      <c r="D9" s="327"/>
    </row>
    <row r="11" spans="2:14" ht="18.75" customHeight="1" x14ac:dyDescent="0.25">
      <c r="B11" s="358" t="s">
        <v>927</v>
      </c>
      <c r="C11" s="358"/>
      <c r="D11" s="358"/>
      <c r="E11" s="358"/>
      <c r="F11" s="358"/>
      <c r="G11" s="358"/>
      <c r="H11" s="358"/>
      <c r="I11" s="358"/>
      <c r="J11" s="358"/>
      <c r="K11" s="358"/>
      <c r="L11" s="358"/>
      <c r="M11" s="126"/>
      <c r="N11" s="126"/>
    </row>
    <row r="12" spans="2:14" s="58" customFormat="1" ht="17.25" customHeight="1" x14ac:dyDescent="0.25">
      <c r="B12" s="118" t="s">
        <v>780</v>
      </c>
      <c r="C12" s="72">
        <v>2025</v>
      </c>
      <c r="D12" s="72">
        <f t="shared" ref="D12:N12" si="1">C12+1</f>
        <v>2026</v>
      </c>
      <c r="E12" s="72">
        <f t="shared" si="1"/>
        <v>2027</v>
      </c>
      <c r="F12" s="72">
        <f t="shared" si="1"/>
        <v>2028</v>
      </c>
      <c r="G12" s="72">
        <f t="shared" si="1"/>
        <v>2029</v>
      </c>
      <c r="H12" s="72">
        <f t="shared" si="1"/>
        <v>2030</v>
      </c>
      <c r="I12" s="72">
        <f t="shared" si="1"/>
        <v>2031</v>
      </c>
      <c r="J12" s="72">
        <f t="shared" si="1"/>
        <v>2032</v>
      </c>
      <c r="K12" s="72">
        <f t="shared" si="1"/>
        <v>2033</v>
      </c>
      <c r="L12" s="72">
        <f t="shared" si="1"/>
        <v>2034</v>
      </c>
      <c r="M12" s="72">
        <f t="shared" si="1"/>
        <v>2035</v>
      </c>
      <c r="N12" s="72">
        <f t="shared" si="1"/>
        <v>2036</v>
      </c>
    </row>
    <row r="13" spans="2:14" ht="17.25" customHeight="1" x14ac:dyDescent="0.25">
      <c r="B13" s="97" t="s">
        <v>69</v>
      </c>
      <c r="C13" s="318">
        <f>F3</f>
        <v>855.23126348313565</v>
      </c>
      <c r="D13" s="318">
        <f t="shared" ref="D13:N13" si="2">C13</f>
        <v>855.23126348313565</v>
      </c>
      <c r="E13" s="318">
        <f t="shared" si="2"/>
        <v>855.23126348313565</v>
      </c>
      <c r="F13" s="318">
        <f t="shared" si="2"/>
        <v>855.23126348313565</v>
      </c>
      <c r="G13" s="318">
        <f t="shared" si="2"/>
        <v>855.23126348313565</v>
      </c>
      <c r="H13" s="318">
        <f t="shared" si="2"/>
        <v>855.23126348313565</v>
      </c>
      <c r="I13" s="318">
        <f t="shared" si="2"/>
        <v>855.23126348313565</v>
      </c>
      <c r="J13" s="318">
        <f t="shared" si="2"/>
        <v>855.23126348313565</v>
      </c>
      <c r="K13" s="318">
        <f t="shared" si="2"/>
        <v>855.23126348313565</v>
      </c>
      <c r="L13" s="318">
        <f t="shared" si="2"/>
        <v>855.23126348313565</v>
      </c>
      <c r="M13" s="318">
        <f t="shared" si="2"/>
        <v>855.23126348313565</v>
      </c>
      <c r="N13" s="318">
        <f t="shared" si="2"/>
        <v>855.23126348313565</v>
      </c>
    </row>
    <row r="14" spans="2:14" ht="17.25" customHeight="1" x14ac:dyDescent="0.25">
      <c r="B14" s="97" t="s">
        <v>534</v>
      </c>
      <c r="C14" s="318">
        <f>(C13*3.17%)*0/12</f>
        <v>0</v>
      </c>
      <c r="D14" s="318">
        <f t="shared" ref="D14:K14" si="3">(D13*3.17%)</f>
        <v>27.110831052415399</v>
      </c>
      <c r="E14" s="318">
        <f t="shared" si="3"/>
        <v>27.110831052415399</v>
      </c>
      <c r="F14" s="318">
        <f t="shared" si="3"/>
        <v>27.110831052415399</v>
      </c>
      <c r="G14" s="318">
        <f t="shared" si="3"/>
        <v>27.110831052415399</v>
      </c>
      <c r="H14" s="318">
        <f t="shared" si="3"/>
        <v>27.110831052415399</v>
      </c>
      <c r="I14" s="318">
        <f t="shared" si="3"/>
        <v>27.110831052415399</v>
      </c>
      <c r="J14" s="318">
        <f t="shared" si="3"/>
        <v>27.110831052415399</v>
      </c>
      <c r="K14" s="318">
        <f t="shared" si="3"/>
        <v>27.110831052415399</v>
      </c>
      <c r="L14" s="318">
        <f t="shared" ref="L14:M14" si="4">(L13*3.17%)</f>
        <v>27.110831052415399</v>
      </c>
      <c r="M14" s="318">
        <f t="shared" si="4"/>
        <v>27.110831052415399</v>
      </c>
      <c r="N14" s="318">
        <f t="shared" ref="N14" si="5">(N13*3.17%)</f>
        <v>27.110831052415399</v>
      </c>
    </row>
    <row r="15" spans="2:14" ht="17.25" customHeight="1" x14ac:dyDescent="0.25">
      <c r="B15" s="97" t="s">
        <v>71</v>
      </c>
      <c r="C15" s="318">
        <f>F4</f>
        <v>2270.0555281318802</v>
      </c>
      <c r="D15" s="318">
        <f t="shared" ref="D15:N15" si="6">C15</f>
        <v>2270.0555281318802</v>
      </c>
      <c r="E15" s="318">
        <f t="shared" si="6"/>
        <v>2270.0555281318802</v>
      </c>
      <c r="F15" s="318">
        <f t="shared" si="6"/>
        <v>2270.0555281318802</v>
      </c>
      <c r="G15" s="318">
        <f t="shared" si="6"/>
        <v>2270.0555281318802</v>
      </c>
      <c r="H15" s="318">
        <f t="shared" si="6"/>
        <v>2270.0555281318802</v>
      </c>
      <c r="I15" s="318">
        <f t="shared" si="6"/>
        <v>2270.0555281318802</v>
      </c>
      <c r="J15" s="318">
        <f t="shared" si="6"/>
        <v>2270.0555281318802</v>
      </c>
      <c r="K15" s="318">
        <f t="shared" si="6"/>
        <v>2270.0555281318802</v>
      </c>
      <c r="L15" s="318">
        <f t="shared" si="6"/>
        <v>2270.0555281318802</v>
      </c>
      <c r="M15" s="318">
        <f t="shared" si="6"/>
        <v>2270.0555281318802</v>
      </c>
      <c r="N15" s="318">
        <f t="shared" si="6"/>
        <v>2270.0555281318802</v>
      </c>
    </row>
    <row r="16" spans="2:14" ht="17.25" customHeight="1" x14ac:dyDescent="0.25">
      <c r="B16" s="97" t="s">
        <v>535</v>
      </c>
      <c r="C16" s="318">
        <f>(C15*6.33%)*0/12</f>
        <v>0</v>
      </c>
      <c r="D16" s="318">
        <f t="shared" ref="D16:K16" si="7">(D15*6.33%)</f>
        <v>143.694514930748</v>
      </c>
      <c r="E16" s="318">
        <f t="shared" si="7"/>
        <v>143.694514930748</v>
      </c>
      <c r="F16" s="318">
        <f t="shared" si="7"/>
        <v>143.694514930748</v>
      </c>
      <c r="G16" s="318">
        <f t="shared" si="7"/>
        <v>143.694514930748</v>
      </c>
      <c r="H16" s="318">
        <f t="shared" si="7"/>
        <v>143.694514930748</v>
      </c>
      <c r="I16" s="318">
        <f t="shared" si="7"/>
        <v>143.694514930748</v>
      </c>
      <c r="J16" s="318">
        <f t="shared" si="7"/>
        <v>143.694514930748</v>
      </c>
      <c r="K16" s="318">
        <f t="shared" si="7"/>
        <v>143.694514930748</v>
      </c>
      <c r="L16" s="318">
        <f t="shared" ref="L16:M16" si="8">(L15*6.33%)</f>
        <v>143.694514930748</v>
      </c>
      <c r="M16" s="318">
        <f t="shared" si="8"/>
        <v>143.694514930748</v>
      </c>
      <c r="N16" s="318">
        <f t="shared" ref="N16" si="9">(N15*6.33%)</f>
        <v>143.694514930748</v>
      </c>
    </row>
    <row r="17" spans="2:14" ht="17.25" customHeight="1" x14ac:dyDescent="0.25">
      <c r="B17" s="97" t="s">
        <v>478</v>
      </c>
      <c r="C17" s="318">
        <f>F5+F6</f>
        <v>58.913208384984003</v>
      </c>
      <c r="D17" s="318">
        <f t="shared" ref="D17:N17" si="10">C17</f>
        <v>58.913208384984003</v>
      </c>
      <c r="E17" s="318">
        <f t="shared" si="10"/>
        <v>58.913208384984003</v>
      </c>
      <c r="F17" s="318">
        <f t="shared" si="10"/>
        <v>58.913208384984003</v>
      </c>
      <c r="G17" s="318">
        <f t="shared" si="10"/>
        <v>58.913208384984003</v>
      </c>
      <c r="H17" s="318">
        <f t="shared" si="10"/>
        <v>58.913208384984003</v>
      </c>
      <c r="I17" s="318">
        <f t="shared" si="10"/>
        <v>58.913208384984003</v>
      </c>
      <c r="J17" s="318">
        <f t="shared" si="10"/>
        <v>58.913208384984003</v>
      </c>
      <c r="K17" s="318">
        <f t="shared" si="10"/>
        <v>58.913208384984003</v>
      </c>
      <c r="L17" s="318">
        <f t="shared" si="10"/>
        <v>58.913208384984003</v>
      </c>
      <c r="M17" s="318">
        <f t="shared" si="10"/>
        <v>58.913208384984003</v>
      </c>
      <c r="N17" s="318">
        <f t="shared" si="10"/>
        <v>58.913208384984003</v>
      </c>
    </row>
    <row r="18" spans="2:14" ht="17.25" customHeight="1" x14ac:dyDescent="0.25">
      <c r="B18" s="97" t="s">
        <v>536</v>
      </c>
      <c r="C18" s="318">
        <f>C17*9.5%*0/12</f>
        <v>0</v>
      </c>
      <c r="D18" s="318">
        <f t="shared" ref="D18:K18" si="11">D17*9.5%</f>
        <v>5.5967547965734807</v>
      </c>
      <c r="E18" s="318">
        <f t="shared" si="11"/>
        <v>5.5967547965734807</v>
      </c>
      <c r="F18" s="318">
        <f t="shared" si="11"/>
        <v>5.5967547965734807</v>
      </c>
      <c r="G18" s="318">
        <f t="shared" si="11"/>
        <v>5.5967547965734807</v>
      </c>
      <c r="H18" s="318">
        <f t="shared" si="11"/>
        <v>5.5967547965734807</v>
      </c>
      <c r="I18" s="318">
        <f t="shared" si="11"/>
        <v>5.5967547965734807</v>
      </c>
      <c r="J18" s="318">
        <f t="shared" si="11"/>
        <v>5.5967547965734807</v>
      </c>
      <c r="K18" s="318">
        <f t="shared" si="11"/>
        <v>5.5967547965734807</v>
      </c>
      <c r="L18" s="318">
        <f t="shared" ref="L18:M18" si="12">L17*9.5%</f>
        <v>5.5967547965734807</v>
      </c>
      <c r="M18" s="318">
        <f t="shared" si="12"/>
        <v>5.5967547965734807</v>
      </c>
      <c r="N18" s="318">
        <f t="shared" ref="N18" si="13">N17*9.5%</f>
        <v>5.5967547965734807</v>
      </c>
    </row>
    <row r="19" spans="2:14" s="259" customFormat="1" ht="17.25" customHeight="1" x14ac:dyDescent="0.25">
      <c r="B19" s="153" t="s">
        <v>476</v>
      </c>
      <c r="C19" s="319">
        <f t="shared" ref="C19:K19" si="14">C14+C16+C18</f>
        <v>0</v>
      </c>
      <c r="D19" s="319">
        <f t="shared" si="14"/>
        <v>176.40210077973688</v>
      </c>
      <c r="E19" s="319">
        <f t="shared" si="14"/>
        <v>176.40210077973688</v>
      </c>
      <c r="F19" s="319">
        <f t="shared" si="14"/>
        <v>176.40210077973688</v>
      </c>
      <c r="G19" s="319">
        <f t="shared" si="14"/>
        <v>176.40210077973688</v>
      </c>
      <c r="H19" s="319">
        <f t="shared" si="14"/>
        <v>176.40210077973688</v>
      </c>
      <c r="I19" s="319">
        <f t="shared" si="14"/>
        <v>176.40210077973688</v>
      </c>
      <c r="J19" s="319">
        <f t="shared" si="14"/>
        <v>176.40210077973688</v>
      </c>
      <c r="K19" s="319">
        <f t="shared" si="14"/>
        <v>176.40210077973688</v>
      </c>
      <c r="L19" s="319">
        <f t="shared" ref="L19:M19" si="15">L14+L16+L18</f>
        <v>176.40210077973688</v>
      </c>
      <c r="M19" s="319">
        <f t="shared" si="15"/>
        <v>176.40210077973688</v>
      </c>
      <c r="N19" s="319">
        <f t="shared" ref="N19" si="16">N14+N16+N18</f>
        <v>176.40210077973688</v>
      </c>
    </row>
    <row r="20" spans="2:14" x14ac:dyDescent="0.25">
      <c r="B20" s="385"/>
      <c r="C20" s="385"/>
      <c r="D20" s="385"/>
      <c r="E20" s="385"/>
      <c r="F20" s="385"/>
      <c r="G20" s="385"/>
      <c r="H20" s="385"/>
      <c r="I20" s="385"/>
      <c r="J20" s="385"/>
      <c r="K20" s="385"/>
      <c r="L20" s="385"/>
    </row>
    <row r="21" spans="2:14" ht="15.75" customHeight="1" x14ac:dyDescent="0.25">
      <c r="B21" s="358" t="s">
        <v>781</v>
      </c>
      <c r="C21" s="358"/>
      <c r="D21" s="358"/>
      <c r="E21" s="358"/>
      <c r="F21" s="358"/>
      <c r="G21" s="358"/>
      <c r="H21" s="358"/>
      <c r="I21" s="358"/>
      <c r="J21" s="358"/>
      <c r="K21" s="358"/>
      <c r="L21" s="358"/>
      <c r="M21" s="126"/>
      <c r="N21" s="126"/>
    </row>
    <row r="22" spans="2:14" ht="15" customHeight="1" x14ac:dyDescent="0.25">
      <c r="B22" s="110" t="s">
        <v>402</v>
      </c>
      <c r="C22" s="71">
        <v>3</v>
      </c>
      <c r="D22" s="71">
        <v>12</v>
      </c>
      <c r="E22" s="71">
        <v>12</v>
      </c>
      <c r="F22" s="71">
        <v>12</v>
      </c>
      <c r="G22" s="71">
        <v>12</v>
      </c>
      <c r="H22" s="71">
        <v>12</v>
      </c>
      <c r="I22" s="71">
        <v>12</v>
      </c>
      <c r="J22" s="71">
        <v>12</v>
      </c>
      <c r="K22" s="71">
        <v>12</v>
      </c>
      <c r="L22" s="71">
        <v>12</v>
      </c>
      <c r="M22" s="71">
        <v>12</v>
      </c>
      <c r="N22" s="71">
        <v>12</v>
      </c>
    </row>
    <row r="23" spans="2:14" s="58" customFormat="1" ht="21" customHeight="1" x14ac:dyDescent="0.25">
      <c r="B23" s="118" t="s">
        <v>782</v>
      </c>
      <c r="C23" s="72">
        <v>2025</v>
      </c>
      <c r="D23" s="72">
        <f t="shared" ref="D23:N23" si="17">C23+1</f>
        <v>2026</v>
      </c>
      <c r="E23" s="72">
        <f t="shared" si="17"/>
        <v>2027</v>
      </c>
      <c r="F23" s="72">
        <f t="shared" si="17"/>
        <v>2028</v>
      </c>
      <c r="G23" s="72">
        <f t="shared" si="17"/>
        <v>2029</v>
      </c>
      <c r="H23" s="72">
        <f t="shared" si="17"/>
        <v>2030</v>
      </c>
      <c r="I23" s="72">
        <f t="shared" si="17"/>
        <v>2031</v>
      </c>
      <c r="J23" s="72">
        <f t="shared" si="17"/>
        <v>2032</v>
      </c>
      <c r="K23" s="72">
        <f t="shared" si="17"/>
        <v>2033</v>
      </c>
      <c r="L23" s="72">
        <f t="shared" si="17"/>
        <v>2034</v>
      </c>
      <c r="M23" s="72">
        <f t="shared" si="17"/>
        <v>2035</v>
      </c>
      <c r="N23" s="72">
        <f t="shared" si="17"/>
        <v>2036</v>
      </c>
    </row>
    <row r="24" spans="2:14" s="97" customFormat="1" ht="21" customHeight="1" x14ac:dyDescent="0.25">
      <c r="B24" s="97" t="s">
        <v>69</v>
      </c>
      <c r="C24" s="258">
        <f>F3</f>
        <v>855.23126348313565</v>
      </c>
      <c r="D24" s="258">
        <f t="shared" ref="D24:N24" si="18">(C26)</f>
        <v>855.23126348313565</v>
      </c>
      <c r="E24" s="258">
        <f t="shared" si="18"/>
        <v>769.7081371348221</v>
      </c>
      <c r="F24" s="258">
        <f t="shared" si="18"/>
        <v>692.73732342133985</v>
      </c>
      <c r="G24" s="258">
        <f t="shared" si="18"/>
        <v>623.46359107920591</v>
      </c>
      <c r="H24" s="258">
        <f t="shared" si="18"/>
        <v>561.11723197128526</v>
      </c>
      <c r="I24" s="258">
        <f t="shared" si="18"/>
        <v>505.00550877415674</v>
      </c>
      <c r="J24" s="258">
        <f t="shared" si="18"/>
        <v>454.50495789674108</v>
      </c>
      <c r="K24" s="258">
        <f t="shared" si="18"/>
        <v>409.05446210706697</v>
      </c>
      <c r="L24" s="258">
        <f t="shared" si="18"/>
        <v>368.14901589636025</v>
      </c>
      <c r="M24" s="258">
        <f t="shared" si="18"/>
        <v>331.33411430672425</v>
      </c>
      <c r="N24" s="258">
        <f t="shared" si="18"/>
        <v>298.20070287605182</v>
      </c>
    </row>
    <row r="25" spans="2:14" s="97" customFormat="1" ht="21" customHeight="1" x14ac:dyDescent="0.25">
      <c r="B25" s="97" t="s">
        <v>481</v>
      </c>
      <c r="C25" s="258">
        <f>(C24*$I$3)*0/12</f>
        <v>0</v>
      </c>
      <c r="D25" s="258">
        <f t="shared" ref="D25:K25" si="19">(D24*$I$3)</f>
        <v>85.523126348313568</v>
      </c>
      <c r="E25" s="258">
        <f t="shared" si="19"/>
        <v>76.970813713482215</v>
      </c>
      <c r="F25" s="258">
        <f t="shared" si="19"/>
        <v>69.273732342133982</v>
      </c>
      <c r="G25" s="258">
        <f t="shared" si="19"/>
        <v>62.346359107920591</v>
      </c>
      <c r="H25" s="258">
        <f t="shared" si="19"/>
        <v>56.111723197128526</v>
      </c>
      <c r="I25" s="258">
        <f t="shared" si="19"/>
        <v>50.500550877415677</v>
      </c>
      <c r="J25" s="258">
        <f t="shared" si="19"/>
        <v>45.450495789674108</v>
      </c>
      <c r="K25" s="258">
        <f t="shared" si="19"/>
        <v>40.9054462107067</v>
      </c>
      <c r="L25" s="258">
        <f t="shared" ref="L25" si="20">(L24*$I$3)</f>
        <v>36.81490158963603</v>
      </c>
      <c r="M25" s="258">
        <f t="shared" ref="M25:N25" si="21">(M24*$I$3)</f>
        <v>33.133411430672425</v>
      </c>
      <c r="N25" s="258">
        <f t="shared" si="21"/>
        <v>29.820070287605184</v>
      </c>
    </row>
    <row r="26" spans="2:14" s="97" customFormat="1" ht="21" customHeight="1" x14ac:dyDescent="0.25">
      <c r="B26" s="97" t="s">
        <v>70</v>
      </c>
      <c r="C26" s="258">
        <f t="shared" ref="C26:K26" si="22">(C24-C25)</f>
        <v>855.23126348313565</v>
      </c>
      <c r="D26" s="258">
        <f t="shared" si="22"/>
        <v>769.7081371348221</v>
      </c>
      <c r="E26" s="258">
        <f t="shared" si="22"/>
        <v>692.73732342133985</v>
      </c>
      <c r="F26" s="258">
        <f t="shared" si="22"/>
        <v>623.46359107920591</v>
      </c>
      <c r="G26" s="258">
        <f t="shared" si="22"/>
        <v>561.11723197128526</v>
      </c>
      <c r="H26" s="258">
        <f t="shared" si="22"/>
        <v>505.00550877415674</v>
      </c>
      <c r="I26" s="258">
        <f t="shared" si="22"/>
        <v>454.50495789674108</v>
      </c>
      <c r="J26" s="258">
        <f t="shared" si="22"/>
        <v>409.05446210706697</v>
      </c>
      <c r="K26" s="258">
        <f t="shared" si="22"/>
        <v>368.14901589636025</v>
      </c>
      <c r="L26" s="258">
        <f t="shared" ref="L26" si="23">(L24-L25)</f>
        <v>331.33411430672425</v>
      </c>
      <c r="M26" s="258">
        <f t="shared" ref="M26:N26" si="24">(M24-M25)</f>
        <v>298.20070287605182</v>
      </c>
      <c r="N26" s="258">
        <f t="shared" si="24"/>
        <v>268.38063258844664</v>
      </c>
    </row>
    <row r="27" spans="2:14" s="97" customFormat="1" ht="21" customHeight="1" x14ac:dyDescent="0.25">
      <c r="B27" s="97" t="s">
        <v>71</v>
      </c>
      <c r="C27" s="258">
        <f>F4</f>
        <v>2270.0555281318802</v>
      </c>
      <c r="D27" s="258">
        <f>+H4</f>
        <v>6.3299999999999995E-2</v>
      </c>
      <c r="E27" s="258">
        <f t="shared" ref="E27:N27" si="25">(D29)</f>
        <v>5.3804999999999999E-2</v>
      </c>
      <c r="F27" s="258">
        <f t="shared" si="25"/>
        <v>4.5734249999999997E-2</v>
      </c>
      <c r="G27" s="258">
        <f t="shared" si="25"/>
        <v>3.8874112499999995E-2</v>
      </c>
      <c r="H27" s="258">
        <f t="shared" si="25"/>
        <v>3.3042995624999995E-2</v>
      </c>
      <c r="I27" s="258">
        <f t="shared" si="25"/>
        <v>2.8086546281249996E-2</v>
      </c>
      <c r="J27" s="258">
        <f t="shared" si="25"/>
        <v>2.3873564339062497E-2</v>
      </c>
      <c r="K27" s="258">
        <f t="shared" si="25"/>
        <v>2.0292529688203123E-2</v>
      </c>
      <c r="L27" s="258">
        <f t="shared" si="25"/>
        <v>1.7248650234972653E-2</v>
      </c>
      <c r="M27" s="258">
        <f t="shared" si="25"/>
        <v>1.4661352699726755E-2</v>
      </c>
      <c r="N27" s="258">
        <f t="shared" si="25"/>
        <v>1.2462149794767742E-2</v>
      </c>
    </row>
    <row r="28" spans="2:14" s="97" customFormat="1" ht="21" customHeight="1" x14ac:dyDescent="0.25">
      <c r="B28" s="97" t="s">
        <v>481</v>
      </c>
      <c r="C28" s="258">
        <f>(C27*$I$4)*0/12</f>
        <v>0</v>
      </c>
      <c r="D28" s="258">
        <f t="shared" ref="D28:K28" si="26">(D27*$I$4)</f>
        <v>9.4949999999999982E-3</v>
      </c>
      <c r="E28" s="258">
        <f t="shared" si="26"/>
        <v>8.0707499999999998E-3</v>
      </c>
      <c r="F28" s="258">
        <f t="shared" si="26"/>
        <v>6.8601374999999994E-3</v>
      </c>
      <c r="G28" s="258">
        <f t="shared" si="26"/>
        <v>5.8311168749999994E-3</v>
      </c>
      <c r="H28" s="258">
        <f t="shared" si="26"/>
        <v>4.9564493437499989E-3</v>
      </c>
      <c r="I28" s="258">
        <f t="shared" si="26"/>
        <v>4.2129819421874992E-3</v>
      </c>
      <c r="J28" s="258">
        <f t="shared" si="26"/>
        <v>3.5810346508593745E-3</v>
      </c>
      <c r="K28" s="258">
        <f t="shared" si="26"/>
        <v>3.0438794532304685E-3</v>
      </c>
      <c r="L28" s="258">
        <f t="shared" ref="L28" si="27">(L27*$I$4)</f>
        <v>2.5872975352458981E-3</v>
      </c>
      <c r="M28" s="258">
        <f t="shared" ref="M28:N28" si="28">(M27*$I$4)</f>
        <v>2.199202904959013E-3</v>
      </c>
      <c r="N28" s="258">
        <f t="shared" si="28"/>
        <v>1.8693224692151612E-3</v>
      </c>
    </row>
    <row r="29" spans="2:14" s="97" customFormat="1" ht="21" customHeight="1" x14ac:dyDescent="0.25">
      <c r="B29" s="97" t="s">
        <v>241</v>
      </c>
      <c r="C29" s="258">
        <f t="shared" ref="C29:K29" si="29">(C27-C28)</f>
        <v>2270.0555281318802</v>
      </c>
      <c r="D29" s="258">
        <f t="shared" si="29"/>
        <v>5.3804999999999999E-2</v>
      </c>
      <c r="E29" s="258">
        <f t="shared" si="29"/>
        <v>4.5734249999999997E-2</v>
      </c>
      <c r="F29" s="258">
        <f t="shared" si="29"/>
        <v>3.8874112499999995E-2</v>
      </c>
      <c r="G29" s="258">
        <f t="shared" si="29"/>
        <v>3.3042995624999995E-2</v>
      </c>
      <c r="H29" s="258">
        <f t="shared" si="29"/>
        <v>2.8086546281249996E-2</v>
      </c>
      <c r="I29" s="258">
        <f t="shared" si="29"/>
        <v>2.3873564339062497E-2</v>
      </c>
      <c r="J29" s="258">
        <f t="shared" si="29"/>
        <v>2.0292529688203123E-2</v>
      </c>
      <c r="K29" s="258">
        <f t="shared" si="29"/>
        <v>1.7248650234972653E-2</v>
      </c>
      <c r="L29" s="258">
        <f t="shared" ref="L29" si="30">(L27-L28)</f>
        <v>1.4661352699726755E-2</v>
      </c>
      <c r="M29" s="258">
        <f t="shared" ref="M29:N29" si="31">(M27-M28)</f>
        <v>1.2462149794767742E-2</v>
      </c>
      <c r="N29" s="258">
        <f t="shared" si="31"/>
        <v>1.0592827325552581E-2</v>
      </c>
    </row>
    <row r="30" spans="2:14" s="97" customFormat="1" ht="21" customHeight="1" x14ac:dyDescent="0.25">
      <c r="B30" s="97" t="s">
        <v>478</v>
      </c>
      <c r="C30" s="258">
        <f>F5</f>
        <v>6.3121294698197143</v>
      </c>
      <c r="D30" s="258">
        <f t="shared" ref="D30:N30" si="32">C32</f>
        <v>6.3121294698197143</v>
      </c>
      <c r="E30" s="258">
        <f t="shared" si="32"/>
        <v>5.3653100493467569</v>
      </c>
      <c r="F30" s="258">
        <f t="shared" si="32"/>
        <v>4.5605135419447436</v>
      </c>
      <c r="G30" s="258">
        <f t="shared" si="32"/>
        <v>3.8764365106530319</v>
      </c>
      <c r="H30" s="258">
        <f t="shared" si="32"/>
        <v>3.2949710340550773</v>
      </c>
      <c r="I30" s="258">
        <f t="shared" si="32"/>
        <v>2.8007253789468156</v>
      </c>
      <c r="J30" s="258">
        <f t="shared" si="32"/>
        <v>2.3806165721047932</v>
      </c>
      <c r="K30" s="258">
        <f t="shared" si="32"/>
        <v>2.0235240862890742</v>
      </c>
      <c r="L30" s="258">
        <f t="shared" si="32"/>
        <v>1.719995473345713</v>
      </c>
      <c r="M30" s="258">
        <f t="shared" si="32"/>
        <v>1.461996152343856</v>
      </c>
      <c r="N30" s="258">
        <f t="shared" si="32"/>
        <v>1.2426967294922777</v>
      </c>
    </row>
    <row r="31" spans="2:14" s="97" customFormat="1" ht="21" customHeight="1" x14ac:dyDescent="0.25">
      <c r="B31" s="97" t="s">
        <v>721</v>
      </c>
      <c r="C31" s="258">
        <f>C30*$I$5*0/12</f>
        <v>0</v>
      </c>
      <c r="D31" s="258">
        <f t="shared" ref="D31:M31" si="33">D30*$I$5</f>
        <v>0.94681942047295709</v>
      </c>
      <c r="E31" s="258">
        <f t="shared" si="33"/>
        <v>0.80479650740201347</v>
      </c>
      <c r="F31" s="258">
        <f t="shared" si="33"/>
        <v>0.68407703129171149</v>
      </c>
      <c r="G31" s="258">
        <f t="shared" si="33"/>
        <v>0.58146547659795478</v>
      </c>
      <c r="H31" s="258">
        <f t="shared" si="33"/>
        <v>0.49424565510826157</v>
      </c>
      <c r="I31" s="258">
        <f t="shared" si="33"/>
        <v>0.42010880684202234</v>
      </c>
      <c r="J31" s="258">
        <f t="shared" si="33"/>
        <v>0.35709248581571895</v>
      </c>
      <c r="K31" s="258">
        <f t="shared" si="33"/>
        <v>0.30352861294336114</v>
      </c>
      <c r="L31" s="258">
        <f t="shared" si="33"/>
        <v>0.25799932100185696</v>
      </c>
      <c r="M31" s="258">
        <f t="shared" si="33"/>
        <v>0.21929942285157841</v>
      </c>
      <c r="N31" s="258">
        <f t="shared" ref="N31" si="34">N30*$I$5</f>
        <v>0.18640450942384165</v>
      </c>
    </row>
    <row r="32" spans="2:14" s="97" customFormat="1" ht="21" customHeight="1" x14ac:dyDescent="0.25">
      <c r="B32" s="97" t="s">
        <v>480</v>
      </c>
      <c r="C32" s="258">
        <f t="shared" ref="C32:M32" si="35">C30-C31</f>
        <v>6.3121294698197143</v>
      </c>
      <c r="D32" s="258">
        <f t="shared" si="35"/>
        <v>5.3653100493467569</v>
      </c>
      <c r="E32" s="258">
        <f t="shared" si="35"/>
        <v>4.5605135419447436</v>
      </c>
      <c r="F32" s="258">
        <f t="shared" si="35"/>
        <v>3.8764365106530319</v>
      </c>
      <c r="G32" s="258">
        <f t="shared" si="35"/>
        <v>3.2949710340550773</v>
      </c>
      <c r="H32" s="258">
        <f t="shared" si="35"/>
        <v>2.8007253789468156</v>
      </c>
      <c r="I32" s="258">
        <f t="shared" si="35"/>
        <v>2.3806165721047932</v>
      </c>
      <c r="J32" s="258">
        <f t="shared" si="35"/>
        <v>2.0235240862890742</v>
      </c>
      <c r="K32" s="258">
        <f t="shared" si="35"/>
        <v>1.719995473345713</v>
      </c>
      <c r="L32" s="258">
        <f t="shared" si="35"/>
        <v>1.461996152343856</v>
      </c>
      <c r="M32" s="258">
        <f t="shared" si="35"/>
        <v>1.2426967294922777</v>
      </c>
      <c r="N32" s="258">
        <f t="shared" ref="N32" si="36">N30-N31</f>
        <v>1.0562922200684361</v>
      </c>
    </row>
    <row r="33" spans="2:14" s="97" customFormat="1" ht="21" customHeight="1" x14ac:dyDescent="0.25">
      <c r="B33" s="97" t="s">
        <v>723</v>
      </c>
      <c r="C33" s="258">
        <f>F6</f>
        <v>52.601078915164287</v>
      </c>
      <c r="D33" s="258">
        <f>C35</f>
        <v>52.601078915164287</v>
      </c>
      <c r="E33" s="258">
        <f t="shared" ref="E33:N33" si="37">D35</f>
        <v>44.710917077889647</v>
      </c>
      <c r="F33" s="258">
        <f t="shared" si="37"/>
        <v>38.004279516206196</v>
      </c>
      <c r="G33" s="258">
        <f t="shared" si="37"/>
        <v>32.303637588775267</v>
      </c>
      <c r="H33" s="258">
        <f t="shared" si="37"/>
        <v>27.458091950458979</v>
      </c>
      <c r="I33" s="258">
        <f t="shared" si="37"/>
        <v>23.339378157890131</v>
      </c>
      <c r="J33" s="258">
        <f t="shared" si="37"/>
        <v>19.83847143420661</v>
      </c>
      <c r="K33" s="258">
        <f t="shared" si="37"/>
        <v>16.862700719075619</v>
      </c>
      <c r="L33" s="258">
        <f t="shared" si="37"/>
        <v>14.333295611214275</v>
      </c>
      <c r="M33" s="258">
        <f t="shared" si="37"/>
        <v>12.183301269532134</v>
      </c>
      <c r="N33" s="258">
        <f t="shared" si="37"/>
        <v>10.355806079102313</v>
      </c>
    </row>
    <row r="34" spans="2:14" s="97" customFormat="1" ht="21" customHeight="1" x14ac:dyDescent="0.25">
      <c r="B34" s="97" t="s">
        <v>721</v>
      </c>
      <c r="C34" s="258">
        <f>C33*$I$6*0/12</f>
        <v>0</v>
      </c>
      <c r="D34" s="258">
        <f t="shared" ref="D34:M34" si="38">D33*$I$6</f>
        <v>7.8901618372746425</v>
      </c>
      <c r="E34" s="258">
        <f t="shared" si="38"/>
        <v>6.706637561683447</v>
      </c>
      <c r="F34" s="258">
        <f t="shared" si="38"/>
        <v>5.7006419274309295</v>
      </c>
      <c r="G34" s="258">
        <f t="shared" si="38"/>
        <v>4.84554563831629</v>
      </c>
      <c r="H34" s="258">
        <f t="shared" si="38"/>
        <v>4.1187137925688466</v>
      </c>
      <c r="I34" s="258">
        <f t="shared" si="38"/>
        <v>3.5009067236835194</v>
      </c>
      <c r="J34" s="258">
        <f t="shared" si="38"/>
        <v>2.9757707151309916</v>
      </c>
      <c r="K34" s="258">
        <f t="shared" si="38"/>
        <v>2.5294051078613426</v>
      </c>
      <c r="L34" s="258">
        <f t="shared" si="38"/>
        <v>2.1499943416821412</v>
      </c>
      <c r="M34" s="258">
        <f t="shared" si="38"/>
        <v>1.82749519042982</v>
      </c>
      <c r="N34" s="258">
        <f t="shared" ref="N34" si="39">N33*$I$6</f>
        <v>1.5533709118653469</v>
      </c>
    </row>
    <row r="35" spans="2:14" s="97" customFormat="1" ht="21" customHeight="1" x14ac:dyDescent="0.25">
      <c r="B35" s="97" t="s">
        <v>722</v>
      </c>
      <c r="C35" s="258">
        <f>C33-C34</f>
        <v>52.601078915164287</v>
      </c>
      <c r="D35" s="258">
        <f>D33-D34</f>
        <v>44.710917077889647</v>
      </c>
      <c r="E35" s="258">
        <f t="shared" ref="E35:M35" si="40">E33-E34</f>
        <v>38.004279516206196</v>
      </c>
      <c r="F35" s="258">
        <f t="shared" si="40"/>
        <v>32.303637588775267</v>
      </c>
      <c r="G35" s="258">
        <f t="shared" si="40"/>
        <v>27.458091950458979</v>
      </c>
      <c r="H35" s="258">
        <f t="shared" si="40"/>
        <v>23.339378157890131</v>
      </c>
      <c r="I35" s="258">
        <f t="shared" si="40"/>
        <v>19.83847143420661</v>
      </c>
      <c r="J35" s="258">
        <f t="shared" si="40"/>
        <v>16.862700719075619</v>
      </c>
      <c r="K35" s="258">
        <f t="shared" si="40"/>
        <v>14.333295611214275</v>
      </c>
      <c r="L35" s="258">
        <f t="shared" si="40"/>
        <v>12.183301269532134</v>
      </c>
      <c r="M35" s="258">
        <f t="shared" si="40"/>
        <v>10.355806079102313</v>
      </c>
      <c r="N35" s="258">
        <f t="shared" ref="N35" si="41">N33-N34</f>
        <v>8.8024351672369665</v>
      </c>
    </row>
    <row r="36" spans="2:14" s="97" customFormat="1" ht="21" customHeight="1" x14ac:dyDescent="0.25">
      <c r="B36" s="97" t="s">
        <v>72</v>
      </c>
      <c r="C36" s="258">
        <f>(C26+C29+C32+C35)</f>
        <v>3184.2</v>
      </c>
      <c r="D36" s="258">
        <f t="shared" ref="D36:N36" si="42">(D26+D29+D32+D35)</f>
        <v>819.8381692620585</v>
      </c>
      <c r="E36" s="258">
        <f t="shared" si="42"/>
        <v>735.3478507294908</v>
      </c>
      <c r="F36" s="258">
        <f t="shared" si="42"/>
        <v>659.68253929113416</v>
      </c>
      <c r="G36" s="258">
        <f t="shared" si="42"/>
        <v>591.90333795142431</v>
      </c>
      <c r="H36" s="258">
        <f t="shared" si="42"/>
        <v>531.17369885727499</v>
      </c>
      <c r="I36" s="258">
        <f t="shared" si="42"/>
        <v>476.74791946739151</v>
      </c>
      <c r="J36" s="258">
        <f t="shared" si="42"/>
        <v>427.96097944211988</v>
      </c>
      <c r="K36" s="258">
        <f t="shared" si="42"/>
        <v>384.21955563115523</v>
      </c>
      <c r="L36" s="258">
        <f t="shared" si="42"/>
        <v>344.99407308129992</v>
      </c>
      <c r="M36" s="258">
        <f t="shared" si="42"/>
        <v>309.81166783444115</v>
      </c>
      <c r="N36" s="258">
        <f t="shared" si="42"/>
        <v>278.24995280307758</v>
      </c>
    </row>
    <row r="37" spans="2:14" s="97" customFormat="1" ht="21" customHeight="1" x14ac:dyDescent="0.25">
      <c r="B37" s="155" t="s">
        <v>479</v>
      </c>
      <c r="C37" s="260">
        <f>C25+C28+C31+C34</f>
        <v>0</v>
      </c>
      <c r="D37" s="260">
        <f t="shared" ref="D37:M37" si="43">D25+D28+D31+D34</f>
        <v>94.369602606061179</v>
      </c>
      <c r="E37" s="260">
        <f t="shared" si="43"/>
        <v>84.490318532567684</v>
      </c>
      <c r="F37" s="260">
        <f t="shared" si="43"/>
        <v>75.665311438356611</v>
      </c>
      <c r="G37" s="260">
        <f t="shared" si="43"/>
        <v>67.779201339709843</v>
      </c>
      <c r="H37" s="260">
        <f t="shared" si="43"/>
        <v>60.729639094149384</v>
      </c>
      <c r="I37" s="260">
        <f t="shared" si="43"/>
        <v>54.425779389883409</v>
      </c>
      <c r="J37" s="260">
        <f t="shared" si="43"/>
        <v>48.786940025271676</v>
      </c>
      <c r="K37" s="260">
        <f t="shared" si="43"/>
        <v>43.741423810964633</v>
      </c>
      <c r="L37" s="260">
        <f t="shared" si="43"/>
        <v>39.225482549855265</v>
      </c>
      <c r="M37" s="260">
        <f t="shared" si="43"/>
        <v>35.182405246858785</v>
      </c>
      <c r="N37" s="260">
        <f t="shared" ref="N37" si="44">N25+N28+N31+N34</f>
        <v>31.561715031363587</v>
      </c>
    </row>
  </sheetData>
  <customSheetViews>
    <customSheetView guid="{22475485-DA09-46DB-978D-BB94CE1E5597}">
      <selection activeCell="D4" sqref="D4"/>
      <pageMargins left="0.7" right="0.7" top="0.75" bottom="0.75" header="0.3" footer="0.3"/>
      <pageSetup paperSize="9" orientation="landscape" verticalDpi="300" r:id="rId1"/>
    </customSheetView>
  </customSheetViews>
  <mergeCells count="3">
    <mergeCell ref="B20:L20"/>
    <mergeCell ref="B21:L21"/>
    <mergeCell ref="B11:L11"/>
  </mergeCells>
  <pageMargins left="0.7" right="0.7" top="0.75" bottom="0.75" header="0.3" footer="0.3"/>
  <pageSetup paperSize="9" orientation="landscape" verticalDpi="3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B1:N30"/>
  <sheetViews>
    <sheetView showGridLines="0" workbookViewId="0">
      <selection activeCell="D11" sqref="D11"/>
    </sheetView>
  </sheetViews>
  <sheetFormatPr defaultColWidth="32.28515625" defaultRowHeight="15" x14ac:dyDescent="0.25"/>
  <cols>
    <col min="1" max="1" width="4.7109375" style="96" customWidth="1"/>
    <col min="2" max="2" width="41.85546875" style="51" customWidth="1"/>
    <col min="3" max="3" width="16.5703125" style="44" customWidth="1"/>
    <col min="4" max="4" width="25.7109375" style="44" customWidth="1"/>
    <col min="5" max="5" width="22.42578125" style="44" customWidth="1"/>
    <col min="6" max="6" width="25" style="44" customWidth="1"/>
    <col min="7" max="14" width="14" style="96" customWidth="1"/>
    <col min="15" max="16384" width="32.28515625" style="96"/>
  </cols>
  <sheetData>
    <row r="1" spans="2:6" ht="16.5" customHeight="1" x14ac:dyDescent="0.25"/>
    <row r="2" spans="2:6" s="97" customFormat="1" ht="16.5" customHeight="1" x14ac:dyDescent="0.25">
      <c r="B2" s="355" t="s">
        <v>16</v>
      </c>
      <c r="C2" s="355"/>
      <c r="D2" s="355"/>
      <c r="E2" s="355"/>
      <c r="F2" s="386"/>
    </row>
    <row r="3" spans="2:6" s="97" customFormat="1" ht="15" customHeight="1" x14ac:dyDescent="0.25"/>
    <row r="4" spans="2:6" s="58" customFormat="1" ht="18.75" customHeight="1" x14ac:dyDescent="0.25">
      <c r="B4" s="387" t="s">
        <v>140</v>
      </c>
      <c r="C4" s="388"/>
      <c r="D4" s="388"/>
      <c r="E4" s="388"/>
      <c r="F4" s="388"/>
    </row>
    <row r="5" spans="2:6" s="97" customFormat="1" ht="18.75" customHeight="1" x14ac:dyDescent="0.25">
      <c r="B5" s="145" t="s">
        <v>141</v>
      </c>
      <c r="C5" s="71"/>
      <c r="D5" s="71" t="s">
        <v>243</v>
      </c>
      <c r="E5" s="71"/>
      <c r="F5" s="71" t="s">
        <v>243</v>
      </c>
    </row>
    <row r="6" spans="2:6" s="64" customFormat="1" ht="18.75" customHeight="1" x14ac:dyDescent="0.25">
      <c r="B6" s="114" t="s">
        <v>142</v>
      </c>
      <c r="C6" s="47" t="s">
        <v>143</v>
      </c>
      <c r="D6" s="47" t="s">
        <v>144</v>
      </c>
      <c r="E6" s="47" t="s">
        <v>145</v>
      </c>
      <c r="F6" s="47" t="s">
        <v>146</v>
      </c>
    </row>
    <row r="7" spans="2:6" s="97" customFormat="1" ht="18.75" customHeight="1" x14ac:dyDescent="0.25">
      <c r="B7" s="51" t="s">
        <v>147</v>
      </c>
      <c r="C7" s="44">
        <v>10</v>
      </c>
      <c r="D7" s="48">
        <v>25000</v>
      </c>
      <c r="E7" s="44">
        <v>12</v>
      </c>
      <c r="F7" s="48">
        <f>(D7*C7*E7)</f>
        <v>3000000</v>
      </c>
    </row>
    <row r="8" spans="2:6" s="97" customFormat="1" ht="18.75" customHeight="1" x14ac:dyDescent="0.25">
      <c r="B8" s="51" t="s">
        <v>148</v>
      </c>
      <c r="C8" s="44">
        <v>4</v>
      </c>
      <c r="D8" s="48">
        <v>20000</v>
      </c>
      <c r="E8" s="44">
        <v>12</v>
      </c>
      <c r="F8" s="48">
        <f>(D8*C8*E8)</f>
        <v>960000</v>
      </c>
    </row>
    <row r="9" spans="2:6" s="97" customFormat="1" ht="18.75" customHeight="1" x14ac:dyDescent="0.25">
      <c r="B9" s="51" t="s">
        <v>149</v>
      </c>
      <c r="C9" s="44">
        <v>17</v>
      </c>
      <c r="D9" s="48">
        <v>12000</v>
      </c>
      <c r="E9" s="44">
        <v>12</v>
      </c>
      <c r="F9" s="48">
        <f>(D9*C9*E9)</f>
        <v>2448000</v>
      </c>
    </row>
    <row r="10" spans="2:6" s="64" customFormat="1" ht="18.75" customHeight="1" x14ac:dyDescent="0.25">
      <c r="B10" s="145" t="s">
        <v>73</v>
      </c>
      <c r="C10" s="71">
        <f>SUM(C7:C9)</f>
        <v>31</v>
      </c>
      <c r="D10" s="261"/>
      <c r="E10" s="71">
        <v>12</v>
      </c>
      <c r="F10" s="261">
        <f>SUM(F7:F9)</f>
        <v>6408000</v>
      </c>
    </row>
    <row r="11" spans="2:6" s="64" customFormat="1" ht="18.75" customHeight="1" x14ac:dyDescent="0.25">
      <c r="B11" s="145" t="s">
        <v>150</v>
      </c>
      <c r="C11" s="71"/>
      <c r="D11" s="119"/>
      <c r="E11" s="71"/>
      <c r="F11" s="119"/>
    </row>
    <row r="12" spans="2:6" s="64" customFormat="1" ht="18.75" customHeight="1" x14ac:dyDescent="0.25">
      <c r="B12" s="114" t="s">
        <v>142</v>
      </c>
      <c r="C12" s="47" t="s">
        <v>143</v>
      </c>
      <c r="D12" s="47" t="s">
        <v>144</v>
      </c>
      <c r="E12" s="47" t="s">
        <v>145</v>
      </c>
      <c r="F12" s="47" t="s">
        <v>146</v>
      </c>
    </row>
    <row r="13" spans="2:6" s="97" customFormat="1" ht="18.75" customHeight="1" x14ac:dyDescent="0.25">
      <c r="B13" s="51" t="s">
        <v>151</v>
      </c>
      <c r="C13" s="44">
        <v>4</v>
      </c>
      <c r="D13" s="48">
        <v>45000</v>
      </c>
      <c r="E13" s="44">
        <v>12</v>
      </c>
      <c r="F13" s="48">
        <f>(D13*C13*E13)</f>
        <v>2160000</v>
      </c>
    </row>
    <row r="14" spans="2:6" s="97" customFormat="1" ht="18.75" customHeight="1" x14ac:dyDescent="0.25">
      <c r="B14" s="51" t="s">
        <v>152</v>
      </c>
      <c r="C14" s="44">
        <v>2</v>
      </c>
      <c r="D14" s="48">
        <v>35000</v>
      </c>
      <c r="E14" s="44">
        <v>12</v>
      </c>
      <c r="F14" s="48">
        <f>(D14*C14*E14)</f>
        <v>840000</v>
      </c>
    </row>
    <row r="15" spans="2:6" s="97" customFormat="1" ht="18.75" customHeight="1" x14ac:dyDescent="0.25">
      <c r="B15" s="51" t="s">
        <v>153</v>
      </c>
      <c r="C15" s="44">
        <v>2</v>
      </c>
      <c r="D15" s="48">
        <v>22000</v>
      </c>
      <c r="E15" s="44">
        <v>12</v>
      </c>
      <c r="F15" s="48">
        <f>(D15*C15*E15)</f>
        <v>528000</v>
      </c>
    </row>
    <row r="16" spans="2:6" s="97" customFormat="1" ht="18.75" customHeight="1" x14ac:dyDescent="0.25">
      <c r="B16" s="51" t="s">
        <v>154</v>
      </c>
      <c r="C16" s="44">
        <v>2</v>
      </c>
      <c r="D16" s="48">
        <v>20000</v>
      </c>
      <c r="E16" s="44">
        <v>12</v>
      </c>
      <c r="F16" s="48">
        <f>(D16*C16*E16)</f>
        <v>480000</v>
      </c>
    </row>
    <row r="17" spans="2:14" s="97" customFormat="1" ht="18.75" customHeight="1" x14ac:dyDescent="0.25">
      <c r="B17" s="51" t="s">
        <v>155</v>
      </c>
      <c r="C17" s="44">
        <v>1</v>
      </c>
      <c r="D17" s="48">
        <v>18500</v>
      </c>
      <c r="E17" s="44">
        <v>12</v>
      </c>
      <c r="F17" s="48">
        <f>(D17*C17*E17)</f>
        <v>222000</v>
      </c>
    </row>
    <row r="18" spans="2:14" s="64" customFormat="1" ht="18.75" customHeight="1" x14ac:dyDescent="0.25">
      <c r="B18" s="145" t="s">
        <v>73</v>
      </c>
      <c r="C18" s="71">
        <f>SUM(C13:C17)</f>
        <v>11</v>
      </c>
      <c r="D18" s="261"/>
      <c r="E18" s="71"/>
      <c r="F18" s="261">
        <f>SUM(F13:F17)</f>
        <v>4230000</v>
      </c>
    </row>
    <row r="19" spans="2:14" s="64" customFormat="1" ht="18.75" customHeight="1" x14ac:dyDescent="0.25">
      <c r="B19" s="145" t="s">
        <v>156</v>
      </c>
      <c r="C19" s="71">
        <f>C18+C10</f>
        <v>42</v>
      </c>
      <c r="D19" s="71"/>
      <c r="E19" s="71"/>
      <c r="F19" s="261">
        <f>(F10+F18)</f>
        <v>10638000</v>
      </c>
      <c r="G19" s="262"/>
      <c r="H19" s="262"/>
      <c r="I19" s="262"/>
      <c r="J19" s="262"/>
      <c r="K19" s="262"/>
      <c r="L19" s="262"/>
      <c r="M19" s="262"/>
      <c r="N19" s="262"/>
    </row>
    <row r="20" spans="2:14" s="97" customFormat="1" ht="18.75" customHeight="1" x14ac:dyDescent="0.25">
      <c r="B20" s="389" t="s">
        <v>157</v>
      </c>
      <c r="C20" s="364"/>
      <c r="D20" s="364"/>
      <c r="E20" s="364"/>
      <c r="F20" s="364"/>
    </row>
    <row r="21" spans="2:14" s="97" customFormat="1" ht="18.75" customHeight="1" x14ac:dyDescent="0.25">
      <c r="B21" s="51" t="s">
        <v>158</v>
      </c>
      <c r="C21" s="44">
        <v>1</v>
      </c>
      <c r="D21" s="48">
        <v>80000</v>
      </c>
      <c r="E21" s="44">
        <v>12</v>
      </c>
      <c r="F21" s="48">
        <f>(D21*C21*E21)</f>
        <v>960000</v>
      </c>
    </row>
    <row r="22" spans="2:14" s="97" customFormat="1" ht="18.75" customHeight="1" x14ac:dyDescent="0.25">
      <c r="B22" s="51" t="s">
        <v>159</v>
      </c>
      <c r="C22" s="44">
        <v>1</v>
      </c>
      <c r="D22" s="48">
        <v>50000</v>
      </c>
      <c r="E22" s="44">
        <v>12</v>
      </c>
      <c r="F22" s="48">
        <f>(D22*C22*E22)</f>
        <v>600000</v>
      </c>
    </row>
    <row r="23" spans="2:14" s="97" customFormat="1" ht="18.75" customHeight="1" x14ac:dyDescent="0.25">
      <c r="B23" s="51" t="s">
        <v>160</v>
      </c>
      <c r="C23" s="44">
        <v>2</v>
      </c>
      <c r="D23" s="48">
        <v>35000</v>
      </c>
      <c r="E23" s="44">
        <v>12</v>
      </c>
      <c r="F23" s="48">
        <f>(D23*C23*E23)</f>
        <v>840000</v>
      </c>
    </row>
    <row r="24" spans="2:14" s="97" customFormat="1" ht="18.75" customHeight="1" x14ac:dyDescent="0.25">
      <c r="B24" s="51" t="s">
        <v>764</v>
      </c>
      <c r="C24" s="44">
        <v>2</v>
      </c>
      <c r="D24" s="48">
        <v>25000</v>
      </c>
      <c r="E24" s="44">
        <v>12</v>
      </c>
      <c r="F24" s="48">
        <f>(D24*C24*E24)</f>
        <v>600000</v>
      </c>
    </row>
    <row r="25" spans="2:14" s="97" customFormat="1" ht="18.75" customHeight="1" x14ac:dyDescent="0.25">
      <c r="B25" s="51" t="s">
        <v>511</v>
      </c>
      <c r="C25" s="44">
        <v>2</v>
      </c>
      <c r="D25" s="48">
        <v>10000</v>
      </c>
      <c r="E25" s="44">
        <v>12</v>
      </c>
      <c r="F25" s="48">
        <f>(D25*C25*E25)</f>
        <v>240000</v>
      </c>
    </row>
    <row r="26" spans="2:14" s="64" customFormat="1" ht="18.75" customHeight="1" x14ac:dyDescent="0.25">
      <c r="B26" s="145" t="s">
        <v>161</v>
      </c>
      <c r="C26" s="71">
        <f>SUM(C21:C25)</f>
        <v>8</v>
      </c>
      <c r="D26" s="71"/>
      <c r="E26" s="71"/>
      <c r="F26" s="261">
        <f>SUM(F21:F25)</f>
        <v>3240000</v>
      </c>
      <c r="G26" s="262"/>
      <c r="H26" s="262"/>
      <c r="I26" s="262"/>
      <c r="J26" s="262"/>
      <c r="K26" s="262"/>
      <c r="L26" s="262"/>
      <c r="M26" s="262"/>
      <c r="N26" s="262"/>
    </row>
    <row r="27" spans="2:14" ht="17.25" customHeight="1" x14ac:dyDescent="0.25"/>
    <row r="28" spans="2:14" ht="17.25" customHeight="1" x14ac:dyDescent="0.25"/>
    <row r="29" spans="2:14" ht="17.25" customHeight="1" x14ac:dyDescent="0.25"/>
    <row r="30" spans="2:14" ht="17.25" customHeight="1" x14ac:dyDescent="0.25"/>
  </sheetData>
  <customSheetViews>
    <customSheetView guid="{22475485-DA09-46DB-978D-BB94CE1E5597}" topLeftCell="A19">
      <selection activeCell="C23" sqref="C23"/>
      <pageMargins left="0.7" right="0.7" top="0.75" bottom="0.75" header="0.3" footer="0.3"/>
      <pageSetup paperSize="9" orientation="landscape" verticalDpi="300" r:id="rId1"/>
    </customSheetView>
  </customSheetViews>
  <mergeCells count="3">
    <mergeCell ref="B2:F2"/>
    <mergeCell ref="B4:F4"/>
    <mergeCell ref="B20:F20"/>
  </mergeCells>
  <pageMargins left="0.7" right="0.7" top="0.75" bottom="0.75" header="0.3" footer="0.3"/>
  <pageSetup paperSize="9" orientation="landscape"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7"/>
  <sheetViews>
    <sheetView workbookViewId="0"/>
  </sheetViews>
  <sheetFormatPr defaultColWidth="8.85546875" defaultRowHeight="15" x14ac:dyDescent="0.25"/>
  <cols>
    <col min="1" max="1" width="32" customWidth="1"/>
    <col min="2" max="2" width="11.85546875" style="11" customWidth="1"/>
    <col min="3" max="3" width="16.85546875" style="11" customWidth="1"/>
  </cols>
  <sheetData>
    <row r="1" spans="1:5" s="28" customFormat="1" ht="22.5" customHeight="1" x14ac:dyDescent="0.25">
      <c r="A1" s="28" t="s">
        <v>383</v>
      </c>
      <c r="B1" s="28" t="s">
        <v>395</v>
      </c>
      <c r="C1" s="28" t="s">
        <v>384</v>
      </c>
    </row>
    <row r="2" spans="1:5" s="29" customFormat="1" ht="22.5" customHeight="1" x14ac:dyDescent="0.25">
      <c r="A2" s="28" t="s">
        <v>385</v>
      </c>
      <c r="B2" s="30">
        <v>34</v>
      </c>
      <c r="C2" s="30">
        <v>8</v>
      </c>
      <c r="E2" s="29">
        <f>B2*C2</f>
        <v>272</v>
      </c>
    </row>
    <row r="3" spans="1:5" s="29" customFormat="1" ht="22.5" customHeight="1" x14ac:dyDescent="0.25">
      <c r="A3" s="28" t="s">
        <v>386</v>
      </c>
      <c r="B3" s="30">
        <v>7.5</v>
      </c>
      <c r="C3" s="30">
        <v>8</v>
      </c>
      <c r="E3" s="29">
        <f t="shared" ref="E3:E11" si="0">B3*C3</f>
        <v>60</v>
      </c>
    </row>
    <row r="4" spans="1:5" s="29" customFormat="1" ht="22.5" customHeight="1" x14ac:dyDescent="0.25">
      <c r="A4" s="28" t="s">
        <v>387</v>
      </c>
      <c r="B4" s="30">
        <v>22.5</v>
      </c>
      <c r="C4" s="30">
        <v>8</v>
      </c>
      <c r="D4" s="29">
        <f>SUM(B2:B4)</f>
        <v>64</v>
      </c>
      <c r="E4" s="29">
        <f t="shared" si="0"/>
        <v>180</v>
      </c>
    </row>
    <row r="5" spans="1:5" s="29" customFormat="1" ht="22.5" customHeight="1" x14ac:dyDescent="0.25">
      <c r="A5" s="28" t="s">
        <v>388</v>
      </c>
      <c r="B5" s="30">
        <v>34</v>
      </c>
      <c r="C5" s="30">
        <v>10</v>
      </c>
      <c r="E5" s="29">
        <f t="shared" si="0"/>
        <v>340</v>
      </c>
    </row>
    <row r="6" spans="1:5" s="29" customFormat="1" ht="22.5" customHeight="1" x14ac:dyDescent="0.25">
      <c r="A6" s="28" t="s">
        <v>389</v>
      </c>
      <c r="B6" s="30">
        <v>30</v>
      </c>
      <c r="C6" s="30">
        <v>10</v>
      </c>
      <c r="D6" s="29">
        <f>SUM(B5:B6)</f>
        <v>64</v>
      </c>
      <c r="E6" s="29">
        <f t="shared" si="0"/>
        <v>300</v>
      </c>
    </row>
    <row r="7" spans="1:5" s="29" customFormat="1" ht="22.5" customHeight="1" x14ac:dyDescent="0.25">
      <c r="A7" s="28" t="s">
        <v>390</v>
      </c>
      <c r="B7" s="30">
        <v>3</v>
      </c>
      <c r="C7" s="30">
        <v>24</v>
      </c>
      <c r="E7" s="29">
        <f t="shared" si="0"/>
        <v>72</v>
      </c>
    </row>
    <row r="8" spans="1:5" s="29" customFormat="1" ht="22.5" customHeight="1" x14ac:dyDescent="0.25">
      <c r="A8" s="28" t="s">
        <v>391</v>
      </c>
      <c r="B8" s="30">
        <v>6</v>
      </c>
      <c r="C8" s="30">
        <v>16</v>
      </c>
      <c r="E8" s="29">
        <f t="shared" si="0"/>
        <v>96</v>
      </c>
    </row>
    <row r="9" spans="1:5" s="29" customFormat="1" ht="22.5" customHeight="1" x14ac:dyDescent="0.25">
      <c r="A9" s="28" t="s">
        <v>396</v>
      </c>
      <c r="B9" s="30">
        <v>23</v>
      </c>
      <c r="C9" s="30">
        <v>20</v>
      </c>
      <c r="E9" s="29">
        <f t="shared" si="0"/>
        <v>460</v>
      </c>
    </row>
    <row r="10" spans="1:5" s="29" customFormat="1" ht="22.5" customHeight="1" x14ac:dyDescent="0.25">
      <c r="A10" s="28" t="s">
        <v>392</v>
      </c>
      <c r="B10" s="30">
        <v>75</v>
      </c>
      <c r="C10" s="30">
        <v>11</v>
      </c>
      <c r="E10" s="29">
        <f t="shared" si="0"/>
        <v>825</v>
      </c>
    </row>
    <row r="11" spans="1:5" s="29" customFormat="1" ht="22.5" customHeight="1" x14ac:dyDescent="0.25">
      <c r="A11" s="28" t="s">
        <v>393</v>
      </c>
      <c r="B11" s="30">
        <v>90</v>
      </c>
      <c r="C11" s="30">
        <v>8</v>
      </c>
      <c r="E11" s="29">
        <f t="shared" si="0"/>
        <v>720</v>
      </c>
    </row>
    <row r="12" spans="1:5" s="29" customFormat="1" ht="22.5" customHeight="1" x14ac:dyDescent="0.25">
      <c r="A12" s="28" t="s">
        <v>394</v>
      </c>
      <c r="B12" s="30"/>
      <c r="C12" s="30">
        <v>10</v>
      </c>
    </row>
    <row r="13" spans="1:5" s="29" customFormat="1" ht="22.5" customHeight="1" x14ac:dyDescent="0.25">
      <c r="A13" s="28"/>
      <c r="B13" s="30">
        <f>SUM(B2:B11)</f>
        <v>325</v>
      </c>
      <c r="C13" s="30">
        <f>SUM(C2:C11)</f>
        <v>123</v>
      </c>
      <c r="E13" s="30">
        <f>SUM(E2:E11)</f>
        <v>3325</v>
      </c>
    </row>
    <row r="14" spans="1:5" ht="22.5" customHeight="1" x14ac:dyDescent="0.25"/>
    <row r="15" spans="1:5" ht="22.5" customHeight="1" x14ac:dyDescent="0.25"/>
    <row r="16" spans="1:5" ht="22.5" customHeight="1" x14ac:dyDescent="0.25"/>
    <row r="17" ht="22.5" customHeight="1" x14ac:dyDescent="0.25"/>
  </sheetData>
  <customSheetViews>
    <customSheetView guid="{22475485-DA09-46DB-978D-BB94CE1E5597}"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Det CoP_MOF</vt:lpstr>
      <vt:lpstr>CoP-MoF</vt:lpstr>
      <vt:lpstr>Det Assump</vt:lpstr>
      <vt:lpstr>Assump</vt:lpstr>
      <vt:lpstr>Sheet2</vt:lpstr>
      <vt:lpstr>P &amp; L</vt:lpstr>
      <vt:lpstr>BS</vt:lpstr>
      <vt:lpstr>Cash Flow</vt:lpstr>
      <vt:lpstr>BEP</vt:lpstr>
      <vt:lpstr>IRR</vt:lpstr>
      <vt:lpstr>DSCR</vt:lpstr>
      <vt:lpstr>Loan Assumptions</vt:lpstr>
      <vt:lpstr>TL Schd</vt:lpstr>
      <vt:lpstr>Ratio</vt:lpstr>
      <vt:lpstr>WC</vt:lpstr>
      <vt:lpstr>PBP-IRR</vt:lpstr>
      <vt:lpstr>NPV</vt:lpstr>
      <vt:lpstr>P E</vt:lpstr>
      <vt:lpstr>PE</vt:lpstr>
      <vt:lpstr>Tax</vt:lpstr>
      <vt:lpstr>Depr</vt:lpstr>
      <vt:lpstr>sal &amp; wages</vt:lpstr>
      <vt:lpstr>Sheet1</vt:lpstr>
      <vt:lpst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P Mishra</dc:creator>
  <cp:lastModifiedBy>Gaurav Kumar</cp:lastModifiedBy>
  <cp:lastPrinted>2022-05-12T11:22:57Z</cp:lastPrinted>
  <dcterms:created xsi:type="dcterms:W3CDTF">2015-03-21T00:42:44Z</dcterms:created>
  <dcterms:modified xsi:type="dcterms:W3CDTF">2024-04-08T14:45:39Z</dcterms:modified>
</cp:coreProperties>
</file>