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In Progress Files\Anirban Roy\Technico Ind. Ltd. - VIS(2023-24)-PL717-618-945\"/>
    </mc:Choice>
  </mc:AlternateContent>
  <bookViews>
    <workbookView xWindow="0" yWindow="0" windowWidth="20325" windowHeight="9735"/>
  </bookViews>
  <sheets>
    <sheet name="valuation Building" sheetId="8" r:id="rId1"/>
    <sheet name="Land valuation" sheetId="9" r:id="rId2"/>
    <sheet name="Allotment &amp; govt. guide. rat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9" l="1"/>
  <c r="P23" i="9" l="1"/>
  <c r="O22" i="9"/>
  <c r="Z6" i="8"/>
  <c r="Z5" i="8"/>
  <c r="S18" i="9" l="1"/>
  <c r="S19" i="9" s="1"/>
  <c r="S14" i="9"/>
  <c r="S15" i="9" s="1"/>
  <c r="O19" i="9"/>
  <c r="V20" i="8" l="1"/>
  <c r="D5" i="9"/>
  <c r="G8" i="9" s="1"/>
  <c r="H5" i="9" l="1"/>
  <c r="F5" i="9"/>
  <c r="L14" i="8"/>
  <c r="M14" i="8" s="1"/>
  <c r="T14" i="8" s="1"/>
  <c r="L13" i="8"/>
  <c r="M13" i="8" s="1"/>
  <c r="T13" i="8" s="1"/>
  <c r="L12" i="8"/>
  <c r="M12" i="8" s="1"/>
  <c r="T12" i="8" s="1"/>
  <c r="L11" i="8"/>
  <c r="L10" i="8"/>
  <c r="M10" i="8" s="1"/>
  <c r="T10" i="8" s="1"/>
  <c r="L9" i="8"/>
  <c r="M9" i="8" s="1"/>
  <c r="T9" i="8" s="1"/>
  <c r="L8" i="8"/>
  <c r="M8" i="8" s="1"/>
  <c r="T8" i="8" s="1"/>
  <c r="I14" i="8"/>
  <c r="I13" i="8"/>
  <c r="I12" i="8"/>
  <c r="I11" i="8"/>
  <c r="I10" i="8"/>
  <c r="I9" i="8"/>
  <c r="I8" i="8"/>
  <c r="M11" i="8"/>
  <c r="T11" i="8" s="1"/>
  <c r="R14" i="8"/>
  <c r="P14" i="8"/>
  <c r="R13" i="8"/>
  <c r="P13" i="8"/>
  <c r="R12" i="8"/>
  <c r="P12" i="8"/>
  <c r="R11" i="8"/>
  <c r="P11" i="8"/>
  <c r="R10" i="8"/>
  <c r="P10" i="8"/>
  <c r="R9" i="8"/>
  <c r="P9" i="8"/>
  <c r="R8" i="8"/>
  <c r="P8" i="8"/>
  <c r="L7" i="8"/>
  <c r="L15" i="8" s="1"/>
  <c r="Z11" i="8" s="1"/>
  <c r="L6" i="8"/>
  <c r="Z12" i="8" l="1"/>
  <c r="V21" i="8"/>
  <c r="U21" i="8" s="1"/>
  <c r="U8" i="8"/>
  <c r="V8" i="8" s="1"/>
  <c r="U9" i="8"/>
  <c r="V9" i="8" s="1"/>
  <c r="U12" i="8"/>
  <c r="V12" i="8" s="1"/>
  <c r="U13" i="8"/>
  <c r="V13" i="8" s="1"/>
  <c r="U10" i="8"/>
  <c r="V10" i="8" s="1"/>
  <c r="U14" i="8"/>
  <c r="V14" i="8" s="1"/>
  <c r="U11" i="8"/>
  <c r="V11" i="8" s="1"/>
  <c r="Z23" i="8" l="1"/>
  <c r="Y23" i="8"/>
  <c r="B6" i="8" l="1"/>
  <c r="L5" i="9" l="1"/>
  <c r="E14" i="9"/>
  <c r="E13" i="9"/>
  <c r="I7" i="8"/>
  <c r="I6" i="8"/>
  <c r="K23" i="8"/>
  <c r="R23" i="8" l="1"/>
  <c r="P23" i="8"/>
  <c r="N23" i="8"/>
  <c r="S23" i="8" l="1"/>
  <c r="T23" i="8" s="1"/>
  <c r="P7" i="8"/>
  <c r="P6" i="8"/>
  <c r="R7" i="8"/>
  <c r="M7" i="8"/>
  <c r="T7" i="8" s="1"/>
  <c r="R6" i="8"/>
  <c r="U7" i="8" l="1"/>
  <c r="V7" i="8" s="1"/>
  <c r="M6" i="8" l="1"/>
  <c r="M15" i="8" s="1"/>
  <c r="T6" i="8" l="1"/>
  <c r="T15" i="8" s="1"/>
  <c r="U6" i="8" l="1"/>
  <c r="U15" i="8" s="1"/>
  <c r="V6" i="8" l="1"/>
  <c r="V15" i="8" s="1"/>
  <c r="U26" i="8" l="1"/>
  <c r="E11" i="9"/>
  <c r="E15" i="9"/>
</calcChain>
</file>

<file path=xl/sharedStrings.xml><?xml version="1.0" encoding="utf-8"?>
<sst xmlns="http://schemas.openxmlformats.org/spreadsheetml/2006/main" count="102" uniqueCount="67">
  <si>
    <t>Total</t>
  </si>
  <si>
    <t>Type of Construction</t>
  </si>
  <si>
    <t>Description</t>
  </si>
  <si>
    <t>S. No.</t>
  </si>
  <si>
    <t>Year of Construction</t>
  </si>
  <si>
    <t>Plinth Rate (per sq. ft.)</t>
  </si>
  <si>
    <t>Current Condition</t>
  </si>
  <si>
    <t>Year of Valuation</t>
  </si>
  <si>
    <t>Salvage Value</t>
  </si>
  <si>
    <t>Depreciation</t>
  </si>
  <si>
    <t>Gross Replacement Value</t>
  </si>
  <si>
    <t>Depeciation</t>
  </si>
  <si>
    <t>Depreciated Replacement Value</t>
  </si>
  <si>
    <t>Economic Life (in Yrs.)</t>
  </si>
  <si>
    <t>Height 
(in ft.)</t>
  </si>
  <si>
    <t>No. of floors</t>
  </si>
  <si>
    <t>Ground Floor</t>
  </si>
  <si>
    <t>Good</t>
  </si>
  <si>
    <t>Area
 (Sq.Mtr)</t>
  </si>
  <si>
    <t>Area 
(Sq.Ft.)</t>
  </si>
  <si>
    <t>Value</t>
  </si>
  <si>
    <t>Age
 (in Yrs.)</t>
  </si>
  <si>
    <t>Boundary wall</t>
  </si>
  <si>
    <t>good</t>
  </si>
  <si>
    <t>Length (in mt.)</t>
  </si>
  <si>
    <t>Length (in ft.)</t>
  </si>
  <si>
    <t>Rate (per running mt.)</t>
  </si>
  <si>
    <t>Notes:</t>
  </si>
  <si>
    <t>Height 
(in mt.)</t>
  </si>
  <si>
    <t>2. Building calculation has been by depreciated replacement cost approach.</t>
  </si>
  <si>
    <t>Area 
(in sq. mt.)</t>
  </si>
  <si>
    <t>RCC</t>
  </si>
  <si>
    <t>Total value</t>
  </si>
  <si>
    <t>L&amp;B, 
boundary wall</t>
  </si>
  <si>
    <t>Round up</t>
  </si>
  <si>
    <t>RV</t>
  </si>
  <si>
    <t>DSV</t>
  </si>
  <si>
    <t>insurance
value</t>
  </si>
  <si>
    <t>survey</t>
  </si>
  <si>
    <t>Sq. mt.</t>
  </si>
  <si>
    <t>Brick wall</t>
  </si>
  <si>
    <t>Area 
(in sq. ft.)</t>
  </si>
  <si>
    <t>Building Valuation of M/s Technico Industries Ltd., HSIIDC, Bawal, Haryana</t>
  </si>
  <si>
    <t xml:space="preserve">Shed -1 </t>
  </si>
  <si>
    <t>Shed - 2</t>
  </si>
  <si>
    <t>GI Shed with Iron pillar &amp; Truss</t>
  </si>
  <si>
    <t>Main Building</t>
  </si>
  <si>
    <t>G+1</t>
  </si>
  <si>
    <t>Guard Room</t>
  </si>
  <si>
    <t>VCB Room</t>
  </si>
  <si>
    <t>Panel Room</t>
  </si>
  <si>
    <t>Meter Room</t>
  </si>
  <si>
    <t>Driver Room</t>
  </si>
  <si>
    <t>Toilet</t>
  </si>
  <si>
    <t>3. The condition of the building is good as observed during site survey.</t>
  </si>
  <si>
    <t>Rate/sq. mt.</t>
  </si>
  <si>
    <t>Area 
(in sq. yds.)</t>
  </si>
  <si>
    <t>Govt. rate/sq. yds.</t>
  </si>
  <si>
    <t>FAR</t>
  </si>
  <si>
    <t>Max. Ground Cov.</t>
  </si>
  <si>
    <t>Max. Permis. Height(in mt.)</t>
  </si>
  <si>
    <t>Area of Land(in sq. mt.)</t>
  </si>
  <si>
    <t>Consumed FAR</t>
  </si>
  <si>
    <t>Total Built up Area under permissible limit (in sq. mt.)</t>
  </si>
  <si>
    <t>Permissible gorund cov. Area (in sq. mt.)</t>
  </si>
  <si>
    <t>Consumed Ground Cov. (in sq.mt.)</t>
  </si>
  <si>
    <t xml:space="preserve">1. The Building Area has been considered from physical measurement done at site and as per HSIDC Building bye laws.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</si>
</sst>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(* #,##0.00_);_(* \(#,##0.00\);_(* &quot;-&quot;??_);_(@_)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_ * #,##0.0000_ ;_ * \-#,##0.0000_ ;_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3">
    <xf numFmtId="0" fontId="0" fillId="0" borderId="0" xfId="0"/>
    <xf numFmtId="43" fontId="0" fillId="0" borderId="0" xfId="1" applyFont="1"/>
    <xf numFmtId="0" fontId="3" fillId="3" borderId="1" xfId="0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165" fontId="0" fillId="0" borderId="0" xfId="0" applyNumberFormat="1"/>
    <xf numFmtId="165" fontId="3" fillId="3" borderId="1" xfId="0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5" borderId="0" xfId="0" applyFill="1"/>
    <xf numFmtId="9" fontId="0" fillId="0" borderId="0" xfId="0" applyNumberFormat="1"/>
    <xf numFmtId="43" fontId="1" fillId="0" borderId="0" xfId="1" applyFont="1"/>
    <xf numFmtId="164" fontId="0" fillId="0" borderId="0" xfId="0" applyNumberFormat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43" fontId="5" fillId="4" borderId="1" xfId="1" applyFont="1" applyFill="1" applyBorder="1" applyAlignment="1">
      <alignment vertical="center"/>
    </xf>
    <xf numFmtId="166" fontId="0" fillId="0" borderId="0" xfId="1" applyNumberFormat="1" applyFont="1"/>
    <xf numFmtId="166" fontId="6" fillId="3" borderId="1" xfId="1" applyNumberFormat="1" applyFont="1" applyFill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center" vertical="center"/>
    </xf>
    <xf numFmtId="166" fontId="5" fillId="4" borderId="1" xfId="1" applyNumberFormat="1" applyFont="1" applyFill="1" applyBorder="1" applyAlignment="1">
      <alignment vertical="center"/>
    </xf>
    <xf numFmtId="166" fontId="3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2" fontId="0" fillId="0" borderId="0" xfId="0" applyNumberFormat="1"/>
    <xf numFmtId="2" fontId="6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2" fontId="3" fillId="3" borderId="1" xfId="0" applyNumberFormat="1" applyFont="1" applyFill="1" applyBorder="1" applyAlignment="1">
      <alignment horizontal="center" vertical="center" wrapText="1"/>
    </xf>
    <xf numFmtId="43" fontId="0" fillId="0" borderId="0" xfId="0" applyNumberFormat="1"/>
    <xf numFmtId="167" fontId="0" fillId="0" borderId="0" xfId="1" applyNumberFormat="1" applyFont="1"/>
    <xf numFmtId="14" fontId="0" fillId="0" borderId="0" xfId="0" applyNumberFormat="1" applyAlignment="1">
      <alignment horizontal="left"/>
    </xf>
    <xf numFmtId="2" fontId="7" fillId="0" borderId="1" xfId="1" applyNumberFormat="1" applyFont="1" applyBorder="1" applyAlignment="1">
      <alignment horizontal="center" vertical="center"/>
    </xf>
    <xf numFmtId="166" fontId="1" fillId="0" borderId="0" xfId="1" applyNumberFormat="1" applyFont="1"/>
    <xf numFmtId="166" fontId="0" fillId="0" borderId="0" xfId="1" applyNumberFormat="1" applyFont="1" applyAlignment="1">
      <alignment horizontal="left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43" fontId="0" fillId="0" borderId="1" xfId="0" applyNumberFormat="1" applyBorder="1"/>
    <xf numFmtId="0" fontId="0" fillId="0" borderId="1" xfId="0" applyBorder="1" applyAlignment="1">
      <alignment wrapText="1"/>
    </xf>
    <xf numFmtId="43" fontId="6" fillId="3" borderId="0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zoomScale="91" zoomScaleNormal="91" workbookViewId="0">
      <selection activeCell="Y21" sqref="Y21"/>
    </sheetView>
  </sheetViews>
  <sheetFormatPr defaultRowHeight="15" x14ac:dyDescent="0.25"/>
  <cols>
    <col min="4" max="4" width="5.28515625" customWidth="1"/>
    <col min="5" max="5" width="16" customWidth="1"/>
    <col min="6" max="6" width="11.7109375" customWidth="1"/>
    <col min="7" max="7" width="12.42578125" customWidth="1"/>
    <col min="8" max="8" width="12.5703125" customWidth="1"/>
    <col min="9" max="9" width="8.42578125" style="27" hidden="1" customWidth="1"/>
    <col min="10" max="10" width="7.42578125" customWidth="1"/>
    <col min="11" max="11" width="11" hidden="1" customWidth="1"/>
    <col min="12" max="12" width="11.140625" hidden="1" customWidth="1"/>
    <col min="13" max="13" width="11.28515625" style="21" bestFit="1" customWidth="1"/>
    <col min="14" max="14" width="9.7109375" hidden="1" customWidth="1"/>
    <col min="15" max="15" width="11.42578125" hidden="1" customWidth="1"/>
    <col min="16" max="16" width="8.7109375" hidden="1" customWidth="1"/>
    <col min="17" max="17" width="8.85546875" hidden="1" customWidth="1"/>
    <col min="18" max="18" width="13.28515625" style="1" hidden="1" customWidth="1"/>
    <col min="19" max="19" width="12.7109375" style="21" customWidth="1"/>
    <col min="20" max="20" width="16.42578125" style="1" customWidth="1"/>
    <col min="21" max="21" width="16.140625" style="1" hidden="1" customWidth="1"/>
    <col min="22" max="22" width="16.42578125" style="1" bestFit="1" customWidth="1"/>
    <col min="25" max="25" width="32" bestFit="1" customWidth="1"/>
  </cols>
  <sheetData>
    <row r="1" spans="1:26" x14ac:dyDescent="0.25">
      <c r="K1" s="11"/>
      <c r="Y1" t="s">
        <v>58</v>
      </c>
      <c r="Z1">
        <v>1.5</v>
      </c>
    </row>
    <row r="2" spans="1:26" x14ac:dyDescent="0.25">
      <c r="L2" s="4"/>
      <c r="Y2" t="s">
        <v>59</v>
      </c>
      <c r="Z2" s="9">
        <v>0.6</v>
      </c>
    </row>
    <row r="3" spans="1:26" x14ac:dyDescent="0.25">
      <c r="L3" s="10"/>
      <c r="M3" s="36"/>
      <c r="T3" s="10"/>
      <c r="U3" s="10"/>
      <c r="V3" s="10"/>
      <c r="Y3" t="s">
        <v>60</v>
      </c>
      <c r="Z3">
        <v>30</v>
      </c>
    </row>
    <row r="4" spans="1:26" ht="22.5" customHeight="1" x14ac:dyDescent="0.25">
      <c r="D4" s="49" t="s">
        <v>42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Y4" t="s">
        <v>61</v>
      </c>
      <c r="Z4">
        <v>24300</v>
      </c>
    </row>
    <row r="5" spans="1:26" ht="40.5" customHeight="1" x14ac:dyDescent="0.25">
      <c r="B5" t="s">
        <v>39</v>
      </c>
      <c r="D5" s="12" t="s">
        <v>3</v>
      </c>
      <c r="E5" s="12" t="s">
        <v>2</v>
      </c>
      <c r="F5" s="13" t="s">
        <v>15</v>
      </c>
      <c r="G5" s="13" t="s">
        <v>1</v>
      </c>
      <c r="H5" s="13" t="s">
        <v>4</v>
      </c>
      <c r="I5" s="28" t="s">
        <v>28</v>
      </c>
      <c r="J5" s="13" t="s">
        <v>14</v>
      </c>
      <c r="K5" s="13" t="s">
        <v>6</v>
      </c>
      <c r="L5" s="13" t="s">
        <v>18</v>
      </c>
      <c r="M5" s="22" t="s">
        <v>19</v>
      </c>
      <c r="N5" s="13" t="s">
        <v>7</v>
      </c>
      <c r="O5" s="13" t="s">
        <v>13</v>
      </c>
      <c r="P5" s="13" t="s">
        <v>21</v>
      </c>
      <c r="Q5" s="13" t="s">
        <v>8</v>
      </c>
      <c r="R5" s="14" t="s">
        <v>9</v>
      </c>
      <c r="S5" s="22" t="s">
        <v>5</v>
      </c>
      <c r="T5" s="14" t="s">
        <v>10</v>
      </c>
      <c r="U5" s="14" t="s">
        <v>11</v>
      </c>
      <c r="V5" s="14" t="s">
        <v>12</v>
      </c>
      <c r="Y5" s="44" t="s">
        <v>63</v>
      </c>
      <c r="Z5">
        <f>Z4*Z1</f>
        <v>36450</v>
      </c>
    </row>
    <row r="6" spans="1:26" ht="33.75" x14ac:dyDescent="0.25">
      <c r="A6" t="s">
        <v>38</v>
      </c>
      <c r="B6">
        <f>2064.78/10.76</f>
        <v>191.89405204460968</v>
      </c>
      <c r="D6" s="15">
        <v>1</v>
      </c>
      <c r="E6" s="16" t="s">
        <v>43</v>
      </c>
      <c r="F6" s="15" t="s">
        <v>16</v>
      </c>
      <c r="G6" s="16" t="s">
        <v>45</v>
      </c>
      <c r="H6" s="15">
        <v>2009</v>
      </c>
      <c r="I6" s="29">
        <f>J6/3.28</f>
        <v>12.195121951219512</v>
      </c>
      <c r="J6" s="15">
        <v>40</v>
      </c>
      <c r="K6" s="15" t="s">
        <v>17</v>
      </c>
      <c r="L6" s="15">
        <f>105*72</f>
        <v>7560</v>
      </c>
      <c r="M6" s="23">
        <f>10.76*L6</f>
        <v>81345.599999999991</v>
      </c>
      <c r="N6" s="15">
        <v>2024</v>
      </c>
      <c r="O6" s="15">
        <v>45</v>
      </c>
      <c r="P6" s="15">
        <f>N6-H6</f>
        <v>15</v>
      </c>
      <c r="Q6" s="18">
        <v>0.1</v>
      </c>
      <c r="R6" s="17">
        <f>(1-Q6)/O6</f>
        <v>0.02</v>
      </c>
      <c r="S6" s="23">
        <v>1200</v>
      </c>
      <c r="T6" s="23">
        <f>S6*M6</f>
        <v>97614719.999999985</v>
      </c>
      <c r="U6" s="23">
        <f>T6*R6*IF(P6&gt;O6,O6,P6)</f>
        <v>29284415.999999996</v>
      </c>
      <c r="V6" s="23">
        <f>T6-U6</f>
        <v>68330303.999999985</v>
      </c>
      <c r="Y6" s="7" t="s">
        <v>64</v>
      </c>
      <c r="Z6">
        <f>0.6*Z4</f>
        <v>14580</v>
      </c>
    </row>
    <row r="7" spans="1:26" ht="33.75" x14ac:dyDescent="0.25">
      <c r="D7" s="15">
        <v>2</v>
      </c>
      <c r="E7" s="16" t="s">
        <v>44</v>
      </c>
      <c r="F7" s="15" t="s">
        <v>16</v>
      </c>
      <c r="G7" s="16" t="s">
        <v>45</v>
      </c>
      <c r="H7" s="15">
        <v>2009</v>
      </c>
      <c r="I7" s="29">
        <f>J7/3.28</f>
        <v>12.195121951219512</v>
      </c>
      <c r="J7" s="15">
        <v>40</v>
      </c>
      <c r="K7" s="15" t="s">
        <v>17</v>
      </c>
      <c r="L7" s="15">
        <f>105*42</f>
        <v>4410</v>
      </c>
      <c r="M7" s="23">
        <f>10.76*L7</f>
        <v>47451.6</v>
      </c>
      <c r="N7" s="15">
        <v>2024</v>
      </c>
      <c r="O7" s="15">
        <v>45</v>
      </c>
      <c r="P7" s="15">
        <f>N7-H7</f>
        <v>15</v>
      </c>
      <c r="Q7" s="18">
        <v>0.1</v>
      </c>
      <c r="R7" s="17">
        <f>(1-Q7)/O7</f>
        <v>0.02</v>
      </c>
      <c r="S7" s="23">
        <v>1200</v>
      </c>
      <c r="T7" s="23">
        <f>S7*M7</f>
        <v>56941920</v>
      </c>
      <c r="U7" s="23">
        <f>T7*R7*IF(P7&gt;O7,O7,P7)</f>
        <v>17082576.000000004</v>
      </c>
      <c r="V7" s="23">
        <f>T7-U7</f>
        <v>39859344</v>
      </c>
    </row>
    <row r="8" spans="1:26" x14ac:dyDescent="0.25">
      <c r="D8" s="15">
        <v>3</v>
      </c>
      <c r="E8" s="16" t="s">
        <v>46</v>
      </c>
      <c r="F8" s="15" t="s">
        <v>47</v>
      </c>
      <c r="G8" s="16" t="s">
        <v>31</v>
      </c>
      <c r="H8" s="15">
        <v>2009</v>
      </c>
      <c r="I8" s="29">
        <f t="shared" ref="I8:I14" si="0">J8/3.28</f>
        <v>4.5731707317073171</v>
      </c>
      <c r="J8" s="15">
        <v>15</v>
      </c>
      <c r="K8" s="15" t="s">
        <v>17</v>
      </c>
      <c r="L8" s="15">
        <f>105*21*2</f>
        <v>4410</v>
      </c>
      <c r="M8" s="23">
        <f t="shared" ref="M8:M14" si="1">10.76*L8</f>
        <v>47451.6</v>
      </c>
      <c r="N8" s="15">
        <v>2024</v>
      </c>
      <c r="O8" s="15">
        <v>60</v>
      </c>
      <c r="P8" s="15">
        <f t="shared" ref="P8:P14" si="2">N8-H8</f>
        <v>15</v>
      </c>
      <c r="Q8" s="18">
        <v>0.1</v>
      </c>
      <c r="R8" s="17">
        <f t="shared" ref="R8:R14" si="3">(1-Q8)/O8</f>
        <v>1.5000000000000001E-2</v>
      </c>
      <c r="S8" s="23">
        <v>1400</v>
      </c>
      <c r="T8" s="23">
        <f t="shared" ref="T8:T14" si="4">S8*M8</f>
        <v>66432240</v>
      </c>
      <c r="U8" s="23">
        <f t="shared" ref="U8:U14" si="5">T8*R8*IF(P8&gt;O8,O8,P8)</f>
        <v>14947254.000000002</v>
      </c>
      <c r="V8" s="23">
        <f t="shared" ref="V8:V14" si="6">T8-U8</f>
        <v>51484986</v>
      </c>
    </row>
    <row r="9" spans="1:26" x14ac:dyDescent="0.25">
      <c r="D9" s="15">
        <v>4</v>
      </c>
      <c r="E9" s="16" t="s">
        <v>48</v>
      </c>
      <c r="F9" s="15" t="s">
        <v>16</v>
      </c>
      <c r="G9" s="16" t="s">
        <v>31</v>
      </c>
      <c r="H9" s="15">
        <v>2009</v>
      </c>
      <c r="I9" s="29">
        <f t="shared" si="0"/>
        <v>2.7439024390243905</v>
      </c>
      <c r="J9" s="15">
        <v>9</v>
      </c>
      <c r="K9" s="15" t="s">
        <v>17</v>
      </c>
      <c r="L9" s="35">
        <f>13*20/10.76</f>
        <v>24.1635687732342</v>
      </c>
      <c r="M9" s="23">
        <f t="shared" si="1"/>
        <v>260</v>
      </c>
      <c r="N9" s="15">
        <v>2024</v>
      </c>
      <c r="O9" s="15">
        <v>60</v>
      </c>
      <c r="P9" s="15">
        <f t="shared" si="2"/>
        <v>15</v>
      </c>
      <c r="Q9" s="18">
        <v>0.1</v>
      </c>
      <c r="R9" s="17">
        <f t="shared" si="3"/>
        <v>1.5000000000000001E-2</v>
      </c>
      <c r="S9" s="23">
        <v>1200</v>
      </c>
      <c r="T9" s="23">
        <f t="shared" si="4"/>
        <v>312000</v>
      </c>
      <c r="U9" s="23">
        <f t="shared" si="5"/>
        <v>70200</v>
      </c>
      <c r="V9" s="23">
        <f t="shared" si="6"/>
        <v>241800</v>
      </c>
    </row>
    <row r="10" spans="1:26" x14ac:dyDescent="0.25">
      <c r="D10" s="15">
        <v>5</v>
      </c>
      <c r="E10" s="16" t="s">
        <v>49</v>
      </c>
      <c r="F10" s="15" t="s">
        <v>16</v>
      </c>
      <c r="G10" s="16" t="s">
        <v>31</v>
      </c>
      <c r="H10" s="15">
        <v>2009</v>
      </c>
      <c r="I10" s="29">
        <f t="shared" si="0"/>
        <v>4.5731707317073171</v>
      </c>
      <c r="J10" s="15">
        <v>15</v>
      </c>
      <c r="K10" s="15" t="s">
        <v>17</v>
      </c>
      <c r="L10" s="29">
        <f>26*15/10.76</f>
        <v>36.245353159851305</v>
      </c>
      <c r="M10" s="23">
        <f t="shared" si="1"/>
        <v>390.00000000000006</v>
      </c>
      <c r="N10" s="15">
        <v>2024</v>
      </c>
      <c r="O10" s="15">
        <v>60</v>
      </c>
      <c r="P10" s="15">
        <f t="shared" si="2"/>
        <v>15</v>
      </c>
      <c r="Q10" s="18">
        <v>0.1</v>
      </c>
      <c r="R10" s="17">
        <f t="shared" si="3"/>
        <v>1.5000000000000001E-2</v>
      </c>
      <c r="S10" s="23">
        <v>1200</v>
      </c>
      <c r="T10" s="23">
        <f t="shared" si="4"/>
        <v>468000.00000000006</v>
      </c>
      <c r="U10" s="23">
        <f t="shared" si="5"/>
        <v>105300.00000000003</v>
      </c>
      <c r="V10" s="23">
        <f t="shared" si="6"/>
        <v>362700</v>
      </c>
    </row>
    <row r="11" spans="1:26" x14ac:dyDescent="0.25">
      <c r="D11" s="15">
        <v>6</v>
      </c>
      <c r="E11" s="16" t="s">
        <v>50</v>
      </c>
      <c r="F11" s="15" t="s">
        <v>16</v>
      </c>
      <c r="G11" s="16" t="s">
        <v>31</v>
      </c>
      <c r="H11" s="15">
        <v>2009</v>
      </c>
      <c r="I11" s="29">
        <f t="shared" si="0"/>
        <v>4.5731707317073171</v>
      </c>
      <c r="J11" s="15">
        <v>15</v>
      </c>
      <c r="K11" s="15" t="s">
        <v>17</v>
      </c>
      <c r="L11" s="29">
        <f>25*40/10.76</f>
        <v>92.936802973977692</v>
      </c>
      <c r="M11" s="23">
        <f t="shared" si="1"/>
        <v>999.99999999999989</v>
      </c>
      <c r="N11" s="15">
        <v>2024</v>
      </c>
      <c r="O11" s="15">
        <v>60</v>
      </c>
      <c r="P11" s="15">
        <f t="shared" si="2"/>
        <v>15</v>
      </c>
      <c r="Q11" s="18">
        <v>0.1</v>
      </c>
      <c r="R11" s="17">
        <f t="shared" si="3"/>
        <v>1.5000000000000001E-2</v>
      </c>
      <c r="S11" s="23">
        <v>1200</v>
      </c>
      <c r="T11" s="23">
        <f t="shared" si="4"/>
        <v>1199999.9999999998</v>
      </c>
      <c r="U11" s="23">
        <f t="shared" si="5"/>
        <v>269999.99999999994</v>
      </c>
      <c r="V11" s="23">
        <f t="shared" si="6"/>
        <v>929999.99999999977</v>
      </c>
      <c r="Y11" t="s">
        <v>62</v>
      </c>
      <c r="Z11" s="32">
        <f>L15/Z4</f>
        <v>0.68312298254470916</v>
      </c>
    </row>
    <row r="12" spans="1:26" x14ac:dyDescent="0.25">
      <c r="D12" s="15">
        <v>7</v>
      </c>
      <c r="E12" s="16" t="s">
        <v>51</v>
      </c>
      <c r="F12" s="15" t="s">
        <v>16</v>
      </c>
      <c r="G12" s="16" t="s">
        <v>31</v>
      </c>
      <c r="H12" s="15">
        <v>2009</v>
      </c>
      <c r="I12" s="29">
        <f t="shared" si="0"/>
        <v>2.7439024390243905</v>
      </c>
      <c r="J12" s="15">
        <v>9</v>
      </c>
      <c r="K12" s="15" t="s">
        <v>17</v>
      </c>
      <c r="L12" s="29">
        <f>14*14/10.76</f>
        <v>18.21561338289963</v>
      </c>
      <c r="M12" s="23">
        <f t="shared" si="1"/>
        <v>196</v>
      </c>
      <c r="N12" s="15">
        <v>2024</v>
      </c>
      <c r="O12" s="15">
        <v>60</v>
      </c>
      <c r="P12" s="15">
        <f t="shared" si="2"/>
        <v>15</v>
      </c>
      <c r="Q12" s="18">
        <v>0.1</v>
      </c>
      <c r="R12" s="17">
        <f t="shared" si="3"/>
        <v>1.5000000000000001E-2</v>
      </c>
      <c r="S12" s="23">
        <v>1200</v>
      </c>
      <c r="T12" s="23">
        <f t="shared" si="4"/>
        <v>235200</v>
      </c>
      <c r="U12" s="23">
        <f t="shared" si="5"/>
        <v>52920.000000000007</v>
      </c>
      <c r="V12" s="23">
        <f t="shared" si="6"/>
        <v>182280</v>
      </c>
      <c r="Y12" t="s">
        <v>65</v>
      </c>
      <c r="Z12">
        <f>(L6+L7+(105*21)+L9+L10+L11+L12+L13+L14)</f>
        <v>14394.888475836431</v>
      </c>
    </row>
    <row r="13" spans="1:26" x14ac:dyDescent="0.25">
      <c r="D13" s="15">
        <v>8</v>
      </c>
      <c r="E13" s="16" t="s">
        <v>52</v>
      </c>
      <c r="F13" s="15" t="s">
        <v>16</v>
      </c>
      <c r="G13" s="16" t="s">
        <v>31</v>
      </c>
      <c r="H13" s="15">
        <v>2009</v>
      </c>
      <c r="I13" s="29">
        <f t="shared" si="0"/>
        <v>2.7439024390243905</v>
      </c>
      <c r="J13" s="15">
        <v>9</v>
      </c>
      <c r="K13" s="15" t="s">
        <v>17</v>
      </c>
      <c r="L13" s="29">
        <f>10*10/10.76</f>
        <v>9.2936802973977706</v>
      </c>
      <c r="M13" s="23">
        <f t="shared" si="1"/>
        <v>100.00000000000001</v>
      </c>
      <c r="N13" s="15">
        <v>2024</v>
      </c>
      <c r="O13" s="15">
        <v>60</v>
      </c>
      <c r="P13" s="15">
        <f t="shared" si="2"/>
        <v>15</v>
      </c>
      <c r="Q13" s="18">
        <v>0.1</v>
      </c>
      <c r="R13" s="17">
        <f t="shared" si="3"/>
        <v>1.5000000000000001E-2</v>
      </c>
      <c r="S13" s="23">
        <v>1200</v>
      </c>
      <c r="T13" s="23">
        <f t="shared" si="4"/>
        <v>120000.00000000001</v>
      </c>
      <c r="U13" s="23">
        <f t="shared" si="5"/>
        <v>27000.000000000007</v>
      </c>
      <c r="V13" s="23">
        <f t="shared" si="6"/>
        <v>93000</v>
      </c>
    </row>
    <row r="14" spans="1:26" x14ac:dyDescent="0.25">
      <c r="D14" s="15">
        <v>9</v>
      </c>
      <c r="E14" s="16" t="s">
        <v>53</v>
      </c>
      <c r="F14" s="15" t="s">
        <v>16</v>
      </c>
      <c r="G14" s="16" t="s">
        <v>31</v>
      </c>
      <c r="H14" s="15">
        <v>2009</v>
      </c>
      <c r="I14" s="29">
        <f t="shared" si="0"/>
        <v>2.7439024390243905</v>
      </c>
      <c r="J14" s="15">
        <v>9</v>
      </c>
      <c r="K14" s="15" t="s">
        <v>17</v>
      </c>
      <c r="L14" s="29">
        <f>15*28/10.76</f>
        <v>39.033457249070629</v>
      </c>
      <c r="M14" s="23">
        <f t="shared" si="1"/>
        <v>419.99999999999994</v>
      </c>
      <c r="N14" s="15">
        <v>2024</v>
      </c>
      <c r="O14" s="15">
        <v>60</v>
      </c>
      <c r="P14" s="15">
        <f t="shared" si="2"/>
        <v>15</v>
      </c>
      <c r="Q14" s="18">
        <v>0.1</v>
      </c>
      <c r="R14" s="17">
        <f t="shared" si="3"/>
        <v>1.5000000000000001E-2</v>
      </c>
      <c r="S14" s="23">
        <v>1200</v>
      </c>
      <c r="T14" s="23">
        <f t="shared" si="4"/>
        <v>503999.99999999994</v>
      </c>
      <c r="U14" s="23">
        <f t="shared" si="5"/>
        <v>113400</v>
      </c>
      <c r="V14" s="23">
        <f t="shared" si="6"/>
        <v>390599.99999999994</v>
      </c>
    </row>
    <row r="15" spans="1:26" ht="24.75" customHeight="1" x14ac:dyDescent="0.25">
      <c r="D15" s="46" t="s">
        <v>0</v>
      </c>
      <c r="E15" s="47"/>
      <c r="F15" s="47"/>
      <c r="G15" s="47"/>
      <c r="H15" s="47"/>
      <c r="I15" s="47"/>
      <c r="J15" s="47"/>
      <c r="K15" s="48"/>
      <c r="L15" s="20">
        <f>SUM(L6:L14)</f>
        <v>16599.888475836433</v>
      </c>
      <c r="M15" s="24">
        <f>SUM(M6:M14)</f>
        <v>178614.8</v>
      </c>
      <c r="N15" s="19"/>
      <c r="O15" s="19"/>
      <c r="P15" s="19"/>
      <c r="Q15" s="19"/>
      <c r="R15" s="20"/>
      <c r="S15" s="24"/>
      <c r="T15" s="24">
        <f t="shared" ref="T15:V15" si="7">SUM(T6:T14)</f>
        <v>223828080</v>
      </c>
      <c r="U15" s="24">
        <f t="shared" si="7"/>
        <v>61953066</v>
      </c>
      <c r="V15" s="24">
        <f t="shared" si="7"/>
        <v>161875014</v>
      </c>
    </row>
    <row r="16" spans="1:26" x14ac:dyDescent="0.25">
      <c r="D16" s="50" t="s">
        <v>27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</row>
    <row r="17" spans="4:26" ht="17.25" customHeight="1" x14ac:dyDescent="0.25">
      <c r="D17" s="51" t="s">
        <v>66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</row>
    <row r="18" spans="4:26" x14ac:dyDescent="0.25">
      <c r="D18" s="45" t="s">
        <v>29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</row>
    <row r="19" spans="4:26" x14ac:dyDescent="0.25">
      <c r="D19" s="45" t="s">
        <v>54</v>
      </c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</row>
    <row r="20" spans="4:26" x14ac:dyDescent="0.25">
      <c r="D20" s="26"/>
      <c r="E20" s="26"/>
      <c r="F20" s="26"/>
      <c r="G20" s="26"/>
      <c r="H20" s="26"/>
      <c r="I20" s="30"/>
      <c r="J20" s="26"/>
      <c r="K20" s="26"/>
      <c r="L20" s="26"/>
      <c r="M20" s="37"/>
      <c r="N20" s="26"/>
      <c r="O20" s="34"/>
      <c r="P20" s="26"/>
      <c r="Q20" s="26"/>
      <c r="R20" s="26"/>
      <c r="S20" s="26"/>
      <c r="T20" s="26"/>
      <c r="U20" s="26"/>
      <c r="V20" s="26">
        <f>105*21</f>
        <v>2205</v>
      </c>
    </row>
    <row r="21" spans="4:26" x14ac:dyDescent="0.25">
      <c r="E21" s="8" t="s">
        <v>22</v>
      </c>
      <c r="U21" s="1">
        <f>V21+V20</f>
        <v>14394.888475836431</v>
      </c>
      <c r="V21" s="1">
        <f>L6+L7+L9+L10+L11+L12+L13+L14</f>
        <v>12189.888475836431</v>
      </c>
    </row>
    <row r="22" spans="4:26" ht="60" x14ac:dyDescent="0.25">
      <c r="E22" s="2" t="s">
        <v>1</v>
      </c>
      <c r="F22" s="2" t="s">
        <v>4</v>
      </c>
      <c r="G22" s="2" t="s">
        <v>14</v>
      </c>
      <c r="H22" s="2" t="s">
        <v>6</v>
      </c>
      <c r="I22" s="31"/>
      <c r="J22" s="2" t="s">
        <v>24</v>
      </c>
      <c r="K22" s="2" t="s">
        <v>25</v>
      </c>
      <c r="L22" s="2" t="s">
        <v>7</v>
      </c>
      <c r="M22" s="25" t="s">
        <v>13</v>
      </c>
      <c r="N22" s="2" t="s">
        <v>21</v>
      </c>
      <c r="O22" s="2" t="s">
        <v>8</v>
      </c>
      <c r="P22" s="3" t="s">
        <v>9</v>
      </c>
      <c r="Q22" s="5" t="s">
        <v>26</v>
      </c>
      <c r="R22" s="6" t="s">
        <v>10</v>
      </c>
      <c r="S22" s="25" t="s">
        <v>11</v>
      </c>
      <c r="T22" s="3" t="s">
        <v>12</v>
      </c>
    </row>
    <row r="23" spans="4:26" x14ac:dyDescent="0.25">
      <c r="E23" s="7" t="s">
        <v>40</v>
      </c>
      <c r="F23">
        <v>2009</v>
      </c>
      <c r="G23">
        <v>7</v>
      </c>
      <c r="H23" t="s">
        <v>23</v>
      </c>
      <c r="J23">
        <v>636</v>
      </c>
      <c r="K23">
        <f>J23*3.28</f>
        <v>2086.08</v>
      </c>
      <c r="L23">
        <v>2024</v>
      </c>
      <c r="M23" s="21">
        <v>60</v>
      </c>
      <c r="N23">
        <f>L23-F23</f>
        <v>15</v>
      </c>
      <c r="O23" s="9">
        <v>0.1</v>
      </c>
      <c r="P23">
        <f>(1-O23)/M23</f>
        <v>1.5000000000000001E-2</v>
      </c>
      <c r="Q23">
        <v>3500</v>
      </c>
      <c r="R23" s="1">
        <f>Q23*J23</f>
        <v>2226000</v>
      </c>
      <c r="S23" s="21">
        <f>R23*P23*IF(N23&gt;M23,M23,N23)</f>
        <v>500850</v>
      </c>
      <c r="T23" s="1">
        <f>R23-S23</f>
        <v>1725150</v>
      </c>
      <c r="Y23">
        <f>14000000/2800</f>
        <v>5000</v>
      </c>
      <c r="Z23">
        <f>99000000/9000</f>
        <v>11000</v>
      </c>
    </row>
    <row r="24" spans="4:26" x14ac:dyDescent="0.25">
      <c r="T24" s="1">
        <v>1700000</v>
      </c>
    </row>
    <row r="26" spans="4:26" x14ac:dyDescent="0.25">
      <c r="U26" s="1">
        <f>0.8*V15</f>
        <v>129500011.2</v>
      </c>
    </row>
    <row r="28" spans="4:26" x14ac:dyDescent="0.25">
      <c r="R28" s="33"/>
    </row>
  </sheetData>
  <mergeCells count="6">
    <mergeCell ref="D19:V19"/>
    <mergeCell ref="D15:K15"/>
    <mergeCell ref="D4:V4"/>
    <mergeCell ref="D16:V16"/>
    <mergeCell ref="D17:V17"/>
    <mergeCell ref="D18:V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T23"/>
  <sheetViews>
    <sheetView workbookViewId="0">
      <selection activeCell="F17" sqref="F17"/>
    </sheetView>
  </sheetViews>
  <sheetFormatPr defaultRowHeight="15" x14ac:dyDescent="0.25"/>
  <cols>
    <col min="4" max="4" width="12.7109375" customWidth="1"/>
    <col min="5" max="5" width="15.28515625" bestFit="1" customWidth="1"/>
    <col min="6" max="6" width="16.7109375" bestFit="1" customWidth="1"/>
    <col min="7" max="7" width="11.5703125" customWidth="1"/>
    <col min="8" max="8" width="12.28515625" customWidth="1"/>
    <col min="13" max="13" width="11.5703125" bestFit="1" customWidth="1"/>
    <col min="14" max="15" width="12.5703125" bestFit="1" customWidth="1"/>
    <col min="17" max="17" width="12" bestFit="1" customWidth="1"/>
    <col min="19" max="19" width="10" bestFit="1" customWidth="1"/>
  </cols>
  <sheetData>
    <row r="4" spans="4:20" ht="30" customHeight="1" x14ac:dyDescent="0.25">
      <c r="D4" s="38" t="s">
        <v>56</v>
      </c>
      <c r="E4" s="38" t="s">
        <v>30</v>
      </c>
      <c r="F4" s="38" t="s">
        <v>41</v>
      </c>
      <c r="G4" s="38" t="s">
        <v>55</v>
      </c>
      <c r="H4" s="38" t="s">
        <v>20</v>
      </c>
      <c r="R4" s="52"/>
      <c r="S4" s="52"/>
      <c r="T4" s="52"/>
    </row>
    <row r="5" spans="4:20" x14ac:dyDescent="0.25">
      <c r="D5" s="39">
        <f>1.196*E5</f>
        <v>29062.799999999999</v>
      </c>
      <c r="E5" s="39">
        <v>24300</v>
      </c>
      <c r="F5" s="39">
        <f>E5*10.76</f>
        <v>261468</v>
      </c>
      <c r="G5" s="39">
        <f>19000*1.1</f>
        <v>20900</v>
      </c>
      <c r="H5" s="39">
        <f>G5*E5</f>
        <v>507870000</v>
      </c>
      <c r="L5">
        <f>10.76*E5</f>
        <v>261468</v>
      </c>
    </row>
    <row r="7" spans="4:20" ht="25.5" customHeight="1" x14ac:dyDescent="0.25">
      <c r="F7" s="38" t="s">
        <v>57</v>
      </c>
      <c r="G7" s="38" t="s">
        <v>32</v>
      </c>
    </row>
    <row r="8" spans="4:20" x14ac:dyDescent="0.25">
      <c r="F8" s="39">
        <v>9900</v>
      </c>
      <c r="G8" s="39">
        <f>F8*D5</f>
        <v>287721720</v>
      </c>
    </row>
    <row r="9" spans="4:20" ht="30" customHeight="1" x14ac:dyDescent="0.25">
      <c r="M9" s="52"/>
      <c r="N9" s="52"/>
      <c r="O9" s="52"/>
    </row>
    <row r="10" spans="4:20" ht="19.5" customHeight="1" x14ac:dyDescent="0.25">
      <c r="D10" s="40" t="s">
        <v>32</v>
      </c>
      <c r="E10" s="39"/>
    </row>
    <row r="11" spans="4:20" ht="45" customHeight="1" x14ac:dyDescent="0.25">
      <c r="D11" s="41" t="s">
        <v>33</v>
      </c>
      <c r="E11" s="42">
        <f>H5+'valuation Building'!T24+'valuation Building'!V15</f>
        <v>671445014</v>
      </c>
      <c r="F11" s="32"/>
    </row>
    <row r="12" spans="4:20" x14ac:dyDescent="0.25">
      <c r="D12" s="39" t="s">
        <v>34</v>
      </c>
      <c r="E12" s="39">
        <v>670000000</v>
      </c>
    </row>
    <row r="13" spans="4:20" x14ac:dyDescent="0.25">
      <c r="D13" s="39" t="s">
        <v>35</v>
      </c>
      <c r="E13" s="39">
        <f>0.85*E12</f>
        <v>569500000</v>
      </c>
      <c r="S13">
        <v>45000000</v>
      </c>
    </row>
    <row r="14" spans="4:20" ht="31.5" customHeight="1" x14ac:dyDescent="0.25">
      <c r="D14" s="39" t="s">
        <v>36</v>
      </c>
      <c r="E14" s="39">
        <f>0.75*E12</f>
        <v>502500000</v>
      </c>
      <c r="M14" s="52"/>
      <c r="N14" s="52"/>
      <c r="O14" s="52"/>
      <c r="S14">
        <f>2.25*4046.86</f>
        <v>9105.4349999999995</v>
      </c>
    </row>
    <row r="15" spans="4:20" ht="30" x14ac:dyDescent="0.25">
      <c r="D15" s="43" t="s">
        <v>37</v>
      </c>
      <c r="E15" s="42">
        <f>0.7*'valuation Building'!V15</f>
        <v>113312509.8</v>
      </c>
      <c r="F15" s="32"/>
      <c r="S15">
        <f>S13/S14</f>
        <v>4942.103260305521</v>
      </c>
    </row>
    <row r="17" spans="15:19" x14ac:dyDescent="0.25">
      <c r="O17">
        <v>25000000</v>
      </c>
      <c r="S17">
        <v>765000000</v>
      </c>
    </row>
    <row r="18" spans="15:19" x14ac:dyDescent="0.25">
      <c r="O18">
        <v>1012</v>
      </c>
      <c r="S18">
        <f>17*4046.86</f>
        <v>68796.62</v>
      </c>
    </row>
    <row r="19" spans="15:19" x14ac:dyDescent="0.25">
      <c r="O19">
        <f>O17/O18</f>
        <v>24703.557312252964</v>
      </c>
      <c r="S19">
        <f>S17/S18</f>
        <v>11119.732335687422</v>
      </c>
    </row>
    <row r="22" spans="15:19" x14ac:dyDescent="0.25">
      <c r="O22">
        <f>4000/10.76</f>
        <v>371.74721189591077</v>
      </c>
      <c r="P22">
        <v>28000000</v>
      </c>
    </row>
    <row r="23" spans="15:19" x14ac:dyDescent="0.25">
      <c r="P23">
        <f>P22/O22</f>
        <v>75320</v>
      </c>
    </row>
  </sheetData>
  <mergeCells count="3">
    <mergeCell ref="R4:T4"/>
    <mergeCell ref="M9:O9"/>
    <mergeCell ref="M14:O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3" sqref="T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 Building</vt:lpstr>
      <vt:lpstr>Land valuation</vt:lpstr>
      <vt:lpstr>Allotment &amp; govt. guide. rate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Avinash S. Vairat</dc:creator>
  <cp:lastModifiedBy>Anirban Roy</cp:lastModifiedBy>
  <cp:lastPrinted>2023-11-29T13:34:25Z</cp:lastPrinted>
  <dcterms:created xsi:type="dcterms:W3CDTF">2020-01-16T11:18:29Z</dcterms:created>
  <dcterms:modified xsi:type="dcterms:W3CDTF">2024-03-13T10:36:57Z</dcterms:modified>
</cp:coreProperties>
</file>