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inancialanalyst3\Desktop\VIS (2023-24)-PL723-622-950 ORENSE INDUSTRIES PRIVATE LIMITED TEV STUDY\RKA WORKING FEB 2024\V3 MODEL AND REPORT\"/>
    </mc:Choice>
  </mc:AlternateContent>
  <bookViews>
    <workbookView xWindow="0" yWindow="0" windowWidth="20490" windowHeight="7755" tabRatio="923" firstSheet="2" activeTab="2"/>
  </bookViews>
  <sheets>
    <sheet name="Opg." sheetId="4" state="hidden" r:id="rId1"/>
    <sheet name="Project at a glance" sheetId="13" state="hidden" r:id="rId2"/>
    <sheet name="dscr Lakhs" sheetId="23" r:id="rId3"/>
    <sheet name="dscr" sheetId="12" r:id="rId4"/>
    <sheet name="Investment in project" sheetId="6" r:id="rId5"/>
    <sheet name="Means of Finance" sheetId="5" r:id="rId6"/>
    <sheet name="Sheet2" sheetId="27" r:id="rId7"/>
    <sheet name="PL LAKHS" sheetId="20" r:id="rId8"/>
    <sheet name="PL" sheetId="2" r:id="rId9"/>
    <sheet name="BS Lakhs" sheetId="21" r:id="rId10"/>
    <sheet name="BS" sheetId="1" r:id="rId11"/>
    <sheet name="cash flow statement Lakhs" sheetId="22" r:id="rId12"/>
    <sheet name="cash flow statement" sheetId="19" r:id="rId13"/>
    <sheet name="sales of 1st year" sheetId="15" r:id="rId14"/>
    <sheet name="sales of  other FY" sheetId="7" r:id="rId15"/>
    <sheet name="RM" sheetId="17" r:id="rId16"/>
    <sheet name="indirect expenses" sheetId="16" r:id="rId17"/>
    <sheet name="depreciation" sheetId="10" r:id="rId18"/>
    <sheet name="TL interest" sheetId="11" r:id="rId19"/>
    <sheet name="Sheet1" sheetId="14" state="hidden" r:id="rId20"/>
    <sheet name="CMA LAKHS" sheetId="26" r:id="rId21"/>
    <sheet name="cma report" sheetId="9" r:id="rId22"/>
    <sheet name="RATIO LAKHS" sheetId="25" r:id="rId23"/>
    <sheet name="ratio" sheetId="8" r:id="rId24"/>
    <sheet name="BEP LAKHS" sheetId="24" r:id="rId25"/>
    <sheet name="Break even Analysis" sheetId="18" r:id="rId26"/>
  </sheets>
  <externalReferences>
    <externalReference r:id="rId27"/>
    <externalReference r:id="rId28"/>
  </externalReferences>
  <definedNames>
    <definedName name="\A" localSheetId="24">'[1]BS 30-9-06 FIRST CUT'!#REF!</definedName>
    <definedName name="\A" localSheetId="9">'[1]BS 30-9-06 FIRST CUT'!#REF!</definedName>
    <definedName name="\A" localSheetId="11">'[1]BS 30-9-06 FIRST CUT'!#REF!</definedName>
    <definedName name="\A" localSheetId="20">'[1]BS 30-9-06 FIRST CUT'!#REF!</definedName>
    <definedName name="\A" localSheetId="2">'[1]BS 30-9-06 FIRST CUT'!#REF!</definedName>
    <definedName name="\A" localSheetId="7">'[1]BS 30-9-06 FIRST CUT'!#REF!</definedName>
    <definedName name="\A" localSheetId="22">'[1]BS 30-9-06 FIRST CUT'!#REF!</definedName>
    <definedName name="\A">'[1]BS 30-9-06 FIRST CUT'!#REF!</definedName>
    <definedName name="\B" localSheetId="24">'[1]BS 30-9-06 FIRST CUT'!#REF!</definedName>
    <definedName name="\B" localSheetId="9">'[1]BS 30-9-06 FIRST CUT'!#REF!</definedName>
    <definedName name="\B" localSheetId="11">'[1]BS 30-9-06 FIRST CUT'!#REF!</definedName>
    <definedName name="\B" localSheetId="20">'[1]BS 30-9-06 FIRST CUT'!#REF!</definedName>
    <definedName name="\B" localSheetId="2">'[1]BS 30-9-06 FIRST CUT'!#REF!</definedName>
    <definedName name="\B" localSheetId="7">'[1]BS 30-9-06 FIRST CUT'!#REF!</definedName>
    <definedName name="\B" localSheetId="22">'[1]BS 30-9-06 FIRST CUT'!#REF!</definedName>
    <definedName name="\B">'[1]BS 30-9-06 FIRST CUT'!#REF!</definedName>
    <definedName name="_Toc120099563" localSheetId="5">'Means of Finance'!#REF!</definedName>
    <definedName name="bbbbbbbbb" localSheetId="24">'[1]BS 30-9-06 FIRST CUT'!#REF!</definedName>
    <definedName name="bbbbbbbbb" localSheetId="9">'[1]BS 30-9-06 FIRST CUT'!#REF!</definedName>
    <definedName name="bbbbbbbbb" localSheetId="11">'[1]BS 30-9-06 FIRST CUT'!#REF!</definedName>
    <definedName name="bbbbbbbbb" localSheetId="20">'[1]BS 30-9-06 FIRST CUT'!#REF!</definedName>
    <definedName name="bbbbbbbbb" localSheetId="2">'[1]BS 30-9-06 FIRST CUT'!#REF!</definedName>
    <definedName name="bbbbbbbbb" localSheetId="7">'[1]BS 30-9-06 FIRST CUT'!#REF!</definedName>
    <definedName name="bbbbbbbbb" localSheetId="22">'[1]BS 30-9-06 FIRST CUT'!#REF!</definedName>
    <definedName name="bbbbbbbbb">'[1]BS 30-9-06 FIRST CUT'!#REF!</definedName>
    <definedName name="df" localSheetId="24">[2]BS!#REF!</definedName>
    <definedName name="df" localSheetId="9">[2]BS!#REF!</definedName>
    <definedName name="df" localSheetId="11">[2]BS!#REF!</definedName>
    <definedName name="df" localSheetId="20">[2]BS!#REF!</definedName>
    <definedName name="df" localSheetId="2">[2]BS!#REF!</definedName>
    <definedName name="df" localSheetId="7">[2]BS!#REF!</definedName>
    <definedName name="df" localSheetId="22">[2]BS!#REF!</definedName>
    <definedName name="df">[2]BS!#REF!</definedName>
    <definedName name="FA" localSheetId="24">[2]BS!#REF!</definedName>
    <definedName name="FA" localSheetId="9">[2]BS!#REF!</definedName>
    <definedName name="FA" localSheetId="11">[2]BS!#REF!</definedName>
    <definedName name="FA" localSheetId="20">[2]BS!#REF!</definedName>
    <definedName name="FA" localSheetId="2">[2]BS!#REF!</definedName>
    <definedName name="FA" localSheetId="7">[2]BS!#REF!</definedName>
    <definedName name="FA" localSheetId="22">[2]BS!#REF!</definedName>
    <definedName name="FA">[2]BS!#REF!</definedName>
    <definedName name="_xlnm.Print_Area" localSheetId="24">'BEP LAKHS'!$A$1:$W$50</definedName>
    <definedName name="_xlnm.Print_Area" localSheetId="25">'Break even Analysis'!$A$1:$W$50</definedName>
    <definedName name="_xlnm.Print_Area" localSheetId="10">BS!$A$1:$AH$51</definedName>
    <definedName name="_xlnm.Print_Area" localSheetId="9">'BS Lakhs'!$A$1:$AH$51</definedName>
    <definedName name="_xlnm.Print_Area" localSheetId="12">'cash flow statement'!$A$1:$AL$46</definedName>
    <definedName name="_xlnm.Print_Area" localSheetId="11">'cash flow statement Lakhs'!$A$1:$AL$46</definedName>
    <definedName name="_xlnm.Print_Area" localSheetId="20">'CMA LAKHS'!$A$1:$AL$79</definedName>
    <definedName name="_xlnm.Print_Area" localSheetId="21">'cma report'!$A$1:$AL$79</definedName>
    <definedName name="_xlnm.Print_Area" localSheetId="17">depreciation!$A$1:$AJ$67</definedName>
    <definedName name="_xlnm.Print_Area" localSheetId="3">dscr!$A$1:$AL$75</definedName>
    <definedName name="_xlnm.Print_Area" localSheetId="2">'dscr Lakhs'!$A$1:$AL$75</definedName>
    <definedName name="_xlnm.Print_Area" localSheetId="16">'indirect expenses'!$A$1:$S$180</definedName>
    <definedName name="_xlnm.Print_Area" localSheetId="4">'Investment in project'!$A$1:$AE$54</definedName>
    <definedName name="_xlnm.Print_Area" localSheetId="5">'Means of Finance'!$A$1:$AI$72</definedName>
    <definedName name="_xlnm.Print_Area" localSheetId="0">Opg.!$A$1:$K$51</definedName>
    <definedName name="_xlnm.Print_Area" localSheetId="8">PL!$A$1:$X$170</definedName>
    <definedName name="_xlnm.Print_Area" localSheetId="7">'PL LAKHS'!$A$1:$X$168</definedName>
    <definedName name="_xlnm.Print_Area" localSheetId="1">'Project at a glance'!$A$1:$C$20</definedName>
    <definedName name="_xlnm.Print_Area" localSheetId="23">ratio!$A$1:$U$66</definedName>
    <definedName name="_xlnm.Print_Area" localSheetId="22">'RATIO LAKHS'!$A$1:$U$66</definedName>
    <definedName name="_xlnm.Print_Area" localSheetId="15">RM!$A$1:$AF$93</definedName>
    <definedName name="_xlnm.Print_Area" localSheetId="14">'sales of  other FY'!$A$1:$AI$71</definedName>
    <definedName name="_xlnm.Print_Area" localSheetId="13">'sales of 1st year'!$A$1:$AD$51</definedName>
    <definedName name="_xlnm.Print_Area" localSheetId="19">Sheet1!$A$1:$H$60</definedName>
    <definedName name="_xlnm.Print_Area" localSheetId="18">'TL interest'!$A$1:$AI$143</definedName>
    <definedName name="vvvvvvv" localSheetId="24">'[1]BS 30-9-06 FIRST CUT'!#REF!</definedName>
    <definedName name="vvvvvvv" localSheetId="9">'[1]BS 30-9-06 FIRST CUT'!#REF!</definedName>
    <definedName name="vvvvvvv" localSheetId="11">'[1]BS 30-9-06 FIRST CUT'!#REF!</definedName>
    <definedName name="vvvvvvv" localSheetId="20">'[1]BS 30-9-06 FIRST CUT'!#REF!</definedName>
    <definedName name="vvvvvvv" localSheetId="2">'[1]BS 30-9-06 FIRST CUT'!#REF!</definedName>
    <definedName name="vvvvvvv" localSheetId="7">'[1]BS 30-9-06 FIRST CUT'!#REF!</definedName>
    <definedName name="vvvvvvv" localSheetId="22">'[1]BS 30-9-06 FIRST CUT'!#REF!</definedName>
    <definedName name="vvvvvvv">'[1]BS 30-9-06 FIRST CUT'!#REF!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5" l="1"/>
  <c r="D51" i="20"/>
  <c r="E51" i="20"/>
  <c r="F51" i="20"/>
  <c r="G51" i="20"/>
  <c r="H51" i="20"/>
  <c r="I51" i="20"/>
  <c r="J51" i="20"/>
  <c r="D53" i="20"/>
  <c r="E53" i="20"/>
  <c r="F53" i="20"/>
  <c r="G53" i="20"/>
  <c r="H53" i="20"/>
  <c r="I53" i="20"/>
  <c r="J53" i="20"/>
  <c r="D59" i="20"/>
  <c r="E59" i="20"/>
  <c r="F59" i="20"/>
  <c r="G59" i="20"/>
  <c r="H59" i="20"/>
  <c r="I59" i="20"/>
  <c r="J59" i="20"/>
  <c r="D57" i="20"/>
  <c r="E57" i="20"/>
  <c r="F57" i="20"/>
  <c r="G57" i="20"/>
  <c r="H57" i="20"/>
  <c r="I57" i="20"/>
  <c r="J57" i="20"/>
  <c r="D55" i="20"/>
  <c r="E55" i="20"/>
  <c r="F55" i="20"/>
  <c r="G55" i="20"/>
  <c r="H55" i="20"/>
  <c r="I55" i="20"/>
  <c r="J55" i="20"/>
  <c r="C55" i="20"/>
  <c r="D14" i="15" l="1"/>
  <c r="D13" i="15"/>
  <c r="E30" i="6" l="1"/>
  <c r="H15" i="6" l="1"/>
  <c r="H14" i="6"/>
  <c r="K11" i="6"/>
  <c r="I13" i="6"/>
  <c r="I12" i="6"/>
  <c r="G7" i="6"/>
  <c r="K10" i="6"/>
  <c r="I9" i="6" l="1"/>
  <c r="I8" i="6"/>
  <c r="I7" i="6"/>
  <c r="H9" i="6"/>
  <c r="H8" i="6"/>
  <c r="K24" i="26"/>
  <c r="J24" i="26"/>
  <c r="I24" i="26"/>
  <c r="H24" i="26"/>
  <c r="G24" i="26"/>
  <c r="F24" i="26"/>
  <c r="E24" i="26"/>
  <c r="D24" i="26"/>
  <c r="K20" i="26"/>
  <c r="J20" i="26"/>
  <c r="I20" i="26"/>
  <c r="H20" i="26"/>
  <c r="G20" i="26"/>
  <c r="F20" i="26"/>
  <c r="E20" i="26"/>
  <c r="D20" i="26"/>
  <c r="C41" i="26"/>
  <c r="C40" i="26"/>
  <c r="K39" i="26"/>
  <c r="J39" i="26"/>
  <c r="I39" i="26"/>
  <c r="H39" i="26"/>
  <c r="G39" i="26"/>
  <c r="F39" i="26"/>
  <c r="E39" i="26"/>
  <c r="D39" i="26"/>
  <c r="C39" i="26"/>
  <c r="K37" i="26"/>
  <c r="J37" i="26"/>
  <c r="I37" i="26"/>
  <c r="H37" i="26"/>
  <c r="G37" i="26"/>
  <c r="F37" i="26"/>
  <c r="E37" i="26"/>
  <c r="D37" i="26"/>
  <c r="C37" i="26"/>
  <c r="C36" i="26"/>
  <c r="C38" i="26" s="1"/>
  <c r="C35" i="26"/>
  <c r="K34" i="26"/>
  <c r="J34" i="26"/>
  <c r="I34" i="26"/>
  <c r="H34" i="26"/>
  <c r="G34" i="26"/>
  <c r="F34" i="26"/>
  <c r="E34" i="26"/>
  <c r="D34" i="26"/>
  <c r="C34" i="26"/>
  <c r="C33" i="26"/>
  <c r="M27" i="26"/>
  <c r="M26" i="26"/>
  <c r="K13" i="26"/>
  <c r="J13" i="26"/>
  <c r="I13" i="26"/>
  <c r="H13" i="26"/>
  <c r="G13" i="26"/>
  <c r="F13" i="26"/>
  <c r="E13" i="26"/>
  <c r="D13" i="26"/>
  <c r="K8" i="26"/>
  <c r="K18" i="26" s="1"/>
  <c r="K31" i="26" s="1"/>
  <c r="J8" i="26"/>
  <c r="J18" i="26" s="1"/>
  <c r="J31" i="26" s="1"/>
  <c r="I8" i="26"/>
  <c r="I18" i="26" s="1"/>
  <c r="I31" i="26" s="1"/>
  <c r="H8" i="26"/>
  <c r="H18" i="26" s="1"/>
  <c r="H31" i="26" s="1"/>
  <c r="G8" i="26"/>
  <c r="G18" i="26" s="1"/>
  <c r="G31" i="26" s="1"/>
  <c r="F8" i="26"/>
  <c r="F18" i="26" s="1"/>
  <c r="F31" i="26" s="1"/>
  <c r="E8" i="26"/>
  <c r="E18" i="26" s="1"/>
  <c r="E31" i="26" s="1"/>
  <c r="D8" i="26"/>
  <c r="D18" i="26" s="1"/>
  <c r="D31" i="26" s="1"/>
  <c r="B2" i="26"/>
  <c r="K39" i="25"/>
  <c r="J39" i="25"/>
  <c r="I39" i="25"/>
  <c r="H39" i="25"/>
  <c r="G39" i="25"/>
  <c r="F39" i="25"/>
  <c r="E39" i="25"/>
  <c r="D39" i="25"/>
  <c r="M52" i="25"/>
  <c r="M54" i="25" s="1"/>
  <c r="M51" i="25"/>
  <c r="K32" i="25"/>
  <c r="J32" i="25"/>
  <c r="G32" i="25"/>
  <c r="F32" i="25"/>
  <c r="C32" i="25"/>
  <c r="C33" i="25" s="1"/>
  <c r="K31" i="25"/>
  <c r="J31" i="25"/>
  <c r="I31" i="25"/>
  <c r="H31" i="25"/>
  <c r="G31" i="25"/>
  <c r="F31" i="25"/>
  <c r="E31" i="25"/>
  <c r="D31" i="25"/>
  <c r="K30" i="25"/>
  <c r="J30" i="25"/>
  <c r="I30" i="25"/>
  <c r="I32" i="25" s="1"/>
  <c r="H30" i="25"/>
  <c r="H32" i="25" s="1"/>
  <c r="G30" i="25"/>
  <c r="F30" i="25"/>
  <c r="E30" i="25"/>
  <c r="E32" i="25" s="1"/>
  <c r="D30" i="25"/>
  <c r="D32" i="25" s="1"/>
  <c r="C30" i="25"/>
  <c r="C29" i="25"/>
  <c r="C22" i="25"/>
  <c r="C20" i="25"/>
  <c r="K18" i="25"/>
  <c r="H18" i="25"/>
  <c r="G18" i="25"/>
  <c r="D18" i="25"/>
  <c r="C18" i="25"/>
  <c r="K17" i="25"/>
  <c r="J17" i="25"/>
  <c r="I17" i="25"/>
  <c r="H17" i="25"/>
  <c r="G17" i="25"/>
  <c r="F17" i="25"/>
  <c r="E17" i="25"/>
  <c r="D17" i="25"/>
  <c r="K16" i="25"/>
  <c r="J16" i="25"/>
  <c r="J18" i="25" s="1"/>
  <c r="I16" i="25"/>
  <c r="I18" i="25" s="1"/>
  <c r="H16" i="25"/>
  <c r="G16" i="25"/>
  <c r="F16" i="25"/>
  <c r="F18" i="25" s="1"/>
  <c r="E16" i="25"/>
  <c r="E18" i="25" s="1"/>
  <c r="D16" i="25"/>
  <c r="C16" i="25"/>
  <c r="C13" i="25"/>
  <c r="K12" i="25"/>
  <c r="J12" i="25"/>
  <c r="I12" i="25"/>
  <c r="H12" i="25"/>
  <c r="G12" i="25"/>
  <c r="F12" i="25"/>
  <c r="E12" i="25"/>
  <c r="D12" i="25"/>
  <c r="C11" i="25"/>
  <c r="C10" i="25"/>
  <c r="C9" i="25"/>
  <c r="K6" i="25"/>
  <c r="K28" i="25" s="1"/>
  <c r="K37" i="25" s="1"/>
  <c r="J6" i="25"/>
  <c r="J28" i="25" s="1"/>
  <c r="J37" i="25" s="1"/>
  <c r="I6" i="25"/>
  <c r="I28" i="25" s="1"/>
  <c r="I37" i="25" s="1"/>
  <c r="H6" i="25"/>
  <c r="H28" i="25" s="1"/>
  <c r="H37" i="25" s="1"/>
  <c r="G6" i="25"/>
  <c r="G28" i="25" s="1"/>
  <c r="G37" i="25" s="1"/>
  <c r="F6" i="25"/>
  <c r="F28" i="25" s="1"/>
  <c r="F37" i="25" s="1"/>
  <c r="E6" i="25"/>
  <c r="E28" i="25" s="1"/>
  <c r="E37" i="25" s="1"/>
  <c r="D6" i="25"/>
  <c r="D28" i="25" s="1"/>
  <c r="D37" i="25" s="1"/>
  <c r="B2" i="25"/>
  <c r="H10" i="11"/>
  <c r="H11" i="11"/>
  <c r="H12" i="11"/>
  <c r="H13" i="11"/>
  <c r="H14" i="11"/>
  <c r="H15" i="11"/>
  <c r="H16" i="11"/>
  <c r="H17" i="11"/>
  <c r="H18" i="11"/>
  <c r="H19" i="11"/>
  <c r="H20" i="11"/>
  <c r="H9" i="11"/>
  <c r="K21" i="24"/>
  <c r="J21" i="24"/>
  <c r="I21" i="24"/>
  <c r="H21" i="24"/>
  <c r="G21" i="24"/>
  <c r="F21" i="24"/>
  <c r="E21" i="24"/>
  <c r="D21" i="24"/>
  <c r="K17" i="24"/>
  <c r="J17" i="24"/>
  <c r="I17" i="24"/>
  <c r="H17" i="24"/>
  <c r="G17" i="24"/>
  <c r="F17" i="24"/>
  <c r="E17" i="24"/>
  <c r="D17" i="24"/>
  <c r="K16" i="24"/>
  <c r="J16" i="24"/>
  <c r="I16" i="24"/>
  <c r="H16" i="24"/>
  <c r="G16" i="24"/>
  <c r="F16" i="24"/>
  <c r="E16" i="24"/>
  <c r="D16" i="24"/>
  <c r="K12" i="24"/>
  <c r="J12" i="24"/>
  <c r="I12" i="24"/>
  <c r="H12" i="24"/>
  <c r="G12" i="24"/>
  <c r="F12" i="24"/>
  <c r="E12" i="24"/>
  <c r="D12" i="24"/>
  <c r="K11" i="24"/>
  <c r="J11" i="24"/>
  <c r="I11" i="24"/>
  <c r="H11" i="24"/>
  <c r="G11" i="24"/>
  <c r="F11" i="24"/>
  <c r="E11" i="24"/>
  <c r="D11" i="24"/>
  <c r="K10" i="24"/>
  <c r="J10" i="24"/>
  <c r="I10" i="24"/>
  <c r="H10" i="24"/>
  <c r="G10" i="24"/>
  <c r="F10" i="24"/>
  <c r="E10" i="24"/>
  <c r="D10" i="24"/>
  <c r="K22" i="24" l="1"/>
  <c r="J22" i="24"/>
  <c r="I22" i="24"/>
  <c r="H22" i="24"/>
  <c r="G22" i="24"/>
  <c r="F22" i="24"/>
  <c r="E22" i="24"/>
  <c r="D22" i="24"/>
  <c r="K6" i="24"/>
  <c r="J6" i="24"/>
  <c r="I6" i="24"/>
  <c r="H6" i="24"/>
  <c r="G6" i="24"/>
  <c r="F6" i="24"/>
  <c r="E6" i="24"/>
  <c r="D6" i="24"/>
  <c r="B2" i="24"/>
  <c r="B1" i="24"/>
  <c r="C69" i="23"/>
  <c r="J47" i="23"/>
  <c r="I47" i="23"/>
  <c r="H47" i="23"/>
  <c r="G47" i="23"/>
  <c r="F47" i="23"/>
  <c r="E47" i="23"/>
  <c r="D47" i="23"/>
  <c r="C47" i="23"/>
  <c r="J46" i="23"/>
  <c r="I46" i="23"/>
  <c r="H46" i="23"/>
  <c r="G46" i="23"/>
  <c r="F46" i="23"/>
  <c r="E46" i="23"/>
  <c r="D46" i="23"/>
  <c r="C46" i="23"/>
  <c r="J32" i="23"/>
  <c r="I32" i="23"/>
  <c r="H32" i="23"/>
  <c r="G32" i="23"/>
  <c r="F32" i="23"/>
  <c r="E32" i="23"/>
  <c r="D32" i="23"/>
  <c r="C32" i="23"/>
  <c r="J31" i="23"/>
  <c r="I31" i="23"/>
  <c r="H31" i="23"/>
  <c r="G31" i="23"/>
  <c r="F31" i="23"/>
  <c r="E31" i="23"/>
  <c r="D31" i="23"/>
  <c r="C31" i="23"/>
  <c r="J29" i="23"/>
  <c r="I29" i="23"/>
  <c r="H29" i="23"/>
  <c r="G29" i="23"/>
  <c r="F29" i="23"/>
  <c r="E29" i="23"/>
  <c r="D29" i="23"/>
  <c r="C29" i="23"/>
  <c r="J25" i="23"/>
  <c r="I25" i="23"/>
  <c r="H25" i="23"/>
  <c r="G25" i="23"/>
  <c r="F25" i="23"/>
  <c r="E25" i="23"/>
  <c r="D25" i="23"/>
  <c r="C25" i="23"/>
  <c r="J24" i="23"/>
  <c r="I24" i="23"/>
  <c r="H24" i="23"/>
  <c r="G24" i="23"/>
  <c r="F24" i="23"/>
  <c r="E24" i="23"/>
  <c r="D24" i="23"/>
  <c r="C24" i="23"/>
  <c r="J23" i="23"/>
  <c r="I23" i="23"/>
  <c r="H23" i="23"/>
  <c r="G23" i="23"/>
  <c r="F23" i="23"/>
  <c r="E23" i="23"/>
  <c r="D23" i="23"/>
  <c r="C23" i="23"/>
  <c r="D66" i="23"/>
  <c r="E66" i="23" s="1"/>
  <c r="F66" i="23" s="1"/>
  <c r="G66" i="23" s="1"/>
  <c r="H66" i="23" s="1"/>
  <c r="I66" i="23" s="1"/>
  <c r="J66" i="23" s="1"/>
  <c r="C64" i="23"/>
  <c r="C53" i="23"/>
  <c r="C51" i="23"/>
  <c r="A45" i="23"/>
  <c r="D41" i="23"/>
  <c r="E41" i="23" s="1"/>
  <c r="B41" i="23"/>
  <c r="J33" i="23"/>
  <c r="I33" i="23"/>
  <c r="H33" i="23"/>
  <c r="G33" i="23"/>
  <c r="F33" i="23"/>
  <c r="E33" i="23"/>
  <c r="D33" i="23"/>
  <c r="C33" i="23"/>
  <c r="H14" i="23"/>
  <c r="G14" i="23"/>
  <c r="D14" i="23"/>
  <c r="C14" i="23"/>
  <c r="H13" i="23"/>
  <c r="H15" i="23" s="1"/>
  <c r="G13" i="23"/>
  <c r="G15" i="23" s="1"/>
  <c r="D13" i="23"/>
  <c r="D15" i="23" s="1"/>
  <c r="C13" i="23"/>
  <c r="C15" i="23" s="1"/>
  <c r="I12" i="23"/>
  <c r="H12" i="23"/>
  <c r="G12" i="23"/>
  <c r="F12" i="23"/>
  <c r="E12" i="23"/>
  <c r="D12" i="23"/>
  <c r="C12" i="23"/>
  <c r="J10" i="23"/>
  <c r="J14" i="23" s="1"/>
  <c r="I10" i="23"/>
  <c r="I14" i="23" s="1"/>
  <c r="H10" i="23"/>
  <c r="G10" i="23"/>
  <c r="F10" i="23"/>
  <c r="F14" i="23" s="1"/>
  <c r="E10" i="23"/>
  <c r="E14" i="23" s="1"/>
  <c r="D10" i="23"/>
  <c r="C10" i="23"/>
  <c r="J9" i="23"/>
  <c r="J13" i="23" s="1"/>
  <c r="J15" i="23" s="1"/>
  <c r="I9" i="23"/>
  <c r="I13" i="23" s="1"/>
  <c r="H9" i="23"/>
  <c r="G9" i="23"/>
  <c r="F9" i="23"/>
  <c r="F13" i="23" s="1"/>
  <c r="E9" i="23"/>
  <c r="E13" i="23" s="1"/>
  <c r="D9" i="23"/>
  <c r="C9" i="23"/>
  <c r="J8" i="23"/>
  <c r="I8" i="23"/>
  <c r="H8" i="23"/>
  <c r="G8" i="23"/>
  <c r="F8" i="23"/>
  <c r="E8" i="23"/>
  <c r="D8" i="23"/>
  <c r="C8" i="23"/>
  <c r="J6" i="23"/>
  <c r="I6" i="23"/>
  <c r="H6" i="23"/>
  <c r="G6" i="23"/>
  <c r="F6" i="23"/>
  <c r="E6" i="23"/>
  <c r="D6" i="23"/>
  <c r="C6" i="23"/>
  <c r="B2" i="23"/>
  <c r="J39" i="22"/>
  <c r="I39" i="22"/>
  <c r="H39" i="22"/>
  <c r="G39" i="22"/>
  <c r="F39" i="22"/>
  <c r="E39" i="22"/>
  <c r="D39" i="22"/>
  <c r="C39" i="22"/>
  <c r="J38" i="22"/>
  <c r="I38" i="22"/>
  <c r="H38" i="22"/>
  <c r="G38" i="22"/>
  <c r="F38" i="22"/>
  <c r="E38" i="22"/>
  <c r="D38" i="22"/>
  <c r="C38" i="22"/>
  <c r="J37" i="22"/>
  <c r="I37" i="22"/>
  <c r="H37" i="22"/>
  <c r="G37" i="22"/>
  <c r="F37" i="22"/>
  <c r="E37" i="22"/>
  <c r="D37" i="22"/>
  <c r="C37" i="22"/>
  <c r="J36" i="22"/>
  <c r="I36" i="22"/>
  <c r="H36" i="22"/>
  <c r="G36" i="22"/>
  <c r="G42" i="22" s="1"/>
  <c r="F36" i="22"/>
  <c r="E36" i="22"/>
  <c r="D36" i="22"/>
  <c r="C36" i="22"/>
  <c r="C42" i="22" s="1"/>
  <c r="D27" i="22"/>
  <c r="C27" i="22"/>
  <c r="C26" i="22"/>
  <c r="C33" i="22" s="1"/>
  <c r="J20" i="22"/>
  <c r="I20" i="22"/>
  <c r="H20" i="22"/>
  <c r="G20" i="22"/>
  <c r="F20" i="22"/>
  <c r="E20" i="22"/>
  <c r="D20" i="22"/>
  <c r="C20" i="22"/>
  <c r="D10" i="22"/>
  <c r="E10" i="22"/>
  <c r="F10" i="22"/>
  <c r="G10" i="22"/>
  <c r="H10" i="22"/>
  <c r="I10" i="22"/>
  <c r="J10" i="22"/>
  <c r="C10" i="22"/>
  <c r="C5" i="22"/>
  <c r="J42" i="22"/>
  <c r="I42" i="22"/>
  <c r="H42" i="22"/>
  <c r="F42" i="22"/>
  <c r="E42" i="22"/>
  <c r="D42" i="22"/>
  <c r="J33" i="22"/>
  <c r="I33" i="22"/>
  <c r="H33" i="22"/>
  <c r="G33" i="22"/>
  <c r="F33" i="22"/>
  <c r="E33" i="22"/>
  <c r="D33" i="22"/>
  <c r="B2" i="22"/>
  <c r="C47" i="21"/>
  <c r="J44" i="21"/>
  <c r="I44" i="21"/>
  <c r="H44" i="21"/>
  <c r="G44" i="21"/>
  <c r="F44" i="21"/>
  <c r="E44" i="21"/>
  <c r="D44" i="21"/>
  <c r="C44" i="21"/>
  <c r="J39" i="21"/>
  <c r="I39" i="21"/>
  <c r="H39" i="21"/>
  <c r="G39" i="21"/>
  <c r="F39" i="21"/>
  <c r="E39" i="21"/>
  <c r="D39" i="21"/>
  <c r="C39" i="21"/>
  <c r="J38" i="21"/>
  <c r="I38" i="21"/>
  <c r="H38" i="21"/>
  <c r="G38" i="21"/>
  <c r="F38" i="21"/>
  <c r="E38" i="21"/>
  <c r="D38" i="21"/>
  <c r="C38" i="21"/>
  <c r="J31" i="21"/>
  <c r="I31" i="21"/>
  <c r="H31" i="21"/>
  <c r="H70" i="21" s="1"/>
  <c r="G31" i="21"/>
  <c r="G70" i="21" s="1"/>
  <c r="F31" i="21"/>
  <c r="E31" i="21"/>
  <c r="D31" i="21"/>
  <c r="C31" i="21"/>
  <c r="C70" i="21" s="1"/>
  <c r="C29" i="21"/>
  <c r="D29" i="21" s="1"/>
  <c r="E29" i="21" s="1"/>
  <c r="F29" i="21" s="1"/>
  <c r="G29" i="21" s="1"/>
  <c r="H29" i="21" s="1"/>
  <c r="I29" i="21" s="1"/>
  <c r="J29" i="21" s="1"/>
  <c r="E70" i="21"/>
  <c r="F70" i="21"/>
  <c r="J25" i="21"/>
  <c r="I25" i="21"/>
  <c r="H25" i="21"/>
  <c r="G25" i="21"/>
  <c r="F25" i="21"/>
  <c r="E25" i="21"/>
  <c r="D25" i="21"/>
  <c r="C25" i="21"/>
  <c r="J19" i="21"/>
  <c r="I19" i="21"/>
  <c r="H19" i="21"/>
  <c r="G19" i="21"/>
  <c r="F19" i="21"/>
  <c r="E19" i="21"/>
  <c r="D19" i="21"/>
  <c r="J18" i="21"/>
  <c r="I18" i="21"/>
  <c r="H18" i="21"/>
  <c r="G18" i="21"/>
  <c r="F18" i="21"/>
  <c r="E18" i="21"/>
  <c r="D18" i="21"/>
  <c r="C19" i="21"/>
  <c r="C18" i="21"/>
  <c r="C11" i="21"/>
  <c r="C13" i="21" s="1"/>
  <c r="C5" i="21"/>
  <c r="J70" i="21"/>
  <c r="C55" i="21"/>
  <c r="I70" i="21"/>
  <c r="D70" i="21"/>
  <c r="J6" i="21"/>
  <c r="I6" i="21"/>
  <c r="H6" i="21"/>
  <c r="G6" i="21"/>
  <c r="F6" i="21"/>
  <c r="E6" i="21"/>
  <c r="D6" i="21"/>
  <c r="C6" i="21"/>
  <c r="B2" i="21"/>
  <c r="J49" i="20"/>
  <c r="I49" i="20"/>
  <c r="H49" i="20"/>
  <c r="G49" i="20"/>
  <c r="F49" i="20"/>
  <c r="E49" i="20"/>
  <c r="D49" i="20"/>
  <c r="C49" i="20"/>
  <c r="J47" i="20"/>
  <c r="I47" i="20"/>
  <c r="H47" i="20"/>
  <c r="G47" i="20"/>
  <c r="G87" i="20" s="1"/>
  <c r="F47" i="20"/>
  <c r="E47" i="20"/>
  <c r="D47" i="20"/>
  <c r="D87" i="20" s="1"/>
  <c r="C47" i="20"/>
  <c r="C87" i="20" s="1"/>
  <c r="J45" i="20"/>
  <c r="I45" i="20"/>
  <c r="H45" i="20"/>
  <c r="G45" i="20"/>
  <c r="F45" i="20"/>
  <c r="E45" i="20"/>
  <c r="D45" i="20"/>
  <c r="C45" i="20"/>
  <c r="J43" i="20"/>
  <c r="I43" i="20"/>
  <c r="H43" i="20"/>
  <c r="G43" i="20"/>
  <c r="F43" i="20"/>
  <c r="E43" i="20"/>
  <c r="D43" i="20"/>
  <c r="C43" i="20"/>
  <c r="J41" i="20"/>
  <c r="I41" i="20"/>
  <c r="H41" i="20"/>
  <c r="G41" i="20"/>
  <c r="F41" i="20"/>
  <c r="E41" i="20"/>
  <c r="D41" i="20"/>
  <c r="C41" i="20"/>
  <c r="J39" i="20"/>
  <c r="I39" i="20"/>
  <c r="H39" i="20"/>
  <c r="G39" i="20"/>
  <c r="F39" i="20"/>
  <c r="E39" i="20"/>
  <c r="D39" i="20"/>
  <c r="C39" i="20"/>
  <c r="J38" i="20"/>
  <c r="I38" i="20"/>
  <c r="H38" i="20"/>
  <c r="H89" i="20" s="1"/>
  <c r="G38" i="20"/>
  <c r="G89" i="20" s="1"/>
  <c r="F38" i="20"/>
  <c r="E38" i="20"/>
  <c r="D38" i="20"/>
  <c r="D89" i="20" s="1"/>
  <c r="C38" i="20"/>
  <c r="C89" i="20" s="1"/>
  <c r="J35" i="20"/>
  <c r="I35" i="20"/>
  <c r="H35" i="20"/>
  <c r="G35" i="20"/>
  <c r="F35" i="20"/>
  <c r="E35" i="20"/>
  <c r="D35" i="20"/>
  <c r="C35" i="20"/>
  <c r="J33" i="20"/>
  <c r="I33" i="20"/>
  <c r="H33" i="20"/>
  <c r="G33" i="20"/>
  <c r="F33" i="20"/>
  <c r="E33" i="20"/>
  <c r="D33" i="20"/>
  <c r="C33" i="20"/>
  <c r="J31" i="20"/>
  <c r="I31" i="20"/>
  <c r="H31" i="20"/>
  <c r="G31" i="20"/>
  <c r="F31" i="20"/>
  <c r="E31" i="20"/>
  <c r="D31" i="20"/>
  <c r="C31" i="20"/>
  <c r="J29" i="20"/>
  <c r="I29" i="20"/>
  <c r="H29" i="20"/>
  <c r="G29" i="20"/>
  <c r="F29" i="20"/>
  <c r="E29" i="20"/>
  <c r="D29" i="20"/>
  <c r="C29" i="20"/>
  <c r="J27" i="20"/>
  <c r="I27" i="20"/>
  <c r="H27" i="20"/>
  <c r="G27" i="20"/>
  <c r="F27" i="20"/>
  <c r="E27" i="20"/>
  <c r="D27" i="20"/>
  <c r="C27" i="20"/>
  <c r="J25" i="20"/>
  <c r="I25" i="20"/>
  <c r="H25" i="20"/>
  <c r="G25" i="20"/>
  <c r="F25" i="20"/>
  <c r="E25" i="20"/>
  <c r="D25" i="20"/>
  <c r="C25" i="20"/>
  <c r="J23" i="20"/>
  <c r="I23" i="20"/>
  <c r="H23" i="20"/>
  <c r="G23" i="20"/>
  <c r="F23" i="20"/>
  <c r="E23" i="20"/>
  <c r="D23" i="20"/>
  <c r="C23" i="20"/>
  <c r="J22" i="20"/>
  <c r="I22" i="20"/>
  <c r="H22" i="20"/>
  <c r="G22" i="20"/>
  <c r="F22" i="20"/>
  <c r="E22" i="20"/>
  <c r="D22" i="20"/>
  <c r="C22" i="20"/>
  <c r="J21" i="20"/>
  <c r="I21" i="20"/>
  <c r="H21" i="20"/>
  <c r="G21" i="20"/>
  <c r="F21" i="20"/>
  <c r="E21" i="20"/>
  <c r="D21" i="20"/>
  <c r="C21" i="20"/>
  <c r="J20" i="20"/>
  <c r="I20" i="20"/>
  <c r="H20" i="20"/>
  <c r="G20" i="20"/>
  <c r="F20" i="20"/>
  <c r="E20" i="20"/>
  <c r="D20" i="20"/>
  <c r="C20" i="20"/>
  <c r="C5" i="20"/>
  <c r="J89" i="20"/>
  <c r="F87" i="20"/>
  <c r="J87" i="20"/>
  <c r="F89" i="20"/>
  <c r="C74" i="20"/>
  <c r="C75" i="20" s="1"/>
  <c r="C76" i="20" s="1"/>
  <c r="I87" i="20"/>
  <c r="H87" i="20"/>
  <c r="E87" i="20"/>
  <c r="I89" i="20"/>
  <c r="E89" i="20"/>
  <c r="B2" i="20"/>
  <c r="F41" i="23" l="1"/>
  <c r="E64" i="23"/>
  <c r="F15" i="23"/>
  <c r="E15" i="23"/>
  <c r="I15" i="23"/>
  <c r="D64" i="23"/>
  <c r="C54" i="23"/>
  <c r="D53" i="23" s="1"/>
  <c r="D54" i="23" s="1"/>
  <c r="D9" i="21"/>
  <c r="D13" i="21" s="1"/>
  <c r="C51" i="12"/>
  <c r="D20" i="7"/>
  <c r="D21" i="7" s="1"/>
  <c r="D22" i="7" s="1"/>
  <c r="D23" i="7" s="1"/>
  <c r="D24" i="7" s="1"/>
  <c r="D25" i="7" s="1"/>
  <c r="D26" i="7" s="1"/>
  <c r="E8" i="7"/>
  <c r="E9" i="7" s="1"/>
  <c r="E10" i="7" s="1"/>
  <c r="E11" i="7" s="1"/>
  <c r="E12" i="7" s="1"/>
  <c r="E13" i="7" s="1"/>
  <c r="E14" i="7" s="1"/>
  <c r="C69" i="12"/>
  <c r="D66" i="12"/>
  <c r="E66" i="12" s="1"/>
  <c r="F66" i="12" s="1"/>
  <c r="G66" i="12" s="1"/>
  <c r="H66" i="12" s="1"/>
  <c r="I66" i="12" s="1"/>
  <c r="J66" i="12" s="1"/>
  <c r="C64" i="12"/>
  <c r="C53" i="12"/>
  <c r="D47" i="12"/>
  <c r="E47" i="12"/>
  <c r="F47" i="12"/>
  <c r="G47" i="12"/>
  <c r="H47" i="12"/>
  <c r="I47" i="12"/>
  <c r="J47" i="12"/>
  <c r="C47" i="12"/>
  <c r="D70" i="1"/>
  <c r="E70" i="1"/>
  <c r="F70" i="1"/>
  <c r="G70" i="1"/>
  <c r="H70" i="1"/>
  <c r="I70" i="1"/>
  <c r="J70" i="1"/>
  <c r="C70" i="1"/>
  <c r="D41" i="12"/>
  <c r="D64" i="12" s="1"/>
  <c r="A45" i="12"/>
  <c r="B41" i="12"/>
  <c r="E53" i="23" l="1"/>
  <c r="E54" i="23" s="1"/>
  <c r="G41" i="23"/>
  <c r="F64" i="23"/>
  <c r="C54" i="12"/>
  <c r="D53" i="12" s="1"/>
  <c r="D54" i="12" s="1"/>
  <c r="E53" i="12" s="1"/>
  <c r="E54" i="12" s="1"/>
  <c r="E9" i="21"/>
  <c r="E13" i="21" s="1"/>
  <c r="E41" i="12"/>
  <c r="J23" i="2"/>
  <c r="I23" i="2"/>
  <c r="H23" i="2"/>
  <c r="G23" i="2"/>
  <c r="F23" i="2"/>
  <c r="E23" i="2"/>
  <c r="D23" i="2"/>
  <c r="C23" i="2"/>
  <c r="J22" i="2"/>
  <c r="I22" i="2"/>
  <c r="H22" i="2"/>
  <c r="G22" i="2"/>
  <c r="F22" i="2"/>
  <c r="E22" i="2"/>
  <c r="D22" i="2"/>
  <c r="C22" i="2"/>
  <c r="J21" i="2"/>
  <c r="I21" i="2"/>
  <c r="H21" i="2"/>
  <c r="G21" i="2"/>
  <c r="F21" i="2"/>
  <c r="E21" i="2"/>
  <c r="D21" i="2"/>
  <c r="C21" i="2"/>
  <c r="J20" i="2"/>
  <c r="K9" i="24" s="1"/>
  <c r="K13" i="24" s="1"/>
  <c r="I20" i="2"/>
  <c r="H20" i="2"/>
  <c r="I9" i="24" s="1"/>
  <c r="I13" i="24" s="1"/>
  <c r="G20" i="2"/>
  <c r="H9" i="24" s="1"/>
  <c r="H13" i="24" s="1"/>
  <c r="F20" i="2"/>
  <c r="G9" i="24" s="1"/>
  <c r="G13" i="24" s="1"/>
  <c r="E20" i="2"/>
  <c r="D20" i="2"/>
  <c r="E9" i="24" s="1"/>
  <c r="E13" i="24" s="1"/>
  <c r="C20" i="2"/>
  <c r="D9" i="24" s="1"/>
  <c r="D13" i="24" s="1"/>
  <c r="J31" i="12"/>
  <c r="D29" i="12"/>
  <c r="E29" i="12"/>
  <c r="F29" i="12"/>
  <c r="G29" i="12"/>
  <c r="H29" i="12"/>
  <c r="I29" i="12"/>
  <c r="J29" i="12"/>
  <c r="C29" i="12"/>
  <c r="I105" i="11"/>
  <c r="H105" i="11"/>
  <c r="G105" i="11"/>
  <c r="F105" i="11"/>
  <c r="E105" i="11"/>
  <c r="D105" i="11"/>
  <c r="C105" i="11"/>
  <c r="J24" i="12"/>
  <c r="B2" i="18"/>
  <c r="B2" i="8"/>
  <c r="B2" i="9"/>
  <c r="B2" i="12"/>
  <c r="B2" i="11"/>
  <c r="B2" i="10"/>
  <c r="B2" i="16"/>
  <c r="B2" i="17"/>
  <c r="B2" i="7"/>
  <c r="B2" i="15"/>
  <c r="B2" i="19"/>
  <c r="B2" i="1"/>
  <c r="B2" i="2"/>
  <c r="F9" i="24" l="1"/>
  <c r="F13" i="24" s="1"/>
  <c r="J9" i="24"/>
  <c r="J13" i="24" s="1"/>
  <c r="G64" i="23"/>
  <c r="H41" i="23"/>
  <c r="F53" i="23"/>
  <c r="F54" i="23" s="1"/>
  <c r="F9" i="21"/>
  <c r="F13" i="21" s="1"/>
  <c r="F41" i="12"/>
  <c r="E64" i="12"/>
  <c r="F53" i="12"/>
  <c r="F54" i="12" s="1"/>
  <c r="G53" i="12" s="1"/>
  <c r="G54" i="12" s="1"/>
  <c r="H53" i="12" s="1"/>
  <c r="H54" i="12" s="1"/>
  <c r="I41" i="23" l="1"/>
  <c r="H64" i="23"/>
  <c r="G53" i="23"/>
  <c r="G54" i="23" s="1"/>
  <c r="G9" i="21"/>
  <c r="G13" i="21" s="1"/>
  <c r="G41" i="12"/>
  <c r="F64" i="12"/>
  <c r="I53" i="12"/>
  <c r="I54" i="12" s="1"/>
  <c r="B2" i="5"/>
  <c r="H53" i="23" l="1"/>
  <c r="H54" i="23" s="1"/>
  <c r="J41" i="23"/>
  <c r="J64" i="23" s="1"/>
  <c r="I64" i="23"/>
  <c r="H9" i="21"/>
  <c r="H13" i="21" s="1"/>
  <c r="H41" i="12"/>
  <c r="G64" i="12"/>
  <c r="J53" i="12"/>
  <c r="J54" i="12" s="1"/>
  <c r="J33" i="19"/>
  <c r="I33" i="19"/>
  <c r="H33" i="19"/>
  <c r="G33" i="19"/>
  <c r="F33" i="19"/>
  <c r="E33" i="19"/>
  <c r="D33" i="19"/>
  <c r="I53" i="23" l="1"/>
  <c r="I54" i="23" s="1"/>
  <c r="I9" i="21"/>
  <c r="I13" i="21" s="1"/>
  <c r="I41" i="12"/>
  <c r="H64" i="12"/>
  <c r="J19" i="1"/>
  <c r="J39" i="19" s="1"/>
  <c r="J42" i="19" s="1"/>
  <c r="I19" i="1"/>
  <c r="I39" i="19" s="1"/>
  <c r="H19" i="1"/>
  <c r="H39" i="19" s="1"/>
  <c r="G19" i="1"/>
  <c r="G39" i="19" s="1"/>
  <c r="F19" i="1"/>
  <c r="F39" i="19" s="1"/>
  <c r="E19" i="1"/>
  <c r="E39" i="19" s="1"/>
  <c r="D19" i="1"/>
  <c r="D39" i="19" s="1"/>
  <c r="C19" i="1"/>
  <c r="C39" i="19" s="1"/>
  <c r="C144" i="16"/>
  <c r="J53" i="23" l="1"/>
  <c r="J54" i="23" s="1"/>
  <c r="J9" i="21"/>
  <c r="J13" i="21" s="1"/>
  <c r="J41" i="12"/>
  <c r="J64" i="12" s="1"/>
  <c r="I64" i="12"/>
  <c r="C102" i="11"/>
  <c r="I37" i="19" s="1"/>
  <c r="I42" i="19" s="1"/>
  <c r="C101" i="11"/>
  <c r="H37" i="19" s="1"/>
  <c r="H42" i="19" s="1"/>
  <c r="C100" i="11"/>
  <c r="G37" i="19" s="1"/>
  <c r="G42" i="19" s="1"/>
  <c r="C99" i="11"/>
  <c r="F37" i="19" s="1"/>
  <c r="F42" i="19" s="1"/>
  <c r="C98" i="11"/>
  <c r="E37" i="19" s="1"/>
  <c r="E42" i="19" s="1"/>
  <c r="C97" i="11"/>
  <c r="D37" i="19" s="1"/>
  <c r="D42" i="19" s="1"/>
  <c r="D96" i="11"/>
  <c r="C49" i="2" s="1"/>
  <c r="C96" i="11"/>
  <c r="C24" i="12" l="1"/>
  <c r="C31" i="12"/>
  <c r="J7" i="10"/>
  <c r="J6" i="12" s="1"/>
  <c r="K8" i="9" s="1"/>
  <c r="I7" i="10"/>
  <c r="B81" i="11" s="1"/>
  <c r="B102" i="11" s="1"/>
  <c r="H7" i="10"/>
  <c r="B69" i="11" s="1"/>
  <c r="B101" i="11" s="1"/>
  <c r="G7" i="10"/>
  <c r="B57" i="11" s="1"/>
  <c r="B100" i="11" s="1"/>
  <c r="F7" i="10"/>
  <c r="B45" i="11" s="1"/>
  <c r="B99" i="11" s="1"/>
  <c r="E7" i="10"/>
  <c r="B33" i="11" s="1"/>
  <c r="B98" i="11" s="1"/>
  <c r="D7" i="10"/>
  <c r="D6" i="12" s="1"/>
  <c r="E8" i="9" s="1"/>
  <c r="C7" i="10"/>
  <c r="B9" i="11" s="1"/>
  <c r="B96" i="11" s="1"/>
  <c r="B29" i="16"/>
  <c r="B56" i="16" s="1"/>
  <c r="B69" i="16" s="1"/>
  <c r="B82" i="16" s="1"/>
  <c r="B95" i="16" s="1"/>
  <c r="B108" i="16" s="1"/>
  <c r="B28" i="16"/>
  <c r="B55" i="16" s="1"/>
  <c r="B68" i="16" s="1"/>
  <c r="B81" i="16" s="1"/>
  <c r="B94" i="16" s="1"/>
  <c r="B107" i="16" s="1"/>
  <c r="B27" i="16"/>
  <c r="B54" i="16" s="1"/>
  <c r="B67" i="16" s="1"/>
  <c r="B80" i="16" s="1"/>
  <c r="B93" i="16" s="1"/>
  <c r="B106" i="16" s="1"/>
  <c r="B26" i="16"/>
  <c r="B53" i="16" s="1"/>
  <c r="B66" i="16" s="1"/>
  <c r="B79" i="16" s="1"/>
  <c r="B92" i="16" s="1"/>
  <c r="B105" i="16" s="1"/>
  <c r="B25" i="16"/>
  <c r="B52" i="16" s="1"/>
  <c r="B65" i="16" s="1"/>
  <c r="B78" i="16" s="1"/>
  <c r="B91" i="16" s="1"/>
  <c r="B104" i="16" s="1"/>
  <c r="B24" i="16"/>
  <c r="B51" i="16" s="1"/>
  <c r="B64" i="16" s="1"/>
  <c r="B77" i="16" s="1"/>
  <c r="B90" i="16" s="1"/>
  <c r="B103" i="16" s="1"/>
  <c r="B23" i="16"/>
  <c r="B50" i="16" s="1"/>
  <c r="B63" i="16" s="1"/>
  <c r="B76" i="16" s="1"/>
  <c r="B89" i="16" s="1"/>
  <c r="B102" i="16" s="1"/>
  <c r="B22" i="16"/>
  <c r="B49" i="16" s="1"/>
  <c r="B62" i="16" s="1"/>
  <c r="B75" i="16" s="1"/>
  <c r="B88" i="16" s="1"/>
  <c r="B101" i="16" s="1"/>
  <c r="B9" i="16"/>
  <c r="B36" i="16" s="1"/>
  <c r="B115" i="16" s="1"/>
  <c r="B8" i="16"/>
  <c r="B35" i="16" s="1"/>
  <c r="B114" i="16" s="1"/>
  <c r="B23" i="17"/>
  <c r="B37" i="17" s="1"/>
  <c r="B51" i="17" s="1"/>
  <c r="B22" i="17"/>
  <c r="B36" i="17" s="1"/>
  <c r="B50" i="17" s="1"/>
  <c r="B14" i="7"/>
  <c r="B16" i="17" s="1"/>
  <c r="B13" i="7"/>
  <c r="B15" i="17" s="1"/>
  <c r="B12" i="7"/>
  <c r="B14" i="17" s="1"/>
  <c r="B11" i="7"/>
  <c r="B13" i="17" s="1"/>
  <c r="B10" i="7"/>
  <c r="B12" i="17" s="1"/>
  <c r="B9" i="7"/>
  <c r="B21" i="7" s="1"/>
  <c r="B8" i="7"/>
  <c r="B10" i="17" s="1"/>
  <c r="B22" i="7" l="1"/>
  <c r="B24" i="7"/>
  <c r="B21" i="11"/>
  <c r="B97" i="11" s="1"/>
  <c r="B10" i="16"/>
  <c r="B37" i="16" s="1"/>
  <c r="B116" i="16" s="1"/>
  <c r="B24" i="17"/>
  <c r="B38" i="17" s="1"/>
  <c r="B52" i="17" s="1"/>
  <c r="E6" i="8"/>
  <c r="E28" i="8" s="1"/>
  <c r="E37" i="8" s="1"/>
  <c r="E18" i="9"/>
  <c r="E31" i="9" s="1"/>
  <c r="B26" i="17"/>
  <c r="B40" i="17" s="1"/>
  <c r="B54" i="17" s="1"/>
  <c r="B12" i="16"/>
  <c r="B39" i="16" s="1"/>
  <c r="B118" i="16" s="1"/>
  <c r="B13" i="16"/>
  <c r="B40" i="16" s="1"/>
  <c r="B119" i="16" s="1"/>
  <c r="B27" i="17"/>
  <c r="B41" i="17" s="1"/>
  <c r="B55" i="17" s="1"/>
  <c r="B29" i="17"/>
  <c r="B43" i="17" s="1"/>
  <c r="B57" i="17" s="1"/>
  <c r="B15" i="16"/>
  <c r="B42" i="16" s="1"/>
  <c r="B121" i="16" s="1"/>
  <c r="B30" i="17"/>
  <c r="B44" i="17" s="1"/>
  <c r="B58" i="17" s="1"/>
  <c r="B16" i="16"/>
  <c r="B43" i="16" s="1"/>
  <c r="B122" i="16" s="1"/>
  <c r="K6" i="8"/>
  <c r="K28" i="8" s="1"/>
  <c r="K37" i="8" s="1"/>
  <c r="K18" i="9"/>
  <c r="K31" i="9" s="1"/>
  <c r="B28" i="17"/>
  <c r="B42" i="17" s="1"/>
  <c r="B56" i="17" s="1"/>
  <c r="B14" i="16"/>
  <c r="B41" i="16" s="1"/>
  <c r="B120" i="16" s="1"/>
  <c r="B20" i="7"/>
  <c r="J18" i="10"/>
  <c r="B11" i="17"/>
  <c r="C18" i="10"/>
  <c r="C6" i="12"/>
  <c r="D8" i="9" s="1"/>
  <c r="B23" i="7"/>
  <c r="E18" i="10"/>
  <c r="E6" i="12"/>
  <c r="F8" i="9" s="1"/>
  <c r="D18" i="10"/>
  <c r="F18" i="10"/>
  <c r="F6" i="12"/>
  <c r="G8" i="9" s="1"/>
  <c r="B25" i="7"/>
  <c r="G18" i="10"/>
  <c r="G6" i="12"/>
  <c r="H8" i="9" s="1"/>
  <c r="B26" i="7"/>
  <c r="H18" i="10"/>
  <c r="H6" i="12"/>
  <c r="I8" i="9" s="1"/>
  <c r="I18" i="10"/>
  <c r="I6" i="12"/>
  <c r="J8" i="9" s="1"/>
  <c r="K12" i="8"/>
  <c r="J12" i="8"/>
  <c r="I12" i="8"/>
  <c r="H12" i="8"/>
  <c r="G12" i="8"/>
  <c r="F12" i="8"/>
  <c r="E12" i="8"/>
  <c r="D10" i="17"/>
  <c r="D11" i="17" s="1"/>
  <c r="D12" i="17" s="1"/>
  <c r="D13" i="17" s="1"/>
  <c r="D14" i="17" s="1"/>
  <c r="D15" i="17" s="1"/>
  <c r="D16" i="17" s="1"/>
  <c r="D24" i="17"/>
  <c r="D25" i="17" s="1"/>
  <c r="D26" i="17" s="1"/>
  <c r="D27" i="17" s="1"/>
  <c r="D28" i="17" s="1"/>
  <c r="D29" i="17" s="1"/>
  <c r="D30" i="17" s="1"/>
  <c r="D38" i="17"/>
  <c r="D39" i="17" s="1"/>
  <c r="D40" i="17" s="1"/>
  <c r="D41" i="17" s="1"/>
  <c r="D42" i="17" s="1"/>
  <c r="D43" i="17" s="1"/>
  <c r="D44" i="17" s="1"/>
  <c r="D52" i="17"/>
  <c r="D53" i="17" s="1"/>
  <c r="D54" i="17" s="1"/>
  <c r="D55" i="17" s="1"/>
  <c r="D56" i="17" s="1"/>
  <c r="D57" i="17" s="1"/>
  <c r="D58" i="17" s="1"/>
  <c r="C47" i="1"/>
  <c r="D12" i="8" l="1"/>
  <c r="C27" i="19"/>
  <c r="I6" i="8"/>
  <c r="I28" i="8" s="1"/>
  <c r="I37" i="8" s="1"/>
  <c r="I18" i="9"/>
  <c r="I31" i="9" s="1"/>
  <c r="F6" i="8"/>
  <c r="F28" i="8" s="1"/>
  <c r="F37" i="8" s="1"/>
  <c r="F18" i="9"/>
  <c r="F31" i="9" s="1"/>
  <c r="H6" i="8"/>
  <c r="H28" i="8" s="1"/>
  <c r="H37" i="8" s="1"/>
  <c r="H18" i="9"/>
  <c r="H31" i="9" s="1"/>
  <c r="J6" i="8"/>
  <c r="J28" i="8" s="1"/>
  <c r="J37" i="8" s="1"/>
  <c r="J18" i="9"/>
  <c r="J31" i="9" s="1"/>
  <c r="G6" i="8"/>
  <c r="G28" i="8" s="1"/>
  <c r="G37" i="8" s="1"/>
  <c r="G18" i="9"/>
  <c r="G31" i="9" s="1"/>
  <c r="B25" i="17"/>
  <c r="B39" i="17" s="1"/>
  <c r="B53" i="17" s="1"/>
  <c r="B11" i="16"/>
  <c r="B38" i="16" s="1"/>
  <c r="B117" i="16" s="1"/>
  <c r="D6" i="8"/>
  <c r="D28" i="8" s="1"/>
  <c r="D37" i="8" s="1"/>
  <c r="D18" i="9"/>
  <c r="D31" i="9" s="1"/>
  <c r="M26" i="9"/>
  <c r="M27" i="9" s="1"/>
  <c r="E12" i="17" l="1"/>
  <c r="E9" i="17"/>
  <c r="G9" i="17" s="1"/>
  <c r="E16" i="17"/>
  <c r="E51" i="17"/>
  <c r="G51" i="17" s="1"/>
  <c r="E37" i="17"/>
  <c r="G37" i="17" s="1"/>
  <c r="E29" i="17"/>
  <c r="G29" i="17" s="1"/>
  <c r="E23" i="17"/>
  <c r="G23" i="17" s="1"/>
  <c r="E8" i="17"/>
  <c r="G8" i="17" s="1"/>
  <c r="E50" i="17"/>
  <c r="E36" i="17"/>
  <c r="E22" i="17"/>
  <c r="E115" i="16"/>
  <c r="F115" i="16" s="1"/>
  <c r="C116" i="16"/>
  <c r="E116" i="16" s="1"/>
  <c r="F116" i="16" s="1"/>
  <c r="D45" i="2" s="1"/>
  <c r="E11" i="18" s="1"/>
  <c r="C102" i="16"/>
  <c r="E102" i="16" s="1"/>
  <c r="F102" i="16" s="1"/>
  <c r="D43" i="2" s="1"/>
  <c r="C89" i="16"/>
  <c r="E89" i="16" s="1"/>
  <c r="F89" i="16" s="1"/>
  <c r="D41" i="2" s="1"/>
  <c r="C76" i="16"/>
  <c r="E76" i="16" s="1"/>
  <c r="F76" i="16" s="1"/>
  <c r="D35" i="2" s="1"/>
  <c r="C63" i="16"/>
  <c r="E63" i="16" s="1"/>
  <c r="F63" i="16" s="1"/>
  <c r="D33" i="2" s="1"/>
  <c r="C50" i="16"/>
  <c r="E50" i="16" s="1"/>
  <c r="F50" i="16" s="1"/>
  <c r="D31" i="2" s="1"/>
  <c r="C37" i="16"/>
  <c r="C38" i="16" s="1"/>
  <c r="E36" i="16"/>
  <c r="F36" i="16" s="1"/>
  <c r="C23" i="16"/>
  <c r="C24" i="16" s="1"/>
  <c r="E114" i="16"/>
  <c r="F114" i="16" s="1"/>
  <c r="E101" i="16"/>
  <c r="E88" i="16"/>
  <c r="E75" i="16"/>
  <c r="E62" i="16"/>
  <c r="E49" i="16"/>
  <c r="E35" i="16"/>
  <c r="F35" i="16" s="1"/>
  <c r="E22" i="16"/>
  <c r="C10" i="16"/>
  <c r="E10" i="16" s="1"/>
  <c r="F10" i="16" s="1"/>
  <c r="E9" i="16"/>
  <c r="F9" i="16" s="1"/>
  <c r="E8" i="16"/>
  <c r="F8" i="16" s="1"/>
  <c r="C31" i="1" l="1"/>
  <c r="C20" i="19" s="1"/>
  <c r="F49" i="16"/>
  <c r="C31" i="2" s="1"/>
  <c r="F88" i="16"/>
  <c r="C41" i="2" s="1"/>
  <c r="G50" i="17"/>
  <c r="F62" i="16"/>
  <c r="C33" i="2" s="1"/>
  <c r="F75" i="16"/>
  <c r="C35" i="2" s="1"/>
  <c r="G22" i="17"/>
  <c r="F101" i="16"/>
  <c r="C43" i="2" s="1"/>
  <c r="F22" i="16"/>
  <c r="C27" i="2" s="1"/>
  <c r="G36" i="17"/>
  <c r="G16" i="17"/>
  <c r="J31" i="1"/>
  <c r="E11" i="17"/>
  <c r="G12" i="17"/>
  <c r="F31" i="1"/>
  <c r="E13" i="17"/>
  <c r="E14" i="17"/>
  <c r="E10" i="17"/>
  <c r="E15" i="17"/>
  <c r="E38" i="17"/>
  <c r="G38" i="17" s="1"/>
  <c r="E52" i="17"/>
  <c r="G52" i="17" s="1"/>
  <c r="E39" i="17"/>
  <c r="G39" i="17" s="1"/>
  <c r="E53" i="17"/>
  <c r="G53" i="17" s="1"/>
  <c r="E24" i="17"/>
  <c r="G24" i="17" s="1"/>
  <c r="E25" i="17"/>
  <c r="G25" i="17" s="1"/>
  <c r="E26" i="17"/>
  <c r="G26" i="17" s="1"/>
  <c r="E28" i="17"/>
  <c r="G28" i="17" s="1"/>
  <c r="E30" i="17"/>
  <c r="G30" i="17" s="1"/>
  <c r="E27" i="17"/>
  <c r="G27" i="17" s="1"/>
  <c r="C45" i="2"/>
  <c r="D11" i="18" s="1"/>
  <c r="C117" i="16"/>
  <c r="C118" i="16" s="1"/>
  <c r="C119" i="16" s="1"/>
  <c r="C103" i="16"/>
  <c r="C104" i="16" s="1"/>
  <c r="E104" i="16" s="1"/>
  <c r="F104" i="16" s="1"/>
  <c r="F43" i="2" s="1"/>
  <c r="C90" i="16"/>
  <c r="C91" i="16" s="1"/>
  <c r="C92" i="16" s="1"/>
  <c r="C93" i="16" s="1"/>
  <c r="C94" i="16" s="1"/>
  <c r="C95" i="16" s="1"/>
  <c r="E95" i="16" s="1"/>
  <c r="F95" i="16" s="1"/>
  <c r="J41" i="2" s="1"/>
  <c r="C29" i="2"/>
  <c r="D12" i="18" s="1"/>
  <c r="C77" i="16"/>
  <c r="C78" i="16" s="1"/>
  <c r="E78" i="16" s="1"/>
  <c r="F78" i="16" s="1"/>
  <c r="F35" i="2" s="1"/>
  <c r="C64" i="16"/>
  <c r="C65" i="16" s="1"/>
  <c r="E65" i="16" s="1"/>
  <c r="F65" i="16" s="1"/>
  <c r="F33" i="2" s="1"/>
  <c r="C51" i="16"/>
  <c r="C39" i="16"/>
  <c r="C40" i="16" s="1"/>
  <c r="E38" i="16"/>
  <c r="F38" i="16" s="1"/>
  <c r="E29" i="2" s="1"/>
  <c r="F12" i="18" s="1"/>
  <c r="E37" i="16"/>
  <c r="F37" i="16" s="1"/>
  <c r="D29" i="2" s="1"/>
  <c r="E12" i="18" s="1"/>
  <c r="E23" i="16"/>
  <c r="F23" i="16" s="1"/>
  <c r="D27" i="2" s="1"/>
  <c r="E16" i="18" s="1"/>
  <c r="C25" i="16"/>
  <c r="E25" i="16" s="1"/>
  <c r="F25" i="16" s="1"/>
  <c r="F27" i="2" s="1"/>
  <c r="E24" i="16"/>
  <c r="F24" i="16" s="1"/>
  <c r="E27" i="2" s="1"/>
  <c r="C11" i="16"/>
  <c r="C12" i="16" s="1"/>
  <c r="E12" i="16" s="1"/>
  <c r="F12" i="16" s="1"/>
  <c r="C29" i="5"/>
  <c r="C20" i="5"/>
  <c r="C16" i="5"/>
  <c r="C38" i="19" s="1"/>
  <c r="E14" i="6"/>
  <c r="C18" i="5" s="1"/>
  <c r="C8" i="15"/>
  <c r="C22" i="10"/>
  <c r="C24" i="10" s="1"/>
  <c r="D20" i="9" l="1"/>
  <c r="D9" i="18"/>
  <c r="C11" i="1"/>
  <c r="C36" i="19" s="1"/>
  <c r="C14" i="5"/>
  <c r="C37" i="19" s="1"/>
  <c r="G20" i="9"/>
  <c r="K20" i="9"/>
  <c r="C13" i="1"/>
  <c r="D9" i="1" s="1"/>
  <c r="D13" i="1" s="1"/>
  <c r="D16" i="18"/>
  <c r="G14" i="17"/>
  <c r="H31" i="1"/>
  <c r="G15" i="17"/>
  <c r="I31" i="1"/>
  <c r="G10" i="17"/>
  <c r="E9" i="18" s="1"/>
  <c r="D31" i="1"/>
  <c r="G13" i="17"/>
  <c r="G31" i="1"/>
  <c r="G11" i="17"/>
  <c r="F9" i="18" s="1"/>
  <c r="E31" i="1"/>
  <c r="E16" i="6"/>
  <c r="E40" i="17"/>
  <c r="G40" i="17" s="1"/>
  <c r="E54" i="17"/>
  <c r="G54" i="17" s="1"/>
  <c r="E118" i="16"/>
  <c r="F118" i="16" s="1"/>
  <c r="F45" i="2" s="1"/>
  <c r="G11" i="18" s="1"/>
  <c r="E117" i="16"/>
  <c r="F117" i="16" s="1"/>
  <c r="E45" i="2" s="1"/>
  <c r="F11" i="18" s="1"/>
  <c r="E119" i="16"/>
  <c r="F119" i="16" s="1"/>
  <c r="G45" i="2" s="1"/>
  <c r="H11" i="18" s="1"/>
  <c r="C120" i="16"/>
  <c r="E94" i="16"/>
  <c r="F94" i="16" s="1"/>
  <c r="I41" i="2" s="1"/>
  <c r="C105" i="16"/>
  <c r="E105" i="16" s="1"/>
  <c r="F105" i="16" s="1"/>
  <c r="G43" i="2" s="1"/>
  <c r="E103" i="16"/>
  <c r="F103" i="16" s="1"/>
  <c r="E43" i="2" s="1"/>
  <c r="E93" i="16"/>
  <c r="F93" i="16" s="1"/>
  <c r="H41" i="2" s="1"/>
  <c r="E92" i="16"/>
  <c r="F92" i="16" s="1"/>
  <c r="G41" i="2" s="1"/>
  <c r="E91" i="16"/>
  <c r="F91" i="16" s="1"/>
  <c r="F41" i="2" s="1"/>
  <c r="E90" i="16"/>
  <c r="F90" i="16" s="1"/>
  <c r="E41" i="2" s="1"/>
  <c r="C66" i="16"/>
  <c r="E66" i="16" s="1"/>
  <c r="F66" i="16" s="1"/>
  <c r="G33" i="2" s="1"/>
  <c r="C79" i="16"/>
  <c r="E79" i="16" s="1"/>
  <c r="F79" i="16" s="1"/>
  <c r="G35" i="2" s="1"/>
  <c r="E64" i="16"/>
  <c r="F64" i="16" s="1"/>
  <c r="E33" i="2" s="1"/>
  <c r="E77" i="16"/>
  <c r="F77" i="16" s="1"/>
  <c r="E35" i="2" s="1"/>
  <c r="C52" i="16"/>
  <c r="E51" i="16"/>
  <c r="F51" i="16" s="1"/>
  <c r="E31" i="2" s="1"/>
  <c r="E39" i="16"/>
  <c r="F39" i="16" s="1"/>
  <c r="F29" i="2" s="1"/>
  <c r="G12" i="18" s="1"/>
  <c r="E40" i="16"/>
  <c r="F40" i="16" s="1"/>
  <c r="G29" i="2" s="1"/>
  <c r="H12" i="18" s="1"/>
  <c r="C41" i="16"/>
  <c r="C26" i="16"/>
  <c r="E26" i="16" s="1"/>
  <c r="F26" i="16" s="1"/>
  <c r="G27" i="2" s="1"/>
  <c r="C13" i="16"/>
  <c r="C14" i="16" s="1"/>
  <c r="E11" i="16"/>
  <c r="F11" i="16" s="1"/>
  <c r="E8" i="15"/>
  <c r="G8" i="15" s="1"/>
  <c r="E14" i="15"/>
  <c r="G14" i="15" s="1"/>
  <c r="C13" i="15"/>
  <c r="C42" i="19" l="1"/>
  <c r="J20" i="9"/>
  <c r="I20" i="19"/>
  <c r="J20" i="19"/>
  <c r="F20" i="9"/>
  <c r="E20" i="19"/>
  <c r="F20" i="19"/>
  <c r="E20" i="9"/>
  <c r="D20" i="19"/>
  <c r="I20" i="9"/>
  <c r="H20" i="19"/>
  <c r="H20" i="9"/>
  <c r="G20" i="19"/>
  <c r="F16" i="18"/>
  <c r="E9" i="1"/>
  <c r="G9" i="18"/>
  <c r="E13" i="15"/>
  <c r="C7" i="15"/>
  <c r="E7" i="15" s="1"/>
  <c r="E9" i="15" s="1"/>
  <c r="C106" i="16"/>
  <c r="E106" i="16" s="1"/>
  <c r="F106" i="16" s="1"/>
  <c r="H43" i="2" s="1"/>
  <c r="E55" i="17"/>
  <c r="G55" i="17" s="1"/>
  <c r="E41" i="17"/>
  <c r="G41" i="17" s="1"/>
  <c r="E120" i="16"/>
  <c r="F120" i="16" s="1"/>
  <c r="H45" i="2" s="1"/>
  <c r="I11" i="18" s="1"/>
  <c r="C121" i="16"/>
  <c r="C67" i="16"/>
  <c r="E67" i="16" s="1"/>
  <c r="F67" i="16" s="1"/>
  <c r="H33" i="2" s="1"/>
  <c r="C80" i="16"/>
  <c r="E80" i="16" s="1"/>
  <c r="F80" i="16" s="1"/>
  <c r="H35" i="2" s="1"/>
  <c r="E52" i="16"/>
  <c r="F52" i="16" s="1"/>
  <c r="F31" i="2" s="1"/>
  <c r="G16" i="18" s="1"/>
  <c r="C53" i="16"/>
  <c r="C42" i="16"/>
  <c r="E41" i="16"/>
  <c r="F41" i="16" s="1"/>
  <c r="H29" i="2" s="1"/>
  <c r="I12" i="18" s="1"/>
  <c r="E13" i="16"/>
  <c r="F13" i="16" s="1"/>
  <c r="C27" i="16"/>
  <c r="E27" i="16" s="1"/>
  <c r="F27" i="16" s="1"/>
  <c r="H27" i="2" s="1"/>
  <c r="C15" i="16"/>
  <c r="E14" i="16"/>
  <c r="F14" i="16" s="1"/>
  <c r="E15" i="15" l="1"/>
  <c r="C11" i="20"/>
  <c r="D17" i="20" s="1"/>
  <c r="G7" i="15"/>
  <c r="G9" i="15" s="1"/>
  <c r="H9" i="18"/>
  <c r="G13" i="15"/>
  <c r="G15" i="15" s="1"/>
  <c r="C11" i="2"/>
  <c r="C107" i="16"/>
  <c r="E107" i="16" s="1"/>
  <c r="F107" i="16" s="1"/>
  <c r="I43" i="2" s="1"/>
  <c r="C68" i="16"/>
  <c r="E68" i="16" s="1"/>
  <c r="F68" i="16" s="1"/>
  <c r="I33" i="2" s="1"/>
  <c r="E42" i="17"/>
  <c r="G42" i="17" s="1"/>
  <c r="E56" i="17"/>
  <c r="G56" i="17" s="1"/>
  <c r="C122" i="16"/>
  <c r="E122" i="16" s="1"/>
  <c r="F122" i="16" s="1"/>
  <c r="J45" i="2" s="1"/>
  <c r="K11" i="18" s="1"/>
  <c r="E121" i="16"/>
  <c r="F121" i="16" s="1"/>
  <c r="I45" i="2" s="1"/>
  <c r="J11" i="18" s="1"/>
  <c r="C81" i="16"/>
  <c r="E81" i="16" s="1"/>
  <c r="F81" i="16" s="1"/>
  <c r="I35" i="2" s="1"/>
  <c r="E53" i="16"/>
  <c r="F53" i="16" s="1"/>
  <c r="G31" i="2" s="1"/>
  <c r="H16" i="18" s="1"/>
  <c r="C54" i="16"/>
  <c r="E42" i="16"/>
  <c r="F42" i="16" s="1"/>
  <c r="I29" i="2" s="1"/>
  <c r="J12" i="18" s="1"/>
  <c r="C43" i="16"/>
  <c r="E43" i="16" s="1"/>
  <c r="F43" i="16" s="1"/>
  <c r="J29" i="2" s="1"/>
  <c r="K12" i="18" s="1"/>
  <c r="C28" i="16"/>
  <c r="E28" i="16" s="1"/>
  <c r="F28" i="16" s="1"/>
  <c r="I27" i="2" s="1"/>
  <c r="C16" i="16"/>
  <c r="E16" i="16" s="1"/>
  <c r="F16" i="16" s="1"/>
  <c r="J25" i="2" s="1"/>
  <c r="K10" i="18" s="1"/>
  <c r="E15" i="16"/>
  <c r="F15" i="16" s="1"/>
  <c r="I25" i="2" s="1"/>
  <c r="J10" i="18" s="1"/>
  <c r="E25" i="7"/>
  <c r="G25" i="7" s="1"/>
  <c r="H25" i="2"/>
  <c r="I10" i="18" s="1"/>
  <c r="G25" i="2"/>
  <c r="H10" i="18" s="1"/>
  <c r="F25" i="2"/>
  <c r="G10" i="18" s="1"/>
  <c r="G13" i="18" s="1"/>
  <c r="E25" i="2"/>
  <c r="F10" i="18" s="1"/>
  <c r="F13" i="18" s="1"/>
  <c r="D25" i="2"/>
  <c r="E10" i="18" s="1"/>
  <c r="E13" i="18" s="1"/>
  <c r="E24" i="7"/>
  <c r="G24" i="7" s="1"/>
  <c r="E23" i="7"/>
  <c r="G23" i="7" s="1"/>
  <c r="E22" i="7"/>
  <c r="G22" i="7" s="1"/>
  <c r="E21" i="7"/>
  <c r="G21" i="7" s="1"/>
  <c r="D14" i="7"/>
  <c r="D13" i="7"/>
  <c r="D12" i="7"/>
  <c r="D11" i="7"/>
  <c r="D10" i="7"/>
  <c r="F10" i="7" s="1"/>
  <c r="F11" i="20" s="1"/>
  <c r="G17" i="20" s="1"/>
  <c r="D9" i="7"/>
  <c r="F9" i="7" s="1"/>
  <c r="E11" i="20" s="1"/>
  <c r="F17" i="20" s="1"/>
  <c r="D8" i="7"/>
  <c r="D17" i="2" l="1"/>
  <c r="C43" i="21"/>
  <c r="C59" i="21" s="1"/>
  <c r="G17" i="15"/>
  <c r="C9" i="20"/>
  <c r="C9" i="2"/>
  <c r="C69" i="16"/>
  <c r="E69" i="16" s="1"/>
  <c r="F69" i="16" s="1"/>
  <c r="J33" i="2" s="1"/>
  <c r="H13" i="18"/>
  <c r="H15" i="15"/>
  <c r="I9" i="18"/>
  <c r="I13" i="18" s="1"/>
  <c r="C108" i="16"/>
  <c r="E108" i="16" s="1"/>
  <c r="F108" i="16" s="1"/>
  <c r="J43" i="2" s="1"/>
  <c r="H10" i="7"/>
  <c r="F9" i="20" s="1"/>
  <c r="F11" i="2"/>
  <c r="H9" i="7"/>
  <c r="E9" i="20" s="1"/>
  <c r="E11" i="2"/>
  <c r="E58" i="17"/>
  <c r="G58" i="17" s="1"/>
  <c r="E57" i="17"/>
  <c r="G57" i="17" s="1"/>
  <c r="E44" i="17"/>
  <c r="G44" i="17" s="1"/>
  <c r="E43" i="17"/>
  <c r="G43" i="17" s="1"/>
  <c r="C82" i="16"/>
  <c r="E82" i="16" s="1"/>
  <c r="F82" i="16" s="1"/>
  <c r="J35" i="2" s="1"/>
  <c r="E54" i="16"/>
  <c r="F54" i="16" s="1"/>
  <c r="H31" i="2" s="1"/>
  <c r="I16" i="18" s="1"/>
  <c r="C55" i="16"/>
  <c r="C29" i="16"/>
  <c r="E29" i="16" s="1"/>
  <c r="F29" i="16" s="1"/>
  <c r="J27" i="2" s="1"/>
  <c r="F11" i="7"/>
  <c r="G11" i="20" s="1"/>
  <c r="H17" i="20" s="1"/>
  <c r="F8" i="7"/>
  <c r="D11" i="20" s="1"/>
  <c r="E17" i="20" s="1"/>
  <c r="E20" i="7"/>
  <c r="G20" i="7" s="1"/>
  <c r="C25" i="2"/>
  <c r="D10" i="18" s="1"/>
  <c r="D13" i="18" s="1"/>
  <c r="G17" i="2" l="1"/>
  <c r="F43" i="21"/>
  <c r="F59" i="21" s="1"/>
  <c r="F85" i="20"/>
  <c r="F13" i="20"/>
  <c r="F17" i="2"/>
  <c r="E43" i="21"/>
  <c r="E59" i="21" s="1"/>
  <c r="E85" i="20"/>
  <c r="E13" i="20"/>
  <c r="C53" i="20"/>
  <c r="C51" i="20"/>
  <c r="C85" i="20"/>
  <c r="C13" i="20"/>
  <c r="C78" i="20" s="1"/>
  <c r="C81" i="20" s="1"/>
  <c r="C59" i="20"/>
  <c r="C57" i="20"/>
  <c r="C55" i="2"/>
  <c r="D32" i="26"/>
  <c r="D7" i="24"/>
  <c r="D14" i="24" s="1"/>
  <c r="D9" i="26"/>
  <c r="C87" i="2"/>
  <c r="C53" i="2"/>
  <c r="C59" i="2"/>
  <c r="C51" i="2"/>
  <c r="C45" i="21"/>
  <c r="C57" i="2"/>
  <c r="C45" i="1"/>
  <c r="C17" i="19" s="1"/>
  <c r="E9" i="2"/>
  <c r="E57" i="2" s="1"/>
  <c r="F9" i="2"/>
  <c r="F57" i="2" s="1"/>
  <c r="D7" i="18"/>
  <c r="D14" i="18" s="1"/>
  <c r="J9" i="18"/>
  <c r="J13" i="18" s="1"/>
  <c r="K9" i="18"/>
  <c r="K13" i="18" s="1"/>
  <c r="H8" i="7"/>
  <c r="D9" i="20" s="1"/>
  <c r="D11" i="2"/>
  <c r="H11" i="7"/>
  <c r="G9" i="20" s="1"/>
  <c r="G11" i="2"/>
  <c r="E55" i="16"/>
  <c r="F55" i="16" s="1"/>
  <c r="I31" i="2" s="1"/>
  <c r="J16" i="18" s="1"/>
  <c r="C56" i="16"/>
  <c r="E56" i="16" s="1"/>
  <c r="F56" i="16" s="1"/>
  <c r="J31" i="2" s="1"/>
  <c r="K16" i="18" s="1"/>
  <c r="E26" i="7"/>
  <c r="G26" i="7" s="1"/>
  <c r="F12" i="7"/>
  <c r="H11" i="20" s="1"/>
  <c r="I17" i="20" s="1"/>
  <c r="F20" i="11"/>
  <c r="F19" i="11"/>
  <c r="F18" i="11"/>
  <c r="F17" i="11"/>
  <c r="F16" i="11"/>
  <c r="F15" i="11"/>
  <c r="F14" i="11"/>
  <c r="F13" i="11"/>
  <c r="F12" i="11"/>
  <c r="F11" i="11"/>
  <c r="F10" i="11"/>
  <c r="F9" i="11"/>
  <c r="E17" i="2" l="1"/>
  <c r="D43" i="21"/>
  <c r="D59" i="21" s="1"/>
  <c r="D13" i="20"/>
  <c r="D85" i="20"/>
  <c r="D96" i="20" s="1"/>
  <c r="F55" i="2"/>
  <c r="F59" i="2"/>
  <c r="F53" i="2"/>
  <c r="F51" i="2"/>
  <c r="G32" i="26"/>
  <c r="G9" i="26"/>
  <c r="G7" i="24"/>
  <c r="G14" i="24" s="1"/>
  <c r="F96" i="20"/>
  <c r="H17" i="2"/>
  <c r="G43" i="21"/>
  <c r="G59" i="21" s="1"/>
  <c r="E55" i="2"/>
  <c r="E53" i="2"/>
  <c r="E51" i="2"/>
  <c r="E59" i="2"/>
  <c r="F32" i="26"/>
  <c r="F9" i="26"/>
  <c r="F7" i="24"/>
  <c r="F14" i="24" s="1"/>
  <c r="G13" i="20"/>
  <c r="G85" i="20"/>
  <c r="G96" i="20" s="1"/>
  <c r="C17" i="22"/>
  <c r="C60" i="21"/>
  <c r="C61" i="21" s="1"/>
  <c r="C69" i="21"/>
  <c r="C71" i="21" s="1"/>
  <c r="C72" i="21" s="1"/>
  <c r="D11" i="26"/>
  <c r="C32" i="26"/>
  <c r="C42" i="26" s="1"/>
  <c r="D10" i="26"/>
  <c r="C61" i="20"/>
  <c r="C63" i="20" s="1"/>
  <c r="D9" i="25"/>
  <c r="D44" i="25"/>
  <c r="D46" i="25" s="1"/>
  <c r="D47" i="25" s="1"/>
  <c r="D48" i="25" s="1"/>
  <c r="E87" i="2"/>
  <c r="E45" i="21"/>
  <c r="F87" i="2"/>
  <c r="F45" i="21"/>
  <c r="F7" i="18"/>
  <c r="F14" i="18" s="1"/>
  <c r="D9" i="2"/>
  <c r="D57" i="2" s="1"/>
  <c r="F45" i="1"/>
  <c r="F13" i="2"/>
  <c r="G9" i="2"/>
  <c r="G57" i="2" s="1"/>
  <c r="G7" i="18"/>
  <c r="G14" i="18" s="1"/>
  <c r="E45" i="1"/>
  <c r="H12" i="7"/>
  <c r="H9" i="20" s="1"/>
  <c r="H11" i="2"/>
  <c r="F13" i="7"/>
  <c r="I11" i="20" s="1"/>
  <c r="J17" i="20" s="1"/>
  <c r="C74" i="2"/>
  <c r="C75" i="2" s="1"/>
  <c r="C76" i="2" s="1"/>
  <c r="D12" i="26" l="1"/>
  <c r="E7" i="18"/>
  <c r="E14" i="18" s="1"/>
  <c r="D53" i="2"/>
  <c r="D59" i="2"/>
  <c r="D51" i="2"/>
  <c r="D55" i="2"/>
  <c r="E9" i="26"/>
  <c r="E7" i="24"/>
  <c r="E14" i="24" s="1"/>
  <c r="E32" i="26"/>
  <c r="G11" i="26"/>
  <c r="G10" i="26"/>
  <c r="F9" i="25"/>
  <c r="F44" i="25"/>
  <c r="F46" i="25" s="1"/>
  <c r="F47" i="25" s="1"/>
  <c r="F48" i="25" s="1"/>
  <c r="F11" i="26"/>
  <c r="F10" i="26"/>
  <c r="I17" i="2"/>
  <c r="H43" i="21"/>
  <c r="H59" i="21" s="1"/>
  <c r="G59" i="2"/>
  <c r="G51" i="2"/>
  <c r="G53" i="2"/>
  <c r="G55" i="2"/>
  <c r="H9" i="26"/>
  <c r="H7" i="24"/>
  <c r="H14" i="24" s="1"/>
  <c r="H32" i="26"/>
  <c r="E96" i="20"/>
  <c r="G9" i="25"/>
  <c r="G44" i="25"/>
  <c r="G46" i="25" s="1"/>
  <c r="G47" i="25" s="1"/>
  <c r="G48" i="25" s="1"/>
  <c r="H13" i="20"/>
  <c r="H85" i="20"/>
  <c r="H96" i="20" s="1"/>
  <c r="C86" i="20"/>
  <c r="C88" i="20" s="1"/>
  <c r="C69" i="20"/>
  <c r="C64" i="20"/>
  <c r="C65" i="20" s="1"/>
  <c r="D61" i="20"/>
  <c r="D63" i="20" s="1"/>
  <c r="C83" i="20"/>
  <c r="F98" i="2"/>
  <c r="F17" i="22"/>
  <c r="F60" i="21"/>
  <c r="F61" i="21" s="1"/>
  <c r="F69" i="21"/>
  <c r="F71" i="21" s="1"/>
  <c r="G87" i="2"/>
  <c r="G98" i="2" s="1"/>
  <c r="G45" i="21"/>
  <c r="D87" i="2"/>
  <c r="D98" i="2" s="1"/>
  <c r="D45" i="21"/>
  <c r="E60" i="21"/>
  <c r="E61" i="21" s="1"/>
  <c r="E69" i="21"/>
  <c r="E71" i="21" s="1"/>
  <c r="H9" i="2"/>
  <c r="H57" i="2" s="1"/>
  <c r="G45" i="1"/>
  <c r="F17" i="19"/>
  <c r="H7" i="18"/>
  <c r="H14" i="18" s="1"/>
  <c r="D45" i="1"/>
  <c r="H13" i="7"/>
  <c r="I9" i="20" s="1"/>
  <c r="I11" i="2"/>
  <c r="F14" i="7"/>
  <c r="J11" i="20" s="1"/>
  <c r="F12" i="26" l="1"/>
  <c r="G12" i="26"/>
  <c r="H11" i="26"/>
  <c r="H10" i="26"/>
  <c r="E10" i="26"/>
  <c r="E11" i="26"/>
  <c r="J17" i="2"/>
  <c r="I43" i="21"/>
  <c r="I59" i="21" s="1"/>
  <c r="E98" i="2"/>
  <c r="I85" i="20"/>
  <c r="I96" i="20" s="1"/>
  <c r="I13" i="20"/>
  <c r="H53" i="2"/>
  <c r="H59" i="2"/>
  <c r="H51" i="2"/>
  <c r="H55" i="2"/>
  <c r="I7" i="24"/>
  <c r="I14" i="24" s="1"/>
  <c r="I32" i="26"/>
  <c r="I9" i="26"/>
  <c r="D17" i="22"/>
  <c r="E44" i="25"/>
  <c r="E46" i="25" s="1"/>
  <c r="E47" i="25" s="1"/>
  <c r="E48" i="25" s="1"/>
  <c r="E9" i="25"/>
  <c r="H44" i="25"/>
  <c r="H46" i="25" s="1"/>
  <c r="H47" i="25" s="1"/>
  <c r="H48" i="25" s="1"/>
  <c r="H9" i="25"/>
  <c r="F72" i="21"/>
  <c r="C71" i="20"/>
  <c r="C70" i="20"/>
  <c r="C66" i="20"/>
  <c r="C67" i="20" s="1"/>
  <c r="C91" i="20"/>
  <c r="C95" i="20" s="1"/>
  <c r="E61" i="20"/>
  <c r="E63" i="20" s="1"/>
  <c r="D69" i="20"/>
  <c r="D64" i="20"/>
  <c r="D65" i="20" s="1"/>
  <c r="D86" i="20"/>
  <c r="D88" i="20" s="1"/>
  <c r="C90" i="20"/>
  <c r="C93" i="20" s="1"/>
  <c r="C94" i="20"/>
  <c r="D60" i="21"/>
  <c r="D61" i="21" s="1"/>
  <c r="D69" i="21"/>
  <c r="D71" i="21" s="1"/>
  <c r="D72" i="21" s="1"/>
  <c r="G60" i="21"/>
  <c r="G61" i="21" s="1"/>
  <c r="G69" i="21"/>
  <c r="G71" i="21" s="1"/>
  <c r="G72" i="21" s="1"/>
  <c r="G17" i="19"/>
  <c r="G17" i="22"/>
  <c r="H87" i="2"/>
  <c r="H98" i="2" s="1"/>
  <c r="H45" i="21"/>
  <c r="E17" i="22"/>
  <c r="I7" i="18"/>
  <c r="I14" i="18" s="1"/>
  <c r="D17" i="19"/>
  <c r="E17" i="19"/>
  <c r="I9" i="2"/>
  <c r="I57" i="2" s="1"/>
  <c r="H45" i="1"/>
  <c r="H14" i="7"/>
  <c r="J9" i="20" s="1"/>
  <c r="J11" i="2"/>
  <c r="J43" i="21" s="1"/>
  <c r="J59" i="21" s="1"/>
  <c r="C11" i="10"/>
  <c r="C26" i="19" s="1"/>
  <c r="C33" i="19" s="1"/>
  <c r="D18" i="6"/>
  <c r="G9" i="11"/>
  <c r="E12" i="26" l="1"/>
  <c r="H12" i="26"/>
  <c r="I55" i="2"/>
  <c r="I53" i="2"/>
  <c r="I59" i="2"/>
  <c r="I51" i="2"/>
  <c r="J32" i="26"/>
  <c r="J9" i="26"/>
  <c r="J7" i="24"/>
  <c r="J14" i="24" s="1"/>
  <c r="I9" i="25"/>
  <c r="I44" i="25"/>
  <c r="I46" i="25" s="1"/>
  <c r="I47" i="25" s="1"/>
  <c r="I48" i="25" s="1"/>
  <c r="J85" i="20"/>
  <c r="J96" i="20" s="1"/>
  <c r="J13" i="20"/>
  <c r="I11" i="26"/>
  <c r="I10" i="26"/>
  <c r="I12" i="26" s="1"/>
  <c r="D70" i="20"/>
  <c r="D71" i="20"/>
  <c r="D91" i="20"/>
  <c r="D95" i="20" s="1"/>
  <c r="D66" i="20"/>
  <c r="D67" i="20" s="1"/>
  <c r="E64" i="20"/>
  <c r="E65" i="20" s="1"/>
  <c r="E86" i="20"/>
  <c r="E88" i="20" s="1"/>
  <c r="E69" i="20"/>
  <c r="D94" i="20"/>
  <c r="D90" i="20"/>
  <c r="D93" i="20" s="1"/>
  <c r="F61" i="20"/>
  <c r="F63" i="20" s="1"/>
  <c r="H17" i="19"/>
  <c r="H17" i="22"/>
  <c r="I87" i="2"/>
  <c r="I98" i="2" s="1"/>
  <c r="I45" i="21"/>
  <c r="H60" i="21"/>
  <c r="H61" i="21" s="1"/>
  <c r="H69" i="21"/>
  <c r="H71" i="21" s="1"/>
  <c r="H72" i="21" s="1"/>
  <c r="E72" i="21"/>
  <c r="I45" i="1"/>
  <c r="J9" i="2"/>
  <c r="J57" i="2" s="1"/>
  <c r="J7" i="18"/>
  <c r="J14" i="18" s="1"/>
  <c r="D19" i="6"/>
  <c r="D14" i="5"/>
  <c r="D16" i="5"/>
  <c r="M51" i="8"/>
  <c r="M52" i="8" s="1"/>
  <c r="M54" i="8" s="1"/>
  <c r="C55" i="1"/>
  <c r="J11" i="26" l="1"/>
  <c r="J10" i="26"/>
  <c r="J55" i="2"/>
  <c r="J51" i="2"/>
  <c r="J53" i="2"/>
  <c r="J59" i="2"/>
  <c r="K32" i="26"/>
  <c r="K9" i="26"/>
  <c r="K7" i="24"/>
  <c r="K14" i="24" s="1"/>
  <c r="J9" i="25"/>
  <c r="J44" i="25"/>
  <c r="J46" i="25" s="1"/>
  <c r="J47" i="25" s="1"/>
  <c r="J48" i="25" s="1"/>
  <c r="E94" i="20"/>
  <c r="E90" i="20"/>
  <c r="E93" i="20" s="1"/>
  <c r="E91" i="20"/>
  <c r="E95" i="20" s="1"/>
  <c r="E71" i="20"/>
  <c r="E70" i="20"/>
  <c r="E66" i="20"/>
  <c r="E67" i="20" s="1"/>
  <c r="F64" i="20"/>
  <c r="F65" i="20" s="1"/>
  <c r="F69" i="20"/>
  <c r="F86" i="20"/>
  <c r="F88" i="20" s="1"/>
  <c r="G61" i="20"/>
  <c r="G63" i="20" s="1"/>
  <c r="I60" i="21"/>
  <c r="I61" i="21" s="1"/>
  <c r="I69" i="21"/>
  <c r="I71" i="21" s="1"/>
  <c r="I72" i="21" s="1"/>
  <c r="J87" i="2"/>
  <c r="J98" i="2" s="1"/>
  <c r="J45" i="21"/>
  <c r="I17" i="19"/>
  <c r="I17" i="22"/>
  <c r="J45" i="1"/>
  <c r="K7" i="18"/>
  <c r="K14" i="18" s="1"/>
  <c r="K39" i="8"/>
  <c r="J39" i="8"/>
  <c r="I39" i="8"/>
  <c r="H39" i="8"/>
  <c r="G39" i="8"/>
  <c r="F39" i="8"/>
  <c r="E39" i="8"/>
  <c r="K9" i="25" l="1"/>
  <c r="K44" i="25"/>
  <c r="K46" i="25" s="1"/>
  <c r="K47" i="25" s="1"/>
  <c r="K48" i="25" s="1"/>
  <c r="J12" i="26"/>
  <c r="K11" i="26"/>
  <c r="K10" i="26"/>
  <c r="F71" i="20"/>
  <c r="F70" i="20"/>
  <c r="F91" i="20"/>
  <c r="F95" i="20" s="1"/>
  <c r="F66" i="20"/>
  <c r="F67" i="20" s="1"/>
  <c r="H61" i="20"/>
  <c r="H63" i="20" s="1"/>
  <c r="F90" i="20"/>
  <c r="F93" i="20" s="1"/>
  <c r="F94" i="20"/>
  <c r="G69" i="20"/>
  <c r="G64" i="20"/>
  <c r="G65" i="20" s="1"/>
  <c r="G86" i="20"/>
  <c r="G88" i="20" s="1"/>
  <c r="J60" i="21"/>
  <c r="J61" i="21" s="1"/>
  <c r="J69" i="21"/>
  <c r="J71" i="21" s="1"/>
  <c r="J72" i="21" s="1"/>
  <c r="J17" i="19"/>
  <c r="J17" i="22"/>
  <c r="K16" i="8"/>
  <c r="K12" i="26" l="1"/>
  <c r="J61" i="20"/>
  <c r="J63" i="20" s="1"/>
  <c r="I61" i="20"/>
  <c r="I63" i="20" s="1"/>
  <c r="G94" i="20"/>
  <c r="G90" i="20"/>
  <c r="G93" i="20" s="1"/>
  <c r="G71" i="20"/>
  <c r="G91" i="20"/>
  <c r="G95" i="20" s="1"/>
  <c r="G70" i="20"/>
  <c r="G66" i="20"/>
  <c r="G67" i="20" s="1"/>
  <c r="H86" i="20"/>
  <c r="H88" i="20" s="1"/>
  <c r="H69" i="20"/>
  <c r="H64" i="20"/>
  <c r="H65" i="20" s="1"/>
  <c r="J43" i="1"/>
  <c r="J6" i="1"/>
  <c r="K6" i="18" s="1"/>
  <c r="J69" i="1" l="1"/>
  <c r="J71" i="1" s="1"/>
  <c r="K38" i="25"/>
  <c r="K40" i="25" s="1"/>
  <c r="K41" i="25" s="1"/>
  <c r="K42" i="25" s="1"/>
  <c r="K49" i="25" s="1"/>
  <c r="K10" i="25"/>
  <c r="H70" i="20"/>
  <c r="H71" i="20"/>
  <c r="H66" i="20"/>
  <c r="H67" i="20" s="1"/>
  <c r="H91" i="20"/>
  <c r="H95" i="20" s="1"/>
  <c r="I69" i="20"/>
  <c r="I64" i="20"/>
  <c r="I65" i="20" s="1"/>
  <c r="I86" i="20"/>
  <c r="I88" i="20" s="1"/>
  <c r="H94" i="20"/>
  <c r="H90" i="20"/>
  <c r="H93" i="20" s="1"/>
  <c r="J86" i="20"/>
  <c r="J88" i="20" s="1"/>
  <c r="J69" i="20"/>
  <c r="J64" i="20"/>
  <c r="J65" i="20" s="1"/>
  <c r="K38" i="8"/>
  <c r="K40" i="8" s="1"/>
  <c r="K41" i="8" s="1"/>
  <c r="K42" i="8" s="1"/>
  <c r="J59" i="1"/>
  <c r="C103" i="11"/>
  <c r="K10" i="8"/>
  <c r="C17" i="13"/>
  <c r="I94" i="20" l="1"/>
  <c r="I90" i="20"/>
  <c r="I93" i="20" s="1"/>
  <c r="J90" i="20"/>
  <c r="J93" i="20" s="1"/>
  <c r="J94" i="20"/>
  <c r="I91" i="20"/>
  <c r="I95" i="20" s="1"/>
  <c r="I66" i="20"/>
  <c r="I67" i="20" s="1"/>
  <c r="I71" i="20"/>
  <c r="I70" i="20"/>
  <c r="J91" i="20"/>
  <c r="J95" i="20" s="1"/>
  <c r="J71" i="20"/>
  <c r="J70" i="20"/>
  <c r="J66" i="20"/>
  <c r="B35" i="14"/>
  <c r="B34" i="14"/>
  <c r="B33" i="14"/>
  <c r="B32" i="14"/>
  <c r="B31" i="14"/>
  <c r="B30" i="14"/>
  <c r="B29" i="14"/>
  <c r="C14" i="14"/>
  <c r="C17" i="14" s="1"/>
  <c r="I13" i="14"/>
  <c r="B49" i="14"/>
  <c r="A4" i="14"/>
  <c r="A3" i="14"/>
  <c r="A2" i="14"/>
  <c r="A1" i="14"/>
  <c r="J67" i="20" l="1"/>
  <c r="D32" i="9"/>
  <c r="C18" i="14"/>
  <c r="D30" i="14" s="1"/>
  <c r="E30" i="14" s="1"/>
  <c r="C50" i="14" s="1"/>
  <c r="C51" i="14" s="1"/>
  <c r="C19" i="14"/>
  <c r="C20" i="14"/>
  <c r="D32" i="14" s="1"/>
  <c r="E32" i="14" s="1"/>
  <c r="E50" i="14" s="1"/>
  <c r="E51" i="14" s="1"/>
  <c r="D9" i="9"/>
  <c r="C21" i="14"/>
  <c r="D33" i="14" s="1"/>
  <c r="E33" i="14" s="1"/>
  <c r="F50" i="14" s="1"/>
  <c r="F51" i="14" s="1"/>
  <c r="C22" i="14"/>
  <c r="D34" i="14" s="1"/>
  <c r="E34" i="14" s="1"/>
  <c r="G50" i="14" s="1"/>
  <c r="G51" i="14" s="1"/>
  <c r="C23" i="14"/>
  <c r="D35" i="14" s="1"/>
  <c r="E35" i="14" s="1"/>
  <c r="H50" i="14" s="1"/>
  <c r="H51" i="14" s="1"/>
  <c r="G41" i="14" l="1"/>
  <c r="C41" i="14"/>
  <c r="C60" i="1"/>
  <c r="D44" i="8"/>
  <c r="D46" i="8" s="1"/>
  <c r="D47" i="8" s="1"/>
  <c r="D48" i="8" s="1"/>
  <c r="E41" i="14"/>
  <c r="H41" i="14"/>
  <c r="F41" i="14"/>
  <c r="D29" i="14"/>
  <c r="E29" i="14" s="1"/>
  <c r="B50" i="14" s="1"/>
  <c r="B41" i="14"/>
  <c r="D31" i="14"/>
  <c r="E31" i="14" s="1"/>
  <c r="D50" i="14" s="1"/>
  <c r="D51" i="14" s="1"/>
  <c r="D41" i="14"/>
  <c r="I6" i="1"/>
  <c r="J6" i="18" s="1"/>
  <c r="H6" i="1"/>
  <c r="I6" i="18" s="1"/>
  <c r="G6" i="1"/>
  <c r="H6" i="18" s="1"/>
  <c r="F6" i="1"/>
  <c r="G6" i="18" s="1"/>
  <c r="E6" i="1"/>
  <c r="F6" i="18" s="1"/>
  <c r="D6" i="1"/>
  <c r="E6" i="18" s="1"/>
  <c r="C6" i="1"/>
  <c r="D6" i="18" s="1"/>
  <c r="C7" i="13"/>
  <c r="D20" i="6" l="1"/>
  <c r="E18" i="6"/>
  <c r="E44" i="8"/>
  <c r="E46" i="8" s="1"/>
  <c r="E47" i="8" s="1"/>
  <c r="E48" i="8" s="1"/>
  <c r="D60" i="1"/>
  <c r="F44" i="8"/>
  <c r="F46" i="8" s="1"/>
  <c r="E60" i="1"/>
  <c r="F32" i="9"/>
  <c r="F9" i="9"/>
  <c r="E32" i="9"/>
  <c r="E9" i="9"/>
  <c r="I29" i="14"/>
  <c r="B51" i="14"/>
  <c r="E92" i="11"/>
  <c r="G10" i="11"/>
  <c r="G11" i="11" s="1"/>
  <c r="G12" i="11" s="1"/>
  <c r="G13" i="11" s="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D97" i="11" l="1"/>
  <c r="D49" i="2" s="1"/>
  <c r="D98" i="11"/>
  <c r="E49" i="2" s="1"/>
  <c r="D99" i="11"/>
  <c r="F49" i="2" s="1"/>
  <c r="D100" i="11"/>
  <c r="G49" i="2" s="1"/>
  <c r="D101" i="11"/>
  <c r="H49" i="2" s="1"/>
  <c r="D102" i="11"/>
  <c r="I49" i="2" s="1"/>
  <c r="G14" i="11"/>
  <c r="G15" i="11" s="1"/>
  <c r="G16" i="11" s="1"/>
  <c r="G17" i="11" s="1"/>
  <c r="G18" i="11" s="1"/>
  <c r="G19" i="11" s="1"/>
  <c r="G20" i="11" s="1"/>
  <c r="G44" i="8"/>
  <c r="G46" i="8" s="1"/>
  <c r="G47" i="8" s="1"/>
  <c r="G48" i="8" s="1"/>
  <c r="F60" i="1"/>
  <c r="F47" i="8"/>
  <c r="F48" i="8" s="1"/>
  <c r="G32" i="9"/>
  <c r="G9" i="9"/>
  <c r="I24" i="12" l="1"/>
  <c r="I31" i="12"/>
  <c r="E24" i="12"/>
  <c r="E31" i="12"/>
  <c r="G31" i="12"/>
  <c r="G24" i="12"/>
  <c r="F31" i="12"/>
  <c r="F24" i="12"/>
  <c r="H24" i="12"/>
  <c r="H31" i="12"/>
  <c r="D24" i="12"/>
  <c r="D31" i="12"/>
  <c r="G21" i="11"/>
  <c r="G22" i="11" s="1"/>
  <c r="G23" i="11" s="1"/>
  <c r="G24" i="11" s="1"/>
  <c r="G25" i="11" s="1"/>
  <c r="G26" i="11" s="1"/>
  <c r="G27" i="11" s="1"/>
  <c r="G28" i="11" s="1"/>
  <c r="G29" i="11" s="1"/>
  <c r="G30" i="11" s="1"/>
  <c r="G31" i="11" s="1"/>
  <c r="G32" i="11" s="1"/>
  <c r="C25" i="1"/>
  <c r="D30" i="8" s="1"/>
  <c r="J9" i="12"/>
  <c r="J13" i="12" s="1"/>
  <c r="D103" i="11"/>
  <c r="H44" i="8"/>
  <c r="H46" i="8" s="1"/>
  <c r="G60" i="1"/>
  <c r="H32" i="9"/>
  <c r="H9" i="9"/>
  <c r="I12" i="12"/>
  <c r="H12" i="12"/>
  <c r="G12" i="12"/>
  <c r="F12" i="12"/>
  <c r="E12" i="12"/>
  <c r="D12" i="12"/>
  <c r="C12" i="12"/>
  <c r="G33" i="11" l="1"/>
  <c r="G34" i="11" s="1"/>
  <c r="G35" i="11" s="1"/>
  <c r="G36" i="11" s="1"/>
  <c r="G37" i="11" s="1"/>
  <c r="G38" i="11" s="1"/>
  <c r="G39" i="11" s="1"/>
  <c r="G40" i="11" s="1"/>
  <c r="G41" i="11" s="1"/>
  <c r="G42" i="11" s="1"/>
  <c r="G43" i="11" s="1"/>
  <c r="G44" i="11" s="1"/>
  <c r="D25" i="1"/>
  <c r="E30" i="8" s="1"/>
  <c r="H47" i="8"/>
  <c r="H48" i="8" s="1"/>
  <c r="J44" i="8"/>
  <c r="J46" i="8" s="1"/>
  <c r="J47" i="8" s="1"/>
  <c r="J48" i="8" s="1"/>
  <c r="I60" i="1"/>
  <c r="I44" i="8"/>
  <c r="I46" i="8" s="1"/>
  <c r="H60" i="1"/>
  <c r="J32" i="9"/>
  <c r="J9" i="9"/>
  <c r="I32" i="9"/>
  <c r="I9" i="9"/>
  <c r="C30" i="8"/>
  <c r="G45" i="11" l="1"/>
  <c r="G46" i="11" s="1"/>
  <c r="G47" i="11" s="1"/>
  <c r="G48" i="11" s="1"/>
  <c r="G49" i="11" s="1"/>
  <c r="G50" i="11" s="1"/>
  <c r="G51" i="11" s="1"/>
  <c r="G52" i="11" s="1"/>
  <c r="G53" i="11" s="1"/>
  <c r="G54" i="11" s="1"/>
  <c r="G55" i="11" s="1"/>
  <c r="G56" i="11" s="1"/>
  <c r="E25" i="1"/>
  <c r="F30" i="8" s="1"/>
  <c r="I47" i="8"/>
  <c r="I48" i="8" s="1"/>
  <c r="K9" i="8"/>
  <c r="K44" i="8"/>
  <c r="K46" i="8" s="1"/>
  <c r="J60" i="1"/>
  <c r="J61" i="1" s="1"/>
  <c r="J13" i="2"/>
  <c r="K32" i="9"/>
  <c r="K9" i="9"/>
  <c r="C9" i="12"/>
  <c r="C13" i="12" s="1"/>
  <c r="E98" i="11"/>
  <c r="E97" i="11"/>
  <c r="E100" i="11"/>
  <c r="E99" i="11"/>
  <c r="E101" i="11"/>
  <c r="E102" i="11"/>
  <c r="E103" i="11"/>
  <c r="E96" i="11"/>
  <c r="G57" i="11" l="1"/>
  <c r="G58" i="11" s="1"/>
  <c r="G59" i="11" s="1"/>
  <c r="G60" i="11" s="1"/>
  <c r="G61" i="11" s="1"/>
  <c r="G62" i="11" s="1"/>
  <c r="G63" i="11" s="1"/>
  <c r="G64" i="11" s="1"/>
  <c r="G65" i="11" s="1"/>
  <c r="G66" i="11" s="1"/>
  <c r="G67" i="11" s="1"/>
  <c r="G68" i="11" s="1"/>
  <c r="F25" i="1"/>
  <c r="G30" i="8" s="1"/>
  <c r="K47" i="8"/>
  <c r="K48" i="8" s="1"/>
  <c r="K49" i="8" s="1"/>
  <c r="K11" i="9"/>
  <c r="K10" i="9"/>
  <c r="D9" i="12"/>
  <c r="D13" i="12" s="1"/>
  <c r="I9" i="12"/>
  <c r="I13" i="12" s="1"/>
  <c r="H9" i="12"/>
  <c r="H13" i="12" s="1"/>
  <c r="E9" i="12"/>
  <c r="E13" i="12" s="1"/>
  <c r="G9" i="12"/>
  <c r="G13" i="12" s="1"/>
  <c r="F9" i="12"/>
  <c r="F13" i="12" s="1"/>
  <c r="K43" i="9" l="1"/>
  <c r="K43" i="26"/>
  <c r="G69" i="11"/>
  <c r="G70" i="11" s="1"/>
  <c r="G71" i="11" s="1"/>
  <c r="G72" i="11" s="1"/>
  <c r="G73" i="11" s="1"/>
  <c r="G74" i="11" s="1"/>
  <c r="G75" i="11" s="1"/>
  <c r="G76" i="11" s="1"/>
  <c r="G77" i="11" s="1"/>
  <c r="G78" i="11" s="1"/>
  <c r="G79" i="11" s="1"/>
  <c r="G80" i="11" s="1"/>
  <c r="G25" i="1"/>
  <c r="H30" i="8" s="1"/>
  <c r="K12" i="9"/>
  <c r="G81" i="11" l="1"/>
  <c r="G82" i="11" s="1"/>
  <c r="G83" i="11" s="1"/>
  <c r="G84" i="11" s="1"/>
  <c r="G85" i="11" s="1"/>
  <c r="G86" i="11" s="1"/>
  <c r="G87" i="11" s="1"/>
  <c r="G88" i="11" s="1"/>
  <c r="G89" i="11" s="1"/>
  <c r="G90" i="11" s="1"/>
  <c r="G91" i="11" s="1"/>
  <c r="G92" i="11" s="1"/>
  <c r="H25" i="1"/>
  <c r="I30" i="8" s="1"/>
  <c r="K30" i="8" l="1"/>
  <c r="I25" i="1"/>
  <c r="J30" i="8" s="1"/>
  <c r="C34" i="9"/>
  <c r="C39" i="2"/>
  <c r="C23" i="10"/>
  <c r="C25" i="10" l="1"/>
  <c r="C39" i="1" s="1"/>
  <c r="C39" i="9"/>
  <c r="D19" i="10" l="1"/>
  <c r="D24" i="10" s="1"/>
  <c r="C13" i="10"/>
  <c r="C12" i="10"/>
  <c r="C38" i="2" l="1"/>
  <c r="D23" i="10"/>
  <c r="D39" i="2"/>
  <c r="C14" i="10"/>
  <c r="C10" i="19" l="1"/>
  <c r="C23" i="12"/>
  <c r="C91" i="2"/>
  <c r="C46" i="12" s="1"/>
  <c r="D34" i="9"/>
  <c r="D21" i="18"/>
  <c r="D22" i="18" s="1"/>
  <c r="C8" i="12"/>
  <c r="D25" i="10"/>
  <c r="D39" i="1" s="1"/>
  <c r="D8" i="10"/>
  <c r="C38" i="1"/>
  <c r="D39" i="9" s="1"/>
  <c r="E19" i="10" l="1"/>
  <c r="D13" i="10"/>
  <c r="D12" i="10"/>
  <c r="D38" i="2" l="1"/>
  <c r="E23" i="10"/>
  <c r="E24" i="10"/>
  <c r="E39" i="2" s="1"/>
  <c r="D14" i="10"/>
  <c r="E8" i="10" s="1"/>
  <c r="E34" i="9" l="1"/>
  <c r="D23" i="12"/>
  <c r="D91" i="2"/>
  <c r="D46" i="12" s="1"/>
  <c r="D8" i="12"/>
  <c r="E21" i="18"/>
  <c r="E22" i="18" s="1"/>
  <c r="D10" i="19"/>
  <c r="E25" i="10"/>
  <c r="E39" i="1" s="1"/>
  <c r="D38" i="1"/>
  <c r="E39" i="9" s="1"/>
  <c r="E13" i="10"/>
  <c r="E12" i="10"/>
  <c r="E38" i="2" l="1"/>
  <c r="F19" i="10"/>
  <c r="E14" i="10"/>
  <c r="E38" i="1" s="1"/>
  <c r="F39" i="9" s="1"/>
  <c r="E10" i="19" l="1"/>
  <c r="E91" i="2"/>
  <c r="E46" i="12" s="1"/>
  <c r="E23" i="12"/>
  <c r="E8" i="12"/>
  <c r="F34" i="9"/>
  <c r="F21" i="18"/>
  <c r="F22" i="18" s="1"/>
  <c r="F23" i="10"/>
  <c r="F24" i="10"/>
  <c r="F39" i="2" s="1"/>
  <c r="F8" i="10"/>
  <c r="F12" i="10" s="1"/>
  <c r="F25" i="10" l="1"/>
  <c r="F13" i="10"/>
  <c r="F38" i="2" l="1"/>
  <c r="G19" i="10"/>
  <c r="G24" i="10" s="1"/>
  <c r="F39" i="1"/>
  <c r="F14" i="10"/>
  <c r="G8" i="10" s="1"/>
  <c r="B1" i="18"/>
  <c r="F10" i="19" l="1"/>
  <c r="F91" i="2"/>
  <c r="F46" i="12" s="1"/>
  <c r="F23" i="12"/>
  <c r="F8" i="12"/>
  <c r="G34" i="9"/>
  <c r="G21" i="18"/>
  <c r="G22" i="18" s="1"/>
  <c r="G39" i="2"/>
  <c r="G23" i="10"/>
  <c r="F38" i="1"/>
  <c r="G39" i="9" s="1"/>
  <c r="C16" i="8"/>
  <c r="G12" i="10"/>
  <c r="G13" i="10"/>
  <c r="G38" i="2" l="1"/>
  <c r="G25" i="10"/>
  <c r="G14" i="10"/>
  <c r="C10" i="8"/>
  <c r="H34" i="9" l="1"/>
  <c r="G23" i="12"/>
  <c r="G91" i="2"/>
  <c r="G46" i="12" s="1"/>
  <c r="G8" i="12"/>
  <c r="H21" i="18"/>
  <c r="H22" i="18" s="1"/>
  <c r="G10" i="19"/>
  <c r="G39" i="1"/>
  <c r="H19" i="10"/>
  <c r="H24" i="10" s="1"/>
  <c r="G38" i="1"/>
  <c r="H8" i="10"/>
  <c r="H39" i="9" l="1"/>
  <c r="H39" i="2"/>
  <c r="H23" i="10"/>
  <c r="H12" i="10"/>
  <c r="H13" i="10"/>
  <c r="H38" i="2" l="1"/>
  <c r="D39" i="8"/>
  <c r="H8" i="12"/>
  <c r="H25" i="10"/>
  <c r="D16" i="8"/>
  <c r="H14" i="10"/>
  <c r="D9" i="8"/>
  <c r="C9" i="8"/>
  <c r="I34" i="9" l="1"/>
  <c r="H23" i="12"/>
  <c r="H91" i="2"/>
  <c r="H46" i="12" s="1"/>
  <c r="I21" i="18"/>
  <c r="I22" i="18" s="1"/>
  <c r="H10" i="19"/>
  <c r="I19" i="10"/>
  <c r="I24" i="10" s="1"/>
  <c r="H39" i="1"/>
  <c r="F16" i="8"/>
  <c r="I8" i="10"/>
  <c r="H38" i="1"/>
  <c r="F9" i="8"/>
  <c r="C32" i="9"/>
  <c r="D10" i="9"/>
  <c r="D11" i="9"/>
  <c r="E10" i="9"/>
  <c r="E11" i="9"/>
  <c r="C43" i="1"/>
  <c r="C32" i="8"/>
  <c r="C18" i="8"/>
  <c r="C37" i="9" s="1"/>
  <c r="D38" i="25" l="1"/>
  <c r="D40" i="25" s="1"/>
  <c r="D41" i="25" s="1"/>
  <c r="D42" i="25" s="1"/>
  <c r="D49" i="25" s="1"/>
  <c r="D10" i="25"/>
  <c r="C16" i="22"/>
  <c r="C16" i="19"/>
  <c r="C69" i="1"/>
  <c r="C71" i="1" s="1"/>
  <c r="C72" i="1" s="1"/>
  <c r="C48" i="23" s="1"/>
  <c r="I39" i="9"/>
  <c r="D38" i="8"/>
  <c r="D40" i="8" s="1"/>
  <c r="D41" i="8" s="1"/>
  <c r="D42" i="8" s="1"/>
  <c r="D49" i="8" s="1"/>
  <c r="C59" i="1"/>
  <c r="C61" i="1" s="1"/>
  <c r="J58" i="14"/>
  <c r="I39" i="2"/>
  <c r="I23" i="10"/>
  <c r="D43" i="1"/>
  <c r="I13" i="10"/>
  <c r="I12" i="10"/>
  <c r="E12" i="9"/>
  <c r="D12" i="9"/>
  <c r="G11" i="9"/>
  <c r="G10" i="9"/>
  <c r="G9" i="8"/>
  <c r="D10" i="8"/>
  <c r="C13" i="2"/>
  <c r="C78" i="2" s="1"/>
  <c r="C82" i="2" s="1"/>
  <c r="D69" i="1" l="1"/>
  <c r="D71" i="1" s="1"/>
  <c r="D72" i="1" s="1"/>
  <c r="D48" i="23" s="1"/>
  <c r="E10" i="25"/>
  <c r="E38" i="25"/>
  <c r="E40" i="25" s="1"/>
  <c r="E41" i="25" s="1"/>
  <c r="E42" i="25" s="1"/>
  <c r="E49" i="25" s="1"/>
  <c r="D16" i="22"/>
  <c r="D43" i="9"/>
  <c r="D43" i="26"/>
  <c r="C48" i="12"/>
  <c r="D16" i="19"/>
  <c r="I38" i="2"/>
  <c r="C29" i="1"/>
  <c r="D29" i="1" s="1"/>
  <c r="C7" i="5"/>
  <c r="E38" i="8"/>
  <c r="E40" i="8" s="1"/>
  <c r="E41" i="8" s="1"/>
  <c r="E42" i="8" s="1"/>
  <c r="E49" i="8" s="1"/>
  <c r="D59" i="1"/>
  <c r="D61" i="1" s="1"/>
  <c r="B56" i="14"/>
  <c r="B55" i="14"/>
  <c r="B57" i="14"/>
  <c r="C16" i="13" a="1"/>
  <c r="C16" i="13" s="1"/>
  <c r="G16" i="8"/>
  <c r="E10" i="8"/>
  <c r="I25" i="10"/>
  <c r="H16" i="8"/>
  <c r="I14" i="10"/>
  <c r="G12" i="9"/>
  <c r="H9" i="8"/>
  <c r="E9" i="8"/>
  <c r="H11" i="9"/>
  <c r="H10" i="9"/>
  <c r="F11" i="9"/>
  <c r="F10" i="9"/>
  <c r="D13" i="2"/>
  <c r="E43" i="9" l="1"/>
  <c r="E43" i="26"/>
  <c r="D48" i="12"/>
  <c r="J34" i="9"/>
  <c r="I23" i="12"/>
  <c r="I91" i="2"/>
  <c r="I46" i="12" s="1"/>
  <c r="I8" i="12"/>
  <c r="J21" i="18"/>
  <c r="J22" i="18" s="1"/>
  <c r="I10" i="19"/>
  <c r="E29" i="1"/>
  <c r="D47" i="2"/>
  <c r="E31" i="8"/>
  <c r="E32" i="8" s="1"/>
  <c r="E17" i="8"/>
  <c r="E24" i="9"/>
  <c r="E13" i="9"/>
  <c r="C9" i="5"/>
  <c r="C22" i="5"/>
  <c r="C47" i="2"/>
  <c r="D24" i="9"/>
  <c r="D31" i="8"/>
  <c r="D32" i="8" s="1"/>
  <c r="D17" i="8"/>
  <c r="D18" i="8" s="1"/>
  <c r="D37" i="9" s="1"/>
  <c r="D13" i="9"/>
  <c r="C14" i="13" a="1"/>
  <c r="C14" i="13" s="1"/>
  <c r="C15" i="13" a="1"/>
  <c r="C15" i="13" s="1"/>
  <c r="I39" i="1"/>
  <c r="J19" i="10"/>
  <c r="J24" i="10" s="1"/>
  <c r="I38" i="1"/>
  <c r="J8" i="10"/>
  <c r="B52" i="14"/>
  <c r="C52" i="14" s="1"/>
  <c r="B58" i="14"/>
  <c r="B59" i="14" s="1"/>
  <c r="B60" i="14" s="1"/>
  <c r="B62" i="14" s="1"/>
  <c r="I16" i="8"/>
  <c r="J16" i="8"/>
  <c r="E13" i="2"/>
  <c r="E43" i="1"/>
  <c r="H12" i="9"/>
  <c r="F12" i="9"/>
  <c r="J9" i="8"/>
  <c r="I11" i="9"/>
  <c r="I10" i="9"/>
  <c r="I9" i="8"/>
  <c r="C33" i="9"/>
  <c r="C42" i="9" s="1"/>
  <c r="E69" i="1" l="1"/>
  <c r="E71" i="1" s="1"/>
  <c r="E72" i="1" s="1"/>
  <c r="E48" i="23" s="1"/>
  <c r="F10" i="25"/>
  <c r="F38" i="25"/>
  <c r="F40" i="25" s="1"/>
  <c r="F41" i="25" s="1"/>
  <c r="F42" i="25" s="1"/>
  <c r="F49" i="25" s="1"/>
  <c r="E16" i="22"/>
  <c r="C10" i="12"/>
  <c r="C14" i="12" s="1"/>
  <c r="C15" i="12" s="1"/>
  <c r="C32" i="12"/>
  <c r="C33" i="12" s="1"/>
  <c r="C89" i="2"/>
  <c r="C25" i="12"/>
  <c r="D10" i="12"/>
  <c r="D14" i="12" s="1"/>
  <c r="D15" i="12" s="1"/>
  <c r="D25" i="12"/>
  <c r="D89" i="2"/>
  <c r="D32" i="12"/>
  <c r="D33" i="12" s="1"/>
  <c r="E16" i="19"/>
  <c r="J39" i="9"/>
  <c r="E17" i="18"/>
  <c r="D17" i="18"/>
  <c r="F29" i="1"/>
  <c r="E47" i="2"/>
  <c r="F17" i="8"/>
  <c r="F18" i="8" s="1"/>
  <c r="F37" i="9" s="1"/>
  <c r="F24" i="9"/>
  <c r="F31" i="8"/>
  <c r="F32" i="8" s="1"/>
  <c r="F13" i="9"/>
  <c r="F38" i="8"/>
  <c r="F40" i="8" s="1"/>
  <c r="F41" i="8" s="1"/>
  <c r="F42" i="8" s="1"/>
  <c r="F49" i="8" s="1"/>
  <c r="E59" i="1"/>
  <c r="E61" i="1" s="1"/>
  <c r="J13" i="10"/>
  <c r="J12" i="10"/>
  <c r="J39" i="2"/>
  <c r="J23" i="10"/>
  <c r="F43" i="1"/>
  <c r="F10" i="8"/>
  <c r="I12" i="9"/>
  <c r="J10" i="9"/>
  <c r="J11" i="9"/>
  <c r="F43" i="9" l="1"/>
  <c r="F43" i="26"/>
  <c r="E48" i="12"/>
  <c r="F69" i="1"/>
  <c r="F71" i="1" s="1"/>
  <c r="F72" i="1" s="1"/>
  <c r="F48" i="23" s="1"/>
  <c r="G38" i="25"/>
  <c r="G40" i="25" s="1"/>
  <c r="G41" i="25" s="1"/>
  <c r="G42" i="25" s="1"/>
  <c r="G49" i="25" s="1"/>
  <c r="G10" i="25"/>
  <c r="F16" i="22"/>
  <c r="E10" i="12"/>
  <c r="E14" i="12" s="1"/>
  <c r="E15" i="12" s="1"/>
  <c r="E25" i="12"/>
  <c r="E89" i="2"/>
  <c r="E32" i="12"/>
  <c r="E33" i="12" s="1"/>
  <c r="F16" i="19"/>
  <c r="F17" i="18"/>
  <c r="J38" i="2"/>
  <c r="G29" i="1"/>
  <c r="F47" i="2"/>
  <c r="G31" i="8"/>
  <c r="G32" i="8" s="1"/>
  <c r="G17" i="8"/>
  <c r="G18" i="8" s="1"/>
  <c r="G37" i="9" s="1"/>
  <c r="G24" i="9"/>
  <c r="G13" i="9"/>
  <c r="G38" i="8"/>
  <c r="G40" i="8" s="1"/>
  <c r="F59" i="1"/>
  <c r="F61" i="1" s="1"/>
  <c r="J14" i="10"/>
  <c r="J38" i="1" s="1"/>
  <c r="J25" i="10"/>
  <c r="J39" i="1" s="1"/>
  <c r="G43" i="1"/>
  <c r="G13" i="2"/>
  <c r="G10" i="8"/>
  <c r="J12" i="9"/>
  <c r="F48" i="12" l="1"/>
  <c r="G69" i="1"/>
  <c r="G71" i="1" s="1"/>
  <c r="G72" i="1" s="1"/>
  <c r="G48" i="23" s="1"/>
  <c r="H38" i="25"/>
  <c r="H40" i="25" s="1"/>
  <c r="H41" i="25" s="1"/>
  <c r="H42" i="25" s="1"/>
  <c r="H49" i="25" s="1"/>
  <c r="H10" i="25"/>
  <c r="G16" i="22"/>
  <c r="G48" i="12"/>
  <c r="J8" i="12"/>
  <c r="J91" i="2"/>
  <c r="J46" i="12" s="1"/>
  <c r="J23" i="12"/>
  <c r="F10" i="12"/>
  <c r="F14" i="12" s="1"/>
  <c r="F15" i="12" s="1"/>
  <c r="F25" i="12"/>
  <c r="F89" i="2"/>
  <c r="F32" i="12"/>
  <c r="F33" i="12" s="1"/>
  <c r="K34" i="9"/>
  <c r="K21" i="18"/>
  <c r="K22" i="18" s="1"/>
  <c r="J10" i="19"/>
  <c r="G16" i="19"/>
  <c r="K39" i="9"/>
  <c r="G17" i="18"/>
  <c r="H29" i="1"/>
  <c r="G47" i="2"/>
  <c r="H31" i="8"/>
  <c r="H32" i="8" s="1"/>
  <c r="H24" i="9"/>
  <c r="H17" i="8"/>
  <c r="H18" i="8" s="1"/>
  <c r="H37" i="9" s="1"/>
  <c r="H13" i="9"/>
  <c r="H10" i="8"/>
  <c r="H38" i="8"/>
  <c r="H40" i="8" s="1"/>
  <c r="H41" i="8" s="1"/>
  <c r="H42" i="8" s="1"/>
  <c r="H49" i="8" s="1"/>
  <c r="G59" i="1"/>
  <c r="G61" i="1" s="1"/>
  <c r="G41" i="8"/>
  <c r="G42" i="8" s="1"/>
  <c r="G49" i="8" s="1"/>
  <c r="H43" i="1"/>
  <c r="H13" i="2"/>
  <c r="G43" i="9" l="1"/>
  <c r="G43" i="26"/>
  <c r="H43" i="9"/>
  <c r="H43" i="26"/>
  <c r="H69" i="1"/>
  <c r="H71" i="1" s="1"/>
  <c r="H72" i="1" s="1"/>
  <c r="H48" i="23" s="1"/>
  <c r="I10" i="25"/>
  <c r="I38" i="25"/>
  <c r="I40" i="25" s="1"/>
  <c r="I41" i="25" s="1"/>
  <c r="I42" i="25" s="1"/>
  <c r="I49" i="25" s="1"/>
  <c r="H16" i="22"/>
  <c r="H48" i="12"/>
  <c r="G10" i="12"/>
  <c r="G14" i="12" s="1"/>
  <c r="G15" i="12" s="1"/>
  <c r="G32" i="12"/>
  <c r="G33" i="12" s="1"/>
  <c r="G89" i="2"/>
  <c r="G25" i="12"/>
  <c r="H16" i="19"/>
  <c r="H17" i="18"/>
  <c r="I29" i="1"/>
  <c r="H47" i="2"/>
  <c r="I17" i="8"/>
  <c r="I18" i="8" s="1"/>
  <c r="I37" i="9" s="1"/>
  <c r="I24" i="9"/>
  <c r="I31" i="8"/>
  <c r="I32" i="8" s="1"/>
  <c r="I13" i="9"/>
  <c r="I38" i="8"/>
  <c r="I40" i="8" s="1"/>
  <c r="I41" i="8" s="1"/>
  <c r="I42" i="8" s="1"/>
  <c r="I49" i="8" s="1"/>
  <c r="H59" i="1"/>
  <c r="H61" i="1" s="1"/>
  <c r="I10" i="8"/>
  <c r="I43" i="1"/>
  <c r="I13" i="2"/>
  <c r="C29" i="8"/>
  <c r="C33" i="8" s="1"/>
  <c r="C41" i="9" s="1"/>
  <c r="C35" i="9"/>
  <c r="C11" i="8"/>
  <c r="C13" i="8" s="1"/>
  <c r="C36" i="9" s="1"/>
  <c r="C38" i="9" s="1"/>
  <c r="I43" i="9" l="1"/>
  <c r="I43" i="26"/>
  <c r="I69" i="1"/>
  <c r="I71" i="1" s="1"/>
  <c r="J72" i="1" s="1"/>
  <c r="J48" i="23" s="1"/>
  <c r="J10" i="25"/>
  <c r="J38" i="25"/>
  <c r="J40" i="25" s="1"/>
  <c r="J41" i="25" s="1"/>
  <c r="J42" i="25" s="1"/>
  <c r="J49" i="25" s="1"/>
  <c r="I16" i="22"/>
  <c r="J16" i="22"/>
  <c r="H10" i="12"/>
  <c r="H14" i="12" s="1"/>
  <c r="H15" i="12" s="1"/>
  <c r="H32" i="12"/>
  <c r="H33" i="12" s="1"/>
  <c r="H25" i="12"/>
  <c r="H89" i="2"/>
  <c r="I16" i="19"/>
  <c r="J16" i="19"/>
  <c r="I17" i="18"/>
  <c r="J10" i="8"/>
  <c r="J29" i="1"/>
  <c r="I47" i="2"/>
  <c r="J17" i="8"/>
  <c r="J18" i="8" s="1"/>
  <c r="J37" i="9" s="1"/>
  <c r="J24" i="9"/>
  <c r="J31" i="8"/>
  <c r="J32" i="8" s="1"/>
  <c r="J13" i="9"/>
  <c r="J38" i="8"/>
  <c r="J40" i="8" s="1"/>
  <c r="I59" i="1"/>
  <c r="I61" i="1" s="1"/>
  <c r="C22" i="8"/>
  <c r="C20" i="8"/>
  <c r="I72" i="1" l="1"/>
  <c r="I48" i="23" s="1"/>
  <c r="J48" i="12"/>
  <c r="I10" i="12"/>
  <c r="I14" i="12" s="1"/>
  <c r="I15" i="12" s="1"/>
  <c r="I25" i="12"/>
  <c r="I89" i="2"/>
  <c r="I32" i="12"/>
  <c r="I33" i="12" s="1"/>
  <c r="J17" i="18"/>
  <c r="J47" i="2"/>
  <c r="K31" i="8"/>
  <c r="K32" i="8" s="1"/>
  <c r="K17" i="8"/>
  <c r="K18" i="8" s="1"/>
  <c r="K37" i="9" s="1"/>
  <c r="K24" i="9"/>
  <c r="K13" i="9"/>
  <c r="J41" i="8"/>
  <c r="J42" i="8" s="1"/>
  <c r="J49" i="8" s="1"/>
  <c r="C40" i="9"/>
  <c r="I48" i="12" l="1"/>
  <c r="J43" i="9"/>
  <c r="J43" i="26"/>
  <c r="J10" i="12"/>
  <c r="J14" i="12" s="1"/>
  <c r="J15" i="12" s="1"/>
  <c r="J25" i="12"/>
  <c r="J89" i="2"/>
  <c r="J32" i="12"/>
  <c r="J33" i="12" s="1"/>
  <c r="K17" i="18"/>
  <c r="E16" i="8" l="1"/>
  <c r="E18" i="8" s="1"/>
  <c r="E37" i="9" s="1"/>
  <c r="E13" i="1" l="1"/>
  <c r="F9" i="1" l="1"/>
  <c r="F13" i="1" s="1"/>
  <c r="G9" i="1" l="1"/>
  <c r="G13" i="1" s="1"/>
  <c r="H9" i="1" l="1"/>
  <c r="H13" i="1" s="1"/>
  <c r="I9" i="1" l="1"/>
  <c r="I13" i="1" l="1"/>
  <c r="J9" i="1" l="1"/>
  <c r="J13" i="1" l="1"/>
  <c r="D18" i="18"/>
  <c r="D19" i="18" s="1"/>
  <c r="D25" i="18" s="1"/>
  <c r="D18" i="24"/>
  <c r="D19" i="24" s="1"/>
  <c r="C61" i="2"/>
  <c r="C84" i="2" s="1"/>
  <c r="F18" i="24" l="1"/>
  <c r="F19" i="24" s="1"/>
  <c r="F18" i="18"/>
  <c r="F19" i="18" s="1"/>
  <c r="E61" i="2"/>
  <c r="E63" i="2" s="1"/>
  <c r="D25" i="24"/>
  <c r="D23" i="24"/>
  <c r="D24" i="24" s="1"/>
  <c r="C63" i="2"/>
  <c r="E18" i="24"/>
  <c r="E19" i="24" s="1"/>
  <c r="E18" i="18"/>
  <c r="E19" i="18" s="1"/>
  <c r="D61" i="2"/>
  <c r="D63" i="2" s="1"/>
  <c r="D45" i="9"/>
  <c r="D45" i="26"/>
  <c r="D23" i="18"/>
  <c r="D24" i="18" s="1"/>
  <c r="E64" i="2" l="1"/>
  <c r="E65" i="2" s="1"/>
  <c r="E8" i="19"/>
  <c r="E69" i="2"/>
  <c r="E8" i="22"/>
  <c r="E88" i="2"/>
  <c r="E90" i="2" s="1"/>
  <c r="E25" i="18"/>
  <c r="E23" i="18"/>
  <c r="E24" i="18" s="1"/>
  <c r="D44" i="9"/>
  <c r="D44" i="26"/>
  <c r="E25" i="24"/>
  <c r="E23" i="24"/>
  <c r="E24" i="24" s="1"/>
  <c r="C64" i="2"/>
  <c r="C65" i="2" s="1"/>
  <c r="C69" i="2"/>
  <c r="C88" i="2"/>
  <c r="C90" i="2" s="1"/>
  <c r="C8" i="19"/>
  <c r="C8" i="22"/>
  <c r="G18" i="18"/>
  <c r="G19" i="18" s="1"/>
  <c r="F61" i="2"/>
  <c r="F63" i="2" s="1"/>
  <c r="G18" i="24"/>
  <c r="G19" i="24" s="1"/>
  <c r="D69" i="2"/>
  <c r="D8" i="19"/>
  <c r="D64" i="2"/>
  <c r="D65" i="2" s="1"/>
  <c r="D88" i="2"/>
  <c r="D90" i="2" s="1"/>
  <c r="D8" i="22"/>
  <c r="F25" i="18"/>
  <c r="F23" i="18"/>
  <c r="F24" i="18" s="1"/>
  <c r="F25" i="24"/>
  <c r="F23" i="24"/>
  <c r="F24" i="24" s="1"/>
  <c r="D66" i="2" l="1"/>
  <c r="D67" i="23"/>
  <c r="D22" i="12"/>
  <c r="D26" i="12" s="1"/>
  <c r="D34" i="12" s="1"/>
  <c r="D67" i="12"/>
  <c r="D7" i="12"/>
  <c r="D11" i="12" s="1"/>
  <c r="D16" i="12" s="1"/>
  <c r="D17" i="1"/>
  <c r="D17" i="21"/>
  <c r="E33" i="26"/>
  <c r="E42" i="26" s="1"/>
  <c r="D70" i="2"/>
  <c r="D71" i="2"/>
  <c r="E33" i="9"/>
  <c r="E42" i="9" s="1"/>
  <c r="D93" i="2"/>
  <c r="D97" i="2" s="1"/>
  <c r="D7" i="23"/>
  <c r="D11" i="23" s="1"/>
  <c r="D16" i="23" s="1"/>
  <c r="D22" i="23"/>
  <c r="D26" i="23" s="1"/>
  <c r="D34" i="23" s="1"/>
  <c r="E70" i="2"/>
  <c r="E66" i="2"/>
  <c r="E7" i="23"/>
  <c r="E11" i="23" s="1"/>
  <c r="E16" i="23" s="1"/>
  <c r="E67" i="23"/>
  <c r="F33" i="26"/>
  <c r="F42" i="26" s="1"/>
  <c r="F33" i="9"/>
  <c r="F42" i="9" s="1"/>
  <c r="E7" i="12"/>
  <c r="E11" i="12" s="1"/>
  <c r="E16" i="12" s="1"/>
  <c r="E17" i="21"/>
  <c r="E67" i="12"/>
  <c r="E93" i="2"/>
  <c r="E97" i="2" s="1"/>
  <c r="E71" i="2"/>
  <c r="E17" i="1"/>
  <c r="E22" i="23"/>
  <c r="E26" i="23" s="1"/>
  <c r="E34" i="23" s="1"/>
  <c r="E22" i="12"/>
  <c r="E26" i="12" s="1"/>
  <c r="E34" i="12" s="1"/>
  <c r="E44" i="9"/>
  <c r="E44" i="26"/>
  <c r="G25" i="18"/>
  <c r="G23" i="18"/>
  <c r="G24" i="18" s="1"/>
  <c r="C92" i="2"/>
  <c r="C95" i="2" s="1"/>
  <c r="C96" i="2"/>
  <c r="C44" i="23"/>
  <c r="C45" i="23" s="1"/>
  <c r="C49" i="23" s="1"/>
  <c r="C55" i="23" s="1"/>
  <c r="C58" i="23" s="1"/>
  <c r="C44" i="12"/>
  <c r="C45" i="12" s="1"/>
  <c r="C49" i="12" s="1"/>
  <c r="C55" i="12" s="1"/>
  <c r="C58" i="12" s="1"/>
  <c r="E45" i="26"/>
  <c r="E45" i="9"/>
  <c r="D96" i="2"/>
  <c r="D92" i="2"/>
  <c r="D95" i="2" s="1"/>
  <c r="D44" i="23"/>
  <c r="D45" i="23" s="1"/>
  <c r="D49" i="23" s="1"/>
  <c r="D55" i="23" s="1"/>
  <c r="D58" i="23" s="1"/>
  <c r="D44" i="12"/>
  <c r="D45" i="12" s="1"/>
  <c r="D49" i="12" s="1"/>
  <c r="D55" i="12" s="1"/>
  <c r="D58" i="12" s="1"/>
  <c r="F44" i="9"/>
  <c r="F44" i="26"/>
  <c r="H18" i="18"/>
  <c r="H19" i="18" s="1"/>
  <c r="H18" i="24"/>
  <c r="H19" i="24" s="1"/>
  <c r="G61" i="2"/>
  <c r="G63" i="2" s="1"/>
  <c r="F69" i="2"/>
  <c r="F64" i="2"/>
  <c r="F8" i="19"/>
  <c r="F88" i="2"/>
  <c r="F90" i="2" s="1"/>
  <c r="F8" i="22"/>
  <c r="F45" i="9"/>
  <c r="F45" i="26"/>
  <c r="D22" i="22"/>
  <c r="D23" i="22" s="1"/>
  <c r="D44" i="22" s="1"/>
  <c r="D22" i="19"/>
  <c r="D23" i="19" s="1"/>
  <c r="D44" i="19" s="1"/>
  <c r="G23" i="24"/>
  <c r="G24" i="24" s="1"/>
  <c r="G25" i="24"/>
  <c r="D33" i="26"/>
  <c r="D42" i="26" s="1"/>
  <c r="D33" i="9"/>
  <c r="D42" i="9" s="1"/>
  <c r="C71" i="2"/>
  <c r="C93" i="2"/>
  <c r="C97" i="2" s="1"/>
  <c r="C70" i="2"/>
  <c r="C22" i="12"/>
  <c r="C26" i="12" s="1"/>
  <c r="C34" i="12" s="1"/>
  <c r="C7" i="23"/>
  <c r="C11" i="23" s="1"/>
  <c r="C16" i="23" s="1"/>
  <c r="C22" i="23"/>
  <c r="C26" i="23" s="1"/>
  <c r="C34" i="23" s="1"/>
  <c r="C67" i="12"/>
  <c r="C68" i="12" s="1"/>
  <c r="C67" i="23"/>
  <c r="C68" i="23" s="1"/>
  <c r="D68" i="23" s="1"/>
  <c r="C66" i="2"/>
  <c r="C67" i="2" s="1"/>
  <c r="D67" i="2" s="1"/>
  <c r="C7" i="12"/>
  <c r="C11" i="12" s="1"/>
  <c r="C16" i="12" s="1"/>
  <c r="C17" i="21"/>
  <c r="C21" i="21" s="1"/>
  <c r="C17" i="1"/>
  <c r="C21" i="1" s="1"/>
  <c r="C22" i="22"/>
  <c r="C23" i="22" s="1"/>
  <c r="C44" i="22" s="1"/>
  <c r="C46" i="22" s="1"/>
  <c r="C22" i="19"/>
  <c r="C23" i="19" s="1"/>
  <c r="C44" i="19" s="1"/>
  <c r="C46" i="19" s="1"/>
  <c r="E92" i="2"/>
  <c r="E95" i="2" s="1"/>
  <c r="E96" i="2"/>
  <c r="E44" i="23"/>
  <c r="E45" i="23" s="1"/>
  <c r="E49" i="23" s="1"/>
  <c r="E55" i="23" s="1"/>
  <c r="E58" i="23" s="1"/>
  <c r="E44" i="12"/>
  <c r="E45" i="12" s="1"/>
  <c r="E49" i="12" s="1"/>
  <c r="E55" i="12" s="1"/>
  <c r="E58" i="12" s="1"/>
  <c r="E22" i="19"/>
  <c r="E23" i="19" s="1"/>
  <c r="E44" i="19" s="1"/>
  <c r="E22" i="22"/>
  <c r="E23" i="22" s="1"/>
  <c r="E44" i="22" s="1"/>
  <c r="C49" i="1" l="1"/>
  <c r="D45" i="19"/>
  <c r="D46" i="19" s="1"/>
  <c r="C49" i="21"/>
  <c r="D45" i="22"/>
  <c r="D46" i="22" s="1"/>
  <c r="F22" i="22"/>
  <c r="F22" i="19"/>
  <c r="F23" i="19" s="1"/>
  <c r="F44" i="19" s="1"/>
  <c r="C33" i="21"/>
  <c r="D15" i="21"/>
  <c r="D21" i="21" s="1"/>
  <c r="D68" i="12"/>
  <c r="F96" i="2"/>
  <c r="F92" i="2"/>
  <c r="F95" i="2" s="1"/>
  <c r="F44" i="23"/>
  <c r="F45" i="23" s="1"/>
  <c r="F49" i="23" s="1"/>
  <c r="F55" i="23" s="1"/>
  <c r="F58" i="23" s="1"/>
  <c r="F44" i="12"/>
  <c r="F45" i="12" s="1"/>
  <c r="F49" i="12" s="1"/>
  <c r="F55" i="12" s="1"/>
  <c r="F58" i="12" s="1"/>
  <c r="G69" i="2"/>
  <c r="G8" i="22"/>
  <c r="G64" i="2"/>
  <c r="G65" i="2" s="1"/>
  <c r="G8" i="19"/>
  <c r="G88" i="2"/>
  <c r="G90" i="2" s="1"/>
  <c r="D35" i="26"/>
  <c r="D35" i="9"/>
  <c r="C33" i="1"/>
  <c r="D29" i="8"/>
  <c r="D33" i="8" s="1"/>
  <c r="D29" i="25"/>
  <c r="D33" i="25" s="1"/>
  <c r="D15" i="1"/>
  <c r="D21" i="1" s="1"/>
  <c r="F23" i="22"/>
  <c r="F44" i="22" s="1"/>
  <c r="F65" i="2"/>
  <c r="H25" i="24"/>
  <c r="H23" i="24"/>
  <c r="H24" i="24" s="1"/>
  <c r="G44" i="9"/>
  <c r="G44" i="26"/>
  <c r="C70" i="23"/>
  <c r="E68" i="23"/>
  <c r="I18" i="24"/>
  <c r="I19" i="24" s="1"/>
  <c r="I18" i="18"/>
  <c r="I19" i="18" s="1"/>
  <c r="H61" i="2"/>
  <c r="H63" i="2" s="1"/>
  <c r="E67" i="2"/>
  <c r="H23" i="18"/>
  <c r="H24" i="18" s="1"/>
  <c r="H25" i="18"/>
  <c r="G45" i="9"/>
  <c r="G45" i="26"/>
  <c r="H69" i="2" l="1"/>
  <c r="H8" i="22"/>
  <c r="H64" i="2"/>
  <c r="H88" i="2"/>
  <c r="H90" i="2" s="1"/>
  <c r="H8" i="19"/>
  <c r="D41" i="9"/>
  <c r="D41" i="26"/>
  <c r="G67" i="12"/>
  <c r="G67" i="23"/>
  <c r="G22" i="23"/>
  <c r="G26" i="23" s="1"/>
  <c r="G34" i="23" s="1"/>
  <c r="H33" i="26"/>
  <c r="H42" i="26" s="1"/>
  <c r="G70" i="2"/>
  <c r="G17" i="1"/>
  <c r="G17" i="21"/>
  <c r="G71" i="2"/>
  <c r="G66" i="2"/>
  <c r="G7" i="12"/>
  <c r="G11" i="12" s="1"/>
  <c r="G16" i="12" s="1"/>
  <c r="G7" i="23"/>
  <c r="G11" i="23" s="1"/>
  <c r="G16" i="23" s="1"/>
  <c r="G93" i="2"/>
  <c r="G97" i="2" s="1"/>
  <c r="H33" i="9"/>
  <c r="H42" i="9" s="1"/>
  <c r="G22" i="12"/>
  <c r="G26" i="12" s="1"/>
  <c r="G34" i="12" s="1"/>
  <c r="D49" i="21"/>
  <c r="E45" i="22"/>
  <c r="E46" i="22" s="1"/>
  <c r="H45" i="9"/>
  <c r="H45" i="26"/>
  <c r="I25" i="18"/>
  <c r="I23" i="18"/>
  <c r="I24" i="18" s="1"/>
  <c r="G92" i="2"/>
  <c r="G95" i="2" s="1"/>
  <c r="G96" i="2"/>
  <c r="G44" i="12"/>
  <c r="G45" i="12" s="1"/>
  <c r="G49" i="12" s="1"/>
  <c r="G55" i="12" s="1"/>
  <c r="G58" i="12" s="1"/>
  <c r="G44" i="23"/>
  <c r="G45" i="23" s="1"/>
  <c r="G49" i="23" s="1"/>
  <c r="G55" i="23" s="1"/>
  <c r="G58" i="23" s="1"/>
  <c r="C56" i="21"/>
  <c r="C57" i="21" s="1"/>
  <c r="C51" i="21"/>
  <c r="C52" i="21" s="1"/>
  <c r="H44" i="9"/>
  <c r="H44" i="26"/>
  <c r="I25" i="24"/>
  <c r="I23" i="24"/>
  <c r="I24" i="24" s="1"/>
  <c r="E35" i="9"/>
  <c r="E35" i="26"/>
  <c r="E29" i="8"/>
  <c r="E33" i="8" s="1"/>
  <c r="E29" i="25"/>
  <c r="E33" i="25" s="1"/>
  <c r="D33" i="1"/>
  <c r="E15" i="1"/>
  <c r="E21" i="1" s="1"/>
  <c r="C70" i="12"/>
  <c r="E68" i="12"/>
  <c r="D49" i="1"/>
  <c r="E45" i="19"/>
  <c r="E46" i="19" s="1"/>
  <c r="J18" i="24"/>
  <c r="J19" i="24" s="1"/>
  <c r="J18" i="18"/>
  <c r="J19" i="18" s="1"/>
  <c r="I61" i="2"/>
  <c r="I63" i="2" s="1"/>
  <c r="F70" i="2"/>
  <c r="F17" i="1"/>
  <c r="F7" i="23"/>
  <c r="F11" i="23" s="1"/>
  <c r="F16" i="23" s="1"/>
  <c r="G33" i="9"/>
  <c r="G42" i="9" s="1"/>
  <c r="F67" i="23"/>
  <c r="F68" i="23" s="1"/>
  <c r="G68" i="23" s="1"/>
  <c r="F66" i="2"/>
  <c r="F67" i="2" s="1"/>
  <c r="F67" i="12"/>
  <c r="F93" i="2"/>
  <c r="F97" i="2" s="1"/>
  <c r="G33" i="26"/>
  <c r="G42" i="26" s="1"/>
  <c r="F17" i="21"/>
  <c r="F71" i="2"/>
  <c r="F7" i="12"/>
  <c r="F11" i="12" s="1"/>
  <c r="F16" i="12" s="1"/>
  <c r="F22" i="23"/>
  <c r="F26" i="23" s="1"/>
  <c r="F34" i="23" s="1"/>
  <c r="F22" i="12"/>
  <c r="F26" i="12" s="1"/>
  <c r="F34" i="12" s="1"/>
  <c r="G22" i="22"/>
  <c r="G23" i="22" s="1"/>
  <c r="G44" i="22" s="1"/>
  <c r="G22" i="19"/>
  <c r="G23" i="19" s="1"/>
  <c r="G44" i="19" s="1"/>
  <c r="D33" i="21"/>
  <c r="E15" i="21"/>
  <c r="E21" i="21" s="1"/>
  <c r="C51" i="1"/>
  <c r="C52" i="1" s="1"/>
  <c r="D11" i="8"/>
  <c r="D13" i="8" s="1"/>
  <c r="D19" i="9"/>
  <c r="D21" i="9" s="1"/>
  <c r="C56" i="1"/>
  <c r="C57" i="1" s="1"/>
  <c r="D19" i="26"/>
  <c r="D21" i="26" s="1"/>
  <c r="D11" i="25"/>
  <c r="D13" i="25" s="1"/>
  <c r="G67" i="2" l="1"/>
  <c r="F68" i="12"/>
  <c r="G68" i="12" s="1"/>
  <c r="I44" i="9"/>
  <c r="I44" i="26"/>
  <c r="H92" i="2"/>
  <c r="H95" i="2" s="1"/>
  <c r="H96" i="2"/>
  <c r="H44" i="12"/>
  <c r="H45" i="12" s="1"/>
  <c r="H49" i="12" s="1"/>
  <c r="H55" i="12" s="1"/>
  <c r="H58" i="12" s="1"/>
  <c r="H44" i="23"/>
  <c r="H45" i="23" s="1"/>
  <c r="H49" i="23" s="1"/>
  <c r="H55" i="23" s="1"/>
  <c r="H58" i="23" s="1"/>
  <c r="D20" i="25"/>
  <c r="D22" i="25"/>
  <c r="D22" i="26"/>
  <c r="D23" i="26" s="1"/>
  <c r="I45" i="9"/>
  <c r="I45" i="26"/>
  <c r="H22" i="22"/>
  <c r="H22" i="19"/>
  <c r="H23" i="19" s="1"/>
  <c r="H44" i="19" s="1"/>
  <c r="D22" i="8"/>
  <c r="D36" i="26"/>
  <c r="D20" i="8"/>
  <c r="D36" i="9"/>
  <c r="K18" i="24"/>
  <c r="K19" i="24" s="1"/>
  <c r="K18" i="18"/>
  <c r="K19" i="18" s="1"/>
  <c r="J61" i="2"/>
  <c r="J63" i="2" s="1"/>
  <c r="E49" i="1"/>
  <c r="F45" i="19"/>
  <c r="F46" i="19" s="1"/>
  <c r="E41" i="26"/>
  <c r="E41" i="9"/>
  <c r="D51" i="21"/>
  <c r="D52" i="21" s="1"/>
  <c r="D53" i="21" s="1"/>
  <c r="D56" i="21"/>
  <c r="D57" i="21" s="1"/>
  <c r="H65" i="2"/>
  <c r="H23" i="22"/>
  <c r="H44" i="22" s="1"/>
  <c r="J25" i="18"/>
  <c r="J23" i="18"/>
  <c r="J24" i="18" s="1"/>
  <c r="J25" i="24"/>
  <c r="J23" i="24"/>
  <c r="J24" i="24" s="1"/>
  <c r="E49" i="21"/>
  <c r="F45" i="22"/>
  <c r="F46" i="22" s="1"/>
  <c r="E33" i="21"/>
  <c r="F15" i="21"/>
  <c r="F21" i="21" s="1"/>
  <c r="D22" i="9"/>
  <c r="D23" i="9" s="1"/>
  <c r="I69" i="2"/>
  <c r="I64" i="2"/>
  <c r="I65" i="2" s="1"/>
  <c r="I8" i="19"/>
  <c r="I8" i="22"/>
  <c r="I88" i="2"/>
  <c r="I90" i="2" s="1"/>
  <c r="D56" i="1"/>
  <c r="D57" i="1" s="1"/>
  <c r="D51" i="1"/>
  <c r="D52" i="1" s="1"/>
  <c r="D53" i="1" s="1"/>
  <c r="E19" i="9"/>
  <c r="E21" i="9" s="1"/>
  <c r="E11" i="25"/>
  <c r="E13" i="25" s="1"/>
  <c r="E19" i="26"/>
  <c r="E21" i="26" s="1"/>
  <c r="E11" i="8"/>
  <c r="E13" i="8" s="1"/>
  <c r="F35" i="9"/>
  <c r="F35" i="26"/>
  <c r="E33" i="1"/>
  <c r="F15" i="1"/>
  <c r="F21" i="1" s="1"/>
  <c r="F29" i="8"/>
  <c r="F33" i="8" s="1"/>
  <c r="F29" i="25"/>
  <c r="F33" i="25" s="1"/>
  <c r="F41" i="26" l="1"/>
  <c r="F41" i="9"/>
  <c r="E22" i="9"/>
  <c r="E23" i="9" s="1"/>
  <c r="J44" i="9"/>
  <c r="J44" i="26"/>
  <c r="H17" i="21"/>
  <c r="H70" i="2"/>
  <c r="H66" i="2"/>
  <c r="H67" i="2" s="1"/>
  <c r="I33" i="26"/>
  <c r="I42" i="26" s="1"/>
  <c r="H7" i="12"/>
  <c r="H11" i="12" s="1"/>
  <c r="H16" i="12" s="1"/>
  <c r="H67" i="12"/>
  <c r="H68" i="12" s="1"/>
  <c r="H67" i="23"/>
  <c r="H68" i="23" s="1"/>
  <c r="H17" i="1"/>
  <c r="H71" i="2"/>
  <c r="I33" i="9"/>
  <c r="I42" i="9" s="1"/>
  <c r="H93" i="2"/>
  <c r="H97" i="2" s="1"/>
  <c r="H22" i="12"/>
  <c r="H26" i="12" s="1"/>
  <c r="H34" i="12" s="1"/>
  <c r="H22" i="23"/>
  <c r="H26" i="23" s="1"/>
  <c r="H34" i="23" s="1"/>
  <c r="H7" i="23"/>
  <c r="H11" i="23" s="1"/>
  <c r="H16" i="23" s="1"/>
  <c r="G35" i="26"/>
  <c r="G35" i="9"/>
  <c r="G29" i="25"/>
  <c r="G33" i="25" s="1"/>
  <c r="G29" i="8"/>
  <c r="G33" i="8" s="1"/>
  <c r="F33" i="1"/>
  <c r="G15" i="1"/>
  <c r="G21" i="1" s="1"/>
  <c r="I67" i="12"/>
  <c r="I17" i="1"/>
  <c r="I7" i="23"/>
  <c r="I11" i="23" s="1"/>
  <c r="I16" i="23" s="1"/>
  <c r="I67" i="23"/>
  <c r="I7" i="12"/>
  <c r="I11" i="12" s="1"/>
  <c r="I16" i="12" s="1"/>
  <c r="I17" i="21"/>
  <c r="I66" i="2"/>
  <c r="J33" i="9"/>
  <c r="J42" i="9" s="1"/>
  <c r="I70" i="2"/>
  <c r="I71" i="2"/>
  <c r="I22" i="23"/>
  <c r="I26" i="23" s="1"/>
  <c r="I34" i="23" s="1"/>
  <c r="J33" i="26"/>
  <c r="J42" i="26" s="1"/>
  <c r="I93" i="2"/>
  <c r="I97" i="2" s="1"/>
  <c r="I22" i="12"/>
  <c r="I26" i="12" s="1"/>
  <c r="I34" i="12" s="1"/>
  <c r="G15" i="21"/>
  <c r="G21" i="21" s="1"/>
  <c r="F33" i="21"/>
  <c r="J45" i="9"/>
  <c r="J45" i="26"/>
  <c r="F49" i="1"/>
  <c r="G45" i="19"/>
  <c r="G46" i="19" s="1"/>
  <c r="K23" i="24"/>
  <c r="K24" i="24" s="1"/>
  <c r="K25" i="24"/>
  <c r="D38" i="9"/>
  <c r="D38" i="26"/>
  <c r="E22" i="26"/>
  <c r="E23" i="26" s="1"/>
  <c r="E51" i="1"/>
  <c r="E52" i="1" s="1"/>
  <c r="E53" i="1" s="1"/>
  <c r="E56" i="1"/>
  <c r="E57" i="1" s="1"/>
  <c r="F11" i="25"/>
  <c r="F13" i="25" s="1"/>
  <c r="F11" i="8"/>
  <c r="F13" i="8" s="1"/>
  <c r="F19" i="9"/>
  <c r="F21" i="9" s="1"/>
  <c r="F19" i="26"/>
  <c r="F21" i="26" s="1"/>
  <c r="E56" i="21"/>
  <c r="E57" i="21" s="1"/>
  <c r="E51" i="21"/>
  <c r="E52" i="21" s="1"/>
  <c r="E53" i="21" s="1"/>
  <c r="K23" i="18"/>
  <c r="K24" i="18" s="1"/>
  <c r="K25" i="18"/>
  <c r="E36" i="26"/>
  <c r="E36" i="9"/>
  <c r="E20" i="8"/>
  <c r="E22" i="8"/>
  <c r="E22" i="25"/>
  <c r="E20" i="25"/>
  <c r="E21" i="25" s="1"/>
  <c r="I92" i="2"/>
  <c r="I95" i="2" s="1"/>
  <c r="I96" i="2"/>
  <c r="I44" i="23"/>
  <c r="I45" i="23" s="1"/>
  <c r="I49" i="23" s="1"/>
  <c r="I55" i="23" s="1"/>
  <c r="I58" i="23" s="1"/>
  <c r="I44" i="12"/>
  <c r="I45" i="12" s="1"/>
  <c r="I49" i="12" s="1"/>
  <c r="I55" i="12" s="1"/>
  <c r="I58" i="12" s="1"/>
  <c r="I22" i="19"/>
  <c r="I23" i="19" s="1"/>
  <c r="I44" i="19" s="1"/>
  <c r="I22" i="22"/>
  <c r="I23" i="22" s="1"/>
  <c r="I44" i="22" s="1"/>
  <c r="G45" i="22"/>
  <c r="G46" i="22" s="1"/>
  <c r="F49" i="21"/>
  <c r="J69" i="2"/>
  <c r="J8" i="22"/>
  <c r="J8" i="19"/>
  <c r="J64" i="2"/>
  <c r="J65" i="2" s="1"/>
  <c r="J88" i="2"/>
  <c r="J90" i="2" s="1"/>
  <c r="D40" i="9"/>
  <c r="D40" i="26"/>
  <c r="I68" i="23" l="1"/>
  <c r="J71" i="2"/>
  <c r="J17" i="1"/>
  <c r="J70" i="2"/>
  <c r="J66" i="2"/>
  <c r="J22" i="23"/>
  <c r="J26" i="23" s="1"/>
  <c r="J22" i="12"/>
  <c r="J26" i="12" s="1"/>
  <c r="J67" i="23"/>
  <c r="J7" i="23"/>
  <c r="J11" i="23" s="1"/>
  <c r="J17" i="21"/>
  <c r="J67" i="12"/>
  <c r="J93" i="2"/>
  <c r="J97" i="2" s="1"/>
  <c r="K33" i="26"/>
  <c r="K42" i="26" s="1"/>
  <c r="K33" i="9"/>
  <c r="K42" i="9" s="1"/>
  <c r="J7" i="12"/>
  <c r="J11" i="12" s="1"/>
  <c r="K45" i="9"/>
  <c r="K45" i="26"/>
  <c r="G33" i="21"/>
  <c r="H15" i="21"/>
  <c r="H21" i="21" s="1"/>
  <c r="I67" i="2"/>
  <c r="E38" i="9"/>
  <c r="E21" i="8"/>
  <c r="E38" i="26"/>
  <c r="K44" i="26"/>
  <c r="K44" i="9"/>
  <c r="F22" i="26"/>
  <c r="F23" i="26" s="1"/>
  <c r="G41" i="9"/>
  <c r="G41" i="26"/>
  <c r="C18" i="23"/>
  <c r="I68" i="12"/>
  <c r="F51" i="1"/>
  <c r="F52" i="1" s="1"/>
  <c r="F53" i="1" s="1"/>
  <c r="G11" i="8"/>
  <c r="G13" i="8" s="1"/>
  <c r="G19" i="9"/>
  <c r="G21" i="9" s="1"/>
  <c r="G19" i="26"/>
  <c r="G21" i="26" s="1"/>
  <c r="F56" i="1"/>
  <c r="F57" i="1" s="1"/>
  <c r="G11" i="25"/>
  <c r="G13" i="25" s="1"/>
  <c r="F51" i="21"/>
  <c r="F52" i="21" s="1"/>
  <c r="F53" i="21" s="1"/>
  <c r="F56" i="21"/>
  <c r="F57" i="21" s="1"/>
  <c r="G49" i="21"/>
  <c r="H45" i="22"/>
  <c r="H46" i="22" s="1"/>
  <c r="F22" i="9"/>
  <c r="F23" i="9" s="1"/>
  <c r="C36" i="23"/>
  <c r="C18" i="12"/>
  <c r="E40" i="9"/>
  <c r="E40" i="26"/>
  <c r="F22" i="25"/>
  <c r="F20" i="25"/>
  <c r="F21" i="25" s="1"/>
  <c r="J22" i="22"/>
  <c r="J23" i="22" s="1"/>
  <c r="J44" i="22" s="1"/>
  <c r="J22" i="19"/>
  <c r="J23" i="19" s="1"/>
  <c r="J44" i="19" s="1"/>
  <c r="J96" i="2"/>
  <c r="J92" i="2"/>
  <c r="J95" i="2" s="1"/>
  <c r="J44" i="12"/>
  <c r="J45" i="12" s="1"/>
  <c r="J49" i="12" s="1"/>
  <c r="J55" i="12" s="1"/>
  <c r="J58" i="12" s="1"/>
  <c r="C60" i="12" s="1"/>
  <c r="J44" i="23"/>
  <c r="J45" i="23" s="1"/>
  <c r="J49" i="23" s="1"/>
  <c r="J55" i="23" s="1"/>
  <c r="J58" i="23" s="1"/>
  <c r="C59" i="23" s="1"/>
  <c r="F36" i="26"/>
  <c r="F36" i="9"/>
  <c r="F22" i="8"/>
  <c r="F20" i="8"/>
  <c r="G49" i="1"/>
  <c r="H45" i="19"/>
  <c r="H46" i="19" s="1"/>
  <c r="H35" i="26"/>
  <c r="H35" i="9"/>
  <c r="H29" i="25"/>
  <c r="H33" i="25" s="1"/>
  <c r="H29" i="8"/>
  <c r="H33" i="8" s="1"/>
  <c r="H15" i="1"/>
  <c r="H21" i="1" s="1"/>
  <c r="G33" i="1"/>
  <c r="C36" i="12"/>
  <c r="J67" i="2" l="1"/>
  <c r="J68" i="23"/>
  <c r="J68" i="12"/>
  <c r="C59" i="12"/>
  <c r="G22" i="26"/>
  <c r="G23" i="26" s="1"/>
  <c r="H49" i="21"/>
  <c r="I45" i="22"/>
  <c r="I46" i="22" s="1"/>
  <c r="G22" i="9"/>
  <c r="G23" i="9" s="1"/>
  <c r="H33" i="21"/>
  <c r="I15" i="21"/>
  <c r="I21" i="21" s="1"/>
  <c r="H33" i="1"/>
  <c r="I29" i="25"/>
  <c r="I33" i="25" s="1"/>
  <c r="I35" i="9"/>
  <c r="I35" i="26"/>
  <c r="I29" i="8"/>
  <c r="I33" i="8" s="1"/>
  <c r="I15" i="1"/>
  <c r="I21" i="1" s="1"/>
  <c r="F38" i="9"/>
  <c r="F38" i="26"/>
  <c r="F21" i="8"/>
  <c r="H41" i="26"/>
  <c r="H41" i="9"/>
  <c r="F40" i="26"/>
  <c r="F40" i="9"/>
  <c r="C60" i="23"/>
  <c r="G51" i="21"/>
  <c r="G52" i="21" s="1"/>
  <c r="G53" i="21" s="1"/>
  <c r="G56" i="21"/>
  <c r="G57" i="21" s="1"/>
  <c r="G22" i="25"/>
  <c r="G20" i="25"/>
  <c r="G21" i="25" s="1"/>
  <c r="G36" i="9"/>
  <c r="G36" i="26"/>
  <c r="G22" i="8"/>
  <c r="G20" i="8"/>
  <c r="G51" i="1"/>
  <c r="G52" i="1" s="1"/>
  <c r="G53" i="1" s="1"/>
  <c r="G56" i="1"/>
  <c r="G57" i="1" s="1"/>
  <c r="H19" i="26"/>
  <c r="H21" i="26" s="1"/>
  <c r="H19" i="9"/>
  <c r="H21" i="9" s="1"/>
  <c r="H11" i="25"/>
  <c r="H13" i="25" s="1"/>
  <c r="H11" i="8"/>
  <c r="H13" i="8" s="1"/>
  <c r="H49" i="1"/>
  <c r="I45" i="19"/>
  <c r="I46" i="19" s="1"/>
  <c r="H22" i="26" l="1"/>
  <c r="H23" i="26" s="1"/>
  <c r="H36" i="26"/>
  <c r="H36" i="9"/>
  <c r="H22" i="8"/>
  <c r="H20" i="8"/>
  <c r="G40" i="9"/>
  <c r="G40" i="26"/>
  <c r="J35" i="26"/>
  <c r="J29" i="25"/>
  <c r="J33" i="25" s="1"/>
  <c r="J29" i="8"/>
  <c r="J33" i="8" s="1"/>
  <c r="J15" i="1"/>
  <c r="J21" i="1" s="1"/>
  <c r="J35" i="9"/>
  <c r="I33" i="1"/>
  <c r="H22" i="25"/>
  <c r="H20" i="25"/>
  <c r="H21" i="25" s="1"/>
  <c r="I41" i="26"/>
  <c r="I41" i="9"/>
  <c r="H51" i="1"/>
  <c r="H52" i="1" s="1"/>
  <c r="H53" i="1" s="1"/>
  <c r="H56" i="1"/>
  <c r="H57" i="1" s="1"/>
  <c r="I11" i="25"/>
  <c r="I13" i="25" s="1"/>
  <c r="I11" i="8"/>
  <c r="I13" i="8" s="1"/>
  <c r="I19" i="9"/>
  <c r="I21" i="9" s="1"/>
  <c r="I19" i="26"/>
  <c r="I21" i="26" s="1"/>
  <c r="G38" i="26"/>
  <c r="G38" i="9"/>
  <c r="G21" i="8"/>
  <c r="J45" i="19"/>
  <c r="J46" i="19" s="1"/>
  <c r="J49" i="1" s="1"/>
  <c r="I49" i="1"/>
  <c r="H22" i="9"/>
  <c r="H23" i="9" s="1"/>
  <c r="I33" i="21"/>
  <c r="J15" i="21"/>
  <c r="J21" i="21" s="1"/>
  <c r="J33" i="21" s="1"/>
  <c r="J45" i="22"/>
  <c r="J46" i="22" s="1"/>
  <c r="J49" i="21" s="1"/>
  <c r="I49" i="21"/>
  <c r="H51" i="21"/>
  <c r="H52" i="21" s="1"/>
  <c r="H53" i="21" s="1"/>
  <c r="H56" i="21"/>
  <c r="H57" i="21" s="1"/>
  <c r="K35" i="26" l="1"/>
  <c r="K35" i="9"/>
  <c r="J33" i="1"/>
  <c r="K29" i="8"/>
  <c r="K33" i="8" s="1"/>
  <c r="K29" i="25"/>
  <c r="K33" i="25" s="1"/>
  <c r="D34" i="25" s="1"/>
  <c r="H21" i="8"/>
  <c r="H38" i="26"/>
  <c r="H38" i="9"/>
  <c r="I51" i="1"/>
  <c r="I52" i="1" s="1"/>
  <c r="I53" i="1" s="1"/>
  <c r="J19" i="9"/>
  <c r="J21" i="9" s="1"/>
  <c r="I56" i="1"/>
  <c r="I57" i="1" s="1"/>
  <c r="J11" i="8"/>
  <c r="J13" i="8" s="1"/>
  <c r="J11" i="25"/>
  <c r="J13" i="25" s="1"/>
  <c r="J19" i="26"/>
  <c r="J21" i="26" s="1"/>
  <c r="I36" i="9"/>
  <c r="I36" i="26"/>
  <c r="I22" i="8"/>
  <c r="I20" i="8"/>
  <c r="J51" i="1"/>
  <c r="J56" i="1"/>
  <c r="J57" i="1" s="1"/>
  <c r="K11" i="8"/>
  <c r="K13" i="8" s="1"/>
  <c r="K19" i="9"/>
  <c r="K21" i="9" s="1"/>
  <c r="K19" i="26"/>
  <c r="K21" i="26" s="1"/>
  <c r="K11" i="25"/>
  <c r="K13" i="25" s="1"/>
  <c r="I22" i="25"/>
  <c r="I20" i="25"/>
  <c r="I21" i="25" s="1"/>
  <c r="J41" i="26"/>
  <c r="J41" i="9"/>
  <c r="I51" i="21"/>
  <c r="I52" i="21" s="1"/>
  <c r="I53" i="21" s="1"/>
  <c r="I56" i="21"/>
  <c r="I57" i="21" s="1"/>
  <c r="I22" i="26"/>
  <c r="I23" i="26" s="1"/>
  <c r="J51" i="21"/>
  <c r="J52" i="21" s="1"/>
  <c r="J53" i="21" s="1"/>
  <c r="J56" i="21"/>
  <c r="J57" i="21" s="1"/>
  <c r="I22" i="9"/>
  <c r="I23" i="9" s="1"/>
  <c r="H40" i="9"/>
  <c r="H40" i="26"/>
  <c r="J22" i="26" l="1"/>
  <c r="J23" i="26" s="1"/>
  <c r="K41" i="9"/>
  <c r="K41" i="26"/>
  <c r="D34" i="8"/>
  <c r="K36" i="9"/>
  <c r="K36" i="26"/>
  <c r="K20" i="8"/>
  <c r="K22" i="8"/>
  <c r="I40" i="9"/>
  <c r="I40" i="26"/>
  <c r="J22" i="25"/>
  <c r="J20" i="25"/>
  <c r="J21" i="25" s="1"/>
  <c r="J52" i="1"/>
  <c r="J53" i="1" s="1"/>
  <c r="I38" i="26"/>
  <c r="I38" i="9"/>
  <c r="I21" i="8"/>
  <c r="K20" i="25"/>
  <c r="K22" i="25"/>
  <c r="J20" i="8"/>
  <c r="J36" i="26"/>
  <c r="J22" i="8"/>
  <c r="J36" i="9"/>
  <c r="K22" i="9"/>
  <c r="K23" i="9" s="1"/>
  <c r="J22" i="9"/>
  <c r="J23" i="9" s="1"/>
  <c r="K22" i="26"/>
  <c r="K23" i="26" s="1"/>
  <c r="C24" i="8" l="1"/>
  <c r="C24" i="25"/>
  <c r="K21" i="25"/>
  <c r="J40" i="9"/>
  <c r="J40" i="26"/>
  <c r="K38" i="26"/>
  <c r="K21" i="8"/>
  <c r="K38" i="9"/>
  <c r="J38" i="9"/>
  <c r="J38" i="26"/>
  <c r="J21" i="8"/>
  <c r="K40" i="26"/>
  <c r="K40"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<sst xmlns="http://schemas.openxmlformats.org/spreadsheetml/2006/main" count="1067" uniqueCount="493">
  <si>
    <t>Particulars</t>
  </si>
  <si>
    <t>Sundry Creditors</t>
  </si>
  <si>
    <t>Assets</t>
  </si>
  <si>
    <t>Fixed assets</t>
  </si>
  <si>
    <t>Inventories</t>
  </si>
  <si>
    <t>Sundry Debtors</t>
  </si>
  <si>
    <t>Total</t>
  </si>
  <si>
    <t>Projected Balance Sheet as on</t>
  </si>
  <si>
    <t>Projected Profit &amp; Loss A/c for the Year ending</t>
  </si>
  <si>
    <t>Depreciation</t>
  </si>
  <si>
    <t>Total (A)</t>
  </si>
  <si>
    <t>Total (B)</t>
  </si>
  <si>
    <t>Income:</t>
  </si>
  <si>
    <t>Expenditure:</t>
  </si>
  <si>
    <t>Opening Balance</t>
  </si>
  <si>
    <t>Closing Stock</t>
  </si>
  <si>
    <t>Interior works for shop</t>
  </si>
  <si>
    <t>computers</t>
  </si>
  <si>
    <t>PROJECT COST DETAILS</t>
  </si>
  <si>
    <t>Cost of Project</t>
  </si>
  <si>
    <t>Means of Finance</t>
  </si>
  <si>
    <t>Year</t>
  </si>
  <si>
    <t>FY 2022-23</t>
  </si>
  <si>
    <t>Closing Balance</t>
  </si>
  <si>
    <t>Calculation of Current Ratio</t>
  </si>
  <si>
    <t>Current Assets</t>
  </si>
  <si>
    <t>Stock in trade</t>
  </si>
  <si>
    <t>Current Liabilities</t>
  </si>
  <si>
    <t>Net Working Capital</t>
  </si>
  <si>
    <t>Current Ratio</t>
  </si>
  <si>
    <t>Average Current Ratio</t>
  </si>
  <si>
    <t>Building</t>
  </si>
  <si>
    <t>Addition  during the year :</t>
  </si>
  <si>
    <t xml:space="preserve">Total  gross value </t>
  </si>
  <si>
    <t>Financial year</t>
  </si>
  <si>
    <t>Projected Bank borrowing ( CC loan)</t>
  </si>
  <si>
    <t>Loan (feasible/ unfeasible)</t>
  </si>
  <si>
    <t>Feasible</t>
  </si>
  <si>
    <t>Assessment of limits as per turnover method:</t>
  </si>
  <si>
    <t>Actual/Projected Turnover(APT)</t>
  </si>
  <si>
    <t>25% of APT(Working Capital Gap)</t>
  </si>
  <si>
    <t>5% of APT (Margin Money from the borrower) [A]</t>
  </si>
  <si>
    <t>MPBF(Maximum Permissible Bank Finance) i.e, 20% APT</t>
  </si>
  <si>
    <t>Ratios of Firm:</t>
  </si>
  <si>
    <t>Sales</t>
  </si>
  <si>
    <t>Net worth</t>
  </si>
  <si>
    <t>Net Current Assets</t>
  </si>
  <si>
    <t>Fixed Assets</t>
  </si>
  <si>
    <t xml:space="preserve">Debt equity ratio </t>
  </si>
  <si>
    <t>A</t>
  </si>
  <si>
    <t>B</t>
  </si>
  <si>
    <t>C</t>
  </si>
  <si>
    <t>E</t>
  </si>
  <si>
    <t>D</t>
  </si>
  <si>
    <t>Profit or Loss (C=A-B)</t>
  </si>
  <si>
    <t>Depreciation @15%</t>
  </si>
  <si>
    <t>Debt Equity Ratio</t>
  </si>
  <si>
    <t>Closing Capital(A)</t>
  </si>
  <si>
    <t>Credit Monitoring Arrangement report:</t>
  </si>
  <si>
    <t xml:space="preserve">Plant and Machinery purchased on or befor 3rd october </t>
  </si>
  <si>
    <t xml:space="preserve">Plant and Machinery purchased after 3rd october </t>
  </si>
  <si>
    <t>Interest expeses on Term Loan</t>
  </si>
  <si>
    <t>TERM LOAN REPAYMENT REPAYMENT SCHEDULE:</t>
  </si>
  <si>
    <t>YEAR</t>
  </si>
  <si>
    <t>MONTH</t>
  </si>
  <si>
    <t>Principal</t>
  </si>
  <si>
    <t>Interest</t>
  </si>
  <si>
    <t>Total Payment</t>
  </si>
  <si>
    <t>Balance</t>
  </si>
  <si>
    <t>(A)</t>
  </si>
  <si>
    <t>(B)</t>
  </si>
  <si>
    <t>(A + B)</t>
  </si>
  <si>
    <t xml:space="preserve"> Principle served</t>
  </si>
  <si>
    <t>Interest served</t>
  </si>
  <si>
    <t>Total Served</t>
  </si>
  <si>
    <t>Term Loan(B)</t>
  </si>
  <si>
    <t>Years</t>
  </si>
  <si>
    <t>Calculation Of Debt Service Coverage Ratio</t>
  </si>
  <si>
    <t>Add: Depreciation</t>
  </si>
  <si>
    <t>Add: Interest On Term Loan</t>
  </si>
  <si>
    <t>Total Principal and interest to be Served (b)</t>
  </si>
  <si>
    <t>Debt Service Coverage Ratio</t>
  </si>
  <si>
    <t>Average DSCR</t>
  </si>
  <si>
    <t>Investment in the Project</t>
  </si>
  <si>
    <t>Investment In Project :</t>
  </si>
  <si>
    <t>Plant and Machinery</t>
  </si>
  <si>
    <t>Debt Equity Ratio(C/A)</t>
  </si>
  <si>
    <t>PROJECT AT A GLANCE</t>
  </si>
  <si>
    <t>Name of the beneficiary</t>
  </si>
  <si>
    <t>Location of the unit</t>
  </si>
  <si>
    <t>Name &amp; Address of the Entrepreneur</t>
  </si>
  <si>
    <t>Product Line</t>
  </si>
  <si>
    <t>Educational Qualification</t>
  </si>
  <si>
    <t>Project Cost</t>
  </si>
  <si>
    <t>Employment</t>
  </si>
  <si>
    <t>Means of Finance (Term Loan)</t>
  </si>
  <si>
    <t>Type of Project</t>
  </si>
  <si>
    <t>Year-1</t>
  </si>
  <si>
    <t>Year-2</t>
  </si>
  <si>
    <t>Year-3</t>
  </si>
  <si>
    <t>Year-4</t>
  </si>
  <si>
    <t>Year-5</t>
  </si>
  <si>
    <t>Year-6</t>
  </si>
  <si>
    <t>Year-7</t>
  </si>
  <si>
    <t>Corrugated Boxes</t>
  </si>
  <si>
    <t>Land</t>
  </si>
  <si>
    <t>Total Plant &amp; Machinary</t>
  </si>
  <si>
    <t>TOTAL COST OF THE PROJECT</t>
  </si>
  <si>
    <t>Means of Finance (Working Capital Loan)</t>
  </si>
  <si>
    <t>COMPUTATION OF MANUFACTURING OF CORRUGATED BOXES</t>
  </si>
  <si>
    <t>Items to be Manufactured</t>
  </si>
  <si>
    <t>Manufacturing Capacity</t>
  </si>
  <si>
    <t>No. of Working Hour</t>
  </si>
  <si>
    <t>No of Working Days per month</t>
  </si>
  <si>
    <t>No. of Working Day per annum</t>
  </si>
  <si>
    <t>Capacity Utilisation</t>
  </si>
  <si>
    <t>IST YEAR</t>
  </si>
  <si>
    <t>IIND YEAR</t>
  </si>
  <si>
    <t>IIIRD YEAR</t>
  </si>
  <si>
    <t>IVTH YEAR</t>
  </si>
  <si>
    <t>VTH YEAR</t>
  </si>
  <si>
    <t>VITH YEAR</t>
  </si>
  <si>
    <t>VIITH YEAR</t>
  </si>
  <si>
    <t>COMPUTATION OF RAW MATERIAL</t>
  </si>
  <si>
    <t>Raw Material Consumed</t>
  </si>
  <si>
    <t>Amount (Rs.)</t>
  </si>
  <si>
    <t>COMPUTATION OF SALE</t>
  </si>
  <si>
    <t>Sale</t>
  </si>
  <si>
    <t>COMPUTATION OF CLOSING STOCK &amp; WORKING CAPITAL</t>
  </si>
  <si>
    <t>COMPUTATION OF WORKING CAPITAL REQUIREMENT</t>
  </si>
  <si>
    <t>Total (Amount)</t>
  </si>
  <si>
    <t>Stock in Hand</t>
  </si>
  <si>
    <t>Working Capital Requirement</t>
  </si>
  <si>
    <t>Margin @10%</t>
  </si>
  <si>
    <t>Working Capital Finance</t>
  </si>
  <si>
    <t>Sale Price Per kg</t>
  </si>
  <si>
    <t>2460 kg per day</t>
  </si>
  <si>
    <t>Total Production per Annum (in kg)</t>
  </si>
  <si>
    <t>Sheet Production per Annum (in kg)</t>
  </si>
  <si>
    <t>Raw material cost per kg</t>
  </si>
  <si>
    <t>Op Stock (in kg)</t>
  </si>
  <si>
    <t>Production (in kg)</t>
  </si>
  <si>
    <t>Less : Closing Stock (in kg)</t>
  </si>
  <si>
    <t>Net Sale (in kg)</t>
  </si>
  <si>
    <t>Finished Goods (30 Days requirement) in value</t>
  </si>
  <si>
    <t>Raw Material (30 Days requirement) in value</t>
  </si>
  <si>
    <t xml:space="preserve">    a) Plant and Machinery</t>
  </si>
  <si>
    <t>CC Loan</t>
  </si>
  <si>
    <t>PROFIT (After Tax)</t>
  </si>
  <si>
    <t>Net Profit  After Tax</t>
  </si>
  <si>
    <t>Total current Assets[A]</t>
  </si>
  <si>
    <t>Less: Current liabilities other then bank borrowing[B]</t>
  </si>
  <si>
    <t>Working capital [A-B]</t>
  </si>
  <si>
    <t>25% of working capital gap</t>
  </si>
  <si>
    <t>MPBF(Maximum Permissible Bank Finance)</t>
  </si>
  <si>
    <t>Assessment of working capital:</t>
  </si>
  <si>
    <t>CC Loan ©</t>
  </si>
  <si>
    <t>Total Debt(D=C+B)</t>
  </si>
  <si>
    <t>Average Debt Equity Ratio</t>
  </si>
  <si>
    <t>Net Profit  after Tax</t>
  </si>
  <si>
    <t>Profitability Ratio (NPAT/Sales)</t>
  </si>
  <si>
    <t>PMEGP Subsidy @ 25% of the Project Cost</t>
  </si>
  <si>
    <t xml:space="preserve">WORKING CAPITAL REQUIREMENT </t>
  </si>
  <si>
    <t>Drawing Power Calculation:</t>
  </si>
  <si>
    <t>Insured Stock</t>
  </si>
  <si>
    <t>Less:  Creditors</t>
  </si>
  <si>
    <t>Paid Stock</t>
  </si>
  <si>
    <t>Less: Marhin 25% of Paid Stock</t>
  </si>
  <si>
    <t>Sub Total (A)</t>
  </si>
  <si>
    <t>Debtor</t>
  </si>
  <si>
    <t>Less:  Debtor&gt;90 Days</t>
  </si>
  <si>
    <t>Debtor allowed for drawing Power</t>
  </si>
  <si>
    <t>Less:  Margin @ 25% on Above</t>
  </si>
  <si>
    <t>Sub Total (B)</t>
  </si>
  <si>
    <t>Total Drawing Power (A+B)</t>
  </si>
  <si>
    <t>Drawing Power</t>
  </si>
  <si>
    <t xml:space="preserve"> </t>
  </si>
  <si>
    <t>Additional Container</t>
  </si>
  <si>
    <t>PROJECT REPORT FOR TERM LOAN Rs. 3,72,00,000/- and WORKING CAPITAL LOAN Rs. 1,24,00,000/-</t>
  </si>
  <si>
    <t>Daily Worker-</t>
  </si>
  <si>
    <t>Salary Employee-</t>
  </si>
  <si>
    <t>Mail: orenseindustries@gmail.com</t>
  </si>
  <si>
    <t xml:space="preserve"> Andhapasra Road, Near Hanuman Temple</t>
  </si>
  <si>
    <t xml:space="preserve"> Berhampur Ganjam Pin- 760002 </t>
  </si>
  <si>
    <t>Consumption of rawmaterial Per day in kg</t>
  </si>
  <si>
    <t>82.5 kva &amp; 125 KVA ( Three Phase) KOEL iGreen DG</t>
  </si>
  <si>
    <t>100 KVA Transformer label 2 alluminuim
Wound</t>
  </si>
  <si>
    <t>mar</t>
  </si>
  <si>
    <t>may</t>
  </si>
  <si>
    <t>jun</t>
  </si>
  <si>
    <t>jul</t>
  </si>
  <si>
    <t>sep</t>
  </si>
  <si>
    <t>oct</t>
  </si>
  <si>
    <t>nov</t>
  </si>
  <si>
    <t>dec</t>
  </si>
  <si>
    <t>jan</t>
  </si>
  <si>
    <t>feb</t>
  </si>
  <si>
    <t>apr</t>
  </si>
  <si>
    <t>aug</t>
  </si>
  <si>
    <t xml:space="preserve">Manufacturing of bio diesel </t>
  </si>
  <si>
    <t>Constitution of the company</t>
  </si>
  <si>
    <t>Private</t>
  </si>
  <si>
    <t>COST PER DAY</t>
  </si>
  <si>
    <t>NO. OF WORKING DAY</t>
  </si>
  <si>
    <t>Total Monthly Cost</t>
  </si>
  <si>
    <t>Total Cost In a year</t>
  </si>
  <si>
    <t>All Expenses:-</t>
  </si>
  <si>
    <t>Chemical KOH</t>
  </si>
  <si>
    <t>Total Cost Per day</t>
  </si>
  <si>
    <t>Input Of Raw Materials:-</t>
  </si>
  <si>
    <t>Methanol</t>
  </si>
  <si>
    <t>Phosphoric Acid</t>
  </si>
  <si>
    <t>Output :-</t>
  </si>
  <si>
    <t>OUTPUT  PER DAY IN KG</t>
  </si>
  <si>
    <t>SALE PRICE PER LITRE</t>
  </si>
  <si>
    <t>TOTAL SALE PER DAY</t>
  </si>
  <si>
    <t>SALE PRICE PER KG</t>
  </si>
  <si>
    <t xml:space="preserve">Mob:  </t>
  </si>
  <si>
    <t>Biodiesel ( in ltr )</t>
  </si>
  <si>
    <t>TOTAL OUTPUT IN LITRE(1kg=1.1364 L)</t>
  </si>
  <si>
    <t>TOTAL SALE IN A YEAR</t>
  </si>
  <si>
    <t>TOTAL NO. OF WORKING DAYS</t>
  </si>
  <si>
    <t>Amount in Rupees</t>
  </si>
  <si>
    <t xml:space="preserve">  Helper</t>
  </si>
  <si>
    <t xml:space="preserve">  Thermo Flude Heater-</t>
  </si>
  <si>
    <t xml:space="preserve">  Interest On CC Loan</t>
  </si>
  <si>
    <t xml:space="preserve">  Interest On Term Loan</t>
  </si>
  <si>
    <t>TOTAL SALE IN 6 month</t>
  </si>
  <si>
    <t>PAGE-26</t>
  </si>
  <si>
    <t>PAGE-47</t>
  </si>
  <si>
    <t>PAGE-52</t>
  </si>
  <si>
    <t>Depreciation @5%</t>
  </si>
  <si>
    <t xml:space="preserve">    b) Building</t>
  </si>
  <si>
    <t xml:space="preserve">  Raw Materials</t>
  </si>
  <si>
    <t>Depreciation Schedule:-</t>
  </si>
  <si>
    <t>Out put</t>
  </si>
  <si>
    <t>Output</t>
  </si>
  <si>
    <t>SALE PRICE PER Kg (or) Ltr</t>
  </si>
  <si>
    <t>OUT PUT PER DAY IN Kg (or) Ltr</t>
  </si>
  <si>
    <t>For next 6 month (20KL Production)</t>
  </si>
  <si>
    <t>ORENSE INDUSTRIES PRIVATE LIMITED</t>
  </si>
  <si>
    <t>CIN: U23209OR2022PTC041057</t>
  </si>
  <si>
    <t xml:space="preserve">Bio Disel manufacuing Plant </t>
  </si>
  <si>
    <t>Term Loan (75% of the Building and Plant &amp; Machinery )</t>
  </si>
  <si>
    <t xml:space="preserve">Working Capital loan (75% of the Working capital requirement) </t>
  </si>
  <si>
    <t>Margin money for Term Loan (25% of of the Building and Plant &amp; Machinery) (refer- sch-1)</t>
  </si>
  <si>
    <t>Sch-1</t>
  </si>
  <si>
    <t xml:space="preserve">Margin money for Term Loan </t>
  </si>
  <si>
    <t>1) Advance Payment against Machinery to C.C.P. Consultant</t>
  </si>
  <si>
    <t>2) Amount Spent In Ground Leveling of Plant Location</t>
  </si>
  <si>
    <t xml:space="preserve">Margin money for Working Capital Loan (25%of the Working capital requirement) </t>
  </si>
  <si>
    <t>Glycerol ( in kg)</t>
  </si>
  <si>
    <t>Biodiesel (Main Product)</t>
  </si>
  <si>
    <t>Glycerol (By Product)</t>
  </si>
  <si>
    <t>Electricity</t>
  </si>
  <si>
    <t>Note: Electricity charges will be increase by 2% every year.</t>
  </si>
  <si>
    <t xml:space="preserve">   Sales inlcuding Sales of By product</t>
  </si>
  <si>
    <t>Note: Lab Chemist Charges will be increase by 10% every year.</t>
  </si>
  <si>
    <t>Generator expenses</t>
  </si>
  <si>
    <t>Note: Generator expenses will be increase by 10% every year.</t>
  </si>
  <si>
    <t xml:space="preserve">  Electricity Charges</t>
  </si>
  <si>
    <t xml:space="preserve">  Lab Chemist Fees</t>
  </si>
  <si>
    <t xml:space="preserve">  Generator Expenses</t>
  </si>
  <si>
    <t>Lab Chemist Fee</t>
  </si>
  <si>
    <t>Plant incharge Fee</t>
  </si>
  <si>
    <t>Note: Plant incharge Fee will be increase by 10% every year.</t>
  </si>
  <si>
    <t xml:space="preserve">  Plant Incharge Fee</t>
  </si>
  <si>
    <t>Supervisor Fee</t>
  </si>
  <si>
    <t>Note:  Supervisor Fee will be increase by 10% every year.</t>
  </si>
  <si>
    <t xml:space="preserve">  Supervisor fee</t>
  </si>
  <si>
    <t>Electrician Fee</t>
  </si>
  <si>
    <t>Note:  Electrician Fee will be increase by 10% every year.</t>
  </si>
  <si>
    <t xml:space="preserve">  Electrician Fee</t>
  </si>
  <si>
    <t>Machine Operator  Charges</t>
  </si>
  <si>
    <t>Machine Operator  Charges: (3 persons required)</t>
  </si>
  <si>
    <t>Note:  Machine Operator  Charges will be increase by 10% every year.</t>
  </si>
  <si>
    <t>Helper: (6 persons required)</t>
  </si>
  <si>
    <t>Note:  Helper Charges will be increase by 10% every year.</t>
  </si>
  <si>
    <t xml:space="preserve">  Closing Stock</t>
  </si>
  <si>
    <t xml:space="preserve">  Opening Stock</t>
  </si>
  <si>
    <t>rawmaterial cost Per Kg</t>
  </si>
  <si>
    <t>Note: It is Assumed that the Purchase price per Kg of Chemical KOH will increase by 2% over the year</t>
  </si>
  <si>
    <t>Note: It is Assumed that the Purchase price per Kg of  Methanol will increase by 2% over the year</t>
  </si>
  <si>
    <t>Note: It is Assumed that the Purchase price per Kg of  Phosphoric Acid will increase by 2% over the year</t>
  </si>
  <si>
    <t>Note: It is Assumed that the Purchase price per Kg of  palm stearin will increase by 2% over the year</t>
  </si>
  <si>
    <t>Palm stearin</t>
  </si>
  <si>
    <t>a) Palm stearin</t>
  </si>
  <si>
    <t>b) Chemical KOH</t>
  </si>
  <si>
    <t>c) Methanol</t>
  </si>
  <si>
    <t>d) Phosphoric Acid</t>
  </si>
  <si>
    <t>Printing and Stationery</t>
  </si>
  <si>
    <t>Postage and Telephone</t>
  </si>
  <si>
    <t>Insurance Charges</t>
  </si>
  <si>
    <t>Miscellaneous Expenses</t>
  </si>
  <si>
    <t>Repair and Maintenance</t>
  </si>
  <si>
    <t>Trf to Reserve &amp; Surplus</t>
  </si>
  <si>
    <t>Cum Reserve &amp; Surplus</t>
  </si>
  <si>
    <t>Gross Turnover:-</t>
  </si>
  <si>
    <t>Sales value</t>
  </si>
  <si>
    <t>Variable Overheads :</t>
  </si>
  <si>
    <t>Fixed Overhead :</t>
  </si>
  <si>
    <t>Total cash fixed overhead</t>
  </si>
  <si>
    <t>Non-cash fixed Overheads :</t>
  </si>
  <si>
    <t>Total Non-cash fixed Overheads :</t>
  </si>
  <si>
    <t>Break Even Point % (F/C*100)</t>
  </si>
  <si>
    <t>Cash Break Even Point % (D/C*100)</t>
  </si>
  <si>
    <t>F</t>
  </si>
  <si>
    <t>G</t>
  </si>
  <si>
    <t>Total fixed overheads (D+E)</t>
  </si>
  <si>
    <t>BREAK EVEN ANALYSIS:-</t>
  </si>
  <si>
    <t xml:space="preserve">   Raw material</t>
  </si>
  <si>
    <t xml:space="preserve">   Power</t>
  </si>
  <si>
    <t xml:space="preserve">  Depreciation</t>
  </si>
  <si>
    <t xml:space="preserve">         a) Opening Share Capital</t>
  </si>
  <si>
    <t xml:space="preserve">            Additions to the Capital during the year</t>
  </si>
  <si>
    <t xml:space="preserve">            Closing  Share Capital</t>
  </si>
  <si>
    <t xml:space="preserve">        b) Reserves and Surplus</t>
  </si>
  <si>
    <t>Equity &amp; Liabilities</t>
  </si>
  <si>
    <t>1) Shareholder's Funds</t>
  </si>
  <si>
    <t>2) Non- Current Liabilities</t>
  </si>
  <si>
    <t xml:space="preserve">        a) Long Term Borrowing- Term Loan</t>
  </si>
  <si>
    <t>3) Current Liabilities</t>
  </si>
  <si>
    <t>1) Non-current assets</t>
  </si>
  <si>
    <t>2)Current Asset</t>
  </si>
  <si>
    <t xml:space="preserve">Advances To Supplier for machinery </t>
  </si>
  <si>
    <t>Cash and Cash Equivent</t>
  </si>
  <si>
    <t>Cash &amp; Cash Equivalent</t>
  </si>
  <si>
    <t xml:space="preserve">  Thermo Flude Heater- running cost</t>
  </si>
  <si>
    <t xml:space="preserve">    Salary &amp; Fees of All staff</t>
  </si>
  <si>
    <t>Interest on TL and CC Loan</t>
  </si>
  <si>
    <t>Other Cash Fixed Cost</t>
  </si>
  <si>
    <t>Contribution (A-B)</t>
  </si>
  <si>
    <t xml:space="preserve">Break Even Point in % </t>
  </si>
  <si>
    <t xml:space="preserve">Cash Break Even Point in % </t>
  </si>
  <si>
    <t xml:space="preserve">Thermo Fluidic Heater </t>
  </si>
  <si>
    <t>FY-24-25</t>
  </si>
  <si>
    <t>FY-25-26</t>
  </si>
  <si>
    <t>FY-26-27</t>
  </si>
  <si>
    <t>FY-27-28</t>
  </si>
  <si>
    <t>FY-28-29</t>
  </si>
  <si>
    <t>FY-29-30</t>
  </si>
  <si>
    <t>FY-30-31</t>
  </si>
  <si>
    <t>FY-31-32</t>
  </si>
  <si>
    <t xml:space="preserve">       OUTPUT FOR FY-24-25:-</t>
  </si>
  <si>
    <t>TOTAL SALE IN 5 month</t>
  </si>
  <si>
    <t>FY-24-25 (1st 5 month)</t>
  </si>
  <si>
    <t>FY-24-25 (next six month)</t>
  </si>
  <si>
    <t>For 1st 5 month (10KL Production)</t>
  </si>
  <si>
    <t xml:space="preserve">Building purchased after 3rd october </t>
  </si>
  <si>
    <t xml:space="preserve">Building purchased on or befor 3rd october </t>
  </si>
  <si>
    <t>Applicable Tax Rate</t>
  </si>
  <si>
    <t>Particular</t>
  </si>
  <si>
    <t>Description</t>
  </si>
  <si>
    <t>Basic rate</t>
  </si>
  <si>
    <t>(+) Cess/Health &amp; education</t>
  </si>
  <si>
    <t>(+) Surcharge</t>
  </si>
  <si>
    <t>Effective tax rate</t>
  </si>
  <si>
    <t>Effective tax rate :</t>
  </si>
  <si>
    <t>Taxation @27.82% (Tax +cess+ surcharge)</t>
  </si>
  <si>
    <t xml:space="preserve">CASH FLOW STATEMENT  </t>
  </si>
  <si>
    <t>CASH FLOWS FROM OPERATING ACTIVITIES</t>
  </si>
  <si>
    <t>Profit before tax and extraordinary items</t>
  </si>
  <si>
    <t>Adjustments for:</t>
  </si>
  <si>
    <t xml:space="preserve">  -  Depreciation and amortisation expenses</t>
  </si>
  <si>
    <t xml:space="preserve">  -  Interest expenses</t>
  </si>
  <si>
    <t xml:space="preserve">  - (Profit) / Loss on sale of fixed assets (net)</t>
  </si>
  <si>
    <t xml:space="preserve">  - Interest Income</t>
  </si>
  <si>
    <t xml:space="preserve">  - Short term capital Gain</t>
  </si>
  <si>
    <t>Operating profit before working capital changes</t>
  </si>
  <si>
    <t xml:space="preserve">  - Increase / Decrease in inventories</t>
  </si>
  <si>
    <t xml:space="preserve">  - Increase / Decrease in trade receivables</t>
  </si>
  <si>
    <t xml:space="preserve">  - Loans and advances and other receipts</t>
  </si>
  <si>
    <t xml:space="preserve">  - Other Current Assets</t>
  </si>
  <si>
    <t xml:space="preserve">  - Trade payables, other liabilities and provisions</t>
  </si>
  <si>
    <t>Cash generated from Operations</t>
  </si>
  <si>
    <t xml:space="preserve">  - Taxes paid</t>
  </si>
  <si>
    <t>Net cash generated from operating activities</t>
  </si>
  <si>
    <t>CASH FLOWS FROM INVESTING ACTIVITIES</t>
  </si>
  <si>
    <t xml:space="preserve">  - Purchase of fixed assets</t>
  </si>
  <si>
    <t xml:space="preserve">  - (Advance paid)/ payable to creditors for capital goods</t>
  </si>
  <si>
    <t xml:space="preserve">  - Rent Deposit Paid</t>
  </si>
  <si>
    <t xml:space="preserve">  - Proceeds from sale of fixed assets</t>
  </si>
  <si>
    <t xml:space="preserve">  - Fixed Deposit</t>
  </si>
  <si>
    <t xml:space="preserve">  - Interest received</t>
  </si>
  <si>
    <t>Net cash (used in) / generated from investing activities</t>
  </si>
  <si>
    <t>CASH FLOWS FROM FINANCING ACTIVITIES</t>
  </si>
  <si>
    <t xml:space="preserve">  - Paidup Share Capital Amount received</t>
  </si>
  <si>
    <t xml:space="preserve">  - Long term borrowings (net)</t>
  </si>
  <si>
    <t xml:space="preserve">  - Short term borrowings (net)</t>
  </si>
  <si>
    <t xml:space="preserve">  - Prepaid Expenses</t>
  </si>
  <si>
    <t xml:space="preserve">  - Tax on dividend paid</t>
  </si>
  <si>
    <t>Net cash (used in) / generated from financing activities</t>
  </si>
  <si>
    <t>Net increase / decrease in cash and cash equivalents (I+II+III)</t>
  </si>
  <si>
    <t>Cash and cash equivalents at the beginning of period</t>
  </si>
  <si>
    <t>Cash and cash equivalents at the end of period</t>
  </si>
  <si>
    <t xml:space="preserve">  - Dividend Paid</t>
  </si>
  <si>
    <t>Add: Interest On CC</t>
  </si>
  <si>
    <t>FUNDS AVAILABLE FOR SERVICING DEBTS</t>
  </si>
  <si>
    <t>T.L Principal to be Served</t>
  </si>
  <si>
    <t>T.L interest to be Served</t>
  </si>
  <si>
    <t xml:space="preserve">ORENSE INDUSTRIES PRIVATE LIMITED, CIN: U23209OR2022PTC041057,  Andhapasra Road, Near Hanuman Temple, Berhampur Ganjam Pin- 760002 </t>
  </si>
  <si>
    <t>S. No.</t>
  </si>
  <si>
    <r>
      <t xml:space="preserve">           A</t>
    </r>
    <r>
      <rPr>
        <b/>
        <sz val="11"/>
        <color theme="1"/>
        <rFont val="Calibri"/>
        <family val="2"/>
      </rPr>
      <t>dd:</t>
    </r>
    <r>
      <rPr>
        <sz val="11"/>
        <color theme="1"/>
        <rFont val="Calibri"/>
        <family val="2"/>
      </rPr>
      <t xml:space="preserve"> Net Profit after Tax</t>
    </r>
  </si>
  <si>
    <r>
      <rPr>
        <b/>
        <sz val="11"/>
        <color theme="1"/>
        <rFont val="Calibri"/>
        <family val="2"/>
      </rPr>
      <t>Less:</t>
    </r>
    <r>
      <rPr>
        <sz val="11"/>
        <color theme="1"/>
        <rFont val="Calibri"/>
        <family val="2"/>
      </rPr>
      <t xml:space="preserve"> Proposed Dividend </t>
    </r>
  </si>
  <si>
    <r>
      <t xml:space="preserve">       </t>
    </r>
    <r>
      <rPr>
        <sz val="11"/>
        <color theme="1"/>
        <rFont val="Calibri"/>
        <family val="2"/>
      </rPr>
      <t xml:space="preserve"> e)</t>
    </r>
    <r>
      <rPr>
        <b/>
        <sz val="11"/>
        <color theme="1"/>
        <rFont val="Calibri"/>
        <family val="2"/>
      </rPr>
      <t xml:space="preserve">  Closing Reserves and Surplus</t>
    </r>
  </si>
  <si>
    <r>
      <rPr>
        <b/>
        <sz val="11"/>
        <color theme="1"/>
        <rFont val="Calibri"/>
        <family val="2"/>
      </rPr>
      <t xml:space="preserve">Note: </t>
    </r>
    <r>
      <rPr>
        <sz val="11"/>
        <color theme="1"/>
        <rFont val="Calibri"/>
        <family val="2"/>
      </rPr>
      <t xml:space="preserve"> Thermo Fluidic Heater expenses per day will be increase by 10% every year.</t>
    </r>
  </si>
  <si>
    <r>
      <rPr>
        <b/>
        <sz val="11"/>
        <color theme="1"/>
        <rFont val="Calibri"/>
        <family val="2"/>
      </rPr>
      <t>Note-</t>
    </r>
    <r>
      <rPr>
        <sz val="11"/>
        <color theme="1"/>
        <rFont val="Calibri"/>
        <family val="2"/>
      </rPr>
      <t xml:space="preserve"> Printing and Stationery will be increase by 10% every year.</t>
    </r>
  </si>
  <si>
    <r>
      <rPr>
        <b/>
        <sz val="11"/>
        <color theme="1"/>
        <rFont val="Calibri"/>
        <family val="2"/>
      </rPr>
      <t>Note-</t>
    </r>
    <r>
      <rPr>
        <sz val="11"/>
        <color theme="1"/>
        <rFont val="Calibri"/>
        <family val="2"/>
      </rPr>
      <t xml:space="preserve"> Postage and Telephone will be increase by 10% every year.</t>
    </r>
  </si>
  <si>
    <r>
      <rPr>
        <b/>
        <sz val="11"/>
        <color theme="1"/>
        <rFont val="Calibri"/>
        <family val="2"/>
      </rPr>
      <t>Note</t>
    </r>
    <r>
      <rPr>
        <sz val="11"/>
        <color theme="1"/>
        <rFont val="Calibri"/>
        <family val="2"/>
      </rPr>
      <t>- Insurance Charges will be increase by 5% every year.</t>
    </r>
  </si>
  <si>
    <r>
      <rPr>
        <b/>
        <sz val="11"/>
        <color theme="1"/>
        <rFont val="Calibri"/>
        <family val="2"/>
      </rPr>
      <t>Note</t>
    </r>
    <r>
      <rPr>
        <sz val="11"/>
        <color theme="1"/>
        <rFont val="Calibri"/>
        <family val="2"/>
      </rPr>
      <t>-Miscellaneous Expenses  will be increase by 10% every year.</t>
    </r>
  </si>
  <si>
    <r>
      <rPr>
        <b/>
        <sz val="11"/>
        <color theme="1"/>
        <rFont val="Calibri"/>
        <family val="2"/>
      </rPr>
      <t>Note-</t>
    </r>
    <r>
      <rPr>
        <sz val="11"/>
        <color theme="1"/>
        <rFont val="Calibri"/>
        <family val="2"/>
      </rPr>
      <t xml:space="preserve"> Repair and Maintenance will be increase by 10% every year.</t>
    </r>
  </si>
  <si>
    <t>Revenue</t>
  </si>
  <si>
    <t>PBT</t>
  </si>
  <si>
    <t>Interest Expense</t>
  </si>
  <si>
    <t>EBIT</t>
  </si>
  <si>
    <t>Dep</t>
  </si>
  <si>
    <t>EBITDA</t>
  </si>
  <si>
    <t>PAT</t>
  </si>
  <si>
    <t>EBITDA MARGIN %</t>
  </si>
  <si>
    <t>EBIT MARGIN %</t>
  </si>
  <si>
    <t>PAT MARGIN %</t>
  </si>
  <si>
    <t>Revenue Growth Rate %</t>
  </si>
  <si>
    <t>FUNDS AVAILABLE FOR SERVICING DEBTS:</t>
  </si>
  <si>
    <t>i) NET PROFIT AFTER TAX</t>
  </si>
  <si>
    <t>ii) DEPRECIATION+ Prel. Exp. Written off</t>
  </si>
  <si>
    <t>iii) Interest on T/L</t>
  </si>
  <si>
    <t>iv) Interest on Working Capital</t>
  </si>
  <si>
    <t>TOTAL (A)</t>
  </si>
  <si>
    <t>DEBTS TO BE SERVICED:</t>
  </si>
  <si>
    <t>i) REPAYMENT OF MACH. T/L</t>
  </si>
  <si>
    <t>ii) REPAYMENT OF Other T/L</t>
  </si>
  <si>
    <t>iii) Interest on new term loan</t>
  </si>
  <si>
    <t>vi) Interest on Working Capital</t>
  </si>
  <si>
    <t>TOTAL (B)</t>
  </si>
  <si>
    <t>D.S.C.R.   (A/B)</t>
  </si>
  <si>
    <t xml:space="preserve">AVERAGE D.S.C.R </t>
  </si>
  <si>
    <t>Calculation of NPV&amp; IRR</t>
  </si>
  <si>
    <t>NOPAT</t>
  </si>
  <si>
    <t>CAPEX</t>
  </si>
  <si>
    <t>FCFF</t>
  </si>
  <si>
    <t>IRR</t>
  </si>
  <si>
    <t>Discount rate</t>
  </si>
  <si>
    <t>Expected growth rate(Terminal)</t>
  </si>
  <si>
    <t>Period</t>
  </si>
  <si>
    <t>Discount Factor</t>
  </si>
  <si>
    <t>PV of FCF</t>
  </si>
  <si>
    <t>Terminal Value</t>
  </si>
  <si>
    <t>PV of Terminal Value</t>
  </si>
  <si>
    <t>FCF+Terminal Value</t>
  </si>
  <si>
    <t>NPV</t>
  </si>
  <si>
    <t>WCC</t>
  </si>
  <si>
    <t>WC</t>
  </si>
  <si>
    <t>CA</t>
  </si>
  <si>
    <t>CL</t>
  </si>
  <si>
    <t>Payback Period of the Project</t>
  </si>
  <si>
    <t>Cash Accrual</t>
  </si>
  <si>
    <t>Accumulated Cash Accrual</t>
  </si>
  <si>
    <t>Payback Period</t>
  </si>
  <si>
    <t>No. Of Years</t>
  </si>
  <si>
    <t>TPC</t>
  </si>
  <si>
    <t>Note:  It is Assumed that the Selling price per ltr of Biodiesel will increase by 1% over the year.</t>
  </si>
  <si>
    <t>Note:  It is Assumed that the Selling price per kg of Glycerin  will increase by 1% over the year.</t>
  </si>
  <si>
    <t>Nifty 50 Returns (CAGR) in the Last 10 Years + 2% Company Risk Premium)</t>
  </si>
  <si>
    <t>COVD. AREA OF PLOT NO :- 243 , 244 KHATA NO :- 88/205 NANDERAJ PUR , KHARIAGUDA PATRAPUR</t>
  </si>
  <si>
    <t>AADCO9227H</t>
  </si>
  <si>
    <t>OFFICE OF THE GRAM PANCHAYAT MANDARADA UNDER PATRAPUR BLOCK, DIST.GANJAM (ODISHA)</t>
  </si>
  <si>
    <t>Ministry of Jal Shakti, Department of Water Resources, River Development &amp; Ganga Rejuvenation Central Ground Water Authority</t>
  </si>
  <si>
    <t>Factory Licence (Labour Certificate)</t>
  </si>
  <si>
    <t>factory under The Factories Act, 1948</t>
  </si>
  <si>
    <t>Petroleum &amp; Explosyes Safety Organisation (PESO)</t>
  </si>
  <si>
    <t>Jt. Chief Controller of Explosives, Kolkata</t>
  </si>
  <si>
    <t xml:space="preserve">The selling price of the Bio Diesel are decided as per the latest tender released by the PSU OMCs including MRPL &amp; NRL for Procurement of around ~89.0 crore litres of bio diesel (b-100). EOI Ref No. OMC/EOI/NUCO/BD/DEC23 (CYCLE2) Tender ID 2023_MKTHO_173644_1 Dated 8th Dec 2023 closing on 18th Dec 2023. </t>
  </si>
  <si>
    <t xml:space="preserve">According to the tender, Base price of Biodiesel for the procurement period October 2023- September 2024 shall be Rs. 81.33 per Litre (KL), actual price on which the monthly PO shall be placed will be declared 3 days before the beginning of the procurement period and subsequently every month, which will be capped in the range of +/-10% of the base price published in the EOI. As per the Bid, Basic price of Biodiesel will be revised every Month as per changes in input/output costs which will be limited within range of +/- 10% of the published base price in the EOI i.e. between 73,197/- per KL and 89,463/- per KL.
Selling price of crude Glycerol (INR 35.00 per Litre) is decided based on the tertiary research, information available in public domain and rates informed by the various vendors/suppliers of the Glycerol.  </t>
  </si>
  <si>
    <t>PROCUREMENT OF AROUND 89.0 CRORE LITRES OF BIO DIESEL (B-100)</t>
  </si>
  <si>
    <t>December 2023–September 2024</t>
  </si>
  <si>
    <t>As per OMC only 5-6 % of total requirements are fulfilled from the market.</t>
  </si>
  <si>
    <t>Bal Gopal food product pvt. ltd., Growing tree oil and refinery pvt.ltd , Priti oil refinery pvt.ltd, Jindal rice mill pvt.ltd., Sri Ram  oil pvt.ltd., krupalu refinery</t>
  </si>
  <si>
    <t>Pyrelal green energy Pvt.ltd. at Varanasi commissioned as on Nov 2022 operational with the installed  capacity of 20 KLPD and Mat fuzan beld Pvt.Ltd at Lukhnow commissioned as on Oct 2023 operational with the installed  capacity of 20 KL/D 20 KLPD.</t>
  </si>
  <si>
    <t xml:space="preserve">
2. The total covered area of the plant with its civil structures admeasures to about ~916.00Sq. Mt. As per quotation shared by the client, Total estimated cost is INR 49.00 lakhs inclusive of GST, excluding additional container setup cost of INR 12.00 lakhs which is taken as a part of cost of Plant &amp; Machinery in TPC. The construction cost is estimated as ~INR 500 per Sq. Ft.
3. As per discussion with the consultant and quotations shared by the client, Thus the total cost of installing the Biodiesel Plant (20 TPD) will be INR 4.13 Crore including GST, where the GST@18%, Transportation, Civil Work Extra and Electricity will be paid/provide by Client/Party as per the agreement with the said P&amp;M supplier. 
4. One DG set of 125 kva will be costing ~INR 11.00 Lakhs including installation work, GST and transportation cost. One100 KVA Transformer label 2 aluminium Wound will be costing ~INR 11.00 Lakhs including GST, required civil structure and sub-equipment. 
5. Thus Total Plant &amp; Machinery will be costing ~INR 4.47 Crore (With GST) including additional container setting up cost of INR 12.00 Lakhs.
6. 25% margin money of total Building and Plant &amp; Machinery and Working Capital will be procured by the company.
</t>
  </si>
  <si>
    <t xml:space="preserve">Electricity consumption -60kwh*8 per unit=480 /day </t>
  </si>
  <si>
    <t>Designation</t>
  </si>
  <si>
    <t>No. Of Persons</t>
  </si>
  <si>
    <t>Cost Per Day (INR)</t>
  </si>
  <si>
    <t>Lab Chemist</t>
  </si>
  <si>
    <t>Plant in charge</t>
  </si>
  <si>
    <t>Supervisor</t>
  </si>
  <si>
    <t>Electrician</t>
  </si>
  <si>
    <t>Machine Operator</t>
  </si>
  <si>
    <t>Helper</t>
  </si>
  <si>
    <t>~INR 7,000 per day</t>
  </si>
  <si>
    <t>Thermo Fluidic heater- 15 hr operation*8 ltr /hr=120 ltr/day*75 per ltr=9000rs</t>
  </si>
  <si>
    <t xml:space="preserve">DG-Uses 6 hr /day,consume 8 lts /hr=48 ltr/day*75 per ltr=3600 </t>
  </si>
  <si>
    <t>This report has been diligently prepared by our techno-financial team to the best of their ability. However, it's important to note that the recommendations provided in this Total Economic Viability (TEV) assessment do not imply an endorsement, validation, or certification of the accuracy or completeness of the disclosed information by the stakeholders. Furthermore, we do not claim or endorse that the opinions presented herein are the sole best course of action for decision-makers to follow. There may exist additional approaches and inputs that have not been covered within this report or fall outside the scope of this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</si>
</sst>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 #,##0_);_(* \(#,##0\);_(* &quot;-&quot;??_);_(@_)"/>
    <numFmt numFmtId="166" formatCode="_ * #,##0_ ;_ * \-#,##0_ ;_ * &quot;-&quot;??_ ;_ @_ "/>
    <numFmt numFmtId="167" formatCode="_(* #,##0.000_);_(* \(#,##0.000\);_(* &quot;-&quot;??_);_(@_)"/>
    <numFmt numFmtId="168" formatCode="0.0"/>
    <numFmt numFmtId="169" formatCode="[$-409]mmm/yy;@"/>
  </numFmts>
  <fonts count="39" x14ac:knownFonts="1">
    <font>
      <sz val="11"/>
      <color theme="1"/>
      <name val="Calibri"/>
      <family val="2"/>
      <scheme val="minor"/>
    </font>
    <font>
      <sz val="11"/>
      <color theme="1"/>
      <name val="Calibri"/>
      <family val="2"/>
      <scheme val="minor"/>
    </font>
    <font>
      <b/>
      <sz val="11"/>
      <color theme="1"/>
      <name val="Times New Roman"/>
      <family val="1"/>
    </font>
    <font>
      <b/>
      <sz val="15"/>
      <color theme="6" tint="-0.499984740745262"/>
      <name val="Palatino Linotype"/>
      <family val="1"/>
    </font>
    <font>
      <sz val="11"/>
      <color theme="1"/>
      <name val="Palatino Linotype"/>
      <family val="1"/>
    </font>
    <font>
      <b/>
      <sz val="12"/>
      <color theme="6" tint="-0.499984740745262"/>
      <name val="Palatino Linotype"/>
      <family val="1"/>
    </font>
    <font>
      <sz val="10"/>
      <name val="Palatino Linotype"/>
      <family val="1"/>
    </font>
    <font>
      <b/>
      <sz val="10"/>
      <color theme="1"/>
      <name val="Palatino Linotype"/>
      <family val="1"/>
    </font>
    <font>
      <b/>
      <sz val="10"/>
      <name val="Palatino Linotype"/>
      <family val="1"/>
    </font>
    <font>
      <sz val="10"/>
      <color rgb="FFFF0000"/>
      <name val="Palatino Linotype"/>
      <family val="1"/>
    </font>
    <font>
      <b/>
      <u/>
      <sz val="10"/>
      <name val="Palatino Linotype"/>
      <family val="1"/>
    </font>
    <font>
      <b/>
      <u/>
      <sz val="16"/>
      <name val="Palatino Linotype"/>
      <family val="1"/>
    </font>
    <font>
      <b/>
      <u/>
      <sz val="15"/>
      <name val="Palatino Linotype"/>
      <family val="1"/>
    </font>
    <font>
      <b/>
      <u/>
      <sz val="14"/>
      <name val="Palatino Linotype"/>
      <family val="1"/>
    </font>
    <font>
      <sz val="10"/>
      <name val="Arial"/>
      <family val="2"/>
    </font>
    <font>
      <sz val="11"/>
      <color theme="1"/>
      <name val="Arial"/>
      <family val="2"/>
    </font>
    <font>
      <b/>
      <sz val="11"/>
      <color theme="1"/>
      <name val="Calibri"/>
      <family val="2"/>
      <scheme val="minor"/>
    </font>
    <font>
      <b/>
      <u/>
      <sz val="11"/>
      <color theme="1"/>
      <name val="Calibri"/>
      <family val="2"/>
      <scheme val="minor"/>
    </font>
    <font>
      <b/>
      <sz val="14"/>
      <color theme="1"/>
      <name val="Calibri"/>
      <family val="2"/>
      <scheme val="minor"/>
    </font>
    <font>
      <b/>
      <u/>
      <sz val="14"/>
      <color theme="1"/>
      <name val="Calibri"/>
      <family val="2"/>
      <scheme val="minor"/>
    </font>
    <font>
      <sz val="10"/>
      <color rgb="FF1D1D1C"/>
      <name val="Segoe UI"/>
      <family val="2"/>
    </font>
    <font>
      <sz val="10"/>
      <color rgb="FF000000"/>
      <name val="Times New Roman"/>
      <family val="1"/>
    </font>
    <font>
      <b/>
      <sz val="11"/>
      <color theme="1"/>
      <name val="Calibri"/>
      <family val="2"/>
    </font>
    <font>
      <sz val="11"/>
      <color theme="1"/>
      <name val="Calibri"/>
      <family val="2"/>
    </font>
    <font>
      <b/>
      <u/>
      <sz val="11"/>
      <color theme="1"/>
      <name val="Calibri"/>
      <family val="2"/>
    </font>
    <font>
      <b/>
      <sz val="12"/>
      <color rgb="FFC00000"/>
      <name val="Calibri"/>
      <family val="2"/>
    </font>
    <font>
      <b/>
      <sz val="11"/>
      <color theme="0"/>
      <name val="Calibri"/>
      <family val="2"/>
    </font>
    <font>
      <sz val="12"/>
      <color theme="1"/>
      <name val="Calibri"/>
      <family val="2"/>
    </font>
    <font>
      <b/>
      <sz val="12"/>
      <color theme="1"/>
      <name val="Calibri"/>
      <family val="2"/>
    </font>
    <font>
      <sz val="11"/>
      <color theme="0"/>
      <name val="Calibri"/>
      <family val="2"/>
    </font>
    <font>
      <b/>
      <sz val="11"/>
      <color rgb="FF000000"/>
      <name val="Calibri"/>
      <family val="2"/>
    </font>
    <font>
      <sz val="11"/>
      <color rgb="FF000000"/>
      <name val="Calibri"/>
      <family val="2"/>
    </font>
    <font>
      <b/>
      <sz val="11"/>
      <color rgb="FFC00000"/>
      <name val="Calibri"/>
      <family val="2"/>
    </font>
    <font>
      <b/>
      <sz val="11"/>
      <color rgb="FF212529"/>
      <name val="Calibri"/>
      <family val="2"/>
    </font>
    <font>
      <b/>
      <sz val="11"/>
      <name val="Calibri"/>
      <family val="2"/>
    </font>
    <font>
      <b/>
      <u/>
      <sz val="11"/>
      <name val="Calibri"/>
      <family val="2"/>
    </font>
    <font>
      <b/>
      <i/>
      <sz val="11"/>
      <color theme="1"/>
      <name val="Calibri"/>
      <family val="2"/>
    </font>
    <font>
      <sz val="11"/>
      <name val="Calibri"/>
      <family val="2"/>
    </font>
    <font>
      <sz val="11"/>
      <name val="Calibri"/>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0" fontId="14" fillId="0" borderId="0"/>
    <xf numFmtId="9" fontId="1" fillId="0" borderId="0" applyFont="0" applyFill="0" applyBorder="0" applyAlignment="0" applyProtection="0"/>
    <xf numFmtId="0" fontId="21" fillId="0" borderId="0"/>
  </cellStyleXfs>
  <cellXfs count="397">
    <xf numFmtId="0" fontId="0" fillId="0" borderId="0" xfId="0"/>
    <xf numFmtId="0" fontId="3" fillId="0" borderId="10" xfId="0" applyFont="1" applyBorder="1"/>
    <xf numFmtId="0" fontId="4" fillId="0" borderId="0" xfId="0" applyFont="1"/>
    <xf numFmtId="0" fontId="5" fillId="0" borderId="14"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6" fillId="0" borderId="14" xfId="0" applyFont="1" applyBorder="1"/>
    <xf numFmtId="0" fontId="6" fillId="0" borderId="0" xfId="0" applyFont="1"/>
    <xf numFmtId="0" fontId="7" fillId="0" borderId="15" xfId="0" applyFont="1" applyBorder="1" applyAlignment="1">
      <alignment horizontal="right"/>
    </xf>
    <xf numFmtId="0" fontId="8" fillId="0" borderId="14" xfId="0" applyFont="1" applyBorder="1"/>
    <xf numFmtId="0" fontId="8" fillId="0" borderId="0" xfId="0" applyFont="1"/>
    <xf numFmtId="0" fontId="8" fillId="0" borderId="0" xfId="0" applyFont="1" applyAlignment="1">
      <alignment horizontal="center" wrapText="1"/>
    </xf>
    <xf numFmtId="0" fontId="8" fillId="0" borderId="15" xfId="0" applyFont="1" applyBorder="1" applyAlignment="1">
      <alignment horizontal="center"/>
    </xf>
    <xf numFmtId="0" fontId="6" fillId="0" borderId="15" xfId="0" applyFont="1" applyBorder="1"/>
    <xf numFmtId="165" fontId="9" fillId="0" borderId="0" xfId="2" applyNumberFormat="1" applyFont="1" applyBorder="1"/>
    <xf numFmtId="165" fontId="6" fillId="0" borderId="0" xfId="2" applyNumberFormat="1" applyFont="1" applyBorder="1"/>
    <xf numFmtId="165" fontId="8" fillId="0" borderId="0" xfId="2" applyNumberFormat="1" applyFont="1" applyBorder="1"/>
    <xf numFmtId="164" fontId="6" fillId="0" borderId="0" xfId="0" applyNumberFormat="1" applyFont="1"/>
    <xf numFmtId="164" fontId="6" fillId="0" borderId="15" xfId="0" applyNumberFormat="1" applyFont="1" applyBorder="1"/>
    <xf numFmtId="0" fontId="10" fillId="0" borderId="14" xfId="0" applyFont="1" applyBorder="1"/>
    <xf numFmtId="0" fontId="10" fillId="0" borderId="0" xfId="0" applyFont="1"/>
    <xf numFmtId="0" fontId="4" fillId="0" borderId="15" xfId="0" applyFont="1" applyBorder="1"/>
    <xf numFmtId="0" fontId="12" fillId="0" borderId="14" xfId="0" applyFont="1" applyBorder="1" applyAlignment="1">
      <alignment horizontal="center"/>
    </xf>
    <xf numFmtId="0" fontId="12" fillId="0" borderId="0" xfId="0" applyFont="1" applyAlignment="1">
      <alignment horizontal="center"/>
    </xf>
    <xf numFmtId="0" fontId="12" fillId="0" borderId="15" xfId="0" applyFont="1" applyBorder="1" applyAlignment="1">
      <alignment horizontal="center"/>
    </xf>
    <xf numFmtId="0" fontId="6" fillId="0" borderId="14" xfId="0" quotePrefix="1" applyFont="1" applyBorder="1"/>
    <xf numFmtId="0" fontId="6" fillId="0" borderId="0" xfId="0" quotePrefix="1" applyFont="1"/>
    <xf numFmtId="0" fontId="8" fillId="0" borderId="14" xfId="0" applyFont="1" applyBorder="1" applyAlignment="1">
      <alignment horizontal="center"/>
    </xf>
    <xf numFmtId="0" fontId="8" fillId="0" borderId="0" xfId="0" applyFont="1" applyAlignment="1">
      <alignment horizontal="center"/>
    </xf>
    <xf numFmtId="165" fontId="8" fillId="0" borderId="15" xfId="2" applyNumberFormat="1" applyFont="1" applyBorder="1"/>
    <xf numFmtId="165" fontId="4" fillId="0" borderId="15" xfId="2" applyNumberFormat="1" applyFont="1" applyBorder="1"/>
    <xf numFmtId="0" fontId="6" fillId="0" borderId="16" xfId="0" quotePrefix="1" applyFont="1" applyBorder="1"/>
    <xf numFmtId="0" fontId="6" fillId="0" borderId="10" xfId="0" quotePrefix="1" applyFont="1" applyBorder="1"/>
    <xf numFmtId="0" fontId="6" fillId="0" borderId="10" xfId="0" applyFont="1" applyBorder="1"/>
    <xf numFmtId="0" fontId="4" fillId="0" borderId="17" xfId="0" applyFont="1" applyBorder="1"/>
    <xf numFmtId="0" fontId="15" fillId="0" borderId="1" xfId="0" applyFont="1" applyBorder="1"/>
    <xf numFmtId="0" fontId="15" fillId="0" borderId="6" xfId="0" applyFont="1" applyBorder="1"/>
    <xf numFmtId="166" fontId="2" fillId="0" borderId="18" xfId="1" applyNumberFormat="1" applyFont="1" applyFill="1" applyBorder="1" applyAlignment="1">
      <alignment horizontal="center"/>
    </xf>
    <xf numFmtId="166" fontId="2" fillId="0" borderId="3" xfId="1" applyNumberFormat="1" applyFont="1" applyFill="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0" fillId="0" borderId="2" xfId="0" applyBorder="1"/>
    <xf numFmtId="0" fontId="15" fillId="0" borderId="3" xfId="0" applyFont="1" applyBorder="1"/>
    <xf numFmtId="0" fontId="15" fillId="0" borderId="4" xfId="0" applyFont="1" applyBorder="1"/>
    <xf numFmtId="0" fontId="0" fillId="0" borderId="5" xfId="0" applyBorder="1"/>
    <xf numFmtId="0" fontId="0" fillId="0" borderId="7" xfId="0" applyBorder="1"/>
    <xf numFmtId="0" fontId="15" fillId="0" borderId="8" xfId="0" applyFont="1" applyBorder="1"/>
    <xf numFmtId="0" fontId="0" fillId="0" borderId="9" xfId="0" applyBorder="1"/>
    <xf numFmtId="166" fontId="2" fillId="0" borderId="4" xfId="1" applyNumberFormat="1" applyFont="1" applyFill="1" applyBorder="1" applyAlignment="1">
      <alignment horizontal="center"/>
    </xf>
    <xf numFmtId="0" fontId="15" fillId="0" borderId="6" xfId="0" applyFont="1" applyBorder="1" applyAlignment="1">
      <alignment wrapText="1"/>
    </xf>
    <xf numFmtId="166" fontId="15" fillId="0" borderId="6" xfId="1" applyNumberFormat="1" applyFont="1" applyFill="1" applyBorder="1"/>
    <xf numFmtId="166" fontId="0" fillId="0" borderId="0" xfId="1" applyNumberFormat="1" applyFont="1"/>
    <xf numFmtId="0" fontId="16" fillId="0" borderId="0" xfId="0" applyFont="1"/>
    <xf numFmtId="0" fontId="17" fillId="0" borderId="0" xfId="0" applyFont="1"/>
    <xf numFmtId="166" fontId="0" fillId="0" borderId="1" xfId="1" applyNumberFormat="1" applyFont="1" applyBorder="1"/>
    <xf numFmtId="166" fontId="0" fillId="0" borderId="6" xfId="1" applyNumberFormat="1" applyFont="1" applyBorder="1"/>
    <xf numFmtId="166" fontId="0" fillId="0" borderId="9" xfId="1" applyNumberFormat="1" applyFont="1" applyBorder="1"/>
    <xf numFmtId="0" fontId="16" fillId="0" borderId="7" xfId="0" applyFont="1" applyBorder="1"/>
    <xf numFmtId="166" fontId="16" fillId="0" borderId="9" xfId="1" applyNumberFormat="1" applyFont="1" applyBorder="1"/>
    <xf numFmtId="0" fontId="16" fillId="0" borderId="5" xfId="0" applyFont="1" applyBorder="1"/>
    <xf numFmtId="166" fontId="16" fillId="0" borderId="6" xfId="1" applyNumberFormat="1" applyFont="1" applyBorder="1"/>
    <xf numFmtId="0" fontId="16" fillId="0" borderId="2" xfId="0" applyFont="1" applyBorder="1"/>
    <xf numFmtId="166" fontId="16" fillId="0" borderId="4" xfId="1" applyNumberFormat="1" applyFont="1" applyBorder="1"/>
    <xf numFmtId="166" fontId="0" fillId="0" borderId="8" xfId="1" applyNumberFormat="1" applyFont="1" applyBorder="1"/>
    <xf numFmtId="166" fontId="16" fillId="0" borderId="3" xfId="1" applyNumberFormat="1" applyFont="1" applyBorder="1"/>
    <xf numFmtId="166" fontId="16" fillId="0" borderId="0" xfId="1" applyNumberFormat="1" applyFont="1" applyBorder="1"/>
    <xf numFmtId="166" fontId="0" fillId="0" borderId="0" xfId="1" applyNumberFormat="1" applyFont="1" applyBorder="1"/>
    <xf numFmtId="9" fontId="0" fillId="0" borderId="1" xfId="1" applyNumberFormat="1" applyFont="1" applyBorder="1"/>
    <xf numFmtId="166" fontId="16" fillId="0" borderId="4" xfId="1" applyNumberFormat="1" applyFont="1" applyBorder="1" applyAlignment="1">
      <alignment wrapText="1"/>
    </xf>
    <xf numFmtId="9" fontId="0" fillId="0" borderId="8" xfId="1" applyNumberFormat="1" applyFont="1" applyBorder="1"/>
    <xf numFmtId="166" fontId="16" fillId="0" borderId="3" xfId="1" applyNumberFormat="1" applyFont="1" applyBorder="1" applyAlignment="1">
      <alignment wrapText="1"/>
    </xf>
    <xf numFmtId="3" fontId="15" fillId="0" borderId="6" xfId="0" applyNumberFormat="1" applyFont="1" applyBorder="1" applyAlignment="1">
      <alignment horizontal="right"/>
    </xf>
    <xf numFmtId="0" fontId="20" fillId="0" borderId="0" xfId="0" applyFont="1"/>
    <xf numFmtId="0" fontId="26" fillId="3" borderId="0" xfId="0" applyFont="1" applyFill="1" applyBorder="1" applyAlignment="1">
      <alignment vertical="center"/>
    </xf>
    <xf numFmtId="0" fontId="26" fillId="3" borderId="0" xfId="0" applyFont="1" applyFill="1" applyBorder="1" applyAlignment="1">
      <alignment horizontal="center" vertical="center"/>
    </xf>
    <xf numFmtId="0" fontId="22" fillId="0" borderId="0" xfId="0" applyFont="1" applyBorder="1"/>
    <xf numFmtId="0" fontId="22" fillId="0" borderId="0" xfId="0" applyFont="1" applyBorder="1" applyAlignment="1">
      <alignment horizontal="center" vertical="center"/>
    </xf>
    <xf numFmtId="0" fontId="22" fillId="0" borderId="0" xfId="0" applyFont="1" applyBorder="1" applyAlignment="1"/>
    <xf numFmtId="0" fontId="23" fillId="0" borderId="0" xfId="0" applyFont="1" applyBorder="1"/>
    <xf numFmtId="0" fontId="22" fillId="0" borderId="0" xfId="0" applyFont="1" applyBorder="1" applyAlignment="1">
      <alignment horizontal="center"/>
    </xf>
    <xf numFmtId="0" fontId="23" fillId="0" borderId="0" xfId="0" applyFont="1" applyBorder="1" applyAlignment="1">
      <alignment vertical="center"/>
    </xf>
    <xf numFmtId="0" fontId="23" fillId="0" borderId="0" xfId="0" applyFont="1" applyBorder="1" applyAlignment="1">
      <alignment horizontal="center" vertical="center"/>
    </xf>
    <xf numFmtId="1" fontId="22" fillId="0" borderId="0" xfId="0" applyNumberFormat="1" applyFont="1" applyFill="1" applyBorder="1" applyAlignment="1">
      <alignment horizontal="center" vertical="center"/>
    </xf>
    <xf numFmtId="1" fontId="22" fillId="0" borderId="0" xfId="0" applyNumberFormat="1" applyFont="1" applyBorder="1" applyAlignment="1">
      <alignment horizontal="center" vertical="center"/>
    </xf>
    <xf numFmtId="1" fontId="23" fillId="0" borderId="0" xfId="0" applyNumberFormat="1" applyFont="1" applyBorder="1" applyAlignment="1">
      <alignment horizontal="center" vertical="center"/>
    </xf>
    <xf numFmtId="0" fontId="26" fillId="3" borderId="0" xfId="0" applyFont="1" applyFill="1" applyBorder="1" applyAlignment="1">
      <alignment horizontal="center" vertical="center" wrapText="1"/>
    </xf>
    <xf numFmtId="0" fontId="23" fillId="0" borderId="0" xfId="0" applyFont="1" applyFill="1" applyBorder="1" applyAlignment="1">
      <alignment vertical="center"/>
    </xf>
    <xf numFmtId="1" fontId="22" fillId="0" borderId="0" xfId="0" applyNumberFormat="1" applyFont="1" applyFill="1" applyBorder="1" applyAlignment="1">
      <alignment vertical="center" wrapText="1"/>
    </xf>
    <xf numFmtId="1" fontId="23" fillId="0" borderId="0" xfId="0" applyNumberFormat="1" applyFont="1" applyFill="1" applyBorder="1" applyAlignment="1">
      <alignment vertical="center"/>
    </xf>
    <xf numFmtId="1" fontId="23" fillId="0" borderId="0" xfId="0" applyNumberFormat="1" applyFont="1" applyBorder="1" applyAlignment="1">
      <alignment vertical="center"/>
    </xf>
    <xf numFmtId="166" fontId="23" fillId="0" borderId="0" xfId="0" applyNumberFormat="1" applyFont="1" applyBorder="1" applyAlignment="1">
      <alignment vertical="center"/>
    </xf>
    <xf numFmtId="1" fontId="22" fillId="0" borderId="0" xfId="0" applyNumberFormat="1" applyFont="1" applyBorder="1" applyAlignment="1">
      <alignment vertical="center"/>
    </xf>
    <xf numFmtId="166" fontId="22"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166" fontId="23" fillId="0" borderId="0" xfId="1" applyNumberFormat="1" applyFont="1" applyFill="1" applyBorder="1" applyAlignment="1">
      <alignment horizontal="center" vertical="center"/>
    </xf>
    <xf numFmtId="166" fontId="23" fillId="0" borderId="0" xfId="0" applyNumberFormat="1" applyFont="1" applyFill="1" applyBorder="1" applyAlignment="1">
      <alignment horizontal="center" vertical="center"/>
    </xf>
    <xf numFmtId="166" fontId="23" fillId="0" borderId="0" xfId="0" applyNumberFormat="1" applyFont="1" applyBorder="1" applyAlignment="1">
      <alignment horizontal="center" vertical="center"/>
    </xf>
    <xf numFmtId="166" fontId="22" fillId="0" borderId="0" xfId="0" applyNumberFormat="1" applyFont="1" applyBorder="1" applyAlignment="1">
      <alignment horizontal="center" vertical="center"/>
    </xf>
    <xf numFmtId="0" fontId="23" fillId="0" borderId="0" xfId="0" applyFont="1" applyBorder="1" applyAlignment="1">
      <alignment horizontal="left"/>
    </xf>
    <xf numFmtId="0" fontId="22" fillId="0" borderId="0" xfId="0" applyFont="1" applyBorder="1" applyAlignment="1">
      <alignment horizontal="center"/>
    </xf>
    <xf numFmtId="167" fontId="23" fillId="0" borderId="0" xfId="0" applyNumberFormat="1" applyFont="1" applyBorder="1"/>
    <xf numFmtId="0" fontId="23" fillId="0" borderId="0" xfId="0" applyFont="1" applyBorder="1" applyAlignment="1">
      <alignment horizontal="center"/>
    </xf>
    <xf numFmtId="165" fontId="23" fillId="0" borderId="0" xfId="0" applyNumberFormat="1" applyFont="1" applyBorder="1"/>
    <xf numFmtId="0" fontId="23" fillId="0" borderId="0" xfId="0" applyFont="1" applyBorder="1" applyAlignment="1">
      <alignment horizontal="left" vertical="center"/>
    </xf>
    <xf numFmtId="0" fontId="24" fillId="0" borderId="0" xfId="0" applyFont="1" applyBorder="1" applyAlignment="1">
      <alignment horizontal="left"/>
    </xf>
    <xf numFmtId="0" fontId="22" fillId="0" borderId="0" xfId="0" applyFont="1" applyBorder="1" applyAlignment="1">
      <alignment horizontal="center"/>
    </xf>
    <xf numFmtId="0" fontId="23" fillId="0" borderId="0" xfId="0" applyFont="1" applyBorder="1" applyAlignment="1"/>
    <xf numFmtId="0" fontId="26" fillId="3" borderId="0" xfId="0" applyFont="1" applyFill="1" applyBorder="1" applyAlignment="1">
      <alignment horizontal="left" vertical="center"/>
    </xf>
    <xf numFmtId="0" fontId="22" fillId="0" borderId="0" xfId="0" applyFont="1" applyBorder="1" applyAlignment="1">
      <alignment horizontal="left"/>
    </xf>
    <xf numFmtId="0" fontId="23" fillId="0" borderId="0" xfId="0" applyFont="1" applyBorder="1" applyAlignment="1">
      <alignment horizontal="left" wrapText="1"/>
    </xf>
    <xf numFmtId="0" fontId="24" fillId="0" borderId="0" xfId="0" applyFont="1" applyBorder="1" applyAlignment="1">
      <alignment horizontal="left" vertical="center"/>
    </xf>
    <xf numFmtId="0" fontId="22" fillId="0" borderId="0" xfId="0" applyFont="1" applyBorder="1" applyAlignment="1">
      <alignment horizontal="left" vertical="center"/>
    </xf>
    <xf numFmtId="0" fontId="23" fillId="0" borderId="0" xfId="0" applyFont="1" applyBorder="1" applyAlignment="1">
      <alignment horizontal="left" vertical="center" wrapText="1"/>
    </xf>
    <xf numFmtId="166" fontId="23" fillId="0" borderId="0" xfId="1" applyNumberFormat="1" applyFont="1" applyFill="1" applyBorder="1" applyAlignment="1">
      <alignment horizontal="center"/>
    </xf>
    <xf numFmtId="0" fontId="24" fillId="0" borderId="0" xfId="0" applyFont="1" applyBorder="1" applyAlignment="1">
      <alignment horizontal="center" vertical="center"/>
    </xf>
    <xf numFmtId="166" fontId="24" fillId="0" borderId="0" xfId="1" applyNumberFormat="1" applyFont="1" applyBorder="1" applyAlignment="1">
      <alignment horizontal="center" vertical="center"/>
    </xf>
    <xf numFmtId="166" fontId="23" fillId="0" borderId="0" xfId="1" applyNumberFormat="1" applyFont="1" applyBorder="1" applyAlignment="1">
      <alignment horizontal="center" vertical="center"/>
    </xf>
    <xf numFmtId="166" fontId="22" fillId="0" borderId="0" xfId="1" applyNumberFormat="1" applyFont="1" applyBorder="1" applyAlignment="1">
      <alignment horizontal="center" vertical="center"/>
    </xf>
    <xf numFmtId="0" fontId="22" fillId="0" borderId="0" xfId="0" applyFont="1" applyBorder="1" applyAlignment="1">
      <alignment vertical="center"/>
    </xf>
    <xf numFmtId="164" fontId="23" fillId="0" borderId="0" xfId="0" applyNumberFormat="1" applyFont="1" applyBorder="1" applyAlignment="1">
      <alignment vertical="center"/>
    </xf>
    <xf numFmtId="165" fontId="23" fillId="0" borderId="0" xfId="0" applyNumberFormat="1" applyFont="1" applyBorder="1" applyAlignment="1">
      <alignment vertical="center"/>
    </xf>
    <xf numFmtId="0" fontId="22" fillId="4" borderId="0" xfId="0" applyFont="1" applyFill="1" applyBorder="1" applyAlignment="1">
      <alignment horizontal="left" vertical="center"/>
    </xf>
    <xf numFmtId="166" fontId="22" fillId="4" borderId="0" xfId="1" applyNumberFormat="1" applyFont="1" applyFill="1" applyBorder="1" applyAlignment="1">
      <alignment horizontal="center" vertical="center"/>
    </xf>
    <xf numFmtId="0" fontId="23" fillId="4" borderId="0" xfId="0" applyFont="1" applyFill="1" applyBorder="1" applyAlignment="1">
      <alignment vertical="center"/>
    </xf>
    <xf numFmtId="0" fontId="23" fillId="0" borderId="0" xfId="0" applyFont="1" applyFill="1" applyBorder="1"/>
    <xf numFmtId="166" fontId="23" fillId="0" borderId="0" xfId="1" applyNumberFormat="1" applyFont="1" applyFill="1" applyBorder="1"/>
    <xf numFmtId="43" fontId="23" fillId="0" borderId="0" xfId="1" applyFont="1" applyFill="1" applyBorder="1"/>
    <xf numFmtId="0" fontId="22" fillId="0" borderId="0" xfId="0" applyFont="1" applyFill="1" applyBorder="1" applyAlignment="1">
      <alignment horizontal="left"/>
    </xf>
    <xf numFmtId="166" fontId="22" fillId="0" borderId="0" xfId="0" applyNumberFormat="1" applyFont="1" applyFill="1" applyBorder="1"/>
    <xf numFmtId="0" fontId="23"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166" fontId="23" fillId="0" borderId="0" xfId="1" applyNumberFormat="1" applyFont="1" applyFill="1" applyBorder="1" applyAlignment="1">
      <alignment vertical="center"/>
    </xf>
    <xf numFmtId="0" fontId="22" fillId="0" borderId="0" xfId="0" applyFont="1" applyFill="1" applyBorder="1" applyAlignment="1">
      <alignment horizontal="left" vertical="center"/>
    </xf>
    <xf numFmtId="166" fontId="23" fillId="0" borderId="0" xfId="1" applyNumberFormat="1" applyFont="1" applyFill="1" applyBorder="1" applyAlignment="1">
      <alignment horizontal="right" vertical="center"/>
    </xf>
    <xf numFmtId="166" fontId="22" fillId="0" borderId="0" xfId="1" applyNumberFormat="1" applyFont="1" applyFill="1" applyBorder="1" applyAlignment="1">
      <alignment horizontal="right" vertical="center"/>
    </xf>
    <xf numFmtId="0" fontId="22" fillId="0" borderId="0" xfId="0" applyFont="1" applyFill="1" applyBorder="1" applyAlignment="1">
      <alignment vertical="center" wrapText="1"/>
    </xf>
    <xf numFmtId="43" fontId="23" fillId="0" borderId="0" xfId="1" applyFont="1" applyFill="1" applyBorder="1" applyAlignment="1">
      <alignment vertical="center"/>
    </xf>
    <xf numFmtId="166" fontId="26" fillId="3" borderId="0" xfId="1" applyNumberFormat="1" applyFont="1" applyFill="1" applyBorder="1" applyAlignment="1">
      <alignment horizontal="center" vertical="center"/>
    </xf>
    <xf numFmtId="0" fontId="22" fillId="0" borderId="20" xfId="0" applyFont="1" applyFill="1" applyBorder="1" applyAlignment="1">
      <alignment vertical="center"/>
    </xf>
    <xf numFmtId="166" fontId="22" fillId="0" borderId="20" xfId="1" applyNumberFormat="1" applyFont="1" applyFill="1" applyBorder="1" applyAlignment="1">
      <alignment horizontal="right" vertical="center"/>
    </xf>
    <xf numFmtId="166" fontId="23" fillId="0" borderId="0" xfId="0" applyNumberFormat="1" applyFont="1" applyFill="1" applyBorder="1"/>
    <xf numFmtId="0" fontId="23" fillId="0" borderId="0" xfId="0" applyFont="1" applyFill="1" applyBorder="1" applyAlignment="1">
      <alignment horizontal="left"/>
    </xf>
    <xf numFmtId="0" fontId="23" fillId="0" borderId="0" xfId="0" applyFont="1" applyFill="1" applyBorder="1" applyAlignment="1">
      <alignment horizontal="center"/>
    </xf>
    <xf numFmtId="0" fontId="23" fillId="0" borderId="0" xfId="0" applyFont="1" applyFill="1" applyBorder="1" applyAlignment="1"/>
    <xf numFmtId="0" fontId="23" fillId="0" borderId="0" xfId="0" applyFont="1" applyFill="1" applyBorder="1" applyAlignment="1">
      <alignment horizontal="left" vertical="center"/>
    </xf>
    <xf numFmtId="0" fontId="25" fillId="2" borderId="0" xfId="0" applyFont="1" applyFill="1" applyBorder="1" applyAlignment="1">
      <alignment horizontal="center" vertical="center"/>
    </xf>
    <xf numFmtId="166" fontId="26" fillId="3" borderId="0" xfId="1" applyNumberFormat="1" applyFont="1" applyFill="1" applyBorder="1" applyAlignment="1">
      <alignment vertical="center"/>
    </xf>
    <xf numFmtId="166" fontId="26" fillId="3" borderId="0" xfId="0" applyNumberFormat="1" applyFont="1" applyFill="1" applyBorder="1" applyAlignment="1">
      <alignment horizontal="center" vertical="center"/>
    </xf>
    <xf numFmtId="0" fontId="22" fillId="4" borderId="20" xfId="0" applyFont="1" applyFill="1" applyBorder="1" applyAlignment="1">
      <alignment horizontal="left" vertical="center"/>
    </xf>
    <xf numFmtId="166" fontId="22" fillId="4" borderId="20" xfId="1" applyNumberFormat="1" applyFont="1" applyFill="1" applyBorder="1" applyAlignment="1">
      <alignment horizontal="center" vertical="center"/>
    </xf>
    <xf numFmtId="0" fontId="26" fillId="3" borderId="0" xfId="0" applyFont="1" applyFill="1" applyBorder="1" applyAlignment="1">
      <alignment horizontal="left"/>
    </xf>
    <xf numFmtId="0" fontId="30" fillId="0" borderId="0" xfId="5" applyFont="1" applyBorder="1" applyAlignment="1">
      <alignment horizontal="left" vertical="center"/>
    </xf>
    <xf numFmtId="0" fontId="31" fillId="0" borderId="0" xfId="5" applyFont="1" applyBorder="1" applyAlignment="1">
      <alignment horizontal="left" vertical="center"/>
    </xf>
    <xf numFmtId="0" fontId="26" fillId="3" borderId="0" xfId="0" applyFont="1" applyFill="1" applyBorder="1" applyAlignment="1">
      <alignment horizontal="center"/>
    </xf>
    <xf numFmtId="168" fontId="23" fillId="0" borderId="0" xfId="0" applyNumberFormat="1" applyFont="1" applyBorder="1" applyAlignment="1">
      <alignment horizontal="center" vertical="center"/>
    </xf>
    <xf numFmtId="0" fontId="30" fillId="4" borderId="20" xfId="5" applyFont="1" applyFill="1" applyBorder="1" applyAlignment="1">
      <alignment horizontal="left" vertical="center"/>
    </xf>
    <xf numFmtId="166" fontId="22" fillId="4" borderId="20" xfId="0" applyNumberFormat="1" applyFont="1" applyFill="1" applyBorder="1" applyAlignment="1">
      <alignment horizontal="center" vertical="center"/>
    </xf>
    <xf numFmtId="0" fontId="26" fillId="3" borderId="0" xfId="5" applyFont="1" applyFill="1" applyBorder="1" applyAlignment="1">
      <alignment horizontal="left" vertical="center"/>
    </xf>
    <xf numFmtId="2" fontId="23" fillId="0" borderId="0" xfId="0" applyNumberFormat="1" applyFont="1" applyBorder="1"/>
    <xf numFmtId="0" fontId="22" fillId="0" borderId="0" xfId="0" applyFont="1" applyBorder="1" applyAlignment="1">
      <alignment horizontal="center" wrapText="1"/>
    </xf>
    <xf numFmtId="0" fontId="22" fillId="0" borderId="0" xfId="0" applyFont="1" applyBorder="1" applyAlignment="1">
      <alignment horizontal="center" vertical="center" wrapText="1"/>
    </xf>
    <xf numFmtId="0" fontId="22" fillId="0" borderId="0" xfId="0" applyFont="1" applyBorder="1" applyAlignment="1">
      <alignment horizontal="left" vertical="center" wrapText="1"/>
    </xf>
    <xf numFmtId="2" fontId="23" fillId="0" borderId="0" xfId="0" applyNumberFormat="1" applyFont="1" applyBorder="1" applyAlignment="1">
      <alignment horizontal="center" vertical="center"/>
    </xf>
    <xf numFmtId="0" fontId="29" fillId="3" borderId="0" xfId="0" applyFont="1" applyFill="1" applyBorder="1" applyAlignment="1">
      <alignment horizontal="center" vertical="center"/>
    </xf>
    <xf numFmtId="2" fontId="29" fillId="3" borderId="0" xfId="1" applyNumberFormat="1" applyFont="1" applyFill="1" applyBorder="1" applyAlignment="1">
      <alignment horizontal="center" vertical="center"/>
    </xf>
    <xf numFmtId="166" fontId="29" fillId="3" borderId="0" xfId="1" applyNumberFormat="1" applyFont="1" applyFill="1" applyBorder="1" applyAlignment="1">
      <alignment horizontal="center" vertical="center"/>
    </xf>
    <xf numFmtId="2" fontId="23" fillId="0" borderId="0" xfId="1" applyNumberFormat="1" applyFont="1" applyFill="1" applyBorder="1" applyAlignment="1">
      <alignment horizontal="center" vertical="center"/>
    </xf>
    <xf numFmtId="2" fontId="22" fillId="0" borderId="0" xfId="0" applyNumberFormat="1" applyFont="1" applyBorder="1" applyAlignment="1">
      <alignment horizontal="center" vertical="center" wrapText="1"/>
    </xf>
    <xf numFmtId="2" fontId="23" fillId="0" borderId="0" xfId="1" applyNumberFormat="1" applyFont="1" applyFill="1" applyBorder="1" applyAlignment="1">
      <alignment vertical="center"/>
    </xf>
    <xf numFmtId="0" fontId="23" fillId="4" borderId="0" xfId="0" applyFont="1" applyFill="1" applyBorder="1" applyAlignment="1">
      <alignment horizontal="center" vertical="center"/>
    </xf>
    <xf numFmtId="2" fontId="23" fillId="4" borderId="0" xfId="1" applyNumberFormat="1" applyFont="1" applyFill="1" applyBorder="1" applyAlignment="1">
      <alignment horizontal="center" vertical="center"/>
    </xf>
    <xf numFmtId="166" fontId="23" fillId="4" borderId="0" xfId="1" applyNumberFormat="1" applyFont="1" applyFill="1" applyBorder="1" applyAlignment="1">
      <alignment horizontal="center"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center" vertical="center" wrapText="1"/>
    </xf>
    <xf numFmtId="2" fontId="22" fillId="4" borderId="0" xfId="0" applyNumberFormat="1" applyFont="1" applyFill="1" applyBorder="1" applyAlignment="1">
      <alignment horizontal="center" vertical="center" wrapText="1"/>
    </xf>
    <xf numFmtId="43" fontId="23" fillId="0" borderId="0" xfId="1" applyFont="1" applyFill="1" applyBorder="1" applyAlignment="1">
      <alignment horizontal="center"/>
    </xf>
    <xf numFmtId="0" fontId="25" fillId="2" borderId="0" xfId="0" applyFont="1" applyFill="1" applyBorder="1" applyAlignment="1">
      <alignment vertical="center"/>
    </xf>
    <xf numFmtId="0" fontId="28" fillId="0" borderId="0" xfId="0" applyFont="1" applyBorder="1" applyAlignment="1">
      <alignment horizontal="center" vertical="center"/>
    </xf>
    <xf numFmtId="0" fontId="27" fillId="0" borderId="0" xfId="0" applyFont="1" applyBorder="1"/>
    <xf numFmtId="0" fontId="26" fillId="3" borderId="0" xfId="0" applyFont="1" applyFill="1" applyBorder="1"/>
    <xf numFmtId="43" fontId="29" fillId="3" borderId="0" xfId="1" applyFont="1" applyFill="1" applyBorder="1"/>
    <xf numFmtId="43" fontId="23" fillId="0" borderId="0" xfId="1" applyFont="1" applyFill="1" applyBorder="1" applyAlignment="1"/>
    <xf numFmtId="0" fontId="22" fillId="4" borderId="0" xfId="0" applyFont="1" applyFill="1" applyBorder="1"/>
    <xf numFmtId="43" fontId="23" fillId="4" borderId="0" xfId="1" applyFont="1" applyFill="1" applyBorder="1"/>
    <xf numFmtId="0" fontId="22" fillId="4" borderId="0" xfId="0" applyFont="1" applyFill="1" applyBorder="1" applyAlignment="1">
      <alignment horizontal="center" vertical="center"/>
    </xf>
    <xf numFmtId="43" fontId="22" fillId="4" borderId="0" xfId="1" applyFont="1" applyFill="1" applyBorder="1" applyAlignment="1">
      <alignment horizontal="center" vertical="center" wrapText="1"/>
    </xf>
    <xf numFmtId="0" fontId="25" fillId="2" borderId="0" xfId="0" applyFont="1" applyFill="1" applyBorder="1" applyAlignment="1">
      <alignment horizontal="left" vertical="center"/>
    </xf>
    <xf numFmtId="0" fontId="22" fillId="4" borderId="0" xfId="0" applyFont="1" applyFill="1" applyBorder="1" applyAlignment="1">
      <alignment horizontal="left"/>
    </xf>
    <xf numFmtId="43" fontId="23" fillId="4" borderId="0" xfId="1" applyFont="1" applyFill="1" applyBorder="1" applyAlignment="1">
      <alignment horizontal="center"/>
    </xf>
    <xf numFmtId="43" fontId="22" fillId="0" borderId="0" xfId="1" applyFont="1" applyFill="1" applyBorder="1" applyAlignment="1">
      <alignment wrapText="1"/>
    </xf>
    <xf numFmtId="0" fontId="25" fillId="2" borderId="0" xfId="0" applyFont="1" applyFill="1" applyBorder="1" applyAlignment="1">
      <alignment horizontal="center"/>
    </xf>
    <xf numFmtId="43" fontId="23" fillId="0" borderId="0" xfId="1" applyFont="1" applyFill="1" applyBorder="1" applyAlignment="1">
      <alignment horizontal="center" vertical="center"/>
    </xf>
    <xf numFmtId="43" fontId="29" fillId="3" borderId="0" xfId="1" applyFont="1" applyFill="1" applyBorder="1" applyAlignment="1">
      <alignment horizontal="center" vertical="center"/>
    </xf>
    <xf numFmtId="43" fontId="23" fillId="4" borderId="0" xfId="1" applyFont="1" applyFill="1" applyBorder="1" applyAlignment="1">
      <alignment horizontal="center" vertical="center"/>
    </xf>
    <xf numFmtId="43" fontId="22" fillId="0" borderId="0" xfId="1" applyFont="1" applyFill="1" applyBorder="1" applyAlignment="1">
      <alignment horizontal="center"/>
    </xf>
    <xf numFmtId="43" fontId="22" fillId="0" borderId="0" xfId="1" applyFont="1" applyFill="1" applyBorder="1"/>
    <xf numFmtId="10" fontId="23" fillId="0" borderId="0" xfId="0" applyNumberFormat="1" applyFont="1" applyBorder="1" applyAlignment="1">
      <alignment horizontal="center" vertical="center"/>
    </xf>
    <xf numFmtId="43" fontId="22" fillId="4" borderId="0" xfId="1" applyFont="1" applyFill="1" applyBorder="1" applyAlignment="1">
      <alignment horizontal="center" vertical="center"/>
    </xf>
    <xf numFmtId="10" fontId="26" fillId="3" borderId="0" xfId="0" applyNumberFormat="1" applyFont="1" applyFill="1" applyBorder="1" applyAlignment="1">
      <alignment horizontal="center" vertical="center"/>
    </xf>
    <xf numFmtId="165" fontId="23" fillId="0" borderId="0" xfId="2" applyNumberFormat="1" applyFont="1" applyFill="1" applyBorder="1"/>
    <xf numFmtId="2" fontId="22" fillId="0" borderId="0" xfId="0" applyNumberFormat="1" applyFont="1" applyBorder="1"/>
    <xf numFmtId="0" fontId="25" fillId="2" borderId="0" xfId="0" applyFont="1" applyFill="1" applyBorder="1" applyAlignment="1">
      <alignment vertical="center" wrapText="1"/>
    </xf>
    <xf numFmtId="165" fontId="23" fillId="0" borderId="0" xfId="2" applyNumberFormat="1" applyFont="1" applyFill="1" applyBorder="1" applyAlignment="1">
      <alignment horizontal="center" vertical="center"/>
    </xf>
    <xf numFmtId="43" fontId="23" fillId="0" borderId="0" xfId="0" applyNumberFormat="1" applyFont="1" applyBorder="1"/>
    <xf numFmtId="43" fontId="34" fillId="4" borderId="0" xfId="1" applyFont="1" applyFill="1" applyBorder="1" applyAlignment="1">
      <alignment horizontal="center" vertical="center" wrapText="1"/>
    </xf>
    <xf numFmtId="43" fontId="33" fillId="4" borderId="0" xfId="1" applyFont="1" applyFill="1" applyBorder="1" applyAlignment="1">
      <alignment horizontal="center" vertical="center" wrapText="1"/>
    </xf>
    <xf numFmtId="43" fontId="26" fillId="3" borderId="0" xfId="1" applyFont="1" applyFill="1" applyBorder="1" applyAlignment="1">
      <alignment horizontal="center" vertical="center"/>
    </xf>
    <xf numFmtId="43" fontId="26" fillId="3" borderId="0" xfId="1" applyFont="1" applyFill="1" applyBorder="1" applyAlignment="1">
      <alignment vertical="center"/>
    </xf>
    <xf numFmtId="43" fontId="26" fillId="3" borderId="0" xfId="1" applyFont="1" applyFill="1" applyBorder="1" applyAlignment="1">
      <alignment horizontal="center"/>
    </xf>
    <xf numFmtId="4" fontId="22" fillId="4" borderId="0" xfId="0" applyNumberFormat="1" applyFont="1" applyFill="1" applyBorder="1"/>
    <xf numFmtId="43" fontId="23" fillId="8" borderId="0" xfId="1" applyFont="1" applyFill="1" applyBorder="1" applyAlignment="1">
      <alignment horizontal="center" vertical="center"/>
    </xf>
    <xf numFmtId="43" fontId="34" fillId="8" borderId="0" xfId="1" applyFont="1" applyFill="1" applyBorder="1" applyAlignment="1">
      <alignment horizontal="center" vertical="center" wrapText="1"/>
    </xf>
    <xf numFmtId="43" fontId="33" fillId="8" borderId="0" xfId="1" applyFont="1" applyFill="1" applyBorder="1" applyAlignment="1">
      <alignment horizontal="center" vertical="center" wrapText="1"/>
    </xf>
    <xf numFmtId="43" fontId="23" fillId="6" borderId="0" xfId="1" applyFont="1" applyFill="1" applyBorder="1" applyAlignment="1">
      <alignment horizontal="center" vertical="center"/>
    </xf>
    <xf numFmtId="43" fontId="34" fillId="6" borderId="0" xfId="1" applyFont="1" applyFill="1" applyBorder="1" applyAlignment="1">
      <alignment horizontal="center" vertical="center" wrapText="1"/>
    </xf>
    <xf numFmtId="43" fontId="33" fillId="6" borderId="0" xfId="1" applyFont="1" applyFill="1" applyBorder="1" applyAlignment="1">
      <alignment horizontal="center" vertical="center" wrapText="1"/>
    </xf>
    <xf numFmtId="43" fontId="23" fillId="9" borderId="0" xfId="1" applyFont="1" applyFill="1" applyBorder="1" applyAlignment="1">
      <alignment horizontal="center" vertical="center"/>
    </xf>
    <xf numFmtId="43" fontId="34" fillId="9" borderId="0" xfId="1" applyFont="1" applyFill="1" applyBorder="1" applyAlignment="1">
      <alignment horizontal="center" vertical="center" wrapText="1"/>
    </xf>
    <xf numFmtId="43" fontId="33" fillId="9" borderId="0" xfId="1" applyFont="1" applyFill="1" applyBorder="1" applyAlignment="1">
      <alignment horizontal="center" vertical="center" wrapText="1"/>
    </xf>
    <xf numFmtId="43" fontId="23" fillId="2" borderId="0" xfId="1" applyFont="1" applyFill="1" applyBorder="1" applyAlignment="1">
      <alignment horizontal="center" vertical="center"/>
    </xf>
    <xf numFmtId="43" fontId="34" fillId="2" borderId="0" xfId="1" applyFont="1" applyFill="1" applyBorder="1" applyAlignment="1">
      <alignment horizontal="center" vertical="center" wrapText="1"/>
    </xf>
    <xf numFmtId="43" fontId="33" fillId="2" borderId="0" xfId="1" applyFont="1" applyFill="1" applyBorder="1" applyAlignment="1">
      <alignment horizontal="center" vertical="center" wrapText="1"/>
    </xf>
    <xf numFmtId="43" fontId="23" fillId="10" borderId="0" xfId="1" applyFont="1" applyFill="1" applyBorder="1" applyAlignment="1">
      <alignment horizontal="center" vertical="center"/>
    </xf>
    <xf numFmtId="43" fontId="34" fillId="10" borderId="0" xfId="1" applyFont="1" applyFill="1" applyBorder="1" applyAlignment="1">
      <alignment horizontal="center" vertical="center" wrapText="1"/>
    </xf>
    <xf numFmtId="43" fontId="33" fillId="10" borderId="0" xfId="1" applyFont="1" applyFill="1" applyBorder="1" applyAlignment="1">
      <alignment horizontal="center" vertical="center" wrapText="1"/>
    </xf>
    <xf numFmtId="43" fontId="23" fillId="7" borderId="0" xfId="1" applyFont="1" applyFill="1" applyBorder="1" applyAlignment="1">
      <alignment horizontal="center" vertical="center"/>
    </xf>
    <xf numFmtId="43" fontId="34" fillId="7" borderId="0" xfId="1" applyFont="1" applyFill="1" applyBorder="1" applyAlignment="1">
      <alignment horizontal="center" vertical="center" wrapText="1"/>
    </xf>
    <xf numFmtId="43" fontId="33" fillId="7" borderId="0" xfId="1" applyFont="1" applyFill="1" applyBorder="1" applyAlignment="1">
      <alignment horizontal="center" vertical="center" wrapText="1"/>
    </xf>
    <xf numFmtId="4" fontId="22" fillId="7" borderId="0" xfId="0" applyNumberFormat="1" applyFont="1" applyFill="1" applyBorder="1" applyAlignment="1">
      <alignment horizontal="center" vertical="center"/>
    </xf>
    <xf numFmtId="0" fontId="26" fillId="3" borderId="0" xfId="0" applyFont="1" applyFill="1" applyBorder="1" applyAlignment="1">
      <alignment horizontal="left" vertical="center"/>
    </xf>
    <xf numFmtId="43" fontId="26" fillId="3" borderId="0" xfId="1" applyFont="1" applyFill="1" applyBorder="1" applyAlignment="1">
      <alignment horizontal="center" vertical="center"/>
    </xf>
    <xf numFmtId="0" fontId="22" fillId="0" borderId="20" xfId="0" applyFont="1" applyFill="1" applyBorder="1" applyAlignment="1">
      <alignment horizontal="left" wrapText="1"/>
    </xf>
    <xf numFmtId="43" fontId="22" fillId="4" borderId="20" xfId="1" applyFont="1" applyFill="1" applyBorder="1" applyAlignment="1">
      <alignment horizontal="center" vertical="center"/>
    </xf>
    <xf numFmtId="43" fontId="22" fillId="0" borderId="0" xfId="1" applyFont="1" applyBorder="1" applyAlignment="1">
      <alignment horizontal="center"/>
    </xf>
    <xf numFmtId="43" fontId="23" fillId="0" borderId="0" xfId="1" applyFont="1" applyBorder="1"/>
    <xf numFmtId="9" fontId="23" fillId="0" borderId="0" xfId="4" applyFont="1" applyFill="1" applyBorder="1"/>
    <xf numFmtId="9" fontId="23" fillId="0" borderId="0" xfId="4" applyFont="1" applyBorder="1"/>
    <xf numFmtId="43" fontId="23" fillId="0" borderId="0" xfId="1" applyFont="1" applyBorder="1" applyAlignment="1">
      <alignment horizontal="center"/>
    </xf>
    <xf numFmtId="43" fontId="22" fillId="0" borderId="0" xfId="1" applyFont="1" applyBorder="1" applyAlignment="1">
      <alignment horizontal="center" vertical="center"/>
    </xf>
    <xf numFmtId="43" fontId="23" fillId="0" borderId="0" xfId="1" applyFont="1" applyBorder="1" applyAlignment="1">
      <alignment horizontal="center" vertical="center"/>
    </xf>
    <xf numFmtId="9" fontId="23" fillId="0" borderId="0" xfId="4" applyFont="1" applyFill="1" applyBorder="1" applyAlignment="1">
      <alignment horizontal="center" vertical="center"/>
    </xf>
    <xf numFmtId="0" fontId="25" fillId="2" borderId="0" xfId="0" applyFont="1" applyFill="1" applyBorder="1" applyAlignment="1">
      <alignment horizontal="left"/>
    </xf>
    <xf numFmtId="43" fontId="26" fillId="3" borderId="0" xfId="1" applyFont="1" applyFill="1" applyBorder="1" applyAlignment="1">
      <alignment horizontal="center"/>
    </xf>
    <xf numFmtId="43" fontId="22" fillId="4" borderId="0" xfId="1" applyFont="1" applyFill="1" applyBorder="1" applyAlignment="1"/>
    <xf numFmtId="43" fontId="22" fillId="4" borderId="0" xfId="1" applyFont="1" applyFill="1" applyBorder="1" applyAlignment="1">
      <alignment vertical="center"/>
    </xf>
    <xf numFmtId="43" fontId="23" fillId="0" borderId="0" xfId="1" applyFont="1" applyFill="1" applyBorder="1" applyAlignment="1">
      <alignment vertical="center" wrapText="1"/>
    </xf>
    <xf numFmtId="43" fontId="22" fillId="0" borderId="0" xfId="1" applyFont="1" applyBorder="1" applyAlignment="1">
      <alignment vertical="center"/>
    </xf>
    <xf numFmtId="0" fontId="23" fillId="0" borderId="0" xfId="0" applyFont="1" applyBorder="1" applyAlignment="1">
      <alignment vertical="center" wrapText="1"/>
    </xf>
    <xf numFmtId="43" fontId="23" fillId="0" borderId="0" xfId="1" applyFont="1" applyBorder="1" applyAlignment="1">
      <alignment vertical="center"/>
    </xf>
    <xf numFmtId="9" fontId="23" fillId="0" borderId="0" xfId="4" applyFont="1" applyBorder="1" applyAlignment="1">
      <alignment vertical="center"/>
    </xf>
    <xf numFmtId="43" fontId="26" fillId="3" borderId="0" xfId="1" applyFont="1" applyFill="1" applyBorder="1"/>
    <xf numFmtId="43" fontId="22" fillId="4" borderId="20" xfId="1" applyFont="1" applyFill="1" applyBorder="1" applyAlignment="1">
      <alignment vertical="center" wrapText="1"/>
    </xf>
    <xf numFmtId="43" fontId="22" fillId="4" borderId="20" xfId="1" applyFont="1" applyFill="1" applyBorder="1"/>
    <xf numFmtId="43" fontId="22" fillId="4" borderId="19" xfId="1" applyFont="1" applyFill="1" applyBorder="1" applyAlignment="1">
      <alignment vertical="center"/>
    </xf>
    <xf numFmtId="43" fontId="22" fillId="4" borderId="19" xfId="1" applyFont="1" applyFill="1" applyBorder="1"/>
    <xf numFmtId="43" fontId="22" fillId="4" borderId="19" xfId="1" applyFont="1" applyFill="1" applyBorder="1" applyAlignment="1">
      <alignment horizontal="center" vertical="center"/>
    </xf>
    <xf numFmtId="0" fontId="22" fillId="4" borderId="0" xfId="0" applyFont="1" applyFill="1" applyBorder="1" applyAlignment="1">
      <alignment vertical="center"/>
    </xf>
    <xf numFmtId="0" fontId="22" fillId="4" borderId="20" xfId="0" applyFont="1" applyFill="1" applyBorder="1" applyAlignment="1">
      <alignment vertical="center"/>
    </xf>
    <xf numFmtId="43" fontId="23" fillId="4" borderId="20" xfId="1" applyFont="1" applyFill="1" applyBorder="1"/>
    <xf numFmtId="0" fontId="22" fillId="4" borderId="0" xfId="0" applyFont="1" applyFill="1" applyBorder="1" applyAlignment="1">
      <alignment horizontal="center"/>
    </xf>
    <xf numFmtId="0" fontId="26" fillId="3" borderId="0" xfId="0" applyFont="1" applyFill="1" applyBorder="1" applyAlignment="1">
      <alignment horizontal="left"/>
    </xf>
    <xf numFmtId="0" fontId="22" fillId="0" borderId="0" xfId="0" applyFont="1" applyBorder="1" applyAlignment="1">
      <alignment horizontal="right"/>
    </xf>
    <xf numFmtId="0" fontId="23" fillId="4" borderId="0" xfId="0" applyFont="1" applyFill="1" applyBorder="1"/>
    <xf numFmtId="43" fontId="22" fillId="0" borderId="20" xfId="1" applyFont="1" applyFill="1" applyBorder="1" applyAlignment="1">
      <alignment horizontal="center"/>
    </xf>
    <xf numFmtId="165" fontId="22" fillId="4" borderId="20" xfId="2" applyNumberFormat="1" applyFont="1" applyFill="1" applyBorder="1"/>
    <xf numFmtId="43" fontId="22" fillId="4" borderId="20" xfId="1" applyFont="1" applyFill="1" applyBorder="1" applyAlignment="1">
      <alignment horizontal="center"/>
    </xf>
    <xf numFmtId="165" fontId="22" fillId="4" borderId="20" xfId="2" applyNumberFormat="1" applyFont="1" applyFill="1" applyBorder="1" applyAlignment="1">
      <alignment vertical="center"/>
    </xf>
    <xf numFmtId="43" fontId="22" fillId="4" borderId="0" xfId="1" applyFont="1" applyFill="1" applyBorder="1" applyAlignment="1">
      <alignment horizontal="center"/>
    </xf>
    <xf numFmtId="9" fontId="22" fillId="0" borderId="0" xfId="4" applyFont="1" applyBorder="1" applyAlignment="1">
      <alignment horizontal="center"/>
    </xf>
    <xf numFmtId="9" fontId="23" fillId="0" borderId="0" xfId="4" applyFont="1" applyBorder="1" applyAlignment="1">
      <alignment horizontal="left"/>
    </xf>
    <xf numFmtId="9" fontId="23" fillId="0" borderId="0" xfId="4" applyFont="1" applyBorder="1" applyAlignment="1">
      <alignment horizontal="center"/>
    </xf>
    <xf numFmtId="0" fontId="36" fillId="0" borderId="0" xfId="0" applyFont="1" applyFill="1" applyBorder="1" applyAlignment="1">
      <alignment vertical="center"/>
    </xf>
    <xf numFmtId="10" fontId="36" fillId="0" borderId="0" xfId="4" applyNumberFormat="1" applyFont="1" applyFill="1" applyBorder="1" applyAlignment="1">
      <alignment vertical="center"/>
    </xf>
    <xf numFmtId="166" fontId="36" fillId="0" borderId="0" xfId="1" applyNumberFormat="1" applyFont="1" applyFill="1" applyBorder="1" applyAlignment="1">
      <alignment vertical="center"/>
    </xf>
    <xf numFmtId="0" fontId="37" fillId="0" borderId="0" xfId="0" applyFont="1" applyBorder="1" applyAlignment="1" applyProtection="1">
      <alignment horizontal="left" indent="1"/>
    </xf>
    <xf numFmtId="0" fontId="34" fillId="0" borderId="20" xfId="0" applyFont="1" applyBorder="1" applyAlignment="1" applyProtection="1">
      <alignment horizontal="left"/>
    </xf>
    <xf numFmtId="0" fontId="34" fillId="0" borderId="0" xfId="0" applyFont="1" applyBorder="1" applyAlignment="1" applyProtection="1">
      <alignment horizontal="left"/>
    </xf>
    <xf numFmtId="0" fontId="37" fillId="0" borderId="0" xfId="0" applyFont="1" applyBorder="1"/>
    <xf numFmtId="0" fontId="26" fillId="3" borderId="0" xfId="0" applyFont="1" applyFill="1" applyBorder="1" applyAlignment="1" applyProtection="1">
      <alignment horizontal="left"/>
    </xf>
    <xf numFmtId="0" fontId="34" fillId="4" borderId="20" xfId="0" applyFont="1" applyFill="1" applyBorder="1" applyAlignment="1" applyProtection="1">
      <alignment horizontal="left" vertical="center"/>
    </xf>
    <xf numFmtId="9" fontId="22" fillId="9" borderId="0" xfId="0" applyNumberFormat="1" applyFont="1" applyFill="1" applyBorder="1"/>
    <xf numFmtId="10" fontId="23" fillId="0" borderId="0" xfId="4" applyNumberFormat="1" applyFont="1" applyFill="1" applyBorder="1" applyAlignment="1">
      <alignment horizontal="right" vertical="center"/>
    </xf>
    <xf numFmtId="10" fontId="23" fillId="0" borderId="0" xfId="0" applyNumberFormat="1" applyFont="1" applyFill="1" applyBorder="1" applyAlignment="1">
      <alignment horizontal="center" vertical="center"/>
    </xf>
    <xf numFmtId="10" fontId="23" fillId="0" borderId="0" xfId="0" applyNumberFormat="1" applyFont="1" applyFill="1" applyBorder="1"/>
    <xf numFmtId="0" fontId="26" fillId="3" borderId="0" xfId="0" applyNumberFormat="1" applyFont="1" applyFill="1" applyAlignment="1" applyProtection="1">
      <alignment horizontal="left" vertical="center"/>
    </xf>
    <xf numFmtId="0" fontId="35" fillId="11" borderId="0" xfId="0" applyFont="1" applyFill="1" applyBorder="1" applyAlignment="1">
      <alignment horizontal="left" vertical="center"/>
    </xf>
    <xf numFmtId="0" fontId="38" fillId="0" borderId="0" xfId="0" applyFont="1"/>
    <xf numFmtId="0" fontId="34" fillId="0" borderId="20" xfId="0" applyFont="1" applyBorder="1"/>
    <xf numFmtId="0" fontId="34" fillId="5" borderId="20" xfId="0" applyFont="1" applyFill="1" applyBorder="1"/>
    <xf numFmtId="0" fontId="35" fillId="11" borderId="0" xfId="0" applyFont="1" applyFill="1" applyBorder="1" applyAlignment="1"/>
    <xf numFmtId="10" fontId="23" fillId="0" borderId="0" xfId="0" applyNumberFormat="1" applyFont="1" applyBorder="1"/>
    <xf numFmtId="43" fontId="22" fillId="4" borderId="20" xfId="1" applyFont="1" applyFill="1" applyBorder="1" applyAlignment="1">
      <alignment horizontal="center"/>
    </xf>
    <xf numFmtId="169" fontId="26" fillId="3" borderId="0" xfId="0" applyNumberFormat="1" applyFont="1" applyFill="1" applyAlignment="1" applyProtection="1">
      <alignment vertical="center"/>
    </xf>
    <xf numFmtId="9" fontId="37" fillId="0" borderId="0" xfId="0" applyNumberFormat="1" applyFont="1" applyBorder="1"/>
    <xf numFmtId="0" fontId="37" fillId="0" borderId="0" xfId="0" applyFont="1" applyBorder="1" applyAlignment="1">
      <alignment vertical="center"/>
    </xf>
    <xf numFmtId="2" fontId="37" fillId="0" borderId="0" xfId="0" applyNumberFormat="1" applyFont="1" applyBorder="1" applyAlignment="1">
      <alignment vertical="center"/>
    </xf>
    <xf numFmtId="169" fontId="26" fillId="3" borderId="0" xfId="0" applyNumberFormat="1" applyFont="1" applyFill="1" applyBorder="1"/>
    <xf numFmtId="0" fontId="22" fillId="0" borderId="20" xfId="0" applyFont="1" applyBorder="1" applyAlignment="1">
      <alignment horizontal="left"/>
    </xf>
    <xf numFmtId="9" fontId="22" fillId="8" borderId="0" xfId="0" applyNumberFormat="1" applyFont="1" applyFill="1" applyBorder="1" applyAlignment="1">
      <alignment horizontal="center" vertical="center"/>
    </xf>
    <xf numFmtId="0" fontId="25" fillId="2" borderId="0" xfId="0" applyFont="1" applyFill="1" applyBorder="1" applyAlignment="1">
      <alignment horizontal="left" vertical="center"/>
    </xf>
    <xf numFmtId="0" fontId="22" fillId="4" borderId="0" xfId="0" applyFont="1" applyFill="1" applyBorder="1" applyAlignment="1">
      <alignment horizontal="center" vertical="center"/>
    </xf>
    <xf numFmtId="0" fontId="25" fillId="2" borderId="0" xfId="0" applyFont="1" applyFill="1" applyBorder="1" applyAlignment="1">
      <alignment horizontal="center" vertical="center"/>
    </xf>
    <xf numFmtId="43" fontId="22" fillId="4" borderId="20" xfId="1" applyFont="1" applyFill="1" applyBorder="1" applyAlignment="1">
      <alignment horizontal="center"/>
    </xf>
    <xf numFmtId="43" fontId="26" fillId="3" borderId="0" xfId="1" applyFont="1" applyFill="1" applyBorder="1" applyAlignment="1">
      <alignment horizontal="center"/>
    </xf>
    <xf numFmtId="43" fontId="22" fillId="0" borderId="0" xfId="1" applyFont="1" applyBorder="1" applyAlignment="1">
      <alignment horizontal="center"/>
    </xf>
    <xf numFmtId="43" fontId="22" fillId="0" borderId="20" xfId="1" applyNumberFormat="1" applyFont="1" applyFill="1" applyBorder="1" applyAlignment="1">
      <alignment horizontal="right" vertical="center"/>
    </xf>
    <xf numFmtId="2" fontId="23" fillId="0" borderId="0" xfId="0" applyNumberFormat="1" applyFont="1" applyFill="1" applyBorder="1" applyAlignment="1">
      <alignment vertical="center"/>
    </xf>
    <xf numFmtId="43" fontId="23" fillId="0" borderId="0" xfId="1" applyNumberFormat="1" applyFont="1" applyFill="1" applyBorder="1" applyAlignment="1">
      <alignment horizontal="right" vertical="center"/>
    </xf>
    <xf numFmtId="43" fontId="23" fillId="0" borderId="0" xfId="1" applyNumberFormat="1" applyFont="1" applyFill="1" applyBorder="1" applyAlignment="1">
      <alignment vertical="center"/>
    </xf>
    <xf numFmtId="43" fontId="23" fillId="0" borderId="0" xfId="0" applyNumberFormat="1" applyFont="1" applyFill="1" applyBorder="1" applyAlignment="1">
      <alignment vertical="center"/>
    </xf>
    <xf numFmtId="43" fontId="22" fillId="0" borderId="0" xfId="1" applyNumberFormat="1" applyFont="1" applyFill="1" applyBorder="1" applyAlignment="1">
      <alignment horizontal="right" vertical="center"/>
    </xf>
    <xf numFmtId="9" fontId="22" fillId="9" borderId="0" xfId="0" applyNumberFormat="1" applyFont="1" applyFill="1" applyBorder="1" applyAlignment="1">
      <alignment horizontal="center" vertical="center"/>
    </xf>
    <xf numFmtId="43" fontId="23" fillId="0" borderId="0" xfId="1" applyNumberFormat="1" applyFont="1" applyFill="1" applyBorder="1" applyAlignment="1">
      <alignment horizontal="center" vertical="center"/>
    </xf>
    <xf numFmtId="0" fontId="22" fillId="0" borderId="20" xfId="0" applyFont="1" applyFill="1" applyBorder="1" applyAlignment="1">
      <alignment horizontal="left" vertical="center"/>
    </xf>
    <xf numFmtId="43" fontId="22" fillId="0" borderId="20" xfId="1" applyNumberFormat="1" applyFont="1" applyFill="1" applyBorder="1" applyAlignment="1">
      <alignment horizontal="center" vertical="center"/>
    </xf>
    <xf numFmtId="43" fontId="22" fillId="4" borderId="20" xfId="1" applyNumberFormat="1" applyFont="1" applyFill="1" applyBorder="1" applyAlignment="1">
      <alignment horizontal="center" vertical="center"/>
    </xf>
    <xf numFmtId="43" fontId="23" fillId="0" borderId="0" xfId="0" applyNumberFormat="1" applyFont="1" applyFill="1" applyBorder="1" applyAlignment="1">
      <alignment horizontal="center" vertical="center"/>
    </xf>
    <xf numFmtId="43" fontId="23" fillId="0" borderId="0" xfId="1" applyNumberFormat="1" applyFont="1" applyBorder="1" applyAlignment="1">
      <alignment horizontal="center" vertical="center"/>
    </xf>
    <xf numFmtId="43" fontId="23" fillId="0" borderId="0" xfId="0" applyNumberFormat="1" applyFont="1" applyBorder="1" applyAlignment="1">
      <alignment horizontal="center" vertical="center"/>
    </xf>
    <xf numFmtId="43" fontId="22" fillId="4" borderId="20" xfId="0" applyNumberFormat="1" applyFont="1" applyFill="1" applyBorder="1" applyAlignment="1">
      <alignment horizontal="center" vertical="center"/>
    </xf>
    <xf numFmtId="43" fontId="22" fillId="0" borderId="0" xfId="0" applyNumberFormat="1" applyFont="1" applyBorder="1" applyAlignment="1">
      <alignment vertical="center"/>
    </xf>
    <xf numFmtId="43" fontId="26" fillId="3" borderId="0" xfId="0" applyNumberFormat="1" applyFont="1" applyFill="1" applyBorder="1" applyAlignment="1">
      <alignment vertical="center"/>
    </xf>
    <xf numFmtId="166" fontId="22" fillId="0" borderId="0" xfId="1" applyNumberFormat="1" applyFont="1" applyFill="1" applyBorder="1" applyAlignment="1">
      <alignment horizontal="center"/>
    </xf>
    <xf numFmtId="43" fontId="22" fillId="0" borderId="0" xfId="1" applyNumberFormat="1" applyFont="1" applyFill="1" applyBorder="1" applyAlignment="1">
      <alignment horizontal="center"/>
    </xf>
    <xf numFmtId="43" fontId="23" fillId="0" borderId="0" xfId="1" applyNumberFormat="1" applyFont="1" applyFill="1" applyBorder="1" applyAlignment="1">
      <alignment horizontal="center"/>
    </xf>
    <xf numFmtId="43" fontId="22" fillId="0" borderId="0" xfId="1" applyNumberFormat="1" applyFont="1" applyBorder="1" applyAlignment="1">
      <alignment horizontal="left"/>
    </xf>
    <xf numFmtId="166" fontId="22" fillId="0" borderId="0" xfId="1" applyNumberFormat="1" applyFont="1" applyBorder="1" applyAlignment="1">
      <alignment horizontal="left"/>
    </xf>
    <xf numFmtId="43" fontId="23" fillId="0" borderId="0" xfId="1" applyNumberFormat="1" applyFont="1" applyBorder="1" applyAlignment="1">
      <alignment horizontal="left"/>
    </xf>
    <xf numFmtId="166" fontId="22" fillId="0" borderId="20" xfId="1" applyNumberFormat="1" applyFont="1" applyBorder="1" applyAlignment="1">
      <alignment horizontal="center" vertical="center"/>
    </xf>
    <xf numFmtId="43" fontId="22" fillId="0" borderId="20" xfId="1" applyNumberFormat="1" applyFont="1" applyBorder="1" applyAlignment="1">
      <alignment horizontal="center" vertical="center"/>
    </xf>
    <xf numFmtId="43" fontId="22" fillId="0" borderId="0" xfId="1" applyNumberFormat="1" applyFont="1" applyBorder="1" applyAlignment="1">
      <alignment horizontal="center" vertical="center"/>
    </xf>
    <xf numFmtId="9" fontId="22" fillId="0" borderId="19" xfId="4" applyFont="1" applyBorder="1" applyAlignment="1">
      <alignment horizontal="left"/>
    </xf>
    <xf numFmtId="10" fontId="22" fillId="0" borderId="19" xfId="4" applyNumberFormat="1" applyFont="1" applyBorder="1" applyAlignment="1"/>
    <xf numFmtId="9" fontId="22" fillId="0" borderId="20" xfId="4" applyFont="1" applyBorder="1" applyAlignment="1">
      <alignment horizontal="left"/>
    </xf>
    <xf numFmtId="10" fontId="22" fillId="0" borderId="20" xfId="4" applyNumberFormat="1" applyFont="1" applyBorder="1" applyAlignment="1"/>
    <xf numFmtId="10" fontId="23" fillId="0" borderId="0" xfId="4" applyNumberFormat="1" applyFont="1" applyBorder="1"/>
    <xf numFmtId="43" fontId="22" fillId="0" borderId="20" xfId="1" applyFont="1" applyBorder="1" applyAlignment="1">
      <alignment vertical="center"/>
    </xf>
    <xf numFmtId="0" fontId="22" fillId="0" borderId="20" xfId="0" applyFont="1" applyBorder="1"/>
    <xf numFmtId="43" fontId="22" fillId="0" borderId="20" xfId="1" applyFont="1" applyBorder="1" applyAlignment="1">
      <alignment horizontal="center"/>
    </xf>
    <xf numFmtId="166" fontId="23" fillId="0" borderId="0" xfId="1" applyNumberFormat="1" applyFont="1" applyBorder="1" applyAlignment="1">
      <alignment vertical="center"/>
    </xf>
    <xf numFmtId="43" fontId="23" fillId="0" borderId="0" xfId="1" applyNumberFormat="1" applyFont="1" applyBorder="1" applyAlignment="1">
      <alignment vertical="center"/>
    </xf>
    <xf numFmtId="43" fontId="22" fillId="0" borderId="20" xfId="1" applyNumberFormat="1" applyFont="1" applyBorder="1" applyAlignment="1">
      <alignment horizontal="center"/>
    </xf>
    <xf numFmtId="43" fontId="23" fillId="0" borderId="0" xfId="1" applyNumberFormat="1" applyFont="1" applyBorder="1" applyAlignment="1">
      <alignment horizontal="center"/>
    </xf>
    <xf numFmtId="166" fontId="23" fillId="0" borderId="0" xfId="0" applyNumberFormat="1" applyFont="1" applyFill="1" applyBorder="1" applyAlignment="1">
      <alignment vertical="center"/>
    </xf>
    <xf numFmtId="1" fontId="0" fillId="0" borderId="0" xfId="0" applyNumberFormat="1" applyFont="1" applyFill="1" applyBorder="1" applyAlignment="1">
      <alignment vertical="center" wrapText="1"/>
    </xf>
    <xf numFmtId="1" fontId="23" fillId="0" borderId="0" xfId="0" applyNumberFormat="1" applyFont="1" applyFill="1" applyBorder="1" applyAlignment="1">
      <alignment horizontal="left" vertical="center" wrapText="1"/>
    </xf>
    <xf numFmtId="0" fontId="0" fillId="0" borderId="0" xfId="0" applyAlignment="1"/>
    <xf numFmtId="0" fontId="0" fillId="0" borderId="0" xfId="0" applyAlignment="1">
      <alignment wrapText="1"/>
    </xf>
    <xf numFmtId="0" fontId="25" fillId="2" borderId="0" xfId="0" applyFont="1" applyFill="1" applyBorder="1" applyAlignment="1">
      <alignment horizontal="left" vertical="center"/>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11" fillId="0" borderId="14" xfId="0" applyFont="1" applyBorder="1" applyAlignment="1">
      <alignment horizontal="center"/>
    </xf>
    <xf numFmtId="0" fontId="11" fillId="0" borderId="0" xfId="0" applyFont="1" applyAlignment="1">
      <alignment horizontal="center"/>
    </xf>
    <xf numFmtId="0" fontId="11" fillId="0" borderId="15" xfId="0" applyFont="1" applyBorder="1" applyAlignment="1">
      <alignment horizontal="center"/>
    </xf>
    <xf numFmtId="0" fontId="11" fillId="0" borderId="14" xfId="0" applyFont="1" applyBorder="1" applyAlignment="1">
      <alignment horizontal="center" wrapText="1"/>
    </xf>
    <xf numFmtId="0" fontId="11" fillId="0" borderId="0" xfId="0" applyFont="1" applyAlignment="1">
      <alignment horizontal="center" wrapText="1"/>
    </xf>
    <xf numFmtId="0" fontId="11" fillId="0" borderId="15" xfId="0" applyFont="1" applyBorder="1" applyAlignment="1">
      <alignment horizontal="center" wrapText="1"/>
    </xf>
    <xf numFmtId="0" fontId="19" fillId="0" borderId="0" xfId="0" applyFont="1" applyAlignment="1">
      <alignment horizontal="center"/>
    </xf>
    <xf numFmtId="0" fontId="22" fillId="0" borderId="0" xfId="0" applyFont="1" applyFill="1" applyBorder="1" applyAlignment="1">
      <alignment horizontal="center" vertical="center"/>
    </xf>
    <xf numFmtId="0" fontId="25" fillId="2" borderId="0" xfId="0" applyFont="1" applyFill="1" applyBorder="1" applyAlignment="1">
      <alignment horizontal="left" vertical="center"/>
    </xf>
    <xf numFmtId="0" fontId="23" fillId="0" borderId="0" xfId="0" applyFont="1" applyFill="1" applyBorder="1" applyAlignment="1">
      <alignment horizontal="center" vertical="center"/>
    </xf>
    <xf numFmtId="0" fontId="22" fillId="0" borderId="0" xfId="0" applyFont="1" applyFill="1" applyBorder="1" applyAlignment="1">
      <alignment horizontal="center"/>
    </xf>
    <xf numFmtId="0" fontId="24" fillId="0" borderId="0" xfId="0" applyFont="1" applyBorder="1" applyAlignment="1">
      <alignment horizontal="center"/>
    </xf>
    <xf numFmtId="43" fontId="22" fillId="0" borderId="20" xfId="1" applyNumberFormat="1" applyFont="1" applyFill="1" applyBorder="1" applyAlignment="1">
      <alignment horizontal="center"/>
    </xf>
    <xf numFmtId="0" fontId="22" fillId="0" borderId="0" xfId="0" applyFont="1" applyBorder="1" applyAlignment="1">
      <alignment horizontal="center"/>
    </xf>
    <xf numFmtId="0" fontId="26" fillId="3" borderId="0" xfId="0" applyFont="1" applyFill="1" applyBorder="1" applyAlignment="1">
      <alignment horizontal="left" vertical="center"/>
    </xf>
    <xf numFmtId="43" fontId="26" fillId="3" borderId="0" xfId="1" applyFont="1" applyFill="1" applyBorder="1" applyAlignment="1">
      <alignment horizontal="center"/>
    </xf>
    <xf numFmtId="43" fontId="26" fillId="3" borderId="0" xfId="1" applyFont="1" applyFill="1" applyBorder="1" applyAlignment="1">
      <alignment horizontal="right" wrapText="1"/>
    </xf>
    <xf numFmtId="43" fontId="22" fillId="4" borderId="20" xfId="1" applyFont="1" applyFill="1" applyBorder="1" applyAlignment="1">
      <alignment horizontal="center"/>
    </xf>
    <xf numFmtId="9" fontId="22" fillId="4" borderId="20" xfId="4" applyFont="1" applyFill="1" applyBorder="1" applyAlignment="1">
      <alignment horizontal="center"/>
    </xf>
    <xf numFmtId="0" fontId="25" fillId="2" borderId="0" xfId="0" applyFont="1" applyFill="1" applyBorder="1" applyAlignment="1">
      <alignment horizontal="center" wrapText="1"/>
    </xf>
    <xf numFmtId="0" fontId="23" fillId="0" borderId="0" xfId="0" applyFont="1" applyBorder="1" applyAlignment="1">
      <alignment horizontal="center" wrapText="1"/>
    </xf>
    <xf numFmtId="0" fontId="32" fillId="2" borderId="0" xfId="0" applyFont="1" applyFill="1" applyBorder="1" applyAlignment="1">
      <alignment horizontal="left" vertical="center"/>
    </xf>
    <xf numFmtId="0" fontId="25" fillId="2" borderId="0" xfId="0" applyFont="1" applyFill="1" applyBorder="1" applyAlignment="1">
      <alignment horizontal="left" vertical="center" wrapText="1"/>
    </xf>
    <xf numFmtId="4" fontId="22" fillId="9" borderId="0" xfId="0" applyNumberFormat="1" applyFont="1" applyFill="1" applyBorder="1" applyAlignment="1">
      <alignment horizontal="center" vertical="center"/>
    </xf>
    <xf numFmtId="4" fontId="22" fillId="7" borderId="0" xfId="0" applyNumberFormat="1" applyFont="1" applyFill="1" applyBorder="1" applyAlignment="1">
      <alignment horizontal="center" vertical="center"/>
    </xf>
    <xf numFmtId="0" fontId="22" fillId="4" borderId="0" xfId="0" applyFont="1" applyFill="1" applyBorder="1" applyAlignment="1">
      <alignment horizontal="center" vertical="center"/>
    </xf>
    <xf numFmtId="4" fontId="22" fillId="4" borderId="0" xfId="0" applyNumberFormat="1" applyFont="1" applyFill="1" applyBorder="1" applyAlignment="1">
      <alignment horizontal="center" vertical="center"/>
    </xf>
    <xf numFmtId="43" fontId="33" fillId="4" borderId="0" xfId="1" applyFont="1" applyFill="1" applyBorder="1" applyAlignment="1">
      <alignment horizontal="center" vertical="center" wrapText="1"/>
    </xf>
    <xf numFmtId="43" fontId="34" fillId="4" borderId="0" xfId="1" applyFont="1" applyFill="1" applyBorder="1" applyAlignment="1">
      <alignment horizontal="center" vertical="center" wrapText="1"/>
    </xf>
    <xf numFmtId="4" fontId="22" fillId="8" borderId="0" xfId="0" applyNumberFormat="1" applyFont="1" applyFill="1" applyBorder="1" applyAlignment="1">
      <alignment horizontal="center" vertical="center"/>
    </xf>
    <xf numFmtId="4" fontId="22" fillId="6" borderId="0" xfId="0" applyNumberFormat="1" applyFont="1" applyFill="1" applyBorder="1" applyAlignment="1">
      <alignment horizontal="center" vertical="center"/>
    </xf>
    <xf numFmtId="4" fontId="22" fillId="10" borderId="0" xfId="0" applyNumberFormat="1" applyFont="1" applyFill="1" applyBorder="1" applyAlignment="1">
      <alignment horizontal="center" vertical="center"/>
    </xf>
    <xf numFmtId="4" fontId="22" fillId="2" borderId="0" xfId="0" applyNumberFormat="1" applyFont="1" applyFill="1" applyBorder="1" applyAlignment="1">
      <alignment horizontal="center" vertical="center"/>
    </xf>
    <xf numFmtId="0" fontId="25" fillId="2" borderId="0" xfId="0" applyFont="1" applyFill="1" applyBorder="1" applyAlignment="1">
      <alignment horizontal="center" vertical="center"/>
    </xf>
    <xf numFmtId="43" fontId="22" fillId="0" borderId="0" xfId="1" applyFont="1" applyBorder="1" applyAlignment="1">
      <alignment horizontal="center" wrapText="1"/>
    </xf>
    <xf numFmtId="43" fontId="26" fillId="3" borderId="0" xfId="1" applyFont="1" applyFill="1" applyBorder="1" applyAlignment="1">
      <alignment horizontal="center" vertical="center"/>
    </xf>
    <xf numFmtId="43" fontId="22" fillId="4" borderId="0" xfId="1" applyFont="1" applyFill="1" applyBorder="1" applyAlignment="1">
      <alignment horizontal="center" vertical="center"/>
    </xf>
    <xf numFmtId="2" fontId="26" fillId="3" borderId="0" xfId="0" applyNumberFormat="1" applyFont="1" applyFill="1" applyBorder="1" applyAlignment="1">
      <alignment horizontal="center" vertical="center"/>
    </xf>
    <xf numFmtId="43" fontId="22" fillId="0" borderId="0" xfId="1" applyFont="1" applyBorder="1" applyAlignment="1">
      <alignment horizontal="center"/>
    </xf>
    <xf numFmtId="0" fontId="26" fillId="3" borderId="0" xfId="0" applyFont="1" applyFill="1" applyBorder="1" applyAlignment="1">
      <alignment horizontal="left"/>
    </xf>
    <xf numFmtId="10" fontId="23" fillId="0" borderId="0" xfId="4" applyNumberFormat="1" applyFont="1" applyBorder="1" applyAlignment="1">
      <alignment horizontal="center" vertical="center"/>
    </xf>
  </cellXfs>
  <cellStyles count="6">
    <cellStyle name="Comma" xfId="1" builtinId="3"/>
    <cellStyle name="Comma 2" xfId="2"/>
    <cellStyle name="Normal" xfId="0" builtinId="0"/>
    <cellStyle name="Normal 2" xfId="3"/>
    <cellStyle name="Normal 62" xfId="5"/>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'PL LAKHS'!$B$93</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 LAKHS'!$C$6:$J$6</c:f>
              <c:strCache>
                <c:ptCount val="8"/>
                <c:pt idx="0">
                  <c:v>FY-24-25</c:v>
                </c:pt>
                <c:pt idx="1">
                  <c:v>FY-25-26</c:v>
                </c:pt>
                <c:pt idx="2">
                  <c:v>FY-26-27</c:v>
                </c:pt>
                <c:pt idx="3">
                  <c:v>FY-27-28</c:v>
                </c:pt>
                <c:pt idx="4">
                  <c:v>FY-28-29</c:v>
                </c:pt>
                <c:pt idx="5">
                  <c:v>FY-29-30</c:v>
                </c:pt>
                <c:pt idx="6">
                  <c:v>FY-30-31</c:v>
                </c:pt>
                <c:pt idx="7">
                  <c:v>FY-31-32</c:v>
                </c:pt>
              </c:strCache>
            </c:strRef>
          </c:cat>
          <c:val>
            <c:numRef>
              <c:f>'PL LAKHS'!$C$93:$J$93</c:f>
              <c:numCache>
                <c:formatCode>0.00%</c:formatCode>
                <c:ptCount val="8"/>
                <c:pt idx="0">
                  <c:v>0.18037320462524523</c:v>
                </c:pt>
                <c:pt idx="1">
                  <c:v>0.14925221372457612</c:v>
                </c:pt>
                <c:pt idx="2">
                  <c:v>0.14825019173347867</c:v>
                </c:pt>
                <c:pt idx="3">
                  <c:v>0.14716957978229578</c:v>
                </c:pt>
                <c:pt idx="4">
                  <c:v>0.14600421395258864</c:v>
                </c:pt>
                <c:pt idx="5">
                  <c:v>0.14474744688133556</c:v>
                </c:pt>
                <c:pt idx="6">
                  <c:v>0.14339210984371009</c:v>
                </c:pt>
                <c:pt idx="7">
                  <c:v>0.14193047186195765</c:v>
                </c:pt>
              </c:numCache>
            </c:numRef>
          </c:val>
        </c:ser>
        <c:dLbls>
          <c:dLblPos val="outEnd"/>
          <c:showLegendKey val="0"/>
          <c:showVal val="1"/>
          <c:showCatName val="0"/>
          <c:showSerName val="0"/>
          <c:showPercent val="0"/>
          <c:showBubbleSize val="0"/>
        </c:dLbls>
        <c:gapWidth val="219"/>
        <c:overlap val="-27"/>
        <c:axId val="151968512"/>
        <c:axId val="384023024"/>
      </c:barChart>
      <c:catAx>
        <c:axId val="15196851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0792702482887586"/>
              <c:y val="0.901307664074200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023024"/>
        <c:crosses val="autoZero"/>
        <c:auto val="1"/>
        <c:lblAlgn val="ctr"/>
        <c:lblOffset val="100"/>
        <c:noMultiLvlLbl val="0"/>
      </c:catAx>
      <c:valAx>
        <c:axId val="384023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5002341901009351E-2"/>
              <c:y val="0.3786318420622567"/>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68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'PL LAKHS'!$B$94</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 LAKHS'!$C$6:$J$6</c:f>
              <c:strCache>
                <c:ptCount val="8"/>
                <c:pt idx="0">
                  <c:v>FY-24-25</c:v>
                </c:pt>
                <c:pt idx="1">
                  <c:v>FY-25-26</c:v>
                </c:pt>
                <c:pt idx="2">
                  <c:v>FY-26-27</c:v>
                </c:pt>
                <c:pt idx="3">
                  <c:v>FY-27-28</c:v>
                </c:pt>
                <c:pt idx="4">
                  <c:v>FY-28-29</c:v>
                </c:pt>
                <c:pt idx="5">
                  <c:v>FY-29-30</c:v>
                </c:pt>
                <c:pt idx="6">
                  <c:v>FY-30-31</c:v>
                </c:pt>
                <c:pt idx="7">
                  <c:v>FY-31-32</c:v>
                </c:pt>
              </c:strCache>
            </c:strRef>
          </c:cat>
          <c:val>
            <c:numRef>
              <c:f>'PL LAKHS'!$C$94:$J$94</c:f>
              <c:numCache>
                <c:formatCode>0.00%</c:formatCode>
                <c:ptCount val="8"/>
                <c:pt idx="0">
                  <c:v>0.17109507780329347</c:v>
                </c:pt>
                <c:pt idx="1">
                  <c:v>0.13686677659332411</c:v>
                </c:pt>
                <c:pt idx="2">
                  <c:v>0.13788557175328117</c:v>
                </c:pt>
                <c:pt idx="3">
                  <c:v>0.13849408260885784</c:v>
                </c:pt>
                <c:pt idx="4">
                  <c:v>0.13874082663065904</c:v>
                </c:pt>
                <c:pt idx="5">
                  <c:v>0.13866479498594497</c:v>
                </c:pt>
                <c:pt idx="6">
                  <c:v>0.13829691344617451</c:v>
                </c:pt>
                <c:pt idx="7">
                  <c:v>0.13766125149514946</c:v>
                </c:pt>
              </c:numCache>
            </c:numRef>
          </c:val>
        </c:ser>
        <c:dLbls>
          <c:dLblPos val="outEnd"/>
          <c:showLegendKey val="0"/>
          <c:showVal val="1"/>
          <c:showCatName val="0"/>
          <c:showSerName val="0"/>
          <c:showPercent val="0"/>
          <c:showBubbleSize val="0"/>
        </c:dLbls>
        <c:gapWidth val="219"/>
        <c:overlap val="-27"/>
        <c:axId val="325412544"/>
        <c:axId val="386181152"/>
      </c:barChart>
      <c:catAx>
        <c:axId val="32541254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1050650583570667"/>
              <c:y val="0.9006740055233536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181152"/>
        <c:crosses val="autoZero"/>
        <c:auto val="1"/>
        <c:lblAlgn val="ctr"/>
        <c:lblOffset val="100"/>
        <c:noMultiLvlLbl val="0"/>
      </c:catAx>
      <c:valAx>
        <c:axId val="386181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5275504637206765E-2"/>
              <c:y val="0.3729945487722098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412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'PL LAKHS'!$B$95</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 LAKHS'!$C$6:$J$6</c:f>
              <c:strCache>
                <c:ptCount val="8"/>
                <c:pt idx="0">
                  <c:v>FY-24-25</c:v>
                </c:pt>
                <c:pt idx="1">
                  <c:v>FY-25-26</c:v>
                </c:pt>
                <c:pt idx="2">
                  <c:v>FY-26-27</c:v>
                </c:pt>
                <c:pt idx="3">
                  <c:v>FY-27-28</c:v>
                </c:pt>
                <c:pt idx="4">
                  <c:v>FY-28-29</c:v>
                </c:pt>
                <c:pt idx="5">
                  <c:v>FY-29-30</c:v>
                </c:pt>
                <c:pt idx="6">
                  <c:v>FY-30-31</c:v>
                </c:pt>
                <c:pt idx="7">
                  <c:v>FY-31-32</c:v>
                </c:pt>
              </c:strCache>
            </c:strRef>
          </c:cat>
          <c:val>
            <c:numRef>
              <c:f>'PL LAKHS'!$C$95:$J$95</c:f>
              <c:numCache>
                <c:formatCode>0.00%</c:formatCode>
                <c:ptCount val="8"/>
                <c:pt idx="0">
                  <c:v>0.11117885353969729</c:v>
                </c:pt>
                <c:pt idx="1">
                  <c:v>9.058547809893662E-2</c:v>
                </c:pt>
                <c:pt idx="2">
                  <c:v>9.229572358947391E-2</c:v>
                </c:pt>
                <c:pt idx="3">
                  <c:v>9.3789408764873045E-2</c:v>
                </c:pt>
                <c:pt idx="4">
                  <c:v>9.5111957104541525E-2</c:v>
                </c:pt>
                <c:pt idx="5">
                  <c:v>9.6303170665144724E-2</c:v>
                </c:pt>
                <c:pt idx="6">
                  <c:v>9.7398422750984287E-2</c:v>
                </c:pt>
                <c:pt idx="7">
                  <c:v>9.7736391741272258E-2</c:v>
                </c:pt>
              </c:numCache>
            </c:numRef>
          </c:val>
        </c:ser>
        <c:dLbls>
          <c:dLblPos val="outEnd"/>
          <c:showLegendKey val="0"/>
          <c:showVal val="1"/>
          <c:showCatName val="0"/>
          <c:showSerName val="0"/>
          <c:showPercent val="0"/>
          <c:showBubbleSize val="0"/>
        </c:dLbls>
        <c:gapWidth val="219"/>
        <c:overlap val="-27"/>
        <c:axId val="385806488"/>
        <c:axId val="153994856"/>
      </c:barChart>
      <c:catAx>
        <c:axId val="38580648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u="none"/>
                  <a:t>Financial</a:t>
                </a:r>
                <a:r>
                  <a:rPr lang="en-IN" b="1" i="1" u="none" baseline="0"/>
                  <a:t> Year</a:t>
                </a:r>
                <a:endParaRPr lang="en-IN" b="1" i="1" u="none"/>
              </a:p>
            </c:rich>
          </c:tx>
          <c:layout>
            <c:manualLayout>
              <c:xMode val="edge"/>
              <c:yMode val="edge"/>
              <c:x val="0.50980072529101805"/>
              <c:y val="0.90333886922155027"/>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994856"/>
        <c:crosses val="autoZero"/>
        <c:auto val="1"/>
        <c:lblAlgn val="ctr"/>
        <c:lblOffset val="100"/>
        <c:noMultiLvlLbl val="0"/>
      </c:catAx>
      <c:valAx>
        <c:axId val="153994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2.0356234096692113E-2"/>
              <c:y val="0.3510692328206505"/>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806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'PL LAKHS'!$B$96</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 LAKHS'!$C$6:$J$6</c:f>
              <c:strCache>
                <c:ptCount val="8"/>
                <c:pt idx="0">
                  <c:v>FY-24-25</c:v>
                </c:pt>
                <c:pt idx="1">
                  <c:v>FY-25-26</c:v>
                </c:pt>
                <c:pt idx="2">
                  <c:v>FY-26-27</c:v>
                </c:pt>
                <c:pt idx="3">
                  <c:v>FY-27-28</c:v>
                </c:pt>
                <c:pt idx="4">
                  <c:v>FY-28-29</c:v>
                </c:pt>
                <c:pt idx="5">
                  <c:v>FY-29-30</c:v>
                </c:pt>
                <c:pt idx="6">
                  <c:v>FY-30-31</c:v>
                </c:pt>
                <c:pt idx="7">
                  <c:v>FY-31-32</c:v>
                </c:pt>
              </c:strCache>
            </c:strRef>
          </c:cat>
          <c:val>
            <c:numRef>
              <c:f>'PL LAKHS'!$C$96:$J$96</c:f>
              <c:numCache>
                <c:formatCode>0.00%</c:formatCode>
                <c:ptCount val="8"/>
                <c:pt idx="1">
                  <c:v>0.44000000000000039</c:v>
                </c:pt>
                <c:pt idx="2">
                  <c:v>1.9999999999999796E-2</c:v>
                </c:pt>
                <c:pt idx="3">
                  <c:v>1.9999999999999796E-2</c:v>
                </c:pt>
                <c:pt idx="4">
                  <c:v>2.000000000000024E-2</c:v>
                </c:pt>
                <c:pt idx="5">
                  <c:v>1.9999999999999796E-2</c:v>
                </c:pt>
                <c:pt idx="6">
                  <c:v>2.0000000000000018E-2</c:v>
                </c:pt>
                <c:pt idx="7">
                  <c:v>2.000000000000024E-2</c:v>
                </c:pt>
              </c:numCache>
            </c:numRef>
          </c:val>
        </c:ser>
        <c:dLbls>
          <c:dLblPos val="outEnd"/>
          <c:showLegendKey val="0"/>
          <c:showVal val="1"/>
          <c:showCatName val="0"/>
          <c:showSerName val="0"/>
          <c:showPercent val="0"/>
          <c:showBubbleSize val="0"/>
        </c:dLbls>
        <c:gapWidth val="219"/>
        <c:overlap val="-27"/>
        <c:axId val="153990152"/>
        <c:axId val="153988976"/>
      </c:barChart>
      <c:catAx>
        <c:axId val="15399015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Fiancial Year</a:t>
                </a:r>
              </a:p>
            </c:rich>
          </c:tx>
          <c:layout>
            <c:manualLayout>
              <c:xMode val="edge"/>
              <c:yMode val="edge"/>
              <c:x val="0.49364346003512161"/>
              <c:y val="0.90428241865132331"/>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988976"/>
        <c:crosses val="autoZero"/>
        <c:auto val="1"/>
        <c:lblAlgn val="ctr"/>
        <c:lblOffset val="100"/>
        <c:noMultiLvlLbl val="0"/>
      </c:catAx>
      <c:valAx>
        <c:axId val="153988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Groeth Rate %</a:t>
                </a:r>
              </a:p>
            </c:rich>
          </c:tx>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990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PL!$B$95</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PL!$C$6:$J$6</c:f>
              <c:strCache>
                <c:ptCount val="8"/>
                <c:pt idx="0">
                  <c:v>FY-24-25</c:v>
                </c:pt>
                <c:pt idx="1">
                  <c:v>FY-25-26</c:v>
                </c:pt>
                <c:pt idx="2">
                  <c:v>FY-26-27</c:v>
                </c:pt>
                <c:pt idx="3">
                  <c:v>FY-27-28</c:v>
                </c:pt>
                <c:pt idx="4">
                  <c:v>FY-28-29</c:v>
                </c:pt>
                <c:pt idx="5">
                  <c:v>FY-29-30</c:v>
                </c:pt>
                <c:pt idx="6">
                  <c:v>FY-30-31</c:v>
                </c:pt>
                <c:pt idx="7">
                  <c:v>FY-31-32</c:v>
                </c:pt>
              </c:strCache>
            </c:strRef>
          </c:cat>
          <c:val>
            <c:numRef>
              <c:f>PL!$C$95:$J$95</c:f>
              <c:numCache>
                <c:formatCode>0.00%</c:formatCode>
                <c:ptCount val="8"/>
                <c:pt idx="0">
                  <c:v>0.18037320462524534</c:v>
                </c:pt>
                <c:pt idx="1">
                  <c:v>0.14925221372457589</c:v>
                </c:pt>
                <c:pt idx="2">
                  <c:v>0.14825019173347875</c:v>
                </c:pt>
                <c:pt idx="3">
                  <c:v>0.14716957978229553</c:v>
                </c:pt>
                <c:pt idx="4">
                  <c:v>0.14600421395258861</c:v>
                </c:pt>
                <c:pt idx="5">
                  <c:v>0.14474744688133551</c:v>
                </c:pt>
                <c:pt idx="6">
                  <c:v>0.14339210984370998</c:v>
                </c:pt>
                <c:pt idx="7">
                  <c:v>0.14193047186195695</c:v>
                </c:pt>
              </c:numCache>
            </c:numRef>
          </c:val>
        </c:ser>
        <c:dLbls>
          <c:dLblPos val="outEnd"/>
          <c:showLegendKey val="0"/>
          <c:showVal val="1"/>
          <c:showCatName val="0"/>
          <c:showSerName val="0"/>
          <c:showPercent val="0"/>
          <c:showBubbleSize val="0"/>
        </c:dLbls>
        <c:gapWidth val="219"/>
        <c:overlap val="-27"/>
        <c:axId val="386830424"/>
        <c:axId val="386834344"/>
      </c:barChart>
      <c:catAx>
        <c:axId val="38683042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0792702482887586"/>
              <c:y val="0.901307664074200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34344"/>
        <c:crosses val="autoZero"/>
        <c:auto val="1"/>
        <c:lblAlgn val="ctr"/>
        <c:lblOffset val="100"/>
        <c:noMultiLvlLbl val="0"/>
      </c:catAx>
      <c:valAx>
        <c:axId val="386834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5002341901009351E-2"/>
              <c:y val="0.3786318420622567"/>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30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PL!$B$96</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PL!$C$6:$J$6</c:f>
              <c:strCache>
                <c:ptCount val="8"/>
                <c:pt idx="0">
                  <c:v>FY-24-25</c:v>
                </c:pt>
                <c:pt idx="1">
                  <c:v>FY-25-26</c:v>
                </c:pt>
                <c:pt idx="2">
                  <c:v>FY-26-27</c:v>
                </c:pt>
                <c:pt idx="3">
                  <c:v>FY-27-28</c:v>
                </c:pt>
                <c:pt idx="4">
                  <c:v>FY-28-29</c:v>
                </c:pt>
                <c:pt idx="5">
                  <c:v>FY-29-30</c:v>
                </c:pt>
                <c:pt idx="6">
                  <c:v>FY-30-31</c:v>
                </c:pt>
                <c:pt idx="7">
                  <c:v>FY-31-32</c:v>
                </c:pt>
              </c:strCache>
            </c:strRef>
          </c:cat>
          <c:val>
            <c:numRef>
              <c:f>PL!$C$96:$J$96</c:f>
              <c:numCache>
                <c:formatCode>0.00%</c:formatCode>
                <c:ptCount val="8"/>
                <c:pt idx="0">
                  <c:v>0.17109507780329358</c:v>
                </c:pt>
                <c:pt idx="1">
                  <c:v>0.13686677659332389</c:v>
                </c:pt>
                <c:pt idx="2">
                  <c:v>0.13788557175328123</c:v>
                </c:pt>
                <c:pt idx="3">
                  <c:v>0.13849408260885759</c:v>
                </c:pt>
                <c:pt idx="4">
                  <c:v>0.13874082663065898</c:v>
                </c:pt>
                <c:pt idx="5">
                  <c:v>0.13866479498594492</c:v>
                </c:pt>
                <c:pt idx="6">
                  <c:v>0.13829691344617437</c:v>
                </c:pt>
                <c:pt idx="7">
                  <c:v>0.13766125149514877</c:v>
                </c:pt>
              </c:numCache>
            </c:numRef>
          </c:val>
        </c:ser>
        <c:dLbls>
          <c:dLblPos val="outEnd"/>
          <c:showLegendKey val="0"/>
          <c:showVal val="1"/>
          <c:showCatName val="0"/>
          <c:showSerName val="0"/>
          <c:showPercent val="0"/>
          <c:showBubbleSize val="0"/>
        </c:dLbls>
        <c:gapWidth val="219"/>
        <c:overlap val="-27"/>
        <c:axId val="386830032"/>
        <c:axId val="386831992"/>
      </c:barChart>
      <c:catAx>
        <c:axId val="38683003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1050650583570667"/>
              <c:y val="0.9006740055233536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31992"/>
        <c:crosses val="autoZero"/>
        <c:auto val="1"/>
        <c:lblAlgn val="ctr"/>
        <c:lblOffset val="100"/>
        <c:noMultiLvlLbl val="0"/>
      </c:catAx>
      <c:valAx>
        <c:axId val="386831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5275504637206765E-2"/>
              <c:y val="0.3729945487722098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3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PL!$B$97</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PL!$C$6:$J$6</c:f>
              <c:strCache>
                <c:ptCount val="8"/>
                <c:pt idx="0">
                  <c:v>FY-24-25</c:v>
                </c:pt>
                <c:pt idx="1">
                  <c:v>FY-25-26</c:v>
                </c:pt>
                <c:pt idx="2">
                  <c:v>FY-26-27</c:v>
                </c:pt>
                <c:pt idx="3">
                  <c:v>FY-27-28</c:v>
                </c:pt>
                <c:pt idx="4">
                  <c:v>FY-28-29</c:v>
                </c:pt>
                <c:pt idx="5">
                  <c:v>FY-29-30</c:v>
                </c:pt>
                <c:pt idx="6">
                  <c:v>FY-30-31</c:v>
                </c:pt>
                <c:pt idx="7">
                  <c:v>FY-31-32</c:v>
                </c:pt>
              </c:strCache>
            </c:strRef>
          </c:cat>
          <c:val>
            <c:numRef>
              <c:f>PL!$C$97:$J$97</c:f>
              <c:numCache>
                <c:formatCode>0.00%</c:formatCode>
                <c:ptCount val="8"/>
                <c:pt idx="0">
                  <c:v>0.11117885353969735</c:v>
                </c:pt>
                <c:pt idx="1">
                  <c:v>9.0585478098936467E-2</c:v>
                </c:pt>
                <c:pt idx="2">
                  <c:v>9.229572358947398E-2</c:v>
                </c:pt>
                <c:pt idx="3">
                  <c:v>9.3789408764872878E-2</c:v>
                </c:pt>
                <c:pt idx="4">
                  <c:v>9.5111957104541484E-2</c:v>
                </c:pt>
                <c:pt idx="5">
                  <c:v>9.6303170665144683E-2</c:v>
                </c:pt>
                <c:pt idx="6">
                  <c:v>9.7398422750984176E-2</c:v>
                </c:pt>
                <c:pt idx="7">
                  <c:v>9.7736391741271786E-2</c:v>
                </c:pt>
              </c:numCache>
            </c:numRef>
          </c:val>
        </c:ser>
        <c:dLbls>
          <c:dLblPos val="outEnd"/>
          <c:showLegendKey val="0"/>
          <c:showVal val="1"/>
          <c:showCatName val="0"/>
          <c:showSerName val="0"/>
          <c:showPercent val="0"/>
          <c:showBubbleSize val="0"/>
        </c:dLbls>
        <c:gapWidth val="219"/>
        <c:overlap val="-27"/>
        <c:axId val="386828464"/>
        <c:axId val="386830816"/>
      </c:barChart>
      <c:catAx>
        <c:axId val="38682846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u="none"/>
                  <a:t>Financial</a:t>
                </a:r>
                <a:r>
                  <a:rPr lang="en-IN" b="1" i="1" u="none" baseline="0"/>
                  <a:t> Year</a:t>
                </a:r>
                <a:endParaRPr lang="en-IN" b="1" i="1" u="none"/>
              </a:p>
            </c:rich>
          </c:tx>
          <c:layout>
            <c:manualLayout>
              <c:xMode val="edge"/>
              <c:yMode val="edge"/>
              <c:x val="0.50980072529101805"/>
              <c:y val="0.90333886922155027"/>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30816"/>
        <c:crosses val="autoZero"/>
        <c:auto val="1"/>
        <c:lblAlgn val="ctr"/>
        <c:lblOffset val="100"/>
        <c:noMultiLvlLbl val="0"/>
      </c:catAx>
      <c:valAx>
        <c:axId val="38683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2.0356234096692113E-2"/>
              <c:y val="0.3510692328206505"/>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2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PL!$B$98</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PL!$C$6:$J$6</c:f>
              <c:strCache>
                <c:ptCount val="8"/>
                <c:pt idx="0">
                  <c:v>FY-24-25</c:v>
                </c:pt>
                <c:pt idx="1">
                  <c:v>FY-25-26</c:v>
                </c:pt>
                <c:pt idx="2">
                  <c:v>FY-26-27</c:v>
                </c:pt>
                <c:pt idx="3">
                  <c:v>FY-27-28</c:v>
                </c:pt>
                <c:pt idx="4">
                  <c:v>FY-28-29</c:v>
                </c:pt>
                <c:pt idx="5">
                  <c:v>FY-29-30</c:v>
                </c:pt>
                <c:pt idx="6">
                  <c:v>FY-30-31</c:v>
                </c:pt>
                <c:pt idx="7">
                  <c:v>FY-31-32</c:v>
                </c:pt>
              </c:strCache>
            </c:strRef>
          </c:cat>
          <c:val>
            <c:numRef>
              <c:f>PL!$C$98:$J$98</c:f>
              <c:numCache>
                <c:formatCode>0.00%</c:formatCode>
                <c:ptCount val="8"/>
                <c:pt idx="1">
                  <c:v>0.44000000000000017</c:v>
                </c:pt>
                <c:pt idx="2">
                  <c:v>2.0000000000000018E-2</c:v>
                </c:pt>
                <c:pt idx="3">
                  <c:v>2.0000000000000018E-2</c:v>
                </c:pt>
                <c:pt idx="4">
                  <c:v>2.000000000000024E-2</c:v>
                </c:pt>
                <c:pt idx="5">
                  <c:v>1.9999999999999574E-2</c:v>
                </c:pt>
                <c:pt idx="6">
                  <c:v>2.0000000000000018E-2</c:v>
                </c:pt>
                <c:pt idx="7">
                  <c:v>2.000000000000024E-2</c:v>
                </c:pt>
              </c:numCache>
            </c:numRef>
          </c:val>
        </c:ser>
        <c:dLbls>
          <c:dLblPos val="outEnd"/>
          <c:showLegendKey val="0"/>
          <c:showVal val="1"/>
          <c:showCatName val="0"/>
          <c:showSerName val="0"/>
          <c:showPercent val="0"/>
          <c:showBubbleSize val="0"/>
        </c:dLbls>
        <c:gapWidth val="219"/>
        <c:overlap val="-27"/>
        <c:axId val="386828856"/>
        <c:axId val="386829248"/>
      </c:barChart>
      <c:catAx>
        <c:axId val="38682885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Fiancial Year</a:t>
                </a:r>
              </a:p>
            </c:rich>
          </c:tx>
          <c:layout>
            <c:manualLayout>
              <c:xMode val="edge"/>
              <c:yMode val="edge"/>
              <c:x val="0.49364339907672311"/>
              <c:y val="0.89256926217556143"/>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29248"/>
        <c:crosses val="autoZero"/>
        <c:auto val="1"/>
        <c:lblAlgn val="ctr"/>
        <c:lblOffset val="100"/>
        <c:noMultiLvlLbl val="0"/>
      </c:catAx>
      <c:valAx>
        <c:axId val="386829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Groeth Rate %</a:t>
                </a:r>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28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28574</xdr:colOff>
      <xdr:row>99</xdr:row>
      <xdr:rowOff>61912</xdr:rowOff>
    </xdr:from>
    <xdr:to>
      <xdr:col>5</xdr:col>
      <xdr:colOff>628649</xdr:colOff>
      <xdr:row>115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28573</xdr:colOff>
      <xdr:row>99</xdr:row>
      <xdr:rowOff>61912</xdr:rowOff>
    </xdr:from>
    <xdr:to>
      <xdr:col>21</xdr:col>
      <xdr:colOff>161925</xdr:colOff>
      <xdr:row>114</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116</xdr:row>
      <xdr:rowOff>176211</xdr:rowOff>
    </xdr:from>
    <xdr:to>
      <xdr:col>5</xdr:col>
      <xdr:colOff>628649</xdr:colOff>
      <xdr:row>132</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9524</xdr:colOff>
      <xdr:row>117</xdr:row>
      <xdr:rowOff>14287</xdr:rowOff>
    </xdr:from>
    <xdr:to>
      <xdr:col>21</xdr:col>
      <xdr:colOff>361950</xdr:colOff>
      <xdr:row>132</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101</xdr:row>
      <xdr:rowOff>61912</xdr:rowOff>
    </xdr:from>
    <xdr:to>
      <xdr:col>5</xdr:col>
      <xdr:colOff>628649</xdr:colOff>
      <xdr:row>117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28574</xdr:colOff>
      <xdr:row>101</xdr:row>
      <xdr:rowOff>61912</xdr:rowOff>
    </xdr:from>
    <xdr:to>
      <xdr:col>12</xdr:col>
      <xdr:colOff>380999</xdr:colOff>
      <xdr:row>116</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118</xdr:row>
      <xdr:rowOff>176211</xdr:rowOff>
    </xdr:from>
    <xdr:to>
      <xdr:col>5</xdr:col>
      <xdr:colOff>628649</xdr:colOff>
      <xdr:row>133</xdr:row>
      <xdr:rowOff>104774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119</xdr:row>
      <xdr:rowOff>14287</xdr:rowOff>
    </xdr:from>
    <xdr:to>
      <xdr:col>12</xdr:col>
      <xdr:colOff>466725</xdr:colOff>
      <xdr:row>133</xdr:row>
      <xdr:rowOff>90487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udhakar\Downloads\cma-forma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iva\d\WINDOWS\Desktop\FINAL%20AUDIT%202005\BBIPL-AUDIT-0405\BBIPL-BALANCE%20SHEET%20Mar05-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TES"/>
      <sheetName val="BS 30-9-06 FIRST CUT"/>
      <sheetName val="Chart1"/>
      <sheetName val="BS 30-9-06 REV"/>
      <sheetName val="WORKINGS"/>
      <sheetName val="WORK ORDERS"/>
      <sheetName val="PROJECTS"/>
      <sheetName val="CASH FLOW"/>
      <sheetName val="Cr Rating"/>
      <sheetName val="Sheet2"/>
      <sheetName val="Sheet3"/>
      <sheetName val="MPBF"/>
      <sheetName val="FI"/>
      <sheetName val="BSAS"/>
      <sheetName val="cma"/>
      <sheetName val="KEY FI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FA"/>
      <sheetName val="TrialBal temp"/>
      <sheetName val="TrialBalfeb"/>
      <sheetName val="securedloans"/>
      <sheetName val="JOURNAL"/>
      <sheetName val="bank acfeb"/>
      <sheetName val="invveh"/>
      <sheetName val="Payyanur"/>
      <sheetName val="Un secured Loan I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V51"/>
  <sheetViews>
    <sheetView showGridLines="0" view="pageBreakPreview" topLeftCell="A39" zoomScaleNormal="100" zoomScaleSheetLayoutView="100" workbookViewId="0">
      <selection activeCell="B54" activeCellId="1" sqref="O41 B54"/>
    </sheetView>
  </sheetViews>
  <sheetFormatPr defaultColWidth="9.140625" defaultRowHeight="16.5" x14ac:dyDescent="0.3"/>
  <cols>
    <col min="1" max="1" width="13" style="2" customWidth="1"/>
    <col min="2" max="2" width="9.5703125" style="2" customWidth="1"/>
    <col min="3" max="3" width="13.42578125" style="2" customWidth="1"/>
    <col min="4" max="5" width="12.5703125" style="2" customWidth="1"/>
    <col min="6" max="6" width="13.42578125" style="2" customWidth="1"/>
    <col min="7" max="10" width="9.5703125" style="2" customWidth="1"/>
    <col min="11" max="11" width="13" style="2" customWidth="1"/>
    <col min="12" max="14" width="9.140625" style="2"/>
    <col min="15" max="15" width="10.140625" style="2" bestFit="1" customWidth="1"/>
    <col min="16" max="16384" width="9.140625" style="2"/>
  </cols>
  <sheetData>
    <row r="2" spans="1:11" ht="22.5" thickBot="1" x14ac:dyDescent="0.45">
      <c r="A2" s="1"/>
      <c r="B2" s="1"/>
      <c r="C2" s="1"/>
      <c r="D2" s="1"/>
      <c r="E2" s="1"/>
      <c r="F2" s="1"/>
      <c r="G2" s="1"/>
      <c r="H2" s="1"/>
      <c r="I2" s="1"/>
      <c r="J2" s="1"/>
      <c r="K2" s="1"/>
    </row>
    <row r="3" spans="1:11" ht="18" x14ac:dyDescent="0.35">
      <c r="A3" s="353"/>
      <c r="B3" s="354"/>
      <c r="C3" s="354"/>
      <c r="D3" s="354"/>
      <c r="E3" s="354"/>
      <c r="F3" s="354"/>
      <c r="G3" s="354"/>
      <c r="H3" s="354"/>
      <c r="I3" s="354"/>
      <c r="J3" s="354"/>
      <c r="K3" s="355"/>
    </row>
    <row r="4" spans="1:11" ht="18" x14ac:dyDescent="0.35">
      <c r="A4" s="3"/>
      <c r="B4" s="4"/>
      <c r="C4" s="4"/>
      <c r="D4" s="4"/>
      <c r="E4" s="4"/>
      <c r="F4" s="4"/>
      <c r="G4" s="4"/>
      <c r="H4" s="4"/>
      <c r="I4" s="4"/>
      <c r="J4" s="4"/>
      <c r="K4" s="5"/>
    </row>
    <row r="5" spans="1:11" ht="18" x14ac:dyDescent="0.35">
      <c r="A5" s="3"/>
      <c r="B5" s="4"/>
      <c r="C5" s="4"/>
      <c r="D5" s="4"/>
      <c r="E5" s="4"/>
      <c r="F5" s="4"/>
      <c r="G5" s="4"/>
      <c r="H5" s="4"/>
      <c r="I5" s="4"/>
      <c r="J5" s="4"/>
      <c r="K5" s="5"/>
    </row>
    <row r="6" spans="1:11" ht="18" x14ac:dyDescent="0.35">
      <c r="A6" s="3"/>
      <c r="B6" s="4"/>
      <c r="C6" s="4"/>
      <c r="D6" s="4"/>
      <c r="E6" s="4"/>
      <c r="F6" s="4"/>
      <c r="G6" s="4"/>
      <c r="H6" s="4"/>
      <c r="I6" s="4"/>
      <c r="J6" s="4"/>
      <c r="K6" s="5"/>
    </row>
    <row r="7" spans="1:11" x14ac:dyDescent="0.3">
      <c r="A7" s="6"/>
      <c r="B7" s="7"/>
      <c r="C7" s="7"/>
      <c r="D7" s="7"/>
      <c r="E7" s="7"/>
      <c r="F7" s="7"/>
      <c r="G7" s="7"/>
      <c r="H7" s="7"/>
      <c r="I7" s="7"/>
      <c r="J7" s="7"/>
      <c r="K7" s="8"/>
    </row>
    <row r="8" spans="1:11" hidden="1" x14ac:dyDescent="0.3">
      <c r="A8" s="9"/>
      <c r="B8" s="10"/>
      <c r="C8" s="10"/>
      <c r="D8" s="11"/>
      <c r="E8" s="11"/>
      <c r="F8" s="11"/>
      <c r="G8" s="11"/>
      <c r="H8" s="11"/>
      <c r="I8" s="11"/>
      <c r="J8" s="11"/>
      <c r="K8" s="12"/>
    </row>
    <row r="9" spans="1:11" hidden="1" x14ac:dyDescent="0.3">
      <c r="A9" s="6"/>
      <c r="B9" s="7"/>
      <c r="C9" s="7"/>
      <c r="D9" s="7"/>
      <c r="E9" s="7"/>
      <c r="F9" s="7"/>
      <c r="G9" s="7"/>
      <c r="H9" s="7"/>
      <c r="I9" s="7"/>
      <c r="J9" s="7"/>
      <c r="K9" s="13"/>
    </row>
    <row r="10" spans="1:11" hidden="1" x14ac:dyDescent="0.3">
      <c r="A10" s="6"/>
      <c r="B10" s="7"/>
      <c r="C10" s="7"/>
      <c r="D10" s="14"/>
      <c r="E10" s="7"/>
      <c r="F10" s="15"/>
      <c r="G10" s="7"/>
      <c r="H10" s="7"/>
      <c r="I10" s="7"/>
      <c r="J10" s="7"/>
      <c r="K10" s="13"/>
    </row>
    <row r="11" spans="1:11" hidden="1" x14ac:dyDescent="0.3">
      <c r="A11" s="6"/>
      <c r="B11" s="7"/>
      <c r="C11" s="7"/>
      <c r="D11" s="14"/>
      <c r="E11" s="7"/>
      <c r="F11" s="15"/>
      <c r="G11" s="7"/>
      <c r="H11" s="7"/>
      <c r="I11" s="7"/>
      <c r="J11" s="7"/>
      <c r="K11" s="13"/>
    </row>
    <row r="12" spans="1:11" hidden="1" x14ac:dyDescent="0.3">
      <c r="A12" s="6"/>
      <c r="B12" s="7"/>
      <c r="C12" s="7"/>
      <c r="D12" s="14"/>
      <c r="E12" s="7"/>
      <c r="F12" s="15"/>
      <c r="G12" s="7"/>
      <c r="H12" s="7"/>
      <c r="I12" s="7"/>
      <c r="J12" s="7"/>
      <c r="K12" s="13"/>
    </row>
    <row r="13" spans="1:11" hidden="1" x14ac:dyDescent="0.3">
      <c r="A13" s="6"/>
      <c r="B13" s="7"/>
      <c r="C13" s="7"/>
      <c r="D13" s="14"/>
      <c r="E13" s="7"/>
      <c r="F13" s="15"/>
      <c r="G13" s="7"/>
      <c r="H13" s="7"/>
      <c r="I13" s="7"/>
      <c r="J13" s="7"/>
      <c r="K13" s="13"/>
    </row>
    <row r="14" spans="1:11" hidden="1" x14ac:dyDescent="0.3">
      <c r="A14" s="6"/>
      <c r="B14" s="7"/>
      <c r="C14" s="7"/>
      <c r="D14" s="14"/>
      <c r="E14" s="7"/>
      <c r="F14" s="15"/>
      <c r="G14" s="7"/>
      <c r="H14" s="7"/>
      <c r="I14" s="7"/>
      <c r="J14" s="7"/>
      <c r="K14" s="13"/>
    </row>
    <row r="15" spans="1:11" hidden="1" x14ac:dyDescent="0.3">
      <c r="A15" s="6"/>
      <c r="B15" s="7"/>
      <c r="C15" s="7"/>
      <c r="D15" s="14"/>
      <c r="E15" s="7"/>
      <c r="F15" s="15"/>
      <c r="G15" s="7"/>
      <c r="H15" s="7"/>
      <c r="I15" s="7"/>
      <c r="J15" s="7"/>
      <c r="K15" s="13"/>
    </row>
    <row r="16" spans="1:11" hidden="1" x14ac:dyDescent="0.3">
      <c r="A16" s="6"/>
      <c r="B16" s="7"/>
      <c r="C16" s="7"/>
      <c r="D16" s="14"/>
      <c r="E16" s="7"/>
      <c r="F16" s="15"/>
      <c r="G16" s="7"/>
      <c r="H16" s="7"/>
      <c r="I16" s="7"/>
      <c r="J16" s="7"/>
      <c r="K16" s="13"/>
    </row>
    <row r="17" spans="1:11" hidden="1" x14ac:dyDescent="0.3">
      <c r="A17" s="6"/>
      <c r="B17" s="7"/>
      <c r="C17" s="7"/>
      <c r="D17" s="14"/>
      <c r="E17" s="7"/>
      <c r="F17" s="15"/>
      <c r="G17" s="7"/>
      <c r="H17" s="7"/>
      <c r="I17" s="7"/>
      <c r="J17" s="7"/>
      <c r="K17" s="13"/>
    </row>
    <row r="18" spans="1:11" hidden="1" x14ac:dyDescent="0.3">
      <c r="A18" s="6"/>
      <c r="B18" s="7"/>
      <c r="C18" s="7"/>
      <c r="D18" s="14"/>
      <c r="E18" s="7"/>
      <c r="F18" s="15"/>
      <c r="G18" s="7"/>
      <c r="H18" s="7"/>
      <c r="I18" s="7"/>
      <c r="J18" s="7"/>
      <c r="K18" s="13"/>
    </row>
    <row r="19" spans="1:11" hidden="1" x14ac:dyDescent="0.3">
      <c r="A19" s="6"/>
      <c r="B19" s="7"/>
      <c r="C19" s="7"/>
      <c r="D19" s="15"/>
      <c r="E19" s="7"/>
      <c r="F19" s="15"/>
      <c r="G19" s="7"/>
      <c r="H19" s="7"/>
      <c r="I19" s="7"/>
      <c r="J19" s="7"/>
      <c r="K19" s="13"/>
    </row>
    <row r="20" spans="1:11" hidden="1" x14ac:dyDescent="0.3">
      <c r="A20" s="6"/>
      <c r="B20" s="7"/>
      <c r="C20" s="7"/>
      <c r="D20" s="15"/>
      <c r="E20" s="7"/>
      <c r="F20" s="15"/>
      <c r="G20" s="7"/>
      <c r="H20" s="7"/>
      <c r="I20" s="7"/>
      <c r="J20" s="7"/>
      <c r="K20" s="13"/>
    </row>
    <row r="21" spans="1:11" hidden="1" x14ac:dyDescent="0.3">
      <c r="A21" s="6"/>
      <c r="B21" s="7"/>
      <c r="C21" s="7"/>
      <c r="D21" s="15"/>
      <c r="E21" s="7"/>
      <c r="F21" s="15"/>
      <c r="G21" s="7"/>
      <c r="H21" s="7"/>
      <c r="I21" s="7"/>
      <c r="J21" s="7"/>
      <c r="K21" s="13"/>
    </row>
    <row r="22" spans="1:11" hidden="1" x14ac:dyDescent="0.3">
      <c r="A22" s="6"/>
      <c r="B22" s="7"/>
      <c r="C22" s="7"/>
      <c r="D22" s="15"/>
      <c r="E22" s="7"/>
      <c r="F22" s="15"/>
      <c r="G22" s="7"/>
      <c r="H22" s="7"/>
      <c r="I22" s="7"/>
      <c r="J22" s="7"/>
      <c r="K22" s="13"/>
    </row>
    <row r="23" spans="1:11" hidden="1" x14ac:dyDescent="0.3">
      <c r="A23" s="6"/>
      <c r="B23" s="7"/>
      <c r="C23" s="7"/>
      <c r="D23" s="15"/>
      <c r="E23" s="7"/>
      <c r="F23" s="15"/>
      <c r="G23" s="7"/>
      <c r="H23" s="7"/>
      <c r="I23" s="7"/>
      <c r="J23" s="7"/>
      <c r="K23" s="13"/>
    </row>
    <row r="24" spans="1:11" hidden="1" x14ac:dyDescent="0.3">
      <c r="A24" s="6"/>
      <c r="B24" s="7"/>
      <c r="C24" s="7"/>
      <c r="D24" s="16"/>
      <c r="E24" s="10"/>
      <c r="F24" s="16"/>
      <c r="G24" s="7"/>
      <c r="H24" s="7"/>
      <c r="I24" s="7"/>
      <c r="J24" s="7"/>
      <c r="K24" s="13"/>
    </row>
    <row r="25" spans="1:11" hidden="1" x14ac:dyDescent="0.3">
      <c r="A25" s="6"/>
      <c r="B25" s="7"/>
      <c r="C25" s="7"/>
      <c r="D25" s="15"/>
      <c r="E25" s="7"/>
      <c r="F25" s="15"/>
      <c r="G25" s="7"/>
      <c r="H25" s="7"/>
      <c r="I25" s="7"/>
      <c r="J25" s="7"/>
      <c r="K25" s="13"/>
    </row>
    <row r="26" spans="1:11" hidden="1" x14ac:dyDescent="0.3">
      <c r="A26" s="6"/>
      <c r="B26" s="7"/>
      <c r="C26" s="7"/>
      <c r="D26" s="17"/>
      <c r="E26" s="17"/>
      <c r="F26" s="17"/>
      <c r="G26" s="17"/>
      <c r="H26" s="17"/>
      <c r="I26" s="17"/>
      <c r="J26" s="17"/>
      <c r="K26" s="18"/>
    </row>
    <row r="27" spans="1:11" hidden="1" x14ac:dyDescent="0.3">
      <c r="A27" s="6"/>
      <c r="B27" s="7"/>
      <c r="C27" s="7"/>
      <c r="D27" s="17"/>
      <c r="E27" s="17"/>
      <c r="F27" s="17"/>
      <c r="G27" s="17"/>
      <c r="H27" s="17"/>
      <c r="I27" s="17"/>
      <c r="J27" s="17"/>
      <c r="K27" s="18"/>
    </row>
    <row r="28" spans="1:11" hidden="1" x14ac:dyDescent="0.3">
      <c r="A28" s="6"/>
      <c r="B28" s="7"/>
      <c r="C28" s="7"/>
      <c r="D28" s="17"/>
      <c r="E28" s="17"/>
      <c r="F28" s="17"/>
      <c r="G28" s="17"/>
      <c r="H28" s="17"/>
      <c r="I28" s="17"/>
      <c r="J28" s="17"/>
      <c r="K28" s="18"/>
    </row>
    <row r="29" spans="1:11" hidden="1" x14ac:dyDescent="0.3">
      <c r="A29" s="6"/>
      <c r="B29" s="7"/>
      <c r="C29" s="7"/>
      <c r="D29" s="17"/>
      <c r="E29" s="17"/>
      <c r="F29" s="17"/>
      <c r="G29" s="17"/>
      <c r="H29" s="17"/>
      <c r="I29" s="17"/>
      <c r="J29" s="17"/>
      <c r="K29" s="18"/>
    </row>
    <row r="30" spans="1:11" hidden="1" x14ac:dyDescent="0.3">
      <c r="A30" s="6"/>
      <c r="B30" s="7"/>
      <c r="C30" s="7"/>
      <c r="D30" s="17"/>
      <c r="E30" s="17"/>
      <c r="F30" s="17"/>
      <c r="G30" s="17"/>
      <c r="H30" s="17"/>
      <c r="I30" s="17"/>
      <c r="J30" s="17"/>
      <c r="K30" s="18"/>
    </row>
    <row r="31" spans="1:11" hidden="1" x14ac:dyDescent="0.3">
      <c r="A31" s="6"/>
      <c r="B31" s="7"/>
      <c r="C31" s="7"/>
      <c r="D31" s="17"/>
      <c r="E31" s="17"/>
      <c r="F31" s="17"/>
      <c r="G31" s="17"/>
      <c r="H31" s="17"/>
      <c r="I31" s="17"/>
      <c r="J31" s="17"/>
      <c r="K31" s="18"/>
    </row>
    <row r="32" spans="1:11" hidden="1" x14ac:dyDescent="0.3">
      <c r="A32" s="6"/>
      <c r="B32" s="7"/>
      <c r="C32" s="7"/>
      <c r="D32" s="17"/>
      <c r="E32" s="17"/>
      <c r="F32" s="17"/>
      <c r="G32" s="17"/>
      <c r="H32" s="17"/>
      <c r="I32" s="17"/>
      <c r="J32" s="17"/>
      <c r="K32" s="18"/>
    </row>
    <row r="33" spans="1:22" x14ac:dyDescent="0.3">
      <c r="A33" s="19"/>
      <c r="B33" s="20"/>
      <c r="C33" s="20"/>
      <c r="D33" s="7"/>
      <c r="E33" s="7"/>
      <c r="F33" s="7"/>
      <c r="K33" s="21"/>
      <c r="V33" s="2" t="s">
        <v>16</v>
      </c>
    </row>
    <row r="34" spans="1:22" ht="22.5" x14ac:dyDescent="0.4">
      <c r="A34" s="356" t="s">
        <v>240</v>
      </c>
      <c r="B34" s="357"/>
      <c r="C34" s="357"/>
      <c r="D34" s="357"/>
      <c r="E34" s="357"/>
      <c r="F34" s="357"/>
      <c r="G34" s="357"/>
      <c r="H34" s="357"/>
      <c r="I34" s="357"/>
      <c r="J34" s="357"/>
      <c r="K34" s="358"/>
      <c r="V34" s="2" t="s">
        <v>17</v>
      </c>
    </row>
    <row r="35" spans="1:22" ht="22.5" x14ac:dyDescent="0.4">
      <c r="A35" s="356" t="s">
        <v>241</v>
      </c>
      <c r="B35" s="357"/>
      <c r="C35" s="357"/>
      <c r="D35" s="357"/>
      <c r="E35" s="357"/>
      <c r="F35" s="357"/>
      <c r="G35" s="357"/>
      <c r="H35" s="357"/>
      <c r="I35" s="357"/>
      <c r="J35" s="357"/>
      <c r="K35" s="358"/>
    </row>
    <row r="36" spans="1:22" ht="22.5" customHeight="1" x14ac:dyDescent="0.4">
      <c r="A36" s="359" t="s">
        <v>182</v>
      </c>
      <c r="B36" s="360"/>
      <c r="C36" s="360"/>
      <c r="D36" s="360"/>
      <c r="E36" s="360"/>
      <c r="F36" s="360"/>
      <c r="G36" s="360"/>
      <c r="H36" s="360"/>
      <c r="I36" s="360"/>
      <c r="J36" s="360"/>
      <c r="K36" s="361"/>
    </row>
    <row r="37" spans="1:22" ht="20.25" customHeight="1" x14ac:dyDescent="0.4">
      <c r="A37" s="359" t="s">
        <v>183</v>
      </c>
      <c r="B37" s="357"/>
      <c r="C37" s="357"/>
      <c r="D37" s="357"/>
      <c r="E37" s="357"/>
      <c r="F37" s="357"/>
      <c r="G37" s="357"/>
      <c r="H37" s="357"/>
      <c r="I37" s="357"/>
      <c r="J37" s="357"/>
      <c r="K37" s="358"/>
    </row>
    <row r="38" spans="1:22" ht="22.5" x14ac:dyDescent="0.4">
      <c r="A38" s="356"/>
      <c r="B38" s="357"/>
      <c r="C38" s="357"/>
      <c r="D38" s="357"/>
      <c r="E38" s="357"/>
      <c r="F38" s="357"/>
      <c r="G38" s="357"/>
      <c r="H38" s="357"/>
      <c r="I38" s="357"/>
      <c r="J38" s="357"/>
      <c r="K38" s="358"/>
    </row>
    <row r="39" spans="1:22" ht="21.75" x14ac:dyDescent="0.4">
      <c r="A39" s="22"/>
      <c r="B39" s="23"/>
      <c r="C39" s="23"/>
      <c r="D39" s="23"/>
      <c r="E39" s="23"/>
      <c r="F39" s="23"/>
      <c r="G39" s="23"/>
      <c r="H39" s="23"/>
      <c r="I39" s="23"/>
      <c r="J39" s="23"/>
      <c r="K39" s="24"/>
    </row>
    <row r="40" spans="1:22" x14ac:dyDescent="0.3">
      <c r="A40" s="19"/>
      <c r="B40" s="20"/>
      <c r="C40" s="20"/>
      <c r="D40" s="7"/>
      <c r="E40" s="7"/>
      <c r="F40" s="7"/>
      <c r="G40" s="7"/>
      <c r="H40" s="7"/>
      <c r="I40" s="7"/>
      <c r="J40" s="7"/>
      <c r="K40" s="21"/>
    </row>
    <row r="41" spans="1:22" x14ac:dyDescent="0.3">
      <c r="A41" s="19"/>
      <c r="B41" s="20"/>
      <c r="C41" s="20"/>
      <c r="D41" s="7"/>
      <c r="E41" s="7"/>
      <c r="F41" s="7"/>
      <c r="G41" s="7"/>
      <c r="H41" s="7"/>
      <c r="I41" s="7"/>
      <c r="J41" s="7"/>
      <c r="K41" s="21"/>
    </row>
    <row r="42" spans="1:22" x14ac:dyDescent="0.3">
      <c r="A42" s="19"/>
      <c r="B42" s="20"/>
      <c r="C42" s="20"/>
      <c r="D42" s="7"/>
      <c r="E42" s="7"/>
      <c r="F42" s="7"/>
      <c r="G42" s="7"/>
      <c r="H42" s="7"/>
      <c r="I42" s="7"/>
      <c r="J42" s="7"/>
      <c r="K42" s="21"/>
    </row>
    <row r="43" spans="1:22" x14ac:dyDescent="0.3">
      <c r="A43" s="19"/>
      <c r="B43" s="20"/>
      <c r="C43" s="20"/>
      <c r="D43" s="7"/>
      <c r="E43" s="7"/>
      <c r="F43" s="7"/>
      <c r="G43" s="7"/>
      <c r="H43" s="7"/>
      <c r="I43" s="7"/>
      <c r="J43" s="7"/>
      <c r="K43" s="21"/>
    </row>
    <row r="44" spans="1:22" ht="21.75" customHeight="1" x14ac:dyDescent="0.3">
      <c r="A44" s="19"/>
      <c r="B44" s="20"/>
      <c r="C44" s="20"/>
      <c r="D44" s="7"/>
      <c r="E44" s="7"/>
      <c r="F44" s="7"/>
      <c r="G44" s="7"/>
      <c r="H44" s="7"/>
      <c r="I44" s="7"/>
      <c r="J44" s="7"/>
      <c r="K44" s="21"/>
    </row>
    <row r="45" spans="1:22" ht="16.5" customHeight="1" x14ac:dyDescent="0.3">
      <c r="A45" s="350" t="s">
        <v>178</v>
      </c>
      <c r="B45" s="351"/>
      <c r="C45" s="351"/>
      <c r="D45" s="351"/>
      <c r="E45" s="351"/>
      <c r="F45" s="351"/>
      <c r="G45" s="351"/>
      <c r="H45" s="351"/>
      <c r="I45" s="351"/>
      <c r="J45" s="351"/>
      <c r="K45" s="352"/>
    </row>
    <row r="46" spans="1:22" ht="16.5" customHeight="1" x14ac:dyDescent="0.3">
      <c r="A46" s="350"/>
      <c r="B46" s="351"/>
      <c r="C46" s="351"/>
      <c r="D46" s="351"/>
      <c r="E46" s="351"/>
      <c r="F46" s="351"/>
      <c r="G46" s="351"/>
      <c r="H46" s="351"/>
      <c r="I46" s="351"/>
      <c r="J46" s="351"/>
      <c r="K46" s="352"/>
    </row>
    <row r="47" spans="1:22" ht="21" customHeight="1" x14ac:dyDescent="0.3">
      <c r="A47" s="350"/>
      <c r="B47" s="351"/>
      <c r="C47" s="351"/>
      <c r="D47" s="351"/>
      <c r="E47" s="351"/>
      <c r="F47" s="351"/>
      <c r="G47" s="351"/>
      <c r="H47" s="351"/>
      <c r="I47" s="351"/>
      <c r="J47" s="351"/>
      <c r="K47" s="352"/>
    </row>
    <row r="48" spans="1:22" x14ac:dyDescent="0.3">
      <c r="A48" s="350"/>
      <c r="B48" s="351"/>
      <c r="C48" s="351"/>
      <c r="D48" s="351"/>
      <c r="E48" s="351"/>
      <c r="F48" s="351"/>
      <c r="G48" s="351"/>
      <c r="H48" s="351"/>
      <c r="I48" s="351"/>
      <c r="J48" s="351"/>
      <c r="K48" s="352"/>
    </row>
    <row r="49" spans="1:11" x14ac:dyDescent="0.3">
      <c r="A49" s="27"/>
      <c r="B49" s="28"/>
      <c r="C49" s="28"/>
      <c r="D49" s="7"/>
      <c r="E49" s="7"/>
      <c r="F49" s="7"/>
      <c r="G49" s="7"/>
      <c r="H49" s="7"/>
      <c r="I49" s="7"/>
      <c r="J49" s="7"/>
      <c r="K49" s="29"/>
    </row>
    <row r="50" spans="1:11" x14ac:dyDescent="0.3">
      <c r="A50" s="25"/>
      <c r="B50" s="26"/>
      <c r="C50" s="26"/>
      <c r="D50" s="7"/>
      <c r="E50" s="7"/>
      <c r="F50" s="7"/>
      <c r="G50" s="7"/>
      <c r="H50" s="7"/>
      <c r="I50" s="7"/>
      <c r="J50" s="7"/>
      <c r="K50" s="30"/>
    </row>
    <row r="51" spans="1:11" ht="17.25" thickBot="1" x14ac:dyDescent="0.35">
      <c r="A51" s="31"/>
      <c r="B51" s="32"/>
      <c r="C51" s="32"/>
      <c r="D51" s="33"/>
      <c r="E51" s="33"/>
      <c r="F51" s="33"/>
      <c r="G51" s="33"/>
      <c r="H51" s="33"/>
      <c r="I51" s="33"/>
      <c r="J51" s="33"/>
      <c r="K51" s="34"/>
    </row>
  </sheetData>
  <mergeCells count="7">
    <mergeCell ref="A45:K48"/>
    <mergeCell ref="A3:K3"/>
    <mergeCell ref="A34:K34"/>
    <mergeCell ref="A36:K36"/>
    <mergeCell ref="A37:K37"/>
    <mergeCell ref="A38:K38"/>
    <mergeCell ref="A35:K35"/>
  </mergeCells>
  <pageMargins left="0.86" right="0.70866141732283472" top="0.51181102362204722"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0"/>
  <sheetViews>
    <sheetView view="pageBreakPreview" zoomScaleNormal="100" zoomScaleSheetLayoutView="100" workbookViewId="0">
      <selection activeCell="G17" sqref="G17"/>
    </sheetView>
  </sheetViews>
  <sheetFormatPr defaultRowHeight="15" x14ac:dyDescent="0.25"/>
  <cols>
    <col min="1" max="1" width="2.7109375" customWidth="1"/>
    <col min="2" max="2" width="40.42578125" bestFit="1" customWidth="1"/>
    <col min="3" max="3" width="42.140625" bestFit="1" customWidth="1"/>
  </cols>
  <sheetData>
    <row r="1" spans="1:3" ht="18.75" x14ac:dyDescent="0.3">
      <c r="A1" s="362" t="s">
        <v>87</v>
      </c>
      <c r="B1" s="362"/>
      <c r="C1" s="362"/>
    </row>
    <row r="2" spans="1:3" ht="18.75" x14ac:dyDescent="0.3">
      <c r="A2" s="40"/>
      <c r="B2" s="39"/>
      <c r="C2" s="39"/>
    </row>
    <row r="3" spans="1:3" ht="19.5" thickBot="1" x14ac:dyDescent="0.35">
      <c r="A3" s="40"/>
      <c r="B3" s="39"/>
      <c r="C3" s="39"/>
    </row>
    <row r="4" spans="1:3" x14ac:dyDescent="0.25">
      <c r="A4" s="41">
        <v>1</v>
      </c>
      <c r="B4" s="42" t="s">
        <v>88</v>
      </c>
      <c r="C4" s="43"/>
    </row>
    <row r="5" spans="1:3" ht="33.75" customHeight="1" x14ac:dyDescent="0.25">
      <c r="A5" s="44">
        <v>2</v>
      </c>
      <c r="B5" s="35" t="s">
        <v>89</v>
      </c>
      <c r="C5" s="49"/>
    </row>
    <row r="6" spans="1:3" ht="45.95" customHeight="1" x14ac:dyDescent="0.25">
      <c r="A6" s="44"/>
      <c r="B6" s="35"/>
      <c r="C6" s="49"/>
    </row>
    <row r="7" spans="1:3" x14ac:dyDescent="0.25">
      <c r="A7" s="44">
        <v>3</v>
      </c>
      <c r="B7" s="35" t="s">
        <v>90</v>
      </c>
      <c r="C7" s="36">
        <f>+C5</f>
        <v>0</v>
      </c>
    </row>
    <row r="8" spans="1:3" ht="30" customHeight="1" x14ac:dyDescent="0.25">
      <c r="A8" s="44"/>
      <c r="B8" s="35"/>
      <c r="C8" s="49"/>
    </row>
    <row r="9" spans="1:3" x14ac:dyDescent="0.25">
      <c r="A9" s="44"/>
      <c r="B9" s="35"/>
      <c r="C9" s="36" t="s">
        <v>217</v>
      </c>
    </row>
    <row r="10" spans="1:3" x14ac:dyDescent="0.25">
      <c r="A10" s="44"/>
      <c r="B10" s="35"/>
      <c r="C10" s="36" t="s">
        <v>181</v>
      </c>
    </row>
    <row r="11" spans="1:3" x14ac:dyDescent="0.25">
      <c r="A11" s="44">
        <v>4</v>
      </c>
      <c r="B11" s="35" t="s">
        <v>91</v>
      </c>
      <c r="C11" s="36" t="s">
        <v>199</v>
      </c>
    </row>
    <row r="12" spans="1:3" x14ac:dyDescent="0.25">
      <c r="A12" s="44">
        <v>5</v>
      </c>
      <c r="B12" s="35" t="s">
        <v>200</v>
      </c>
      <c r="C12" s="72" t="s">
        <v>201</v>
      </c>
    </row>
    <row r="13" spans="1:3" x14ac:dyDescent="0.25">
      <c r="A13" s="44">
        <v>6</v>
      </c>
      <c r="B13" s="35" t="s">
        <v>92</v>
      </c>
      <c r="C13" s="36"/>
    </row>
    <row r="14" spans="1:3" x14ac:dyDescent="0.25">
      <c r="A14" s="44">
        <v>7</v>
      </c>
      <c r="B14" s="35" t="s">
        <v>93</v>
      </c>
      <c r="C14" s="50" cm="1">
        <f t="array" ref="C14">+'Means of Finance'!C7:C7</f>
        <v>66200000</v>
      </c>
    </row>
    <row r="15" spans="1:3" x14ac:dyDescent="0.25">
      <c r="A15" s="44">
        <v>8</v>
      </c>
      <c r="B15" s="35" t="s">
        <v>95</v>
      </c>
      <c r="C15" s="71" cm="1">
        <f t="array" ref="C15">+'Means of Finance'!C14:C14</f>
        <v>37200000</v>
      </c>
    </row>
    <row r="16" spans="1:3" x14ac:dyDescent="0.25">
      <c r="A16" s="44"/>
      <c r="B16" s="35" t="s">
        <v>108</v>
      </c>
      <c r="C16" s="71" cm="1">
        <f t="array" ref="C16">+'Means of Finance'!C16:C16</f>
        <v>12450000</v>
      </c>
    </row>
    <row r="17" spans="1:3" x14ac:dyDescent="0.25">
      <c r="A17" s="44">
        <v>9</v>
      </c>
      <c r="B17" s="35" t="s">
        <v>161</v>
      </c>
      <c r="C17" s="50">
        <f>5000000*25%</f>
        <v>1250000</v>
      </c>
    </row>
    <row r="18" spans="1:3" x14ac:dyDescent="0.25">
      <c r="A18" s="44">
        <v>10</v>
      </c>
      <c r="B18" s="35" t="s">
        <v>94</v>
      </c>
      <c r="C18" s="36" t="s">
        <v>179</v>
      </c>
    </row>
    <row r="19" spans="1:3" x14ac:dyDescent="0.25">
      <c r="A19" s="44"/>
      <c r="B19" s="35"/>
      <c r="C19" s="36" t="s">
        <v>180</v>
      </c>
    </row>
    <row r="20" spans="1:3" ht="15.75" thickBot="1" x14ac:dyDescent="0.3">
      <c r="A20" s="45">
        <v>11</v>
      </c>
      <c r="B20" s="46" t="s">
        <v>96</v>
      </c>
      <c r="C20" s="47"/>
    </row>
  </sheetData>
  <mergeCells count="1">
    <mergeCell ref="A1:C1"/>
  </mergeCells>
  <pageMargins left="1.33" right="0.7" top="1.1399999999999999" bottom="0.75" header="0.3" footer="0.3"/>
  <pageSetup scale="1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70"/>
  <sheetViews>
    <sheetView showGridLines="0" tabSelected="1" topLeftCell="A41" zoomScaleNormal="100" zoomScaleSheetLayoutView="93" workbookViewId="0">
      <selection activeCell="C66" sqref="C66:J68"/>
    </sheetView>
  </sheetViews>
  <sheetFormatPr defaultRowHeight="15" x14ac:dyDescent="0.25"/>
  <cols>
    <col min="1" max="1" width="7.140625" style="78" bestFit="1" customWidth="1"/>
    <col min="2" max="2" width="39.7109375" style="98" customWidth="1"/>
    <col min="3" max="3" width="17.7109375" style="176" bestFit="1" customWidth="1"/>
    <col min="4" max="4" width="18.28515625" style="176" bestFit="1" customWidth="1"/>
    <col min="5" max="9" width="16.85546875" style="176" bestFit="1" customWidth="1"/>
    <col min="10" max="10" width="17.7109375" style="101" bestFit="1" customWidth="1"/>
    <col min="11" max="16384" width="9.140625" style="78"/>
  </cols>
  <sheetData>
    <row r="1" spans="2:10" ht="17.25" customHeight="1" x14ac:dyDescent="0.25">
      <c r="B1" s="369"/>
      <c r="C1" s="369"/>
      <c r="D1" s="369"/>
      <c r="E1" s="369"/>
      <c r="F1" s="369"/>
      <c r="G1" s="369"/>
      <c r="H1" s="369"/>
      <c r="I1" s="369"/>
      <c r="J1" s="369"/>
    </row>
    <row r="2" spans="2:10" ht="18.75" customHeight="1" x14ac:dyDescent="0.25">
      <c r="B2" s="187" t="str">
        <f>'Investment in project'!B2:E2</f>
        <v xml:space="preserve">ORENSE INDUSTRIES PRIVATE LIMITED, CIN: U23209OR2022PTC041057,  Andhapasra Road, Near Hanuman Temple, Berhampur Ganjam Pin- 760002 </v>
      </c>
      <c r="C2" s="191"/>
      <c r="D2" s="191"/>
      <c r="E2" s="191"/>
      <c r="F2" s="191"/>
      <c r="G2" s="191"/>
      <c r="H2" s="191"/>
      <c r="I2" s="191"/>
      <c r="J2" s="191"/>
    </row>
    <row r="4" spans="2:10" ht="18.75" customHeight="1" x14ac:dyDescent="0.25">
      <c r="B4" s="370" t="s">
        <v>77</v>
      </c>
      <c r="C4" s="370"/>
      <c r="D4" s="370"/>
      <c r="E4" s="370"/>
      <c r="F4" s="370"/>
      <c r="G4" s="370"/>
      <c r="H4" s="370"/>
      <c r="I4" s="370"/>
      <c r="J4" s="370"/>
    </row>
    <row r="5" spans="2:10" x14ac:dyDescent="0.25">
      <c r="B5" s="108"/>
      <c r="C5" s="323">
        <v>100000</v>
      </c>
      <c r="D5" s="195"/>
      <c r="E5" s="195"/>
      <c r="F5" s="195"/>
      <c r="G5" s="195"/>
      <c r="H5" s="195"/>
      <c r="I5" s="195"/>
    </row>
    <row r="6" spans="2:10" ht="18" customHeight="1" x14ac:dyDescent="0.25">
      <c r="B6" s="230" t="s">
        <v>0</v>
      </c>
      <c r="C6" s="243" t="str">
        <f>+depreciation!C7</f>
        <v>FY-24-25</v>
      </c>
      <c r="D6" s="243" t="str">
        <f>+depreciation!D7</f>
        <v>FY-25-26</v>
      </c>
      <c r="E6" s="243" t="str">
        <f>+depreciation!E7</f>
        <v>FY-26-27</v>
      </c>
      <c r="F6" s="243" t="str">
        <f>+depreciation!F7</f>
        <v>FY-27-28</v>
      </c>
      <c r="G6" s="243" t="str">
        <f>+depreciation!G7</f>
        <v>FY-28-29</v>
      </c>
      <c r="H6" s="243" t="str">
        <f>+depreciation!H7</f>
        <v>FY-29-30</v>
      </c>
      <c r="I6" s="243" t="str">
        <f>+depreciation!I7</f>
        <v>FY-30-31</v>
      </c>
      <c r="J6" s="243" t="str">
        <f>+depreciation!J7</f>
        <v>FY-31-32</v>
      </c>
    </row>
    <row r="7" spans="2:10" s="144" customFormat="1" ht="24" hidden="1" customHeight="1" x14ac:dyDescent="0.25">
      <c r="B7" s="127" t="s">
        <v>149</v>
      </c>
      <c r="C7" s="176">
        <f>+PL!C65</f>
        <v>41640572.872572161</v>
      </c>
      <c r="D7" s="176">
        <f>+PL!D65</f>
        <v>48855737.920569167</v>
      </c>
      <c r="E7" s="176">
        <f>+PL!E65</f>
        <v>50773692.35177847</v>
      </c>
      <c r="F7" s="176">
        <f>+PL!F65</f>
        <v>52627305.89574644</v>
      </c>
      <c r="G7" s="176">
        <f>+PL!G65</f>
        <v>54436805.278313093</v>
      </c>
      <c r="H7" s="176">
        <f>+PL!H65</f>
        <v>56220961.600956887</v>
      </c>
      <c r="I7" s="176">
        <f>+PL!I65</f>
        <v>57997567.542268969</v>
      </c>
      <c r="J7" s="176">
        <f>+PL!J65</f>
        <v>59362793.335590109</v>
      </c>
    </row>
    <row r="8" spans="2:10" s="124" customFormat="1" ht="18" hidden="1" customHeight="1" x14ac:dyDescent="0.25">
      <c r="B8" s="142" t="s">
        <v>78</v>
      </c>
      <c r="C8" s="176">
        <f>+PL!C38+PL!C39</f>
        <v>3475000</v>
      </c>
      <c r="D8" s="176">
        <f>+PL!D38+PL!D39</f>
        <v>6679875</v>
      </c>
      <c r="E8" s="176">
        <f>+PL!E38+PL!E39</f>
        <v>5701781.25</v>
      </c>
      <c r="F8" s="176">
        <f>+PL!F38+PL!F39</f>
        <v>4868012.8125</v>
      </c>
      <c r="G8" s="176">
        <f>+PL!G38+PL!G39</f>
        <v>4157159.765625</v>
      </c>
      <c r="H8" s="176">
        <f>+PL!H38+PL!H39</f>
        <v>3550999.7882812498</v>
      </c>
      <c r="I8" s="176">
        <f>+PL!I38+PL!I39</f>
        <v>3034022.4087890629</v>
      </c>
      <c r="J8" s="176">
        <f>+PL!J38+PL!J39</f>
        <v>2593024.3773457031</v>
      </c>
    </row>
    <row r="9" spans="2:10" s="124" customFormat="1" ht="18" hidden="1" customHeight="1" x14ac:dyDescent="0.25">
      <c r="B9" s="142" t="s">
        <v>79</v>
      </c>
      <c r="C9" s="176">
        <f>+PL!C49</f>
        <v>5022000</v>
      </c>
      <c r="D9" s="176">
        <f>+PL!D49</f>
        <v>4761293</v>
      </c>
      <c r="E9" s="176">
        <f>+PL!E49</f>
        <v>4140905</v>
      </c>
      <c r="F9" s="176">
        <f>+PL!F49</f>
        <v>3431382</v>
      </c>
      <c r="G9" s="176">
        <f>+PL!G49</f>
        <v>2619920</v>
      </c>
      <c r="H9" s="176">
        <f>+PL!H49</f>
        <v>1691869</v>
      </c>
      <c r="I9" s="176">
        <f>+PL!I49</f>
        <v>630479</v>
      </c>
      <c r="J9" s="176">
        <f>+PL!J49</f>
        <v>0</v>
      </c>
    </row>
    <row r="10" spans="2:10" s="124" customFormat="1" ht="18" hidden="1" customHeight="1" x14ac:dyDescent="0.25">
      <c r="B10" s="142" t="s">
        <v>396</v>
      </c>
      <c r="C10" s="176">
        <f>+PL!C47</f>
        <v>1369500</v>
      </c>
      <c r="D10" s="176">
        <f>+PL!D47</f>
        <v>1369500</v>
      </c>
      <c r="E10" s="176">
        <f>+PL!E47</f>
        <v>1369500</v>
      </c>
      <c r="F10" s="176">
        <f>+PL!F47</f>
        <v>1369500</v>
      </c>
      <c r="G10" s="176">
        <f>+PL!G47</f>
        <v>1369500</v>
      </c>
      <c r="H10" s="176">
        <f>+PL!H47</f>
        <v>1369500</v>
      </c>
      <c r="I10" s="176">
        <f>+PL!I47</f>
        <v>1369500</v>
      </c>
      <c r="J10" s="176">
        <f>+PL!J47</f>
        <v>1369500</v>
      </c>
    </row>
    <row r="11" spans="2:10" s="124" customFormat="1" ht="18" hidden="1" customHeight="1" x14ac:dyDescent="0.25">
      <c r="B11" s="232" t="s">
        <v>397</v>
      </c>
      <c r="C11" s="264">
        <f t="shared" ref="C11:J11" si="0">SUM(C7:C10)</f>
        <v>51507072.872572161</v>
      </c>
      <c r="D11" s="264">
        <f t="shared" si="0"/>
        <v>61666405.920569167</v>
      </c>
      <c r="E11" s="264">
        <f t="shared" si="0"/>
        <v>61985878.60177847</v>
      </c>
      <c r="F11" s="264">
        <f t="shared" si="0"/>
        <v>62296200.70824644</v>
      </c>
      <c r="G11" s="264">
        <f t="shared" si="0"/>
        <v>62583385.043938093</v>
      </c>
      <c r="H11" s="264">
        <f t="shared" si="0"/>
        <v>62833330.389238134</v>
      </c>
      <c r="I11" s="264">
        <f t="shared" si="0"/>
        <v>63031568.95105803</v>
      </c>
      <c r="J11" s="264">
        <f t="shared" si="0"/>
        <v>63325317.712935813</v>
      </c>
    </row>
    <row r="12" spans="2:10" ht="18" hidden="1" customHeight="1" x14ac:dyDescent="0.25">
      <c r="B12" s="109" t="s">
        <v>398</v>
      </c>
      <c r="C12" s="176">
        <f>+'TL interest'!C96</f>
        <v>0</v>
      </c>
      <c r="D12" s="176">
        <f>+'TL interest'!C97</f>
        <v>4318015</v>
      </c>
      <c r="E12" s="176">
        <f>+'TL interest'!C98</f>
        <v>4938403</v>
      </c>
      <c r="F12" s="176">
        <f>+'TL interest'!C99</f>
        <v>5647926</v>
      </c>
      <c r="G12" s="176">
        <f>+'TL interest'!C100</f>
        <v>6459388</v>
      </c>
      <c r="H12" s="176">
        <f>+'TL interest'!C101</f>
        <v>7387439</v>
      </c>
      <c r="I12" s="176">
        <f>+'TL interest'!C102</f>
        <v>8448829</v>
      </c>
      <c r="J12" s="176">
        <v>0</v>
      </c>
    </row>
    <row r="13" spans="2:10" ht="18" hidden="1" customHeight="1" x14ac:dyDescent="0.25">
      <c r="B13" s="109" t="s">
        <v>399</v>
      </c>
      <c r="C13" s="176">
        <f t="shared" ref="C13:J14" si="1">+C9</f>
        <v>5022000</v>
      </c>
      <c r="D13" s="176">
        <f t="shared" si="1"/>
        <v>4761293</v>
      </c>
      <c r="E13" s="176">
        <f t="shared" si="1"/>
        <v>4140905</v>
      </c>
      <c r="F13" s="176">
        <f t="shared" si="1"/>
        <v>3431382</v>
      </c>
      <c r="G13" s="176">
        <f t="shared" si="1"/>
        <v>2619920</v>
      </c>
      <c r="H13" s="176">
        <f t="shared" si="1"/>
        <v>1691869</v>
      </c>
      <c r="I13" s="176">
        <f t="shared" si="1"/>
        <v>630479</v>
      </c>
      <c r="J13" s="176">
        <f t="shared" si="1"/>
        <v>0</v>
      </c>
    </row>
    <row r="14" spans="2:10" ht="18" hidden="1" customHeight="1" x14ac:dyDescent="0.25">
      <c r="B14" s="98" t="s">
        <v>396</v>
      </c>
      <c r="C14" s="176">
        <f>+C10</f>
        <v>1369500</v>
      </c>
      <c r="D14" s="176">
        <f t="shared" si="1"/>
        <v>1369500</v>
      </c>
      <c r="E14" s="176">
        <f t="shared" si="1"/>
        <v>1369500</v>
      </c>
      <c r="F14" s="176">
        <f t="shared" si="1"/>
        <v>1369500</v>
      </c>
      <c r="G14" s="176">
        <f t="shared" si="1"/>
        <v>1369500</v>
      </c>
      <c r="H14" s="176">
        <f t="shared" si="1"/>
        <v>1369500</v>
      </c>
      <c r="I14" s="176">
        <f t="shared" si="1"/>
        <v>1369500</v>
      </c>
      <c r="J14" s="176">
        <f t="shared" si="1"/>
        <v>1369500</v>
      </c>
    </row>
    <row r="15" spans="2:10" s="124" customFormat="1" ht="18" hidden="1" customHeight="1" x14ac:dyDescent="0.25">
      <c r="B15" s="232" t="s">
        <v>80</v>
      </c>
      <c r="C15" s="264">
        <f>+C12+C13+C14</f>
        <v>6391500</v>
      </c>
      <c r="D15" s="264">
        <f t="shared" ref="D15:J15" si="2">+D12+D13+D14</f>
        <v>10448808</v>
      </c>
      <c r="E15" s="264">
        <f t="shared" si="2"/>
        <v>10448808</v>
      </c>
      <c r="F15" s="264">
        <f t="shared" si="2"/>
        <v>10448808</v>
      </c>
      <c r="G15" s="264">
        <f t="shared" si="2"/>
        <v>10448808</v>
      </c>
      <c r="H15" s="264">
        <f t="shared" si="2"/>
        <v>10448808</v>
      </c>
      <c r="I15" s="264">
        <f t="shared" si="2"/>
        <v>10448808</v>
      </c>
      <c r="J15" s="264">
        <f t="shared" si="2"/>
        <v>1369500</v>
      </c>
    </row>
    <row r="16" spans="2:10" s="124" customFormat="1" ht="20.25" hidden="1" customHeight="1" x14ac:dyDescent="0.25">
      <c r="B16" s="149" t="s">
        <v>81</v>
      </c>
      <c r="C16" s="292">
        <f t="shared" ref="C16:I16" si="3">+C11/C15</f>
        <v>8.0586830747981164</v>
      </c>
      <c r="D16" s="292">
        <f t="shared" si="3"/>
        <v>5.9017646721586967</v>
      </c>
      <c r="E16" s="292">
        <f t="shared" si="3"/>
        <v>5.932339708201976</v>
      </c>
      <c r="F16" s="292">
        <f t="shared" si="3"/>
        <v>5.962038991265457</v>
      </c>
      <c r="G16" s="292">
        <f t="shared" si="3"/>
        <v>5.9895238809956206</v>
      </c>
      <c r="H16" s="292">
        <f t="shared" si="3"/>
        <v>6.0134448244467826</v>
      </c>
      <c r="I16" s="292">
        <f t="shared" si="3"/>
        <v>6.0324171858701998</v>
      </c>
      <c r="J16" s="292">
        <v>0</v>
      </c>
    </row>
    <row r="17" spans="2:10" s="124" customFormat="1" ht="18" hidden="1" customHeight="1" x14ac:dyDescent="0.25">
      <c r="B17" s="142"/>
      <c r="C17" s="176"/>
      <c r="D17" s="176"/>
      <c r="E17" s="176"/>
      <c r="F17" s="176"/>
      <c r="G17" s="176"/>
      <c r="H17" s="176"/>
      <c r="I17" s="176"/>
      <c r="J17" s="143"/>
    </row>
    <row r="18" spans="2:10" s="124" customFormat="1" ht="18" hidden="1" customHeight="1" x14ac:dyDescent="0.25">
      <c r="B18" s="230" t="s">
        <v>82</v>
      </c>
      <c r="C18" s="371">
        <f>+SUM(C16:J16)/8</f>
        <v>5.4862765422171069</v>
      </c>
      <c r="D18" s="371"/>
      <c r="E18" s="371"/>
      <c r="F18" s="371"/>
      <c r="G18" s="371"/>
      <c r="H18" s="371"/>
      <c r="I18" s="371"/>
      <c r="J18" s="371"/>
    </row>
    <row r="19" spans="2:10" hidden="1" x14ac:dyDescent="0.25"/>
    <row r="21" spans="2:10" x14ac:dyDescent="0.25">
      <c r="B21" s="118" t="s">
        <v>422</v>
      </c>
    </row>
    <row r="22" spans="2:10" x14ac:dyDescent="0.25">
      <c r="B22" s="275" t="s">
        <v>423</v>
      </c>
      <c r="C22" s="324">
        <f>(PL!C65)/100000</f>
        <v>416.40572872572159</v>
      </c>
      <c r="D22" s="324">
        <f>(PL!D65)/100000</f>
        <v>488.55737920569169</v>
      </c>
      <c r="E22" s="324">
        <f>(PL!E65)/100000</f>
        <v>507.7369235177847</v>
      </c>
      <c r="F22" s="324">
        <f>(PL!F65)/100000</f>
        <v>526.2730589574644</v>
      </c>
      <c r="G22" s="324">
        <f>(PL!G65)/100000</f>
        <v>544.36805278313091</v>
      </c>
      <c r="H22" s="324">
        <f>(PL!H65)/100000</f>
        <v>562.20961600956889</v>
      </c>
      <c r="I22" s="324">
        <f>(PL!I65)/100000</f>
        <v>579.97567542268973</v>
      </c>
      <c r="J22" s="324">
        <f>(PL!J65)/100000</f>
        <v>593.62793335590106</v>
      </c>
    </row>
    <row r="23" spans="2:10" x14ac:dyDescent="0.25">
      <c r="B23" s="275" t="s">
        <v>424</v>
      </c>
      <c r="C23" s="324">
        <f>(PL!C38+PL!C39)/100000</f>
        <v>34.75</v>
      </c>
      <c r="D23" s="324">
        <f>(PL!D38+PL!D39)/100000</f>
        <v>66.798749999999998</v>
      </c>
      <c r="E23" s="324">
        <f>(PL!E38+PL!E39)/100000</f>
        <v>57.017812499999998</v>
      </c>
      <c r="F23" s="324">
        <f>(PL!F38+PL!F39)/100000</f>
        <v>48.680128125000003</v>
      </c>
      <c r="G23" s="324">
        <f>(PL!G38+PL!G39)/100000</f>
        <v>41.571597656249999</v>
      </c>
      <c r="H23" s="324">
        <f>(PL!H38+PL!H39)/100000</f>
        <v>35.509997882812499</v>
      </c>
      <c r="I23" s="324">
        <f>(PL!I38+PL!I39)/100000</f>
        <v>30.340224087890629</v>
      </c>
      <c r="J23" s="324">
        <f>(PL!J38+PL!J39)/100000</f>
        <v>25.930243773457029</v>
      </c>
    </row>
    <row r="24" spans="2:10" x14ac:dyDescent="0.25">
      <c r="B24" s="275" t="s">
        <v>425</v>
      </c>
      <c r="C24" s="324">
        <f>(PL!C49)/100000</f>
        <v>50.22</v>
      </c>
      <c r="D24" s="324">
        <f>(PL!D49)/100000</f>
        <v>47.612929999999999</v>
      </c>
      <c r="E24" s="324">
        <f>(PL!E49)/100000</f>
        <v>41.409050000000001</v>
      </c>
      <c r="F24" s="324">
        <f>(PL!F49)/100000</f>
        <v>34.31382</v>
      </c>
      <c r="G24" s="324">
        <f>(PL!G49)/100000</f>
        <v>26.199200000000001</v>
      </c>
      <c r="H24" s="324">
        <f>(PL!H49)/100000</f>
        <v>16.918690000000002</v>
      </c>
      <c r="I24" s="324">
        <f>(PL!I49)/100000</f>
        <v>6.3047899999999997</v>
      </c>
      <c r="J24" s="324">
        <f>(PL!J49)/100000</f>
        <v>0</v>
      </c>
    </row>
    <row r="25" spans="2:10" x14ac:dyDescent="0.25">
      <c r="B25" s="275" t="s">
        <v>426</v>
      </c>
      <c r="C25" s="324">
        <f>(PL!C47)/100000</f>
        <v>13.695</v>
      </c>
      <c r="D25" s="324">
        <f>(PL!D47)/100000</f>
        <v>13.695</v>
      </c>
      <c r="E25" s="324">
        <f>(PL!E47)/100000</f>
        <v>13.695</v>
      </c>
      <c r="F25" s="324">
        <f>(PL!F47)/100000</f>
        <v>13.695</v>
      </c>
      <c r="G25" s="324">
        <f>(PL!G47)/100000</f>
        <v>13.695</v>
      </c>
      <c r="H25" s="324">
        <f>(PL!H47)/100000</f>
        <v>13.695</v>
      </c>
      <c r="I25" s="324">
        <f>(PL!I47)/100000</f>
        <v>13.695</v>
      </c>
      <c r="J25" s="324">
        <f>(PL!J47)/100000</f>
        <v>13.695</v>
      </c>
    </row>
    <row r="26" spans="2:10" x14ac:dyDescent="0.25">
      <c r="B26" s="276" t="s">
        <v>427</v>
      </c>
      <c r="C26" s="264">
        <f>SUM(C22:C25)</f>
        <v>515.07072872572166</v>
      </c>
      <c r="D26" s="264">
        <f t="shared" ref="D26:J26" si="4">SUM(D22:D25)</f>
        <v>616.66405920569173</v>
      </c>
      <c r="E26" s="264">
        <f t="shared" si="4"/>
        <v>619.85878601778472</v>
      </c>
      <c r="F26" s="264">
        <f t="shared" si="4"/>
        <v>622.96200708246442</v>
      </c>
      <c r="G26" s="264">
        <f t="shared" si="4"/>
        <v>625.83385043938097</v>
      </c>
      <c r="H26" s="264">
        <f t="shared" si="4"/>
        <v>628.33330389238142</v>
      </c>
      <c r="I26" s="264">
        <f t="shared" si="4"/>
        <v>630.31568951058046</v>
      </c>
      <c r="J26" s="264">
        <f t="shared" si="4"/>
        <v>633.25317712935816</v>
      </c>
    </row>
    <row r="28" spans="2:10" x14ac:dyDescent="0.25">
      <c r="B28" s="277" t="s">
        <v>428</v>
      </c>
    </row>
    <row r="29" spans="2:10" x14ac:dyDescent="0.25">
      <c r="B29" s="275" t="s">
        <v>429</v>
      </c>
      <c r="C29" s="324">
        <f>('TL interest'!C105)/100000</f>
        <v>0</v>
      </c>
      <c r="D29" s="324">
        <f>('TL interest'!D105)/100000</f>
        <v>43.180149999999998</v>
      </c>
      <c r="E29" s="324">
        <f>('TL interest'!E105)/100000</f>
        <v>49.384030000000003</v>
      </c>
      <c r="F29" s="324">
        <f>('TL interest'!F105)/100000</f>
        <v>56.479259999999996</v>
      </c>
      <c r="G29" s="324">
        <f>('TL interest'!G105)/100000</f>
        <v>64.593879999999999</v>
      </c>
      <c r="H29" s="324">
        <f>('TL interest'!H105)/100000</f>
        <v>73.874390000000005</v>
      </c>
      <c r="I29" s="324">
        <f>('TL interest'!I105)/100000</f>
        <v>84.488290000000006</v>
      </c>
      <c r="J29" s="324">
        <f>('TL interest'!J105)/100000</f>
        <v>0</v>
      </c>
    </row>
    <row r="30" spans="2:10" x14ac:dyDescent="0.25">
      <c r="B30" s="275" t="s">
        <v>430</v>
      </c>
      <c r="C30" s="324">
        <v>0</v>
      </c>
      <c r="D30" s="324">
        <v>0</v>
      </c>
      <c r="E30" s="324">
        <v>0</v>
      </c>
      <c r="F30" s="324">
        <v>0</v>
      </c>
      <c r="G30" s="324">
        <v>0</v>
      </c>
      <c r="H30" s="324">
        <v>0</v>
      </c>
      <c r="I30" s="324">
        <v>0</v>
      </c>
      <c r="J30" s="324">
        <v>0</v>
      </c>
    </row>
    <row r="31" spans="2:10" x14ac:dyDescent="0.25">
      <c r="B31" s="275" t="s">
        <v>431</v>
      </c>
      <c r="C31" s="324">
        <f>(PL!C49)/100000</f>
        <v>50.22</v>
      </c>
      <c r="D31" s="324">
        <f>(PL!D49)/100000</f>
        <v>47.612929999999999</v>
      </c>
      <c r="E31" s="324">
        <f>(PL!E49)/100000</f>
        <v>41.409050000000001</v>
      </c>
      <c r="F31" s="324">
        <f>(PL!F49)/100000</f>
        <v>34.31382</v>
      </c>
      <c r="G31" s="324">
        <f>(PL!G49)/100000</f>
        <v>26.199200000000001</v>
      </c>
      <c r="H31" s="324">
        <f>(PL!H49)/100000</f>
        <v>16.918690000000002</v>
      </c>
      <c r="I31" s="324">
        <f>(PL!I49)/100000</f>
        <v>6.3047899999999997</v>
      </c>
      <c r="J31" s="324">
        <f>(PL!J49)/100000</f>
        <v>0</v>
      </c>
    </row>
    <row r="32" spans="2:10" x14ac:dyDescent="0.25">
      <c r="B32" s="275" t="s">
        <v>432</v>
      </c>
      <c r="C32" s="324">
        <f>(PL!C47)/100000</f>
        <v>13.695</v>
      </c>
      <c r="D32" s="324">
        <f>(PL!D47)/100000</f>
        <v>13.695</v>
      </c>
      <c r="E32" s="324">
        <f>(PL!E47)/100000</f>
        <v>13.695</v>
      </c>
      <c r="F32" s="324">
        <f>(PL!F47)/100000</f>
        <v>13.695</v>
      </c>
      <c r="G32" s="324">
        <f>(PL!G47)/100000</f>
        <v>13.695</v>
      </c>
      <c r="H32" s="324">
        <f>(PL!H47)/100000</f>
        <v>13.695</v>
      </c>
      <c r="I32" s="324">
        <f>(PL!I47)/100000</f>
        <v>13.695</v>
      </c>
      <c r="J32" s="324">
        <f>(PL!J47)/100000</f>
        <v>13.695</v>
      </c>
    </row>
    <row r="33" spans="1:10" x14ac:dyDescent="0.25">
      <c r="B33" s="276" t="s">
        <v>433</v>
      </c>
      <c r="C33" s="264">
        <f>SUM(C29:C32)</f>
        <v>63.914999999999999</v>
      </c>
      <c r="D33" s="264">
        <f t="shared" ref="D33:J33" si="5">SUM(D29:D32)</f>
        <v>104.48808</v>
      </c>
      <c r="E33" s="264">
        <f t="shared" si="5"/>
        <v>104.48808</v>
      </c>
      <c r="F33" s="264">
        <f t="shared" si="5"/>
        <v>104.48808</v>
      </c>
      <c r="G33" s="264">
        <f t="shared" si="5"/>
        <v>104.48808</v>
      </c>
      <c r="H33" s="264">
        <f t="shared" si="5"/>
        <v>104.48808</v>
      </c>
      <c r="I33" s="264">
        <f t="shared" si="5"/>
        <v>104.48808</v>
      </c>
      <c r="J33" s="264">
        <f t="shared" si="5"/>
        <v>13.695</v>
      </c>
    </row>
    <row r="34" spans="1:10" x14ac:dyDescent="0.25">
      <c r="B34" s="280" t="s">
        <v>434</v>
      </c>
      <c r="C34" s="292">
        <f>C26/C33</f>
        <v>8.0586830747981182</v>
      </c>
      <c r="D34" s="292">
        <f t="shared" ref="D34:I34" si="6">D26/D33</f>
        <v>5.9017646721586976</v>
      </c>
      <c r="E34" s="292">
        <f t="shared" si="6"/>
        <v>5.932339708201976</v>
      </c>
      <c r="F34" s="292">
        <f t="shared" si="6"/>
        <v>5.9620389912654579</v>
      </c>
      <c r="G34" s="292">
        <f t="shared" si="6"/>
        <v>5.9895238809956215</v>
      </c>
      <c r="H34" s="292">
        <f t="shared" si="6"/>
        <v>6.0134448244467835</v>
      </c>
      <c r="I34" s="292">
        <f t="shared" si="6"/>
        <v>6.0324171858702016</v>
      </c>
      <c r="J34" s="292">
        <v>0</v>
      </c>
    </row>
    <row r="35" spans="1:10" x14ac:dyDescent="0.25">
      <c r="B35" s="278"/>
    </row>
    <row r="36" spans="1:10" x14ac:dyDescent="0.25">
      <c r="B36" s="279" t="s">
        <v>435</v>
      </c>
      <c r="C36" s="372">
        <f>AVERAGE(C34:J34)</f>
        <v>5.4862765422171078</v>
      </c>
      <c r="D36" s="372"/>
      <c r="E36" s="372"/>
      <c r="F36" s="372"/>
      <c r="G36" s="372"/>
      <c r="H36" s="372"/>
      <c r="I36" s="372"/>
      <c r="J36" s="372"/>
    </row>
    <row r="41" spans="1:10" x14ac:dyDescent="0.25">
      <c r="B41" s="285" t="str">
        <f>B6</f>
        <v>Particulars</v>
      </c>
      <c r="C41" s="293">
        <v>45747</v>
      </c>
      <c r="D41" s="293">
        <f>DATE(YEAR(C41)+1,MONTH(C41),DAY(C41))</f>
        <v>46112</v>
      </c>
      <c r="E41" s="293">
        <f t="shared" ref="E41:J41" si="7">DATE(YEAR(D41)+1,MONTH(D41),DAY(D41))</f>
        <v>46477</v>
      </c>
      <c r="F41" s="293">
        <f t="shared" si="7"/>
        <v>46843</v>
      </c>
      <c r="G41" s="293">
        <f t="shared" si="7"/>
        <v>47208</v>
      </c>
      <c r="H41" s="293">
        <f t="shared" si="7"/>
        <v>47573</v>
      </c>
      <c r="I41" s="293">
        <f t="shared" si="7"/>
        <v>47938</v>
      </c>
      <c r="J41" s="293">
        <f t="shared" si="7"/>
        <v>48304</v>
      </c>
    </row>
    <row r="42" spans="1:10" s="106" customFormat="1" ht="20.25" customHeight="1" x14ac:dyDescent="0.25">
      <c r="B42" s="290" t="s">
        <v>436</v>
      </c>
      <c r="C42" s="182"/>
      <c r="D42" s="182"/>
      <c r="E42" s="182"/>
      <c r="F42" s="182"/>
      <c r="G42" s="182"/>
      <c r="H42" s="182"/>
      <c r="I42" s="182"/>
    </row>
    <row r="43" spans="1:10" ht="8.25" customHeight="1" x14ac:dyDescent="0.25">
      <c r="B43" s="278"/>
    </row>
    <row r="44" spans="1:10" x14ac:dyDescent="0.25">
      <c r="B44" s="287" t="s">
        <v>414</v>
      </c>
      <c r="C44" s="324">
        <f>(PL!C90)/100000</f>
        <v>640.81404229110774</v>
      </c>
      <c r="D44" s="324">
        <f>(PL!D90)/100000</f>
        <v>738.16769614809039</v>
      </c>
      <c r="E44" s="324">
        <f>(PL!E90)/100000</f>
        <v>758.53564257105108</v>
      </c>
      <c r="F44" s="324">
        <f>(PL!F90)/100000</f>
        <v>777.12084404747065</v>
      </c>
      <c r="G44" s="324">
        <f>(PL!G90)/100000</f>
        <v>794.07548675967155</v>
      </c>
      <c r="H44" s="324">
        <f>(PL!H90)/100000</f>
        <v>809.51313030142546</v>
      </c>
      <c r="I44" s="324">
        <f>(PL!I90)/100000</f>
        <v>823.51277894803229</v>
      </c>
      <c r="J44" s="324">
        <f>(PL!J90)/100000</f>
        <v>836.12217283998484</v>
      </c>
    </row>
    <row r="45" spans="1:10" x14ac:dyDescent="0.25">
      <c r="A45" s="291">
        <f>'indirect expenses'!C144</f>
        <v>0.2782</v>
      </c>
      <c r="B45" s="287" t="s">
        <v>437</v>
      </c>
      <c r="C45" s="325">
        <f>C44*(1-$A$45)</f>
        <v>462.53957572572159</v>
      </c>
      <c r="D45" s="325">
        <f t="shared" ref="D45:J45" si="8">D44*(1-$A$45)</f>
        <v>532.80944307969162</v>
      </c>
      <c r="E45" s="325">
        <f t="shared" si="8"/>
        <v>547.51102680778467</v>
      </c>
      <c r="F45" s="325">
        <f t="shared" si="8"/>
        <v>560.92582523346437</v>
      </c>
      <c r="G45" s="325">
        <f t="shared" si="8"/>
        <v>573.16368634313096</v>
      </c>
      <c r="H45" s="325">
        <f t="shared" si="8"/>
        <v>584.30657745156884</v>
      </c>
      <c r="I45" s="325">
        <f t="shared" si="8"/>
        <v>594.41152384468967</v>
      </c>
      <c r="J45" s="325">
        <f t="shared" si="8"/>
        <v>603.51298435590104</v>
      </c>
    </row>
    <row r="46" spans="1:10" x14ac:dyDescent="0.25">
      <c r="B46" s="287" t="s">
        <v>9</v>
      </c>
      <c r="C46" s="324">
        <f>(PL!C91)/100000</f>
        <v>34.75</v>
      </c>
      <c r="D46" s="324">
        <f>(PL!D91)/100000</f>
        <v>66.798749999999998</v>
      </c>
      <c r="E46" s="324">
        <f>(PL!E91)/100000</f>
        <v>57.017812499999998</v>
      </c>
      <c r="F46" s="324">
        <f>(PL!F91)/100000</f>
        <v>48.680128125000003</v>
      </c>
      <c r="G46" s="324">
        <f>(PL!G91)/100000</f>
        <v>41.571597656249999</v>
      </c>
      <c r="H46" s="324">
        <f>(PL!H91)/100000</f>
        <v>35.509997882812499</v>
      </c>
      <c r="I46" s="324">
        <f>(PL!I91)/100000</f>
        <v>30.340224087890629</v>
      </c>
      <c r="J46" s="324">
        <f>(PL!J91)/100000</f>
        <v>25.930243773457029</v>
      </c>
    </row>
    <row r="47" spans="1:10" x14ac:dyDescent="0.25">
      <c r="B47" s="287" t="s">
        <v>438</v>
      </c>
      <c r="C47" s="324">
        <f>('cash flow statement'!C26)/100000</f>
        <v>-496</v>
      </c>
      <c r="D47" s="324">
        <f>('cash flow statement'!D26)/100000</f>
        <v>0</v>
      </c>
      <c r="E47" s="324">
        <f>('cash flow statement'!E26)/100000</f>
        <v>0</v>
      </c>
      <c r="F47" s="324">
        <f>('cash flow statement'!F26)/100000</f>
        <v>0</v>
      </c>
      <c r="G47" s="324">
        <f>('cash flow statement'!G26)/100000</f>
        <v>0</v>
      </c>
      <c r="H47" s="324">
        <f>('cash flow statement'!H26)/100000</f>
        <v>0</v>
      </c>
      <c r="I47" s="324">
        <f>('cash flow statement'!I26)/100000</f>
        <v>0</v>
      </c>
      <c r="J47" s="324">
        <f>('cash flow statement'!J26)/100000</f>
        <v>0</v>
      </c>
    </row>
    <row r="48" spans="1:10" x14ac:dyDescent="0.25">
      <c r="B48" s="287" t="s">
        <v>450</v>
      </c>
      <c r="C48" s="324">
        <f>(-BS!C72)/100000</f>
        <v>-399.58852684251002</v>
      </c>
      <c r="D48" s="324">
        <f>(-BS!D72)/100000</f>
        <v>-38.221333937365188</v>
      </c>
      <c r="E48" s="324">
        <f>(-BS!E72)/100000</f>
        <v>-100.4428077054777</v>
      </c>
      <c r="F48" s="324">
        <f>(-BS!F72)/100000</f>
        <v>-104.28539606938475</v>
      </c>
      <c r="G48" s="324">
        <f>(-BS!G72)/100000</f>
        <v>-108.24151084476635</v>
      </c>
      <c r="H48" s="324">
        <f>(-BS!H72)/100000</f>
        <v>-112.31415605273456</v>
      </c>
      <c r="I48" s="324">
        <f>(-BS!I72)/100000</f>
        <v>-116.50641046468436</v>
      </c>
      <c r="J48" s="324">
        <f>(-BS!J72)/100000</f>
        <v>-120.82142939069107</v>
      </c>
    </row>
    <row r="49" spans="1:10" x14ac:dyDescent="0.25">
      <c r="B49" s="288" t="s">
        <v>439</v>
      </c>
      <c r="C49" s="264">
        <f>C45+C46+C47+C48</f>
        <v>-398.29895111678843</v>
      </c>
      <c r="D49" s="264">
        <f>D45+D46+D47+D48</f>
        <v>561.38685914232644</v>
      </c>
      <c r="E49" s="264">
        <f t="shared" ref="E49:J49" si="9">E45+E46+E47+E48</f>
        <v>504.08603160230695</v>
      </c>
      <c r="F49" s="264">
        <f t="shared" si="9"/>
        <v>505.3205572890796</v>
      </c>
      <c r="G49" s="264">
        <f t="shared" si="9"/>
        <v>506.49377315461459</v>
      </c>
      <c r="H49" s="264">
        <f t="shared" si="9"/>
        <v>507.50241928164678</v>
      </c>
      <c r="I49" s="264">
        <f t="shared" si="9"/>
        <v>508.24533746789598</v>
      </c>
      <c r="J49" s="264">
        <f t="shared" si="9"/>
        <v>508.62179873866705</v>
      </c>
    </row>
    <row r="50" spans="1:10" x14ac:dyDescent="0.25">
      <c r="B50" s="278"/>
    </row>
    <row r="51" spans="1:10" x14ac:dyDescent="0.25">
      <c r="A51" s="291">
        <v>0.02</v>
      </c>
      <c r="B51" s="287" t="s">
        <v>441</v>
      </c>
      <c r="C51" s="294">
        <f>12%+A51</f>
        <v>0.13999999999999999</v>
      </c>
      <c r="D51" s="295" t="s">
        <v>462</v>
      </c>
    </row>
    <row r="52" spans="1:10" x14ac:dyDescent="0.25">
      <c r="B52" s="287" t="s">
        <v>442</v>
      </c>
      <c r="C52" s="294">
        <v>5.0000000000000001E-3</v>
      </c>
    </row>
    <row r="53" spans="1:10" x14ac:dyDescent="0.25">
      <c r="B53" s="287" t="s">
        <v>443</v>
      </c>
      <c r="C53" s="176">
        <f>11/12</f>
        <v>0.91666666666666663</v>
      </c>
      <c r="D53" s="176">
        <f>C54+1</f>
        <v>1.8868235543422576</v>
      </c>
      <c r="E53" s="176">
        <f t="shared" ref="E53:J53" si="10">D54+1</f>
        <v>1.7809632293156046</v>
      </c>
      <c r="F53" s="176">
        <f t="shared" si="10"/>
        <v>1.7918712073711331</v>
      </c>
      <c r="G53" s="176">
        <f t="shared" si="10"/>
        <v>1.7907402311652654</v>
      </c>
      <c r="H53" s="176">
        <f t="shared" si="10"/>
        <v>1.7908574195220481</v>
      </c>
      <c r="I53" s="176">
        <f t="shared" si="10"/>
        <v>1.7908452760100713</v>
      </c>
      <c r="J53" s="176">
        <f t="shared" si="10"/>
        <v>1.7908465343592139</v>
      </c>
    </row>
    <row r="54" spans="1:10" x14ac:dyDescent="0.25">
      <c r="B54" s="287" t="s">
        <v>444</v>
      </c>
      <c r="C54" s="176">
        <f>1/(1+$C$51)^C53</f>
        <v>0.88682355434225757</v>
      </c>
      <c r="D54" s="176">
        <f t="shared" ref="D54:J54" si="11">1/(1+$C$51)^D53</f>
        <v>0.78096322931560469</v>
      </c>
      <c r="E54" s="176">
        <f t="shared" si="11"/>
        <v>0.79187120737113326</v>
      </c>
      <c r="F54" s="176">
        <f t="shared" si="11"/>
        <v>0.79074023116526537</v>
      </c>
      <c r="G54" s="176">
        <f t="shared" si="11"/>
        <v>0.79085741952204802</v>
      </c>
      <c r="H54" s="176">
        <f t="shared" si="11"/>
        <v>0.79084527601007137</v>
      </c>
      <c r="I54" s="176">
        <f t="shared" si="11"/>
        <v>0.79084653435921404</v>
      </c>
      <c r="J54" s="176">
        <f t="shared" si="11"/>
        <v>0.7908464039650005</v>
      </c>
    </row>
    <row r="55" spans="1:10" x14ac:dyDescent="0.25">
      <c r="B55" s="287" t="s">
        <v>445</v>
      </c>
      <c r="C55" s="176">
        <f t="shared" ref="C55:J55" si="12">C49*C54</f>
        <v>-353.22089152018344</v>
      </c>
      <c r="D55" s="176">
        <f t="shared" si="12"/>
        <v>438.42249441113574</v>
      </c>
      <c r="E55" s="176">
        <f t="shared" si="12"/>
        <v>399.17121446384203</v>
      </c>
      <c r="F55" s="176">
        <f t="shared" si="12"/>
        <v>399.57729428332755</v>
      </c>
      <c r="G55" s="176">
        <f t="shared" si="12"/>
        <v>400.56435844104408</v>
      </c>
      <c r="H55" s="176">
        <f t="shared" si="12"/>
        <v>401.35589085257294</v>
      </c>
      <c r="I55" s="176">
        <f t="shared" si="12"/>
        <v>401.94406374071474</v>
      </c>
      <c r="J55" s="176">
        <f t="shared" si="12"/>
        <v>402.24172051068507</v>
      </c>
    </row>
    <row r="56" spans="1:10" x14ac:dyDescent="0.25">
      <c r="B56" s="287" t="s">
        <v>446</v>
      </c>
      <c r="J56" s="176"/>
    </row>
    <row r="57" spans="1:10" x14ac:dyDescent="0.25">
      <c r="B57" s="287" t="s">
        <v>447</v>
      </c>
      <c r="J57" s="176"/>
    </row>
    <row r="58" spans="1:10" x14ac:dyDescent="0.25">
      <c r="B58" s="287" t="s">
        <v>448</v>
      </c>
      <c r="C58" s="176">
        <f>C55+C57</f>
        <v>-353.22089152018344</v>
      </c>
      <c r="D58" s="176">
        <f t="shared" ref="D58:J58" si="13">D55+D57</f>
        <v>438.42249441113574</v>
      </c>
      <c r="E58" s="176">
        <f t="shared" si="13"/>
        <v>399.17121446384203</v>
      </c>
      <c r="F58" s="176">
        <f t="shared" si="13"/>
        <v>399.57729428332755</v>
      </c>
      <c r="G58" s="176">
        <f t="shared" si="13"/>
        <v>400.56435844104408</v>
      </c>
      <c r="H58" s="176">
        <f t="shared" si="13"/>
        <v>401.35589085257294</v>
      </c>
      <c r="I58" s="176">
        <f t="shared" si="13"/>
        <v>401.94406374071474</v>
      </c>
      <c r="J58" s="176">
        <f t="shared" si="13"/>
        <v>402.24172051068507</v>
      </c>
    </row>
    <row r="59" spans="1:10" x14ac:dyDescent="0.25">
      <c r="B59" s="289" t="s">
        <v>449</v>
      </c>
      <c r="C59" s="373">
        <f>SUM(C58:J58)</f>
        <v>2490.0561451831386</v>
      </c>
      <c r="D59" s="373"/>
      <c r="E59" s="373"/>
      <c r="F59" s="373"/>
      <c r="G59" s="373"/>
      <c r="H59" s="373"/>
      <c r="I59" s="373"/>
      <c r="J59" s="373"/>
    </row>
    <row r="60" spans="1:10" x14ac:dyDescent="0.25">
      <c r="B60" s="289" t="s">
        <v>440</v>
      </c>
      <c r="C60" s="374">
        <f>XIRR(C58:J58,C41:J41,0.2)</f>
        <v>1.1857327103614805</v>
      </c>
      <c r="D60" s="374"/>
      <c r="E60" s="374"/>
      <c r="F60" s="374"/>
      <c r="G60" s="374"/>
      <c r="H60" s="374"/>
      <c r="I60" s="374"/>
      <c r="J60" s="374"/>
    </row>
    <row r="62" spans="1:10" x14ac:dyDescent="0.25">
      <c r="A62" s="278"/>
      <c r="B62" s="286" t="s">
        <v>454</v>
      </c>
      <c r="C62" s="278"/>
      <c r="D62" s="295"/>
      <c r="E62" s="296"/>
    </row>
    <row r="63" spans="1:10" x14ac:dyDescent="0.25">
      <c r="A63" s="278"/>
      <c r="B63" s="278"/>
      <c r="C63" s="278"/>
      <c r="D63" s="295"/>
      <c r="E63" s="296"/>
    </row>
    <row r="64" spans="1:10" x14ac:dyDescent="0.25">
      <c r="A64" s="278"/>
      <c r="B64" s="180" t="s">
        <v>21</v>
      </c>
      <c r="C64" s="297">
        <f t="shared" ref="C64:J64" si="14">C41</f>
        <v>45747</v>
      </c>
      <c r="D64" s="297">
        <f t="shared" si="14"/>
        <v>46112</v>
      </c>
      <c r="E64" s="297">
        <f t="shared" si="14"/>
        <v>46477</v>
      </c>
      <c r="F64" s="297">
        <f t="shared" si="14"/>
        <v>46843</v>
      </c>
      <c r="G64" s="297">
        <f t="shared" si="14"/>
        <v>47208</v>
      </c>
      <c r="H64" s="297">
        <f t="shared" si="14"/>
        <v>47573</v>
      </c>
      <c r="I64" s="297">
        <f t="shared" si="14"/>
        <v>47938</v>
      </c>
      <c r="J64" s="297">
        <f t="shared" si="14"/>
        <v>48304</v>
      </c>
    </row>
    <row r="65" spans="1:10" x14ac:dyDescent="0.25">
      <c r="A65" s="278"/>
      <c r="B65" s="278"/>
      <c r="C65" s="278"/>
      <c r="D65" s="295"/>
      <c r="E65" s="296"/>
    </row>
    <row r="66" spans="1:10" x14ac:dyDescent="0.25">
      <c r="B66" s="98" t="s">
        <v>458</v>
      </c>
      <c r="C66" s="113">
        <v>1</v>
      </c>
      <c r="D66" s="113">
        <f>C66+1</f>
        <v>2</v>
      </c>
      <c r="E66" s="113">
        <f t="shared" ref="E66:J66" si="15">D66+1</f>
        <v>3</v>
      </c>
      <c r="F66" s="113">
        <f t="shared" si="15"/>
        <v>4</v>
      </c>
      <c r="G66" s="113">
        <f t="shared" si="15"/>
        <v>5</v>
      </c>
      <c r="H66" s="113">
        <f t="shared" si="15"/>
        <v>6</v>
      </c>
      <c r="I66" s="113">
        <f t="shared" si="15"/>
        <v>7</v>
      </c>
      <c r="J66" s="113">
        <f t="shared" si="15"/>
        <v>8</v>
      </c>
    </row>
    <row r="67" spans="1:10" x14ac:dyDescent="0.25">
      <c r="B67" s="98" t="s">
        <v>455</v>
      </c>
      <c r="C67" s="323">
        <f>(PL!C65+PL!C38+PL!C39)/100000</f>
        <v>451.15572872572159</v>
      </c>
      <c r="D67" s="323">
        <f>(PL!D65+PL!D38+PL!D39)/100000</f>
        <v>555.35612920569167</v>
      </c>
      <c r="E67" s="323">
        <f>(PL!E65+PL!E38+PL!E39)/100000</f>
        <v>564.75473601778469</v>
      </c>
      <c r="F67" s="323">
        <f>(PL!F65+PL!F38+PL!F39)/100000</f>
        <v>574.95318708246441</v>
      </c>
      <c r="G67" s="323">
        <f>(PL!G65+PL!G38+PL!G39)/100000</f>
        <v>585.9396504393809</v>
      </c>
      <c r="H67" s="323">
        <f>(PL!H65+PL!H38+PL!H39)/100000</f>
        <v>597.71961389238129</v>
      </c>
      <c r="I67" s="323">
        <f>(PL!I65+PL!I38+PL!I39)/100000</f>
        <v>610.31589951058027</v>
      </c>
      <c r="J67" s="323">
        <f>(PL!J65+PL!J38+PL!J39)/100000</f>
        <v>619.558177129358</v>
      </c>
    </row>
    <row r="68" spans="1:10" x14ac:dyDescent="0.25">
      <c r="B68" s="98" t="s">
        <v>456</v>
      </c>
      <c r="C68" s="176">
        <f>C67</f>
        <v>451.15572872572159</v>
      </c>
      <c r="D68" s="176">
        <f>C68+D67</f>
        <v>1006.5118579314133</v>
      </c>
      <c r="E68" s="176">
        <f t="shared" ref="E68:J68" si="16">D68+E67</f>
        <v>1571.2665939491981</v>
      </c>
      <c r="F68" s="176">
        <f t="shared" si="16"/>
        <v>2146.2197810316625</v>
      </c>
      <c r="G68" s="176">
        <f t="shared" si="16"/>
        <v>2732.1594314710433</v>
      </c>
      <c r="H68" s="176">
        <f t="shared" si="16"/>
        <v>3329.8790453634247</v>
      </c>
      <c r="I68" s="176">
        <f t="shared" si="16"/>
        <v>3940.1949448740052</v>
      </c>
      <c r="J68" s="176">
        <f t="shared" si="16"/>
        <v>4559.7531220033634</v>
      </c>
    </row>
    <row r="69" spans="1:10" x14ac:dyDescent="0.25">
      <c r="B69" s="98" t="s">
        <v>459</v>
      </c>
      <c r="C69" s="323">
        <f>('Investment in project'!E16)/100000</f>
        <v>662</v>
      </c>
    </row>
    <row r="70" spans="1:10" x14ac:dyDescent="0.25">
      <c r="B70" s="298" t="s">
        <v>457</v>
      </c>
      <c r="C70" s="368">
        <f>1+(D68-C69)/D67</f>
        <v>1.6203440275776873</v>
      </c>
      <c r="D70" s="368"/>
      <c r="E70" s="368"/>
      <c r="F70" s="368"/>
      <c r="G70" s="368"/>
      <c r="H70" s="368"/>
      <c r="I70" s="368"/>
      <c r="J70" s="368"/>
    </row>
  </sheetData>
  <mergeCells count="7">
    <mergeCell ref="C70:J70"/>
    <mergeCell ref="B1:J1"/>
    <mergeCell ref="B4:J4"/>
    <mergeCell ref="C18:J18"/>
    <mergeCell ref="C36:J36"/>
    <mergeCell ref="C59:J59"/>
    <mergeCell ref="C60:J60"/>
  </mergeCells>
  <pageMargins left="0.27559055118110237" right="0.19685039370078741" top="0.74803149606299213" bottom="0.74803149606299213" header="0.31496062992125984" footer="0.31496062992125984"/>
  <pageSetup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70"/>
  <sheetViews>
    <sheetView showGridLines="0" topLeftCell="A3" zoomScaleNormal="100" zoomScaleSheetLayoutView="93" workbookViewId="0">
      <selection activeCell="B38" sqref="B38"/>
    </sheetView>
  </sheetViews>
  <sheetFormatPr defaultRowHeight="15" x14ac:dyDescent="0.25"/>
  <cols>
    <col min="1" max="1" width="5.85546875" style="78" customWidth="1"/>
    <col min="2" max="2" width="39.7109375" style="98" customWidth="1"/>
    <col min="3" max="3" width="17.7109375" style="176" bestFit="1" customWidth="1"/>
    <col min="4" max="4" width="18.28515625" style="176" bestFit="1" customWidth="1"/>
    <col min="5" max="9" width="16.85546875" style="176" bestFit="1" customWidth="1"/>
    <col min="10" max="10" width="17.7109375" style="101" bestFit="1" customWidth="1"/>
    <col min="11" max="16384" width="9.140625" style="78"/>
  </cols>
  <sheetData>
    <row r="1" spans="2:10" ht="17.25" customHeight="1" x14ac:dyDescent="0.25">
      <c r="B1" s="369"/>
      <c r="C1" s="369"/>
      <c r="D1" s="369"/>
      <c r="E1" s="369"/>
      <c r="F1" s="369"/>
      <c r="G1" s="369"/>
      <c r="H1" s="369"/>
      <c r="I1" s="369"/>
      <c r="J1" s="369"/>
    </row>
    <row r="2" spans="2:10" ht="18.75" customHeight="1" x14ac:dyDescent="0.25">
      <c r="B2" s="187" t="str">
        <f>'Investment in project'!B2:E2</f>
        <v xml:space="preserve">ORENSE INDUSTRIES PRIVATE LIMITED, CIN: U23209OR2022PTC041057,  Andhapasra Road, Near Hanuman Temple, Berhampur Ganjam Pin- 760002 </v>
      </c>
      <c r="C2" s="191"/>
      <c r="D2" s="191"/>
      <c r="E2" s="191"/>
      <c r="F2" s="191"/>
      <c r="G2" s="191"/>
      <c r="H2" s="191"/>
      <c r="I2" s="191"/>
      <c r="J2" s="191"/>
    </row>
    <row r="4" spans="2:10" ht="18.75" customHeight="1" x14ac:dyDescent="0.25">
      <c r="B4" s="370" t="s">
        <v>77</v>
      </c>
      <c r="C4" s="370"/>
      <c r="D4" s="370"/>
      <c r="E4" s="370"/>
      <c r="F4" s="370"/>
      <c r="G4" s="370"/>
      <c r="H4" s="370"/>
      <c r="I4" s="370"/>
      <c r="J4" s="370"/>
    </row>
    <row r="5" spans="2:10" x14ac:dyDescent="0.25">
      <c r="B5" s="108"/>
      <c r="C5" s="195"/>
      <c r="D5" s="195"/>
      <c r="E5" s="195"/>
      <c r="F5" s="195"/>
      <c r="G5" s="195"/>
      <c r="H5" s="195"/>
      <c r="I5" s="195"/>
    </row>
    <row r="6" spans="2:10" ht="18" customHeight="1" x14ac:dyDescent="0.25">
      <c r="B6" s="107" t="s">
        <v>0</v>
      </c>
      <c r="C6" s="209" t="str">
        <f>+depreciation!C7</f>
        <v>FY-24-25</v>
      </c>
      <c r="D6" s="209" t="str">
        <f>+depreciation!D7</f>
        <v>FY-25-26</v>
      </c>
      <c r="E6" s="209" t="str">
        <f>+depreciation!E7</f>
        <v>FY-26-27</v>
      </c>
      <c r="F6" s="209" t="str">
        <f>+depreciation!F7</f>
        <v>FY-27-28</v>
      </c>
      <c r="G6" s="209" t="str">
        <f>+depreciation!G7</f>
        <v>FY-28-29</v>
      </c>
      <c r="H6" s="209" t="str">
        <f>+depreciation!H7</f>
        <v>FY-29-30</v>
      </c>
      <c r="I6" s="209" t="str">
        <f>+depreciation!I7</f>
        <v>FY-30-31</v>
      </c>
      <c r="J6" s="209" t="str">
        <f>+depreciation!J7</f>
        <v>FY-31-32</v>
      </c>
    </row>
    <row r="7" spans="2:10" s="144" customFormat="1" ht="24" hidden="1" customHeight="1" x14ac:dyDescent="0.25">
      <c r="B7" s="127" t="s">
        <v>149</v>
      </c>
      <c r="C7" s="176">
        <f>+PL!C65</f>
        <v>41640572.872572161</v>
      </c>
      <c r="D7" s="176">
        <f>+PL!D65</f>
        <v>48855737.920569167</v>
      </c>
      <c r="E7" s="176">
        <f>+PL!E65</f>
        <v>50773692.35177847</v>
      </c>
      <c r="F7" s="176">
        <f>+PL!F65</f>
        <v>52627305.89574644</v>
      </c>
      <c r="G7" s="176">
        <f>+PL!G65</f>
        <v>54436805.278313093</v>
      </c>
      <c r="H7" s="176">
        <f>+PL!H65</f>
        <v>56220961.600956887</v>
      </c>
      <c r="I7" s="176">
        <f>+PL!I65</f>
        <v>57997567.542268969</v>
      </c>
      <c r="J7" s="176">
        <f>+PL!J65</f>
        <v>59362793.335590109</v>
      </c>
    </row>
    <row r="8" spans="2:10" s="124" customFormat="1" ht="18" hidden="1" customHeight="1" x14ac:dyDescent="0.25">
      <c r="B8" s="142" t="s">
        <v>78</v>
      </c>
      <c r="C8" s="176">
        <f>+PL!C38+PL!C39</f>
        <v>3475000</v>
      </c>
      <c r="D8" s="176">
        <f>+PL!D38+PL!D39</f>
        <v>6679875</v>
      </c>
      <c r="E8" s="176">
        <f>+PL!E38+PL!E39</f>
        <v>5701781.25</v>
      </c>
      <c r="F8" s="176">
        <f>+PL!F38+PL!F39</f>
        <v>4868012.8125</v>
      </c>
      <c r="G8" s="176">
        <f>+PL!G38+PL!G39</f>
        <v>4157159.765625</v>
      </c>
      <c r="H8" s="176">
        <f>+PL!H38+PL!H39</f>
        <v>3550999.7882812498</v>
      </c>
      <c r="I8" s="176">
        <f>+PL!I38+PL!I39</f>
        <v>3034022.4087890629</v>
      </c>
      <c r="J8" s="176">
        <f>+PL!J38+PL!J39</f>
        <v>2593024.3773457031</v>
      </c>
    </row>
    <row r="9" spans="2:10" s="124" customFormat="1" ht="18" hidden="1" customHeight="1" x14ac:dyDescent="0.25">
      <c r="B9" s="142" t="s">
        <v>79</v>
      </c>
      <c r="C9" s="176">
        <f>+PL!C49</f>
        <v>5022000</v>
      </c>
      <c r="D9" s="176">
        <f>+PL!D49</f>
        <v>4761293</v>
      </c>
      <c r="E9" s="176">
        <f>+PL!E49</f>
        <v>4140905</v>
      </c>
      <c r="F9" s="176">
        <f>+PL!F49</f>
        <v>3431382</v>
      </c>
      <c r="G9" s="176">
        <f>+PL!G49</f>
        <v>2619920</v>
      </c>
      <c r="H9" s="176">
        <f>+PL!H49</f>
        <v>1691869</v>
      </c>
      <c r="I9" s="176">
        <f>+PL!I49</f>
        <v>630479</v>
      </c>
      <c r="J9" s="176">
        <f>+PL!J49</f>
        <v>0</v>
      </c>
    </row>
    <row r="10" spans="2:10" s="124" customFormat="1" ht="18" hidden="1" customHeight="1" x14ac:dyDescent="0.25">
      <c r="B10" s="142" t="s">
        <v>396</v>
      </c>
      <c r="C10" s="176">
        <f>+PL!C47</f>
        <v>1369500</v>
      </c>
      <c r="D10" s="176">
        <f>+PL!D47</f>
        <v>1369500</v>
      </c>
      <c r="E10" s="176">
        <f>+PL!E47</f>
        <v>1369500</v>
      </c>
      <c r="F10" s="176">
        <f>+PL!F47</f>
        <v>1369500</v>
      </c>
      <c r="G10" s="176">
        <f>+PL!G47</f>
        <v>1369500</v>
      </c>
      <c r="H10" s="176">
        <f>+PL!H47</f>
        <v>1369500</v>
      </c>
      <c r="I10" s="176">
        <f>+PL!I47</f>
        <v>1369500</v>
      </c>
      <c r="J10" s="176">
        <f>+PL!J47</f>
        <v>1369500</v>
      </c>
    </row>
    <row r="11" spans="2:10" s="124" customFormat="1" ht="18" hidden="1" customHeight="1" x14ac:dyDescent="0.25">
      <c r="B11" s="232" t="s">
        <v>397</v>
      </c>
      <c r="C11" s="264">
        <f t="shared" ref="C11:J11" si="0">SUM(C7:C10)</f>
        <v>51507072.872572161</v>
      </c>
      <c r="D11" s="264">
        <f t="shared" si="0"/>
        <v>61666405.920569167</v>
      </c>
      <c r="E11" s="264">
        <f t="shared" si="0"/>
        <v>61985878.60177847</v>
      </c>
      <c r="F11" s="264">
        <f t="shared" si="0"/>
        <v>62296200.70824644</v>
      </c>
      <c r="G11" s="264">
        <f t="shared" si="0"/>
        <v>62583385.043938093</v>
      </c>
      <c r="H11" s="264">
        <f t="shared" si="0"/>
        <v>62833330.389238134</v>
      </c>
      <c r="I11" s="264">
        <f t="shared" si="0"/>
        <v>63031568.95105803</v>
      </c>
      <c r="J11" s="264">
        <f t="shared" si="0"/>
        <v>63325317.712935813</v>
      </c>
    </row>
    <row r="12" spans="2:10" ht="18" hidden="1" customHeight="1" x14ac:dyDescent="0.25">
      <c r="B12" s="109" t="s">
        <v>398</v>
      </c>
      <c r="C12" s="176">
        <f>+'TL interest'!C96</f>
        <v>0</v>
      </c>
      <c r="D12" s="176">
        <f>+'TL interest'!C97</f>
        <v>4318015</v>
      </c>
      <c r="E12" s="176">
        <f>+'TL interest'!C98</f>
        <v>4938403</v>
      </c>
      <c r="F12" s="176">
        <f>+'TL interest'!C99</f>
        <v>5647926</v>
      </c>
      <c r="G12" s="176">
        <f>+'TL interest'!C100</f>
        <v>6459388</v>
      </c>
      <c r="H12" s="176">
        <f>+'TL interest'!C101</f>
        <v>7387439</v>
      </c>
      <c r="I12" s="176">
        <f>+'TL interest'!C102</f>
        <v>8448829</v>
      </c>
      <c r="J12" s="176">
        <v>0</v>
      </c>
    </row>
    <row r="13" spans="2:10" ht="18" hidden="1" customHeight="1" x14ac:dyDescent="0.25">
      <c r="B13" s="109" t="s">
        <v>399</v>
      </c>
      <c r="C13" s="176">
        <f t="shared" ref="C13:J13" si="1">+C9</f>
        <v>5022000</v>
      </c>
      <c r="D13" s="176">
        <f t="shared" si="1"/>
        <v>4761293</v>
      </c>
      <c r="E13" s="176">
        <f t="shared" si="1"/>
        <v>4140905</v>
      </c>
      <c r="F13" s="176">
        <f t="shared" si="1"/>
        <v>3431382</v>
      </c>
      <c r="G13" s="176">
        <f t="shared" si="1"/>
        <v>2619920</v>
      </c>
      <c r="H13" s="176">
        <f t="shared" si="1"/>
        <v>1691869</v>
      </c>
      <c r="I13" s="176">
        <f t="shared" si="1"/>
        <v>630479</v>
      </c>
      <c r="J13" s="176">
        <f t="shared" si="1"/>
        <v>0</v>
      </c>
    </row>
    <row r="14" spans="2:10" ht="18" hidden="1" customHeight="1" x14ac:dyDescent="0.25">
      <c r="B14" s="98" t="s">
        <v>396</v>
      </c>
      <c r="C14" s="176">
        <f>+C10</f>
        <v>1369500</v>
      </c>
      <c r="D14" s="176">
        <f t="shared" ref="D14:J14" si="2">+D10</f>
        <v>1369500</v>
      </c>
      <c r="E14" s="176">
        <f t="shared" si="2"/>
        <v>1369500</v>
      </c>
      <c r="F14" s="176">
        <f t="shared" si="2"/>
        <v>1369500</v>
      </c>
      <c r="G14" s="176">
        <f t="shared" si="2"/>
        <v>1369500</v>
      </c>
      <c r="H14" s="176">
        <f t="shared" si="2"/>
        <v>1369500</v>
      </c>
      <c r="I14" s="176">
        <f t="shared" si="2"/>
        <v>1369500</v>
      </c>
      <c r="J14" s="176">
        <f t="shared" si="2"/>
        <v>1369500</v>
      </c>
    </row>
    <row r="15" spans="2:10" s="124" customFormat="1" ht="18" hidden="1" customHeight="1" x14ac:dyDescent="0.25">
      <c r="B15" s="232" t="s">
        <v>80</v>
      </c>
      <c r="C15" s="264">
        <f>+C12+C13+C14</f>
        <v>6391500</v>
      </c>
      <c r="D15" s="264">
        <f t="shared" ref="D15:J15" si="3">+D12+D13+D14</f>
        <v>10448808</v>
      </c>
      <c r="E15" s="264">
        <f t="shared" si="3"/>
        <v>10448808</v>
      </c>
      <c r="F15" s="264">
        <f t="shared" si="3"/>
        <v>10448808</v>
      </c>
      <c r="G15" s="264">
        <f t="shared" si="3"/>
        <v>10448808</v>
      </c>
      <c r="H15" s="264">
        <f t="shared" si="3"/>
        <v>10448808</v>
      </c>
      <c r="I15" s="264">
        <f t="shared" si="3"/>
        <v>10448808</v>
      </c>
      <c r="J15" s="264">
        <f t="shared" si="3"/>
        <v>1369500</v>
      </c>
    </row>
    <row r="16" spans="2:10" s="124" customFormat="1" ht="20.25" hidden="1" customHeight="1" x14ac:dyDescent="0.25">
      <c r="B16" s="149" t="s">
        <v>81</v>
      </c>
      <c r="C16" s="266">
        <f t="shared" ref="C16:I16" si="4">+C11/C15</f>
        <v>8.0586830747981164</v>
      </c>
      <c r="D16" s="266">
        <f t="shared" si="4"/>
        <v>5.9017646721586967</v>
      </c>
      <c r="E16" s="266">
        <f t="shared" si="4"/>
        <v>5.932339708201976</v>
      </c>
      <c r="F16" s="266">
        <f t="shared" si="4"/>
        <v>5.962038991265457</v>
      </c>
      <c r="G16" s="266">
        <f t="shared" si="4"/>
        <v>5.9895238809956206</v>
      </c>
      <c r="H16" s="266">
        <f t="shared" si="4"/>
        <v>6.0134448244467826</v>
      </c>
      <c r="I16" s="266">
        <f t="shared" si="4"/>
        <v>6.0324171858701998</v>
      </c>
      <c r="J16" s="266">
        <v>0</v>
      </c>
    </row>
    <row r="17" spans="2:10" s="124" customFormat="1" ht="18" hidden="1" customHeight="1" x14ac:dyDescent="0.25">
      <c r="B17" s="142"/>
      <c r="C17" s="176"/>
      <c r="D17" s="176"/>
      <c r="E17" s="176"/>
      <c r="F17" s="176"/>
      <c r="G17" s="176"/>
      <c r="H17" s="176"/>
      <c r="I17" s="176"/>
      <c r="J17" s="143"/>
    </row>
    <row r="18" spans="2:10" s="124" customFormat="1" ht="18" hidden="1" customHeight="1" x14ac:dyDescent="0.25">
      <c r="B18" s="107" t="s">
        <v>82</v>
      </c>
      <c r="C18" s="371">
        <f>+SUM(C16:J16)/8</f>
        <v>5.4862765422171069</v>
      </c>
      <c r="D18" s="371"/>
      <c r="E18" s="371"/>
      <c r="F18" s="371"/>
      <c r="G18" s="371"/>
      <c r="H18" s="371"/>
      <c r="I18" s="371"/>
      <c r="J18" s="371"/>
    </row>
    <row r="19" spans="2:10" hidden="1" x14ac:dyDescent="0.25"/>
    <row r="21" spans="2:10" x14ac:dyDescent="0.25">
      <c r="B21" s="118" t="s">
        <v>422</v>
      </c>
    </row>
    <row r="22" spans="2:10" x14ac:dyDescent="0.25">
      <c r="B22" s="275" t="s">
        <v>423</v>
      </c>
      <c r="C22" s="176">
        <f>PL!C65</f>
        <v>41640572.872572161</v>
      </c>
      <c r="D22" s="176">
        <f>PL!D65</f>
        <v>48855737.920569167</v>
      </c>
      <c r="E22" s="176">
        <f>PL!E65</f>
        <v>50773692.35177847</v>
      </c>
      <c r="F22" s="176">
        <f>PL!F65</f>
        <v>52627305.89574644</v>
      </c>
      <c r="G22" s="176">
        <f>PL!G65</f>
        <v>54436805.278313093</v>
      </c>
      <c r="H22" s="176">
        <f>PL!H65</f>
        <v>56220961.600956887</v>
      </c>
      <c r="I22" s="176">
        <f>PL!I65</f>
        <v>57997567.542268969</v>
      </c>
      <c r="J22" s="176">
        <f>PL!J65</f>
        <v>59362793.335590109</v>
      </c>
    </row>
    <row r="23" spans="2:10" x14ac:dyDescent="0.25">
      <c r="B23" s="275" t="s">
        <v>424</v>
      </c>
      <c r="C23" s="176">
        <f>PL!C38+PL!C39</f>
        <v>3475000</v>
      </c>
      <c r="D23" s="176">
        <f>PL!D38+PL!D39</f>
        <v>6679875</v>
      </c>
      <c r="E23" s="176">
        <f>PL!E38+PL!E39</f>
        <v>5701781.25</v>
      </c>
      <c r="F23" s="176">
        <f>PL!F38+PL!F39</f>
        <v>4868012.8125</v>
      </c>
      <c r="G23" s="176">
        <f>PL!G38+PL!G39</f>
        <v>4157159.765625</v>
      </c>
      <c r="H23" s="176">
        <f>PL!H38+PL!H39</f>
        <v>3550999.7882812498</v>
      </c>
      <c r="I23" s="176">
        <f>PL!I38+PL!I39</f>
        <v>3034022.4087890629</v>
      </c>
      <c r="J23" s="176">
        <f>PL!J38+PL!J39</f>
        <v>2593024.3773457031</v>
      </c>
    </row>
    <row r="24" spans="2:10" x14ac:dyDescent="0.25">
      <c r="B24" s="275" t="s">
        <v>425</v>
      </c>
      <c r="C24" s="176">
        <f>PL!C49</f>
        <v>5022000</v>
      </c>
      <c r="D24" s="176">
        <f>PL!D49</f>
        <v>4761293</v>
      </c>
      <c r="E24" s="176">
        <f>PL!E49</f>
        <v>4140905</v>
      </c>
      <c r="F24" s="176">
        <f>PL!F49</f>
        <v>3431382</v>
      </c>
      <c r="G24" s="176">
        <f>PL!G49</f>
        <v>2619920</v>
      </c>
      <c r="H24" s="176">
        <f>PL!H49</f>
        <v>1691869</v>
      </c>
      <c r="I24" s="176">
        <f>PL!I49</f>
        <v>630479</v>
      </c>
      <c r="J24" s="176">
        <f>PL!J49</f>
        <v>0</v>
      </c>
    </row>
    <row r="25" spans="2:10" x14ac:dyDescent="0.25">
      <c r="B25" s="275" t="s">
        <v>426</v>
      </c>
      <c r="C25" s="176">
        <f>PL!C47</f>
        <v>1369500</v>
      </c>
      <c r="D25" s="176">
        <f>PL!D47</f>
        <v>1369500</v>
      </c>
      <c r="E25" s="176">
        <f>PL!E47</f>
        <v>1369500</v>
      </c>
      <c r="F25" s="176">
        <f>PL!F47</f>
        <v>1369500</v>
      </c>
      <c r="G25" s="176">
        <f>PL!G47</f>
        <v>1369500</v>
      </c>
      <c r="H25" s="176">
        <f>PL!H47</f>
        <v>1369500</v>
      </c>
      <c r="I25" s="176">
        <f>PL!I47</f>
        <v>1369500</v>
      </c>
      <c r="J25" s="176">
        <f>PL!J47</f>
        <v>1369500</v>
      </c>
    </row>
    <row r="26" spans="2:10" x14ac:dyDescent="0.25">
      <c r="B26" s="276" t="s">
        <v>427</v>
      </c>
      <c r="C26" s="264">
        <f>SUM(C22:C25)</f>
        <v>51507072.872572161</v>
      </c>
      <c r="D26" s="264">
        <f t="shared" ref="D26:J26" si="5">SUM(D22:D25)</f>
        <v>61666405.920569167</v>
      </c>
      <c r="E26" s="264">
        <f t="shared" si="5"/>
        <v>61985878.60177847</v>
      </c>
      <c r="F26" s="264">
        <f t="shared" si="5"/>
        <v>62296200.70824644</v>
      </c>
      <c r="G26" s="264">
        <f t="shared" si="5"/>
        <v>62583385.043938093</v>
      </c>
      <c r="H26" s="264">
        <f t="shared" si="5"/>
        <v>62833330.389238134</v>
      </c>
      <c r="I26" s="264">
        <f t="shared" si="5"/>
        <v>63031568.95105803</v>
      </c>
      <c r="J26" s="264">
        <f t="shared" si="5"/>
        <v>63325317.712935813</v>
      </c>
    </row>
    <row r="28" spans="2:10" x14ac:dyDescent="0.25">
      <c r="B28" s="277" t="s">
        <v>428</v>
      </c>
    </row>
    <row r="29" spans="2:10" x14ac:dyDescent="0.25">
      <c r="B29" s="275" t="s">
        <v>429</v>
      </c>
      <c r="C29" s="176">
        <f>'TL interest'!C105</f>
        <v>0</v>
      </c>
      <c r="D29" s="176">
        <f>'TL interest'!D105</f>
        <v>4318015</v>
      </c>
      <c r="E29" s="176">
        <f>'TL interest'!E105</f>
        <v>4938403</v>
      </c>
      <c r="F29" s="176">
        <f>'TL interest'!F105</f>
        <v>5647926</v>
      </c>
      <c r="G29" s="176">
        <f>'TL interest'!G105</f>
        <v>6459388</v>
      </c>
      <c r="H29" s="176">
        <f>'TL interest'!H105</f>
        <v>7387439</v>
      </c>
      <c r="I29" s="176">
        <f>'TL interest'!I105</f>
        <v>8448829</v>
      </c>
      <c r="J29" s="176">
        <f>'TL interest'!J105</f>
        <v>0</v>
      </c>
    </row>
    <row r="30" spans="2:10" x14ac:dyDescent="0.25">
      <c r="B30" s="275" t="s">
        <v>430</v>
      </c>
      <c r="C30" s="169">
        <v>0</v>
      </c>
      <c r="D30" s="169">
        <v>0</v>
      </c>
      <c r="E30" s="169">
        <v>0</v>
      </c>
      <c r="F30" s="169">
        <v>0</v>
      </c>
      <c r="G30" s="169">
        <v>0</v>
      </c>
      <c r="H30" s="169">
        <v>0</v>
      </c>
      <c r="I30" s="169">
        <v>0</v>
      </c>
      <c r="J30" s="169">
        <v>0</v>
      </c>
    </row>
    <row r="31" spans="2:10" x14ac:dyDescent="0.25">
      <c r="B31" s="275" t="s">
        <v>431</v>
      </c>
      <c r="C31" s="176">
        <f>PL!C49</f>
        <v>5022000</v>
      </c>
      <c r="D31" s="176">
        <f>PL!D49</f>
        <v>4761293</v>
      </c>
      <c r="E31" s="176">
        <f>PL!E49</f>
        <v>4140905</v>
      </c>
      <c r="F31" s="176">
        <f>PL!F49</f>
        <v>3431382</v>
      </c>
      <c r="G31" s="176">
        <f>PL!G49</f>
        <v>2619920</v>
      </c>
      <c r="H31" s="176">
        <f>PL!H49</f>
        <v>1691869</v>
      </c>
      <c r="I31" s="176">
        <f>PL!I49</f>
        <v>630479</v>
      </c>
      <c r="J31" s="176">
        <f>PL!J49</f>
        <v>0</v>
      </c>
    </row>
    <row r="32" spans="2:10" x14ac:dyDescent="0.25">
      <c r="B32" s="275" t="s">
        <v>432</v>
      </c>
      <c r="C32" s="176">
        <f>PL!C47</f>
        <v>1369500</v>
      </c>
      <c r="D32" s="176">
        <f>PL!D47</f>
        <v>1369500</v>
      </c>
      <c r="E32" s="176">
        <f>PL!E47</f>
        <v>1369500</v>
      </c>
      <c r="F32" s="176">
        <f>PL!F47</f>
        <v>1369500</v>
      </c>
      <c r="G32" s="176">
        <f>PL!G47</f>
        <v>1369500</v>
      </c>
      <c r="H32" s="176">
        <f>PL!H47</f>
        <v>1369500</v>
      </c>
      <c r="I32" s="176">
        <f>PL!I47</f>
        <v>1369500</v>
      </c>
      <c r="J32" s="176">
        <f>PL!J47</f>
        <v>1369500</v>
      </c>
    </row>
    <row r="33" spans="1:10" x14ac:dyDescent="0.25">
      <c r="B33" s="276" t="s">
        <v>433</v>
      </c>
      <c r="C33" s="264">
        <f>SUM(C29:C32)</f>
        <v>6391500</v>
      </c>
      <c r="D33" s="264">
        <f t="shared" ref="D33:J33" si="6">SUM(D29:D32)</f>
        <v>10448808</v>
      </c>
      <c r="E33" s="264">
        <f t="shared" si="6"/>
        <v>10448808</v>
      </c>
      <c r="F33" s="264">
        <f t="shared" si="6"/>
        <v>10448808</v>
      </c>
      <c r="G33" s="264">
        <f t="shared" si="6"/>
        <v>10448808</v>
      </c>
      <c r="H33" s="264">
        <f t="shared" si="6"/>
        <v>10448808</v>
      </c>
      <c r="I33" s="264">
        <f t="shared" si="6"/>
        <v>10448808</v>
      </c>
      <c r="J33" s="264">
        <f t="shared" si="6"/>
        <v>1369500</v>
      </c>
    </row>
    <row r="34" spans="1:10" x14ac:dyDescent="0.25">
      <c r="B34" s="280" t="s">
        <v>434</v>
      </c>
      <c r="C34" s="266">
        <f>C26/C33</f>
        <v>8.0586830747981164</v>
      </c>
      <c r="D34" s="266">
        <f t="shared" ref="D34:I34" si="7">D26/D33</f>
        <v>5.9017646721586967</v>
      </c>
      <c r="E34" s="266">
        <f t="shared" si="7"/>
        <v>5.932339708201976</v>
      </c>
      <c r="F34" s="266">
        <f t="shared" si="7"/>
        <v>5.962038991265457</v>
      </c>
      <c r="G34" s="266">
        <f t="shared" si="7"/>
        <v>5.9895238809956206</v>
      </c>
      <c r="H34" s="266">
        <f t="shared" si="7"/>
        <v>6.0134448244467826</v>
      </c>
      <c r="I34" s="266">
        <f t="shared" si="7"/>
        <v>6.0324171858701998</v>
      </c>
      <c r="J34" s="266">
        <v>0</v>
      </c>
    </row>
    <row r="35" spans="1:10" x14ac:dyDescent="0.25">
      <c r="B35" s="278"/>
    </row>
    <row r="36" spans="1:10" x14ac:dyDescent="0.25">
      <c r="B36" s="279" t="s">
        <v>435</v>
      </c>
      <c r="C36" s="372">
        <f>AVERAGE(C34:J34)</f>
        <v>5.4862765422171069</v>
      </c>
      <c r="D36" s="372"/>
      <c r="E36" s="372"/>
      <c r="F36" s="372"/>
      <c r="G36" s="372"/>
      <c r="H36" s="372"/>
      <c r="I36" s="372"/>
      <c r="J36" s="372"/>
    </row>
    <row r="41" spans="1:10" x14ac:dyDescent="0.25">
      <c r="B41" s="285" t="str">
        <f>B6</f>
        <v>Particulars</v>
      </c>
      <c r="C41" s="293">
        <v>45747</v>
      </c>
      <c r="D41" s="293">
        <f>DATE(YEAR(C41)+1,MONTH(C41),DAY(C41))</f>
        <v>46112</v>
      </c>
      <c r="E41" s="293">
        <f t="shared" ref="E41:J41" si="8">DATE(YEAR(D41)+1,MONTH(D41),DAY(D41))</f>
        <v>46477</v>
      </c>
      <c r="F41" s="293">
        <f t="shared" si="8"/>
        <v>46843</v>
      </c>
      <c r="G41" s="293">
        <f t="shared" si="8"/>
        <v>47208</v>
      </c>
      <c r="H41" s="293">
        <f t="shared" si="8"/>
        <v>47573</v>
      </c>
      <c r="I41" s="293">
        <f t="shared" si="8"/>
        <v>47938</v>
      </c>
      <c r="J41" s="293">
        <f t="shared" si="8"/>
        <v>48304</v>
      </c>
    </row>
    <row r="42" spans="1:10" s="106" customFormat="1" ht="20.25" customHeight="1" x14ac:dyDescent="0.25">
      <c r="B42" s="290" t="s">
        <v>436</v>
      </c>
      <c r="C42" s="182"/>
      <c r="D42" s="182"/>
      <c r="E42" s="182"/>
      <c r="F42" s="182"/>
      <c r="G42" s="182"/>
      <c r="H42" s="182"/>
      <c r="I42" s="182"/>
    </row>
    <row r="43" spans="1:10" ht="8.25" customHeight="1" x14ac:dyDescent="0.25">
      <c r="B43" s="278"/>
    </row>
    <row r="44" spans="1:10" x14ac:dyDescent="0.25">
      <c r="B44" s="287" t="s">
        <v>414</v>
      </c>
      <c r="C44" s="176">
        <f>PL!C90</f>
        <v>64081404.229110777</v>
      </c>
      <c r="D44" s="176">
        <f>PL!D90</f>
        <v>73816769.614809036</v>
      </c>
      <c r="E44" s="176">
        <f>PL!E90</f>
        <v>75853564.257105112</v>
      </c>
      <c r="F44" s="176">
        <f>PL!F90</f>
        <v>77712084.404747069</v>
      </c>
      <c r="G44" s="176">
        <f>PL!G90</f>
        <v>79407548.675967157</v>
      </c>
      <c r="H44" s="176">
        <f>PL!H90</f>
        <v>80951313.030142546</v>
      </c>
      <c r="I44" s="176">
        <f>PL!I90</f>
        <v>82351277.894803226</v>
      </c>
      <c r="J44" s="176">
        <f>PL!J90</f>
        <v>83612217.283998489</v>
      </c>
    </row>
    <row r="45" spans="1:10" x14ac:dyDescent="0.25">
      <c r="A45" s="291">
        <f>'indirect expenses'!C144</f>
        <v>0.2782</v>
      </c>
      <c r="B45" s="287" t="s">
        <v>437</v>
      </c>
      <c r="C45" s="176">
        <f>C44*(1-$A$45)</f>
        <v>46253957.572572157</v>
      </c>
      <c r="D45" s="176">
        <f t="shared" ref="D45:J45" si="9">D44*(1-$A$45)</f>
        <v>53280944.30796916</v>
      </c>
      <c r="E45" s="176">
        <f t="shared" si="9"/>
        <v>54751102.680778466</v>
      </c>
      <c r="F45" s="176">
        <f t="shared" si="9"/>
        <v>56092582.523346432</v>
      </c>
      <c r="G45" s="176">
        <f t="shared" si="9"/>
        <v>57316368.634313092</v>
      </c>
      <c r="H45" s="176">
        <f t="shared" si="9"/>
        <v>58430657.745156892</v>
      </c>
      <c r="I45" s="176">
        <f t="shared" si="9"/>
        <v>59441152.384468965</v>
      </c>
      <c r="J45" s="176">
        <f t="shared" si="9"/>
        <v>60351298.435590111</v>
      </c>
    </row>
    <row r="46" spans="1:10" x14ac:dyDescent="0.25">
      <c r="B46" s="287" t="s">
        <v>9</v>
      </c>
      <c r="C46" s="176">
        <f>PL!C91</f>
        <v>3475000</v>
      </c>
      <c r="D46" s="176">
        <f>PL!D91</f>
        <v>6679875</v>
      </c>
      <c r="E46" s="176">
        <f>PL!E91</f>
        <v>5701781.25</v>
      </c>
      <c r="F46" s="176">
        <f>PL!F91</f>
        <v>4868012.8125</v>
      </c>
      <c r="G46" s="176">
        <f>PL!G91</f>
        <v>4157159.765625</v>
      </c>
      <c r="H46" s="176">
        <f>PL!H91</f>
        <v>3550999.7882812498</v>
      </c>
      <c r="I46" s="176">
        <f>PL!I91</f>
        <v>3034022.4087890629</v>
      </c>
      <c r="J46" s="176">
        <f>PL!J91</f>
        <v>2593024.3773457031</v>
      </c>
    </row>
    <row r="47" spans="1:10" x14ac:dyDescent="0.25">
      <c r="B47" s="287" t="s">
        <v>438</v>
      </c>
      <c r="C47" s="176">
        <f>'cash flow statement'!C26</f>
        <v>-49600000</v>
      </c>
      <c r="D47" s="176">
        <f>'cash flow statement'!D26</f>
        <v>0</v>
      </c>
      <c r="E47" s="176">
        <f>'cash flow statement'!E26</f>
        <v>0</v>
      </c>
      <c r="F47" s="176">
        <f>'cash flow statement'!F26</f>
        <v>0</v>
      </c>
      <c r="G47" s="176">
        <f>'cash flow statement'!G26</f>
        <v>0</v>
      </c>
      <c r="H47" s="176">
        <f>'cash flow statement'!H26</f>
        <v>0</v>
      </c>
      <c r="I47" s="176">
        <f>'cash flow statement'!I26</f>
        <v>0</v>
      </c>
      <c r="J47" s="176">
        <f>'cash flow statement'!J26</f>
        <v>0</v>
      </c>
    </row>
    <row r="48" spans="1:10" x14ac:dyDescent="0.25">
      <c r="B48" s="287" t="s">
        <v>450</v>
      </c>
      <c r="C48" s="176">
        <f>-BS!C72</f>
        <v>-39958852.684251003</v>
      </c>
      <c r="D48" s="176">
        <f>-BS!D72</f>
        <v>-3822133.3937365189</v>
      </c>
      <c r="E48" s="176">
        <f>-BS!E72</f>
        <v>-10044280.77054777</v>
      </c>
      <c r="F48" s="176">
        <f>-BS!F72</f>
        <v>-10428539.606938474</v>
      </c>
      <c r="G48" s="176">
        <f>-BS!G72</f>
        <v>-10824151.084476635</v>
      </c>
      <c r="H48" s="176">
        <f>-BS!H72</f>
        <v>-11231415.605273455</v>
      </c>
      <c r="I48" s="176">
        <f>-BS!I72</f>
        <v>-11650641.046468437</v>
      </c>
      <c r="J48" s="176">
        <f>-BS!J72</f>
        <v>-12082142.939069107</v>
      </c>
    </row>
    <row r="49" spans="1:10" x14ac:dyDescent="0.25">
      <c r="B49" s="288" t="s">
        <v>439</v>
      </c>
      <c r="C49" s="264">
        <f>C45+C46+C47+C48</f>
        <v>-39829895.111678846</v>
      </c>
      <c r="D49" s="264">
        <f>D45+D46+D47+D48</f>
        <v>56138685.914232641</v>
      </c>
      <c r="E49" s="264">
        <f t="shared" ref="E49:J49" si="10">E45+E46+E47+E48</f>
        <v>50408603.160230696</v>
      </c>
      <c r="F49" s="264">
        <f t="shared" si="10"/>
        <v>50532055.728907958</v>
      </c>
      <c r="G49" s="264">
        <f t="shared" si="10"/>
        <v>50649377.315461457</v>
      </c>
      <c r="H49" s="264">
        <f t="shared" si="10"/>
        <v>50750241.928164683</v>
      </c>
      <c r="I49" s="264">
        <f t="shared" si="10"/>
        <v>50824533.74678959</v>
      </c>
      <c r="J49" s="264">
        <f t="shared" si="10"/>
        <v>50862179.873866707</v>
      </c>
    </row>
    <row r="50" spans="1:10" x14ac:dyDescent="0.25">
      <c r="B50" s="278"/>
    </row>
    <row r="51" spans="1:10" x14ac:dyDescent="0.25">
      <c r="A51" s="291">
        <v>0.02</v>
      </c>
      <c r="B51" s="287" t="s">
        <v>441</v>
      </c>
      <c r="C51" s="294">
        <f>12%+A51</f>
        <v>0.13999999999999999</v>
      </c>
      <c r="D51" s="295" t="s">
        <v>462</v>
      </c>
    </row>
    <row r="52" spans="1:10" x14ac:dyDescent="0.25">
      <c r="B52" s="287" t="s">
        <v>442</v>
      </c>
      <c r="C52" s="294">
        <v>5.0000000000000001E-3</v>
      </c>
    </row>
    <row r="53" spans="1:10" x14ac:dyDescent="0.25">
      <c r="B53" s="287" t="s">
        <v>443</v>
      </c>
      <c r="C53" s="176">
        <f>11/12</f>
        <v>0.91666666666666663</v>
      </c>
      <c r="D53" s="176">
        <f>C54+1</f>
        <v>1.8868235543422576</v>
      </c>
      <c r="E53" s="176">
        <f t="shared" ref="E53:J53" si="11">D54+1</f>
        <v>1.7809632293156046</v>
      </c>
      <c r="F53" s="176">
        <f t="shared" si="11"/>
        <v>1.7918712073711331</v>
      </c>
      <c r="G53" s="176">
        <f t="shared" si="11"/>
        <v>1.7907402311652654</v>
      </c>
      <c r="H53" s="176">
        <f t="shared" si="11"/>
        <v>1.7908574195220481</v>
      </c>
      <c r="I53" s="176">
        <f t="shared" si="11"/>
        <v>1.7908452760100713</v>
      </c>
      <c r="J53" s="176">
        <f t="shared" si="11"/>
        <v>1.7908465343592139</v>
      </c>
    </row>
    <row r="54" spans="1:10" x14ac:dyDescent="0.25">
      <c r="B54" s="287" t="s">
        <v>444</v>
      </c>
      <c r="C54" s="176">
        <f>1/(1+$C$51)^C53</f>
        <v>0.88682355434225757</v>
      </c>
      <c r="D54" s="176">
        <f t="shared" ref="D54:J54" si="12">1/(1+$C$51)^D53</f>
        <v>0.78096322931560469</v>
      </c>
      <c r="E54" s="176">
        <f t="shared" si="12"/>
        <v>0.79187120737113326</v>
      </c>
      <c r="F54" s="176">
        <f t="shared" si="12"/>
        <v>0.79074023116526537</v>
      </c>
      <c r="G54" s="176">
        <f t="shared" si="12"/>
        <v>0.79085741952204802</v>
      </c>
      <c r="H54" s="176">
        <f t="shared" si="12"/>
        <v>0.79084527601007137</v>
      </c>
      <c r="I54" s="176">
        <f t="shared" si="12"/>
        <v>0.79084653435921404</v>
      </c>
      <c r="J54" s="176">
        <f t="shared" si="12"/>
        <v>0.7908464039650005</v>
      </c>
    </row>
    <row r="55" spans="1:10" x14ac:dyDescent="0.25">
      <c r="B55" s="287" t="s">
        <v>445</v>
      </c>
      <c r="C55" s="176">
        <f t="shared" ref="C55:J55" si="13">C49*C54</f>
        <v>-35322089.152018346</v>
      </c>
      <c r="D55" s="176">
        <f t="shared" si="13"/>
        <v>43842249.441113576</v>
      </c>
      <c r="E55" s="176">
        <f t="shared" si="13"/>
        <v>39917121.446384206</v>
      </c>
      <c r="F55" s="176">
        <f t="shared" si="13"/>
        <v>39957729.428332753</v>
      </c>
      <c r="G55" s="176">
        <f t="shared" si="13"/>
        <v>40056435.844104402</v>
      </c>
      <c r="H55" s="176">
        <f t="shared" si="13"/>
        <v>40135589.085257299</v>
      </c>
      <c r="I55" s="176">
        <f t="shared" si="13"/>
        <v>40194406.374071464</v>
      </c>
      <c r="J55" s="176">
        <f t="shared" si="13"/>
        <v>40224172.051068507</v>
      </c>
    </row>
    <row r="56" spans="1:10" x14ac:dyDescent="0.25">
      <c r="B56" s="287" t="s">
        <v>446</v>
      </c>
      <c r="J56" s="176"/>
    </row>
    <row r="57" spans="1:10" x14ac:dyDescent="0.25">
      <c r="B57" s="287" t="s">
        <v>447</v>
      </c>
      <c r="J57" s="176"/>
    </row>
    <row r="58" spans="1:10" x14ac:dyDescent="0.25">
      <c r="B58" s="287" t="s">
        <v>448</v>
      </c>
      <c r="C58" s="176">
        <f>C55+C57</f>
        <v>-35322089.152018346</v>
      </c>
      <c r="D58" s="176">
        <f t="shared" ref="D58:J58" si="14">D55+D57</f>
        <v>43842249.441113576</v>
      </c>
      <c r="E58" s="176">
        <f t="shared" si="14"/>
        <v>39917121.446384206</v>
      </c>
      <c r="F58" s="176">
        <f t="shared" si="14"/>
        <v>39957729.428332753</v>
      </c>
      <c r="G58" s="176">
        <f t="shared" si="14"/>
        <v>40056435.844104402</v>
      </c>
      <c r="H58" s="176">
        <f t="shared" si="14"/>
        <v>40135589.085257299</v>
      </c>
      <c r="I58" s="176">
        <f t="shared" si="14"/>
        <v>40194406.374071464</v>
      </c>
      <c r="J58" s="176">
        <f t="shared" si="14"/>
        <v>40224172.051068507</v>
      </c>
    </row>
    <row r="59" spans="1:10" x14ac:dyDescent="0.25">
      <c r="B59" s="289" t="s">
        <v>449</v>
      </c>
      <c r="C59" s="373">
        <f>SUM(C58:J58)/10^7</f>
        <v>24.900561451831386</v>
      </c>
      <c r="D59" s="373"/>
      <c r="E59" s="373"/>
      <c r="F59" s="373"/>
      <c r="G59" s="373"/>
      <c r="H59" s="373"/>
      <c r="I59" s="373"/>
      <c r="J59" s="373"/>
    </row>
    <row r="60" spans="1:10" x14ac:dyDescent="0.25">
      <c r="B60" s="289" t="s">
        <v>440</v>
      </c>
      <c r="C60" s="374">
        <f>XIRR(C58:J58,C41:J41,0.2)</f>
        <v>1.1857327103614805</v>
      </c>
      <c r="D60" s="374"/>
      <c r="E60" s="374"/>
      <c r="F60" s="374"/>
      <c r="G60" s="374"/>
      <c r="H60" s="374"/>
      <c r="I60" s="374"/>
      <c r="J60" s="374"/>
    </row>
    <row r="62" spans="1:10" x14ac:dyDescent="0.25">
      <c r="A62" s="278"/>
      <c r="B62" s="286" t="s">
        <v>454</v>
      </c>
      <c r="C62" s="278"/>
      <c r="D62" s="295"/>
      <c r="E62" s="296"/>
    </row>
    <row r="63" spans="1:10" x14ac:dyDescent="0.25">
      <c r="A63" s="278"/>
      <c r="B63" s="278"/>
      <c r="C63" s="278"/>
      <c r="D63" s="295"/>
      <c r="E63" s="296"/>
    </row>
    <row r="64" spans="1:10" x14ac:dyDescent="0.25">
      <c r="A64" s="278"/>
      <c r="B64" s="180" t="s">
        <v>21</v>
      </c>
      <c r="C64" s="297">
        <f t="shared" ref="C64:J64" si="15">C41</f>
        <v>45747</v>
      </c>
      <c r="D64" s="297">
        <f t="shared" si="15"/>
        <v>46112</v>
      </c>
      <c r="E64" s="297">
        <f t="shared" si="15"/>
        <v>46477</v>
      </c>
      <c r="F64" s="297">
        <f t="shared" si="15"/>
        <v>46843</v>
      </c>
      <c r="G64" s="297">
        <f t="shared" si="15"/>
        <v>47208</v>
      </c>
      <c r="H64" s="297">
        <f t="shared" si="15"/>
        <v>47573</v>
      </c>
      <c r="I64" s="297">
        <f t="shared" si="15"/>
        <v>47938</v>
      </c>
      <c r="J64" s="297">
        <f t="shared" si="15"/>
        <v>48304</v>
      </c>
    </row>
    <row r="65" spans="1:10" x14ac:dyDescent="0.25">
      <c r="A65" s="278"/>
      <c r="B65" s="278"/>
      <c r="C65" s="278"/>
      <c r="D65" s="295"/>
      <c r="E65" s="296"/>
    </row>
    <row r="66" spans="1:10" x14ac:dyDescent="0.25">
      <c r="B66" s="98" t="s">
        <v>458</v>
      </c>
      <c r="C66" s="113">
        <v>1</v>
      </c>
      <c r="D66" s="113">
        <f>C66+1</f>
        <v>2</v>
      </c>
      <c r="E66" s="113">
        <f t="shared" ref="E66:J66" si="16">D66+1</f>
        <v>3</v>
      </c>
      <c r="F66" s="113">
        <f t="shared" si="16"/>
        <v>4</v>
      </c>
      <c r="G66" s="113">
        <f t="shared" si="16"/>
        <v>5</v>
      </c>
      <c r="H66" s="113">
        <f t="shared" si="16"/>
        <v>6</v>
      </c>
      <c r="I66" s="113">
        <f t="shared" si="16"/>
        <v>7</v>
      </c>
      <c r="J66" s="113">
        <f t="shared" si="16"/>
        <v>8</v>
      </c>
    </row>
    <row r="67" spans="1:10" x14ac:dyDescent="0.25">
      <c r="B67" s="98" t="s">
        <v>455</v>
      </c>
      <c r="C67" s="176">
        <f>PL!C65+PL!C38+PL!C39</f>
        <v>45115572.872572161</v>
      </c>
      <c r="D67" s="176">
        <f>PL!D65+PL!D38+PL!D39</f>
        <v>55535612.920569167</v>
      </c>
      <c r="E67" s="176">
        <f>PL!E65+PL!E38+PL!E39</f>
        <v>56475473.60177847</v>
      </c>
      <c r="F67" s="176">
        <f>PL!F65+PL!F38+PL!F39</f>
        <v>57495318.70824644</v>
      </c>
      <c r="G67" s="176">
        <f>PL!G65+PL!G38+PL!G39</f>
        <v>58593965.043938093</v>
      </c>
      <c r="H67" s="176">
        <f>PL!H65+PL!H38+PL!H39</f>
        <v>59771961.389238134</v>
      </c>
      <c r="I67" s="176">
        <f>PL!I65+PL!I38+PL!I39</f>
        <v>61031589.95105803</v>
      </c>
      <c r="J67" s="176">
        <f>PL!J65+PL!J38+PL!J39</f>
        <v>61955817.712935805</v>
      </c>
    </row>
    <row r="68" spans="1:10" x14ac:dyDescent="0.25">
      <c r="B68" s="98" t="s">
        <v>456</v>
      </c>
      <c r="C68" s="176">
        <f>C67</f>
        <v>45115572.872572161</v>
      </c>
      <c r="D68" s="176">
        <f>C68+D67</f>
        <v>100651185.79314134</v>
      </c>
      <c r="E68" s="176">
        <f t="shared" ref="E68:J68" si="17">D68+E67</f>
        <v>157126659.39491981</v>
      </c>
      <c r="F68" s="176">
        <f t="shared" si="17"/>
        <v>214621978.10316625</v>
      </c>
      <c r="G68" s="176">
        <f t="shared" si="17"/>
        <v>273215943.14710432</v>
      </c>
      <c r="H68" s="176">
        <f t="shared" si="17"/>
        <v>332987904.53634244</v>
      </c>
      <c r="I68" s="176">
        <f t="shared" si="17"/>
        <v>394019494.48740047</v>
      </c>
      <c r="J68" s="176">
        <f t="shared" si="17"/>
        <v>455975312.20033628</v>
      </c>
    </row>
    <row r="69" spans="1:10" x14ac:dyDescent="0.25">
      <c r="B69" s="98" t="s">
        <v>459</v>
      </c>
      <c r="C69" s="176">
        <f>'Investment in project'!E16</f>
        <v>66200000</v>
      </c>
    </row>
    <row r="70" spans="1:10" x14ac:dyDescent="0.25">
      <c r="B70" s="298" t="s">
        <v>457</v>
      </c>
      <c r="C70" s="368">
        <f>1+(D68-C69)/D67</f>
        <v>1.6203440275776875</v>
      </c>
      <c r="D70" s="368"/>
      <c r="E70" s="368"/>
      <c r="F70" s="368"/>
      <c r="G70" s="368"/>
      <c r="H70" s="368"/>
      <c r="I70" s="368"/>
      <c r="J70" s="368"/>
    </row>
  </sheetData>
  <mergeCells count="7">
    <mergeCell ref="C70:J70"/>
    <mergeCell ref="C18:J18"/>
    <mergeCell ref="B1:J1"/>
    <mergeCell ref="B4:J4"/>
    <mergeCell ref="C60:J60"/>
    <mergeCell ref="C36:J36"/>
    <mergeCell ref="C59:J59"/>
  </mergeCells>
  <pageMargins left="0.27559055118110237" right="0.19685039370078741" top="0.74803149606299213" bottom="0.74803149606299213" header="0.31496062992125984" footer="0.31496062992125984"/>
  <pageSetup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K30"/>
  <sheetViews>
    <sheetView showGridLines="0" view="pageBreakPreview" zoomScaleNormal="100" zoomScaleSheetLayoutView="100" workbookViewId="0">
      <selection activeCell="E15" sqref="E15"/>
    </sheetView>
  </sheetViews>
  <sheetFormatPr defaultColWidth="9.140625" defaultRowHeight="15" x14ac:dyDescent="0.25"/>
  <cols>
    <col min="1" max="1" width="4.7109375" style="78" customWidth="1"/>
    <col min="2" max="2" width="8.85546875" style="81" customWidth="1"/>
    <col min="3" max="3" width="51.7109375" style="78" customWidth="1"/>
    <col min="4" max="4" width="24.85546875" style="94" customWidth="1"/>
    <col min="5" max="5" width="22.140625" style="81" customWidth="1"/>
    <col min="6" max="6" width="12" style="78" bestFit="1" customWidth="1"/>
    <col min="7" max="7" width="11.85546875" style="78" bestFit="1" customWidth="1"/>
    <col min="8" max="8" width="9.140625" style="78"/>
    <col min="9" max="9" width="10.28515625" style="78" bestFit="1" customWidth="1"/>
    <col min="10" max="10" width="9.140625" style="78"/>
    <col min="11" max="11" width="14.28515625" style="78" bestFit="1" customWidth="1"/>
    <col min="12" max="16384" width="9.140625" style="78"/>
  </cols>
  <sheetData>
    <row r="1" spans="2:11" s="75" customFormat="1" x14ac:dyDescent="0.25">
      <c r="B1" s="76"/>
      <c r="C1" s="77"/>
      <c r="D1" s="76"/>
      <c r="E1" s="76"/>
    </row>
    <row r="2" spans="2:11" s="75" customFormat="1" ht="31.5" customHeight="1" x14ac:dyDescent="0.25">
      <c r="B2" s="375" t="s">
        <v>400</v>
      </c>
      <c r="C2" s="375"/>
      <c r="D2" s="375"/>
      <c r="E2" s="375"/>
    </row>
    <row r="3" spans="2:11" ht="12.75" customHeight="1" x14ac:dyDescent="0.25">
      <c r="B3" s="76"/>
      <c r="C3" s="77"/>
      <c r="D3" s="76"/>
      <c r="E3" s="76"/>
    </row>
    <row r="4" spans="2:11" x14ac:dyDescent="0.25">
      <c r="B4" s="73" t="s">
        <v>84</v>
      </c>
      <c r="C4" s="73"/>
      <c r="D4" s="74"/>
      <c r="E4" s="74"/>
    </row>
    <row r="5" spans="2:11" x14ac:dyDescent="0.25">
      <c r="B5" s="76"/>
      <c r="C5" s="79"/>
      <c r="D5" s="76"/>
      <c r="E5" s="76"/>
    </row>
    <row r="6" spans="2:11" s="80" customFormat="1" ht="16.5" customHeight="1" x14ac:dyDescent="0.25">
      <c r="B6" s="74" t="s">
        <v>401</v>
      </c>
      <c r="C6" s="73" t="s">
        <v>0</v>
      </c>
      <c r="D6" s="85" t="s">
        <v>222</v>
      </c>
      <c r="E6" s="85" t="s">
        <v>222</v>
      </c>
    </row>
    <row r="7" spans="2:11" s="86" customFormat="1" ht="18" customHeight="1" x14ac:dyDescent="0.25">
      <c r="B7" s="82" t="s">
        <v>49</v>
      </c>
      <c r="C7" s="87" t="s">
        <v>105</v>
      </c>
      <c r="D7" s="92"/>
      <c r="E7" s="93">
        <v>0</v>
      </c>
      <c r="G7" s="344">
        <f>E8+D13</f>
        <v>6100000</v>
      </c>
      <c r="H7" s="86">
        <v>35000000</v>
      </c>
      <c r="I7" s="344">
        <f>E8</f>
        <v>4900000</v>
      </c>
    </row>
    <row r="8" spans="2:11" s="86" customFormat="1" ht="18" customHeight="1" x14ac:dyDescent="0.25">
      <c r="B8" s="82" t="s">
        <v>50</v>
      </c>
      <c r="C8" s="87" t="s">
        <v>31</v>
      </c>
      <c r="D8" s="92"/>
      <c r="E8" s="92">
        <v>4900000</v>
      </c>
      <c r="H8" s="86">
        <f>H7*18%</f>
        <v>6300000</v>
      </c>
      <c r="I8" s="344">
        <f>I7*18%</f>
        <v>882000</v>
      </c>
    </row>
    <row r="9" spans="2:11" s="86" customFormat="1" ht="18" customHeight="1" x14ac:dyDescent="0.25">
      <c r="B9" s="82" t="s">
        <v>51</v>
      </c>
      <c r="C9" s="87" t="s">
        <v>242</v>
      </c>
      <c r="D9" s="94">
        <v>41300000</v>
      </c>
      <c r="E9" s="93"/>
      <c r="H9" s="86">
        <f>SUM(H7:H8)</f>
        <v>41300000</v>
      </c>
      <c r="I9" s="344">
        <f>SUM(I7:I8)</f>
        <v>5782000</v>
      </c>
      <c r="K9" s="86">
        <v>9859.74</v>
      </c>
    </row>
    <row r="10" spans="2:11" s="86" customFormat="1" ht="30" x14ac:dyDescent="0.25">
      <c r="B10" s="82" t="s">
        <v>53</v>
      </c>
      <c r="C10" s="345" t="s">
        <v>463</v>
      </c>
      <c r="D10" s="92"/>
      <c r="E10" s="93"/>
      <c r="K10" s="310">
        <f>E8/K9</f>
        <v>496.97050835011879</v>
      </c>
    </row>
    <row r="11" spans="2:11" s="86" customFormat="1" ht="30" x14ac:dyDescent="0.25">
      <c r="B11" s="82">
        <v>1</v>
      </c>
      <c r="C11" s="346" t="s">
        <v>186</v>
      </c>
      <c r="D11" s="94">
        <v>1100000</v>
      </c>
      <c r="E11" s="95">
        <v>0</v>
      </c>
      <c r="I11" s="86">
        <v>930000</v>
      </c>
      <c r="K11" s="132">
        <f>H9+I13+H13</f>
        <v>43376080</v>
      </c>
    </row>
    <row r="12" spans="2:11" s="86" customFormat="1" ht="18" customHeight="1" x14ac:dyDescent="0.25">
      <c r="B12" s="82">
        <v>2</v>
      </c>
      <c r="C12" s="88" t="s">
        <v>185</v>
      </c>
      <c r="D12" s="94">
        <v>1100000</v>
      </c>
      <c r="E12" s="95">
        <v>0</v>
      </c>
      <c r="I12" s="86">
        <f>I11*18%</f>
        <v>167400</v>
      </c>
      <c r="K12" s="86">
        <v>43376080</v>
      </c>
    </row>
    <row r="13" spans="2:11" s="80" customFormat="1" ht="18" customHeight="1" x14ac:dyDescent="0.25">
      <c r="B13" s="83">
        <v>3</v>
      </c>
      <c r="C13" s="89" t="s">
        <v>177</v>
      </c>
      <c r="D13" s="94">
        <v>1200000</v>
      </c>
      <c r="E13" s="96">
        <v>0</v>
      </c>
      <c r="H13" s="80">
        <v>978680</v>
      </c>
      <c r="I13" s="80">
        <f>SUM(I11:I12)</f>
        <v>1097400</v>
      </c>
    </row>
    <row r="14" spans="2:11" s="80" customFormat="1" ht="18" customHeight="1" x14ac:dyDescent="0.25">
      <c r="B14" s="83"/>
      <c r="C14" s="91" t="s">
        <v>106</v>
      </c>
      <c r="D14" s="92"/>
      <c r="E14" s="97">
        <f>+SUM(D9:D13)</f>
        <v>44700000</v>
      </c>
      <c r="H14" s="80">
        <f>H13*18%</f>
        <v>176162.4</v>
      </c>
      <c r="I14" s="90"/>
    </row>
    <row r="15" spans="2:11" s="80" customFormat="1" ht="18" customHeight="1" x14ac:dyDescent="0.25">
      <c r="B15" s="83" t="s">
        <v>52</v>
      </c>
      <c r="C15" s="91" t="s">
        <v>162</v>
      </c>
      <c r="D15" s="92"/>
      <c r="E15" s="97">
        <v>16600000</v>
      </c>
      <c r="H15" s="80">
        <f>SUM(H13:H14)</f>
        <v>1154842.3999999999</v>
      </c>
    </row>
    <row r="16" spans="2:11" s="80" customFormat="1" ht="18" customHeight="1" x14ac:dyDescent="0.25">
      <c r="B16" s="84"/>
      <c r="C16" s="91" t="s">
        <v>107</v>
      </c>
      <c r="D16" s="92"/>
      <c r="E16" s="97">
        <f>+SUM(E7:E15)</f>
        <v>66200000</v>
      </c>
    </row>
    <row r="18" spans="2:5" hidden="1" x14ac:dyDescent="0.25">
      <c r="D18" s="96">
        <f>+E14</f>
        <v>44700000</v>
      </c>
      <c r="E18" s="96">
        <f>+D18*95%</f>
        <v>42465000</v>
      </c>
    </row>
    <row r="19" spans="2:5" hidden="1" x14ac:dyDescent="0.25">
      <c r="D19" s="81">
        <f>+E19/95%</f>
        <v>5052631.578947369</v>
      </c>
      <c r="E19" s="81">
        <v>4800000</v>
      </c>
    </row>
    <row r="20" spans="2:5" hidden="1" x14ac:dyDescent="0.25">
      <c r="B20" s="81" t="s">
        <v>228</v>
      </c>
      <c r="D20" s="96">
        <f>+D18-D19</f>
        <v>39647368.421052635</v>
      </c>
    </row>
    <row r="21" spans="2:5" hidden="1" x14ac:dyDescent="0.25"/>
    <row r="22" spans="2:5" hidden="1" x14ac:dyDescent="0.25"/>
    <row r="23" spans="2:5" hidden="1" x14ac:dyDescent="0.25"/>
    <row r="24" spans="2:5" hidden="1" x14ac:dyDescent="0.25"/>
    <row r="25" spans="2:5" hidden="1" x14ac:dyDescent="0.25"/>
    <row r="26" spans="2:5" hidden="1" x14ac:dyDescent="0.25"/>
    <row r="27" spans="2:5" hidden="1" x14ac:dyDescent="0.25"/>
    <row r="28" spans="2:5" hidden="1" x14ac:dyDescent="0.25"/>
    <row r="30" spans="2:5" x14ac:dyDescent="0.25">
      <c r="E30" s="96">
        <f>E16/20</f>
        <v>3310000</v>
      </c>
    </row>
  </sheetData>
  <mergeCells count="1">
    <mergeCell ref="B2:E2"/>
  </mergeCells>
  <pageMargins left="0.70866141732283472" right="0.43307086614173229" top="0.94488188976377963" bottom="0.55118110236220474" header="0.31496062992125984" footer="0.31496062992125984"/>
  <pageSetup paperSize="9" scale="36" firstPageNumber="3"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F29"/>
  <sheetViews>
    <sheetView showGridLines="0" topLeftCell="A11" zoomScaleNormal="100" zoomScaleSheetLayoutView="100" workbookViewId="0">
      <selection activeCell="F16" sqref="F16"/>
    </sheetView>
  </sheetViews>
  <sheetFormatPr defaultColWidth="9.140625" defaultRowHeight="15" x14ac:dyDescent="0.25"/>
  <cols>
    <col min="1" max="1" width="5.140625" style="78" customWidth="1"/>
    <col min="2" max="2" width="51.5703125" style="103" customWidth="1"/>
    <col min="3" max="3" width="29.85546875" style="116" customWidth="1"/>
    <col min="4" max="4" width="23.5703125" style="80" customWidth="1"/>
    <col min="5" max="16384" width="9.140625" style="78"/>
  </cols>
  <sheetData>
    <row r="1" spans="2:6" ht="17.25" customHeight="1" x14ac:dyDescent="0.25">
      <c r="B1" s="110"/>
      <c r="C1" s="114"/>
    </row>
    <row r="2" spans="2:6" ht="32.25" customHeight="1" x14ac:dyDescent="0.25">
      <c r="B2" s="375" t="str">
        <f>'Investment in project'!B2:E2</f>
        <v xml:space="preserve">ORENSE INDUSTRIES PRIVATE LIMITED, CIN: U23209OR2022PTC041057,  Andhapasra Road, Near Hanuman Temple, Berhampur Ganjam Pin- 760002 </v>
      </c>
      <c r="C2" s="375"/>
      <c r="D2" s="375"/>
    </row>
    <row r="3" spans="2:6" ht="13.9" customHeight="1" x14ac:dyDescent="0.25">
      <c r="B3" s="376"/>
      <c r="C3" s="376"/>
    </row>
    <row r="4" spans="2:6" x14ac:dyDescent="0.25">
      <c r="B4" s="107" t="s">
        <v>18</v>
      </c>
      <c r="C4" s="74"/>
      <c r="D4" s="73"/>
    </row>
    <row r="5" spans="2:6" ht="18" customHeight="1" x14ac:dyDescent="0.25">
      <c r="B5" s="104" t="s">
        <v>19</v>
      </c>
      <c r="C5" s="115" t="s">
        <v>222</v>
      </c>
    </row>
    <row r="6" spans="2:6" ht="18" customHeight="1" x14ac:dyDescent="0.25">
      <c r="B6" s="110"/>
      <c r="C6" s="115"/>
    </row>
    <row r="7" spans="2:6" ht="18" customHeight="1" x14ac:dyDescent="0.25">
      <c r="B7" s="103" t="s">
        <v>83</v>
      </c>
      <c r="C7" s="116">
        <f>+'Investment in project'!E16</f>
        <v>66200000</v>
      </c>
    </row>
    <row r="8" spans="2:6" ht="18" customHeight="1" x14ac:dyDescent="0.25">
      <c r="B8" s="98"/>
    </row>
    <row r="9" spans="2:6" ht="18" customHeight="1" x14ac:dyDescent="0.25">
      <c r="B9" s="121" t="s">
        <v>6</v>
      </c>
      <c r="C9" s="122">
        <f>+C7</f>
        <v>66200000</v>
      </c>
      <c r="D9" s="123"/>
    </row>
    <row r="10" spans="2:6" ht="18" customHeight="1" x14ac:dyDescent="0.25">
      <c r="B10" s="111"/>
      <c r="C10" s="117"/>
    </row>
    <row r="11" spans="2:6" ht="18" customHeight="1" x14ac:dyDescent="0.25">
      <c r="B11" s="369"/>
      <c r="C11" s="369"/>
    </row>
    <row r="12" spans="2:6" s="75" customFormat="1" ht="18" customHeight="1" x14ac:dyDescent="0.25">
      <c r="B12" s="110" t="s">
        <v>20</v>
      </c>
      <c r="C12" s="115" t="s">
        <v>222</v>
      </c>
      <c r="D12" s="118"/>
    </row>
    <row r="13" spans="2:6" ht="18" customHeight="1" x14ac:dyDescent="0.25">
      <c r="C13" s="117"/>
    </row>
    <row r="14" spans="2:6" ht="18" customHeight="1" x14ac:dyDescent="0.25">
      <c r="B14" s="103" t="s">
        <v>243</v>
      </c>
      <c r="C14" s="94">
        <f>+('Investment in project'!E8+'Investment in project'!E14)*75%</f>
        <v>37200000</v>
      </c>
      <c r="D14" s="119">
        <f>4800000/95%</f>
        <v>5052631.578947369</v>
      </c>
      <c r="E14" s="100"/>
    </row>
    <row r="15" spans="2:6" ht="18" customHeight="1" x14ac:dyDescent="0.25">
      <c r="B15" s="98"/>
      <c r="C15" s="117"/>
    </row>
    <row r="16" spans="2:6" ht="18" customHeight="1" x14ac:dyDescent="0.25">
      <c r="B16" s="103" t="s">
        <v>244</v>
      </c>
      <c r="C16" s="116">
        <f>+'Investment in project'!E15*75%</f>
        <v>12450000</v>
      </c>
      <c r="D16" s="80">
        <f>3200000/95%</f>
        <v>3368421.0526315789</v>
      </c>
      <c r="F16" s="204">
        <f>(C14+C16)/(C18+C20)</f>
        <v>3</v>
      </c>
    </row>
    <row r="17" spans="2:4" ht="18" customHeight="1" x14ac:dyDescent="0.25">
      <c r="B17" s="98"/>
    </row>
    <row r="18" spans="2:4" ht="24" customHeight="1" x14ac:dyDescent="0.25">
      <c r="B18" s="112" t="s">
        <v>245</v>
      </c>
      <c r="C18" s="116">
        <f>+('Investment in project'!E8+'Investment in project'!E14)*25%</f>
        <v>12400000</v>
      </c>
    </row>
    <row r="19" spans="2:4" ht="18" customHeight="1" x14ac:dyDescent="0.25"/>
    <row r="20" spans="2:4" ht="24" customHeight="1" x14ac:dyDescent="0.25">
      <c r="B20" s="112" t="s">
        <v>250</v>
      </c>
      <c r="C20" s="116">
        <f>+'Investment in project'!E15*25%</f>
        <v>4150000</v>
      </c>
      <c r="D20" s="120"/>
    </row>
    <row r="21" spans="2:4" ht="18" customHeight="1" x14ac:dyDescent="0.25">
      <c r="B21" s="98"/>
    </row>
    <row r="22" spans="2:4" ht="18" customHeight="1" x14ac:dyDescent="0.25">
      <c r="B22" s="121" t="s">
        <v>6</v>
      </c>
      <c r="C22" s="122">
        <f>SUM(C14:C21)</f>
        <v>66200000</v>
      </c>
      <c r="D22" s="123"/>
    </row>
    <row r="23" spans="2:4" ht="18" customHeight="1" x14ac:dyDescent="0.25">
      <c r="B23" s="111"/>
      <c r="C23" s="117"/>
    </row>
    <row r="24" spans="2:4" ht="18" customHeight="1" x14ac:dyDescent="0.25">
      <c r="B24" s="111"/>
      <c r="C24" s="117"/>
    </row>
    <row r="25" spans="2:4" ht="18" customHeight="1" x14ac:dyDescent="0.25">
      <c r="B25" s="111" t="s">
        <v>246</v>
      </c>
      <c r="C25" s="117"/>
    </row>
    <row r="26" spans="2:4" ht="18" customHeight="1" x14ac:dyDescent="0.25">
      <c r="B26" s="110" t="s">
        <v>247</v>
      </c>
      <c r="C26" s="117"/>
    </row>
    <row r="27" spans="2:4" ht="18" customHeight="1" x14ac:dyDescent="0.25">
      <c r="B27" s="103" t="s">
        <v>248</v>
      </c>
      <c r="C27" s="117">
        <v>12300000</v>
      </c>
    </row>
    <row r="28" spans="2:4" ht="18" customHeight="1" x14ac:dyDescent="0.25">
      <c r="B28" s="103" t="s">
        <v>249</v>
      </c>
      <c r="C28" s="117">
        <v>100000</v>
      </c>
    </row>
    <row r="29" spans="2:4" ht="18" customHeight="1" x14ac:dyDescent="0.25">
      <c r="B29" s="103" t="s">
        <v>247</v>
      </c>
      <c r="C29" s="117">
        <f>+C27+C28</f>
        <v>12400000</v>
      </c>
    </row>
  </sheetData>
  <mergeCells count="3">
    <mergeCell ref="B11:C11"/>
    <mergeCell ref="B2:D2"/>
    <mergeCell ref="B3:C3"/>
  </mergeCells>
  <pageMargins left="1.2" right="0.31496062992126" top="0.41" bottom="0.35433070866141703" header="0.31496062992126" footer="0.31496062992126"/>
  <pageSetup paperSize="9" scale="31" firstPageNumber="2"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0" workbookViewId="0">
      <selection activeCell="F46" sqref="F46"/>
    </sheetView>
  </sheetViews>
  <sheetFormatPr defaultRowHeight="15" x14ac:dyDescent="0.25"/>
  <cols>
    <col min="6" max="6" width="17.28515625" bestFit="1" customWidth="1"/>
    <col min="7" max="7" width="14.28515625" bestFit="1" customWidth="1"/>
    <col min="8" max="8" width="17.42578125" bestFit="1" customWidth="1"/>
  </cols>
  <sheetData>
    <row r="1" spans="1:10" x14ac:dyDescent="0.25">
      <c r="A1" t="s">
        <v>464</v>
      </c>
    </row>
    <row r="2" spans="1:10" x14ac:dyDescent="0.25">
      <c r="A2" t="s">
        <v>465</v>
      </c>
    </row>
    <row r="3" spans="1:10" x14ac:dyDescent="0.25">
      <c r="A3" s="347" t="s">
        <v>466</v>
      </c>
    </row>
    <row r="4" spans="1:10" x14ac:dyDescent="0.25">
      <c r="A4" s="347" t="s">
        <v>467</v>
      </c>
    </row>
    <row r="5" spans="1:10" x14ac:dyDescent="0.25">
      <c r="A5" s="347" t="s">
        <v>468</v>
      </c>
    </row>
    <row r="7" spans="1:10" x14ac:dyDescent="0.25">
      <c r="A7" t="s">
        <v>469</v>
      </c>
    </row>
    <row r="8" spans="1:10" x14ac:dyDescent="0.25">
      <c r="A8" t="s">
        <v>470</v>
      </c>
    </row>
    <row r="10" spans="1:10" x14ac:dyDescent="0.25">
      <c r="J10" t="s">
        <v>471</v>
      </c>
    </row>
    <row r="11" spans="1:10" x14ac:dyDescent="0.25">
      <c r="J11" s="347" t="s">
        <v>472</v>
      </c>
    </row>
    <row r="12" spans="1:10" x14ac:dyDescent="0.25">
      <c r="J12" s="348"/>
    </row>
    <row r="13" spans="1:10" x14ac:dyDescent="0.25">
      <c r="J13" t="s">
        <v>473</v>
      </c>
    </row>
    <row r="14" spans="1:10" x14ac:dyDescent="0.25">
      <c r="J14" t="s">
        <v>474</v>
      </c>
    </row>
    <row r="15" spans="1:10" x14ac:dyDescent="0.25">
      <c r="J15" t="s">
        <v>475</v>
      </c>
    </row>
    <row r="18" spans="3:10" x14ac:dyDescent="0.25">
      <c r="C18" t="s">
        <v>476</v>
      </c>
    </row>
    <row r="21" spans="3:10" x14ac:dyDescent="0.25">
      <c r="E21" t="s">
        <v>477</v>
      </c>
    </row>
    <row r="25" spans="3:10" x14ac:dyDescent="0.25">
      <c r="D25" s="347" t="s">
        <v>478</v>
      </c>
    </row>
    <row r="27" spans="3:10" x14ac:dyDescent="0.25">
      <c r="D27" t="s">
        <v>479</v>
      </c>
    </row>
    <row r="29" spans="3:10" x14ac:dyDescent="0.25">
      <c r="J29" t="s">
        <v>490</v>
      </c>
    </row>
    <row r="31" spans="3:10" x14ac:dyDescent="0.25">
      <c r="E31" t="s">
        <v>401</v>
      </c>
      <c r="F31" t="s">
        <v>480</v>
      </c>
      <c r="G31" t="s">
        <v>481</v>
      </c>
      <c r="H31" t="s">
        <v>482</v>
      </c>
      <c r="J31" t="s">
        <v>491</v>
      </c>
    </row>
    <row r="32" spans="3:10" x14ac:dyDescent="0.25">
      <c r="E32">
        <v>1</v>
      </c>
      <c r="F32" t="s">
        <v>483</v>
      </c>
      <c r="G32">
        <v>1</v>
      </c>
      <c r="H32">
        <v>1000</v>
      </c>
    </row>
    <row r="33" spans="5:8" x14ac:dyDescent="0.25">
      <c r="E33">
        <v>2</v>
      </c>
      <c r="F33" t="s">
        <v>484</v>
      </c>
      <c r="G33">
        <v>1</v>
      </c>
      <c r="H33">
        <v>1000</v>
      </c>
    </row>
    <row r="34" spans="5:8" x14ac:dyDescent="0.25">
      <c r="E34">
        <v>3</v>
      </c>
      <c r="F34" t="s">
        <v>485</v>
      </c>
      <c r="G34">
        <v>1</v>
      </c>
      <c r="H34">
        <v>500</v>
      </c>
    </row>
    <row r="35" spans="5:8" x14ac:dyDescent="0.25">
      <c r="E35">
        <v>4</v>
      </c>
      <c r="F35" t="s">
        <v>486</v>
      </c>
      <c r="G35">
        <v>1</v>
      </c>
      <c r="H35">
        <v>500</v>
      </c>
    </row>
    <row r="36" spans="5:8" x14ac:dyDescent="0.25">
      <c r="E36">
        <v>5</v>
      </c>
      <c r="F36" t="s">
        <v>487</v>
      </c>
      <c r="G36">
        <v>3</v>
      </c>
      <c r="H36">
        <v>1500</v>
      </c>
    </row>
    <row r="37" spans="5:8" x14ac:dyDescent="0.25">
      <c r="E37">
        <v>6</v>
      </c>
      <c r="F37" t="s">
        <v>488</v>
      </c>
      <c r="G37">
        <v>6</v>
      </c>
      <c r="H37">
        <v>2400</v>
      </c>
    </row>
    <row r="38" spans="5:8" x14ac:dyDescent="0.25">
      <c r="F38" t="s">
        <v>6</v>
      </c>
      <c r="G38">
        <v>13</v>
      </c>
      <c r="H38" t="s">
        <v>489</v>
      </c>
    </row>
    <row r="42" spans="5:8" x14ac:dyDescent="0.25">
      <c r="E42" t="s">
        <v>492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96"/>
  <sheetViews>
    <sheetView showGridLines="0" topLeftCell="A75" zoomScaleNormal="100" zoomScaleSheetLayoutView="100" workbookViewId="0">
      <selection activeCell="C95" sqref="C95:J95"/>
    </sheetView>
  </sheetViews>
  <sheetFormatPr defaultColWidth="8.7109375" defaultRowHeight="15" x14ac:dyDescent="0.25"/>
  <cols>
    <col min="1" max="1" width="6.42578125" style="129" customWidth="1"/>
    <col min="2" max="2" width="40" style="86" customWidth="1"/>
    <col min="3" max="9" width="14.85546875" style="132" customWidth="1"/>
    <col min="10" max="10" width="14.85546875" style="86" customWidth="1"/>
    <col min="11" max="11" width="13.85546875" style="124" bestFit="1" customWidth="1"/>
    <col min="12" max="21" width="1.7109375" style="124" customWidth="1"/>
    <col min="22" max="16384" width="8.7109375" style="124"/>
  </cols>
  <sheetData>
    <row r="1" spans="1:11" ht="15" customHeight="1" x14ac:dyDescent="0.25">
      <c r="B1" s="363"/>
      <c r="C1" s="363"/>
      <c r="D1" s="363"/>
      <c r="E1" s="363"/>
      <c r="F1" s="363"/>
      <c r="G1" s="363"/>
      <c r="H1" s="363"/>
      <c r="I1" s="363"/>
      <c r="J1" s="363"/>
    </row>
    <row r="2" spans="1:11" ht="18" customHeight="1" x14ac:dyDescent="0.25">
      <c r="B2" s="364" t="str">
        <f>'Investment in project'!B2:E2</f>
        <v xml:space="preserve">ORENSE INDUSTRIES PRIVATE LIMITED, CIN: U23209OR2022PTC041057,  Andhapasra Road, Near Hanuman Temple, Berhampur Ganjam Pin- 760002 </v>
      </c>
      <c r="C2" s="364"/>
      <c r="D2" s="364"/>
      <c r="E2" s="364"/>
      <c r="F2" s="364"/>
      <c r="G2" s="364"/>
      <c r="H2" s="364"/>
      <c r="I2" s="364"/>
      <c r="J2" s="364"/>
    </row>
    <row r="3" spans="1:11" ht="15.75" customHeight="1" x14ac:dyDescent="0.25">
      <c r="B3" s="365"/>
      <c r="C3" s="365"/>
      <c r="D3" s="365"/>
      <c r="E3" s="365"/>
      <c r="F3" s="365"/>
      <c r="G3" s="365"/>
      <c r="H3" s="365"/>
      <c r="I3" s="365"/>
      <c r="J3" s="365"/>
    </row>
    <row r="4" spans="1:11" ht="19.5" customHeight="1" x14ac:dyDescent="0.25">
      <c r="B4" s="147" t="s">
        <v>8</v>
      </c>
      <c r="C4" s="147"/>
      <c r="D4" s="147"/>
      <c r="E4" s="147"/>
      <c r="F4" s="147"/>
      <c r="G4" s="147"/>
      <c r="H4" s="147"/>
      <c r="I4" s="147"/>
      <c r="J4" s="147"/>
    </row>
    <row r="5" spans="1:11" ht="14.25" customHeight="1" x14ac:dyDescent="0.25">
      <c r="C5" s="86">
        <f>10^5</f>
        <v>100000</v>
      </c>
      <c r="D5" s="86"/>
      <c r="E5" s="86"/>
      <c r="F5" s="86"/>
      <c r="G5" s="86"/>
      <c r="H5" s="86"/>
      <c r="I5" s="86"/>
    </row>
    <row r="6" spans="1:11" ht="18" customHeight="1" x14ac:dyDescent="0.25">
      <c r="B6" s="73" t="s">
        <v>0</v>
      </c>
      <c r="C6" s="138" t="s">
        <v>335</v>
      </c>
      <c r="D6" s="138" t="s">
        <v>336</v>
      </c>
      <c r="E6" s="138" t="s">
        <v>337</v>
      </c>
      <c r="F6" s="138" t="s">
        <v>338</v>
      </c>
      <c r="G6" s="138" t="s">
        <v>339</v>
      </c>
      <c r="H6" s="138" t="s">
        <v>340</v>
      </c>
      <c r="I6" s="138" t="s">
        <v>341</v>
      </c>
      <c r="J6" s="138" t="s">
        <v>342</v>
      </c>
    </row>
    <row r="7" spans="1:11" ht="4.5" customHeight="1" x14ac:dyDescent="0.25">
      <c r="B7" s="131"/>
      <c r="C7" s="92"/>
      <c r="D7" s="92"/>
    </row>
    <row r="8" spans="1:11" x14ac:dyDescent="0.25">
      <c r="B8" s="133" t="s">
        <v>12</v>
      </c>
      <c r="C8" s="92"/>
      <c r="D8" s="92"/>
    </row>
    <row r="9" spans="1:11" x14ac:dyDescent="0.25">
      <c r="A9" s="312">
        <v>0</v>
      </c>
      <c r="B9" s="86" t="s">
        <v>256</v>
      </c>
      <c r="C9" s="307">
        <f>((+'sales of 1st year'!G9+'sales of 1st year'!G15)*(1-$A$9))/(10^5)</f>
        <v>3745.3680755669998</v>
      </c>
      <c r="D9" s="307">
        <f>((+'sales of  other FY'!H8+'sales of  other FY'!G20)*(1-$A$9))/(10^5)</f>
        <v>5393.330028816481</v>
      </c>
      <c r="E9" s="307">
        <f>((+'sales of  other FY'!H9+'sales of  other FY'!G21)*(1-$A$9))/(10^5)</f>
        <v>5501.1966293928099</v>
      </c>
      <c r="F9" s="307">
        <f>((+'sales of  other FY'!H10+'sales of  other FY'!G22)*(1-$A$9))/(10^5)</f>
        <v>5611.2205619806655</v>
      </c>
      <c r="G9" s="307">
        <f>((+'sales of  other FY'!H11+'sales of  other FY'!G23)*(1-$A$9))/(10^5)</f>
        <v>5723.4449732202802</v>
      </c>
      <c r="H9" s="307">
        <f>((+'sales of  other FY'!H12+'sales of  other FY'!G24)*(1-$A$9))/(10^5)</f>
        <v>5837.9138726846841</v>
      </c>
      <c r="I9" s="307">
        <f>((+'sales of  other FY'!H13+'sales of  other FY'!G25)*(1-$A$9))/(10^5)</f>
        <v>5954.6721501383781</v>
      </c>
      <c r="J9" s="307">
        <f>((+'sales of  other FY'!H14+'sales of  other FY'!G26)*(1-$A$9))/(10^5)</f>
        <v>6073.7655931411473</v>
      </c>
    </row>
    <row r="10" spans="1:11" ht="4.5" hidden="1" customHeight="1" x14ac:dyDescent="0.25">
      <c r="C10" s="307"/>
      <c r="D10" s="307"/>
      <c r="E10" s="307"/>
      <c r="F10" s="307"/>
      <c r="G10" s="307"/>
      <c r="H10" s="307"/>
      <c r="I10" s="307"/>
      <c r="J10" s="307"/>
    </row>
    <row r="11" spans="1:11" x14ac:dyDescent="0.25">
      <c r="B11" s="86" t="s">
        <v>278</v>
      </c>
      <c r="C11" s="307">
        <f>(+RM!E9*6+'sales of 1st year'!E13*2)/(10^5)</f>
        <v>119.92012306416001</v>
      </c>
      <c r="D11" s="307">
        <f>(+RM!E10*6+'sales of  other FY'!F8*2)/(10^5)</f>
        <v>122.31852552544321</v>
      </c>
      <c r="E11" s="307">
        <f>(+RM!E11*6+'sales of  other FY'!F9*2)/(10^5)</f>
        <v>124.76489603595206</v>
      </c>
      <c r="F11" s="307">
        <f>(+RM!E12*6+'sales of  other FY'!F10*2)/(10^5)</f>
        <v>127.26019395667112</v>
      </c>
      <c r="G11" s="307">
        <f>(+RM!E13*6+'sales of  other FY'!F11*2)/(10^5)</f>
        <v>129.80539783580451</v>
      </c>
      <c r="H11" s="307">
        <f>(+RM!E14*6+'sales of  other FY'!F12*2)/(10^5)</f>
        <v>132.40150579252065</v>
      </c>
      <c r="I11" s="307">
        <f>(+RM!E15*6+'sales of  other FY'!F13*2)/(10^5)</f>
        <v>135.04953590837101</v>
      </c>
      <c r="J11" s="307">
        <f>(+RM!E16*6+'sales of  other FY'!F14*2)/(10^5)</f>
        <v>137.75052662653846</v>
      </c>
      <c r="K11" s="128">
        <v>16600000</v>
      </c>
    </row>
    <row r="12" spans="1:11" ht="4.5" hidden="1" customHeight="1" x14ac:dyDescent="0.25">
      <c r="C12" s="134"/>
      <c r="D12" s="134"/>
      <c r="I12" s="132" t="s">
        <v>176</v>
      </c>
    </row>
    <row r="13" spans="1:11" ht="16.5" customHeight="1" x14ac:dyDescent="0.25">
      <c r="B13" s="139" t="s">
        <v>10</v>
      </c>
      <c r="C13" s="306">
        <f t="shared" ref="C13:J13" si="0">SUM(C9:C12)</f>
        <v>3865.28819863116</v>
      </c>
      <c r="D13" s="306">
        <f t="shared" si="0"/>
        <v>5515.648554341924</v>
      </c>
      <c r="E13" s="306">
        <f t="shared" si="0"/>
        <v>5625.9615254287619</v>
      </c>
      <c r="F13" s="306">
        <f>SUM(F9:F12)</f>
        <v>5738.4807559373367</v>
      </c>
      <c r="G13" s="306">
        <f t="shared" si="0"/>
        <v>5853.250371056085</v>
      </c>
      <c r="H13" s="306">
        <f t="shared" si="0"/>
        <v>5970.3153784772048</v>
      </c>
      <c r="I13" s="306">
        <f t="shared" si="0"/>
        <v>6089.7216860467488</v>
      </c>
      <c r="J13" s="306">
        <f t="shared" si="0"/>
        <v>6211.5161197676862</v>
      </c>
    </row>
    <row r="14" spans="1:11" ht="4.5" customHeight="1" x14ac:dyDescent="0.25">
      <c r="C14" s="134"/>
      <c r="D14" s="134"/>
    </row>
    <row r="15" spans="1:11" x14ac:dyDescent="0.25">
      <c r="B15" s="130" t="s">
        <v>13</v>
      </c>
      <c r="C15" s="134"/>
      <c r="D15" s="134"/>
    </row>
    <row r="16" spans="1:11" ht="4.5" customHeight="1" x14ac:dyDescent="0.25">
      <c r="B16" s="130"/>
      <c r="C16" s="134"/>
      <c r="D16" s="134"/>
    </row>
    <row r="17" spans="1:10" ht="14.1" customHeight="1" x14ac:dyDescent="0.25">
      <c r="B17" s="86" t="s">
        <v>279</v>
      </c>
      <c r="C17" s="308">
        <v>0</v>
      </c>
      <c r="D17" s="308">
        <f>+C11</f>
        <v>119.92012306416001</v>
      </c>
      <c r="E17" s="308">
        <f t="shared" ref="E17:J17" si="1">+D11</f>
        <v>122.31852552544321</v>
      </c>
      <c r="F17" s="308">
        <f t="shared" si="1"/>
        <v>124.76489603595206</v>
      </c>
      <c r="G17" s="308">
        <f t="shared" si="1"/>
        <v>127.26019395667112</v>
      </c>
      <c r="H17" s="308">
        <f t="shared" si="1"/>
        <v>129.80539783580451</v>
      </c>
      <c r="I17" s="308">
        <f t="shared" si="1"/>
        <v>132.40150579252065</v>
      </c>
      <c r="J17" s="308">
        <f t="shared" si="1"/>
        <v>135.04953590837101</v>
      </c>
    </row>
    <row r="18" spans="1:10" ht="4.5" customHeight="1" x14ac:dyDescent="0.25">
      <c r="B18" s="130"/>
      <c r="C18" s="134"/>
      <c r="D18" s="134"/>
    </row>
    <row r="19" spans="1:10" ht="17.25" customHeight="1" x14ac:dyDescent="0.25">
      <c r="B19" s="130" t="s">
        <v>233</v>
      </c>
      <c r="C19" s="134"/>
      <c r="D19" s="134"/>
    </row>
    <row r="20" spans="1:10" ht="19.5" customHeight="1" x14ac:dyDescent="0.25">
      <c r="A20" s="312">
        <v>0</v>
      </c>
      <c r="B20" s="86" t="s">
        <v>286</v>
      </c>
      <c r="C20" s="307">
        <f>((+RM!G8+RM!G9)*(1+$A$20))/(10^5)</f>
        <v>3060</v>
      </c>
      <c r="D20" s="307">
        <f>(+RM!G10*(1+$A$20))/(10^5)</f>
        <v>4406.3999999999996</v>
      </c>
      <c r="E20" s="307">
        <f>(+RM!G11*(1+$A$20))/(10^5)</f>
        <v>4494.5280000000002</v>
      </c>
      <c r="F20" s="307">
        <f>(+RM!G12*(1+$A$20))/(10^5)</f>
        <v>4584.4185600000001</v>
      </c>
      <c r="G20" s="307">
        <f>(+RM!G13*(1+$A$20))/(10^5)</f>
        <v>4676.1069312</v>
      </c>
      <c r="H20" s="307">
        <f>(+RM!G14*(1+$A$20))/(10^5)</f>
        <v>4769.6290698240009</v>
      </c>
      <c r="I20" s="307">
        <f>(+RM!G15*(1+$A$20))/(10^5)</f>
        <v>4865.0216512204806</v>
      </c>
      <c r="J20" s="307">
        <f>(+RM!G16*(1+$A$20))/(10^5)</f>
        <v>4962.32208424489</v>
      </c>
    </row>
    <row r="21" spans="1:10" ht="19.5" customHeight="1" x14ac:dyDescent="0.25">
      <c r="A21" s="312">
        <v>0</v>
      </c>
      <c r="B21" s="86" t="s">
        <v>287</v>
      </c>
      <c r="C21" s="307">
        <f>((+RM!G22+RM!G23)*(1+$A$21))/(10^5)</f>
        <v>29.75</v>
      </c>
      <c r="D21" s="307">
        <f>(+RM!G24*(1+$A$21))/(10^5)</f>
        <v>42.840000000000011</v>
      </c>
      <c r="E21" s="307">
        <f>(+RM!G25*(1+$A$21))/(10^5)</f>
        <v>43.696800000000003</v>
      </c>
      <c r="F21" s="307">
        <f>(+RM!G26*(1+$A$21))/(10^5)</f>
        <v>44.570735999999997</v>
      </c>
      <c r="G21" s="307">
        <f>(+RM!G27*(1+$A$21))/(10^5)</f>
        <v>45.462150719999997</v>
      </c>
      <c r="H21" s="307">
        <f>(+RM!G28*(1+$A$21))/(10^5)</f>
        <v>46.371393734400002</v>
      </c>
      <c r="I21" s="307">
        <f>(+RM!G29*(1+$A$21))/(10^5)</f>
        <v>47.298821609088016</v>
      </c>
      <c r="J21" s="307">
        <f>(+RM!G30*(1+$A$21))/(10^5)</f>
        <v>48.244798041269767</v>
      </c>
    </row>
    <row r="22" spans="1:10" ht="19.5" customHeight="1" x14ac:dyDescent="0.25">
      <c r="A22" s="312">
        <v>0</v>
      </c>
      <c r="B22" s="86" t="s">
        <v>288</v>
      </c>
      <c r="C22" s="307">
        <f>((+RM!G36+RM!G37)*(1+$A$22))/(10^5)</f>
        <v>32.299999999999997</v>
      </c>
      <c r="D22" s="307">
        <f>(+RM!G38*(1+$A$22))/(10^5)</f>
        <v>46.512</v>
      </c>
      <c r="E22" s="307">
        <f>(+RM!G39*(1+$A$22))/(10^5)</f>
        <v>47.442239999999991</v>
      </c>
      <c r="F22" s="307">
        <f>(+RM!G40*(1+$A$22))/(10^5)</f>
        <v>48.391084799999994</v>
      </c>
      <c r="G22" s="307">
        <f>(+RM!G41*(1+$A$22))/(10^5)</f>
        <v>49.358906495999989</v>
      </c>
      <c r="H22" s="307">
        <f>(+RM!G42*(1+$A$22))/(10^5)</f>
        <v>50.34608462592</v>
      </c>
      <c r="I22" s="307">
        <f>(+RM!G43*(1+$A$22))/(10^5)</f>
        <v>51.35300631843841</v>
      </c>
      <c r="J22" s="307">
        <f>(+RM!G44*(1+$A$22))/(10^5)</f>
        <v>52.380066444807163</v>
      </c>
    </row>
    <row r="23" spans="1:10" ht="19.5" customHeight="1" x14ac:dyDescent="0.25">
      <c r="A23" s="312">
        <v>0</v>
      </c>
      <c r="B23" s="86" t="s">
        <v>289</v>
      </c>
      <c r="C23" s="307">
        <f>((+RM!G50+RM!G51)*(1+$A$23))/(10^5)</f>
        <v>0.255</v>
      </c>
      <c r="D23" s="307">
        <f>(+RM!G52*(1+$A$23))/(10^5)</f>
        <v>0.36720000000000003</v>
      </c>
      <c r="E23" s="307">
        <f>(+RM!G53*(1+$A$23))/(10^5)</f>
        <v>0.37454399999999993</v>
      </c>
      <c r="F23" s="307">
        <f>(+RM!G54*(1+$A$23))/(10^5)</f>
        <v>0.38203488000000002</v>
      </c>
      <c r="G23" s="307">
        <f>(+RM!G55*(1+$A$23))/(10^5)</f>
        <v>0.38967557759999993</v>
      </c>
      <c r="H23" s="307">
        <f>(+RM!G56*(1+$A$23))/(10^5)</f>
        <v>0.39746908915200008</v>
      </c>
      <c r="I23" s="307">
        <f>(+RM!G57*(1+$A$23))/(10^5)</f>
        <v>0.40541847093504008</v>
      </c>
      <c r="J23" s="307">
        <f>(+RM!G58*(1+$A$23))/(10^5)</f>
        <v>0.41352684035374082</v>
      </c>
    </row>
    <row r="24" spans="1:10" ht="4.5" customHeight="1" x14ac:dyDescent="0.25">
      <c r="B24" s="130"/>
      <c r="C24" s="307"/>
      <c r="D24" s="307"/>
      <c r="E24" s="307"/>
      <c r="F24" s="307"/>
      <c r="G24" s="307"/>
      <c r="H24" s="307"/>
      <c r="I24" s="307"/>
      <c r="J24" s="307"/>
    </row>
    <row r="25" spans="1:10" ht="16.5" customHeight="1" x14ac:dyDescent="0.25">
      <c r="B25" s="86" t="s">
        <v>260</v>
      </c>
      <c r="C25" s="307">
        <f>(+'indirect expenses'!F8+'indirect expenses'!F9)/(10^5)</f>
        <v>1.02</v>
      </c>
      <c r="D25" s="307">
        <f>(+'indirect expenses'!F10)/(10^5)</f>
        <v>1.4688000000000001</v>
      </c>
      <c r="E25" s="307">
        <f>(+'indirect expenses'!F11)/(10^5)</f>
        <v>1.498176</v>
      </c>
      <c r="F25" s="307">
        <f>(+'indirect expenses'!F12)/(10^5)</f>
        <v>1.5281395200000001</v>
      </c>
      <c r="G25" s="307">
        <f>(+'indirect expenses'!F13)/(10^5)</f>
        <v>1.5587023104000004</v>
      </c>
      <c r="H25" s="307">
        <f>(+'indirect expenses'!F14)/(10^5)</f>
        <v>1.5898763566080003</v>
      </c>
      <c r="I25" s="307">
        <f>(+'indirect expenses'!F15)/(10^5)</f>
        <v>1.6216738837401607</v>
      </c>
      <c r="J25" s="307">
        <f>(+'indirect expenses'!F16)/(10^5)</f>
        <v>1.654107361414964</v>
      </c>
    </row>
    <row r="26" spans="1:10" ht="4.5" hidden="1" customHeight="1" x14ac:dyDescent="0.25">
      <c r="C26" s="307"/>
      <c r="D26" s="307"/>
      <c r="E26" s="307"/>
      <c r="F26" s="307"/>
      <c r="G26" s="307"/>
      <c r="H26" s="307"/>
      <c r="I26" s="307"/>
      <c r="J26" s="307"/>
    </row>
    <row r="27" spans="1:10" x14ac:dyDescent="0.25">
      <c r="B27" s="86" t="s">
        <v>261</v>
      </c>
      <c r="C27" s="307">
        <f>(+'indirect expenses'!F22)/(10^5)</f>
        <v>3.3</v>
      </c>
      <c r="D27" s="307">
        <f>(+'indirect expenses'!F23)/(10^5)</f>
        <v>3.96</v>
      </c>
      <c r="E27" s="307">
        <f>(+'indirect expenses'!F24)/(10^5)</f>
        <v>4.3559999999999999</v>
      </c>
      <c r="F27" s="307">
        <f>(+'indirect expenses'!F25)/(10^5)</f>
        <v>4.7915999999999999</v>
      </c>
      <c r="G27" s="307">
        <f>(+'indirect expenses'!F26)/(10^5)</f>
        <v>5.270760000000001</v>
      </c>
      <c r="H27" s="307">
        <f>(+'indirect expenses'!F27)/(10^5)</f>
        <v>5.7978360000000011</v>
      </c>
      <c r="I27" s="307">
        <f>(+'indirect expenses'!F28)/(10^5)</f>
        <v>6.3776196000000009</v>
      </c>
      <c r="J27" s="307">
        <f>(+'indirect expenses'!F29)/(10^5)</f>
        <v>7.0153815600000016</v>
      </c>
    </row>
    <row r="28" spans="1:10" ht="4.5" hidden="1" customHeight="1" x14ac:dyDescent="0.25">
      <c r="C28" s="307"/>
      <c r="D28" s="307"/>
      <c r="E28" s="307"/>
      <c r="F28" s="307"/>
      <c r="G28" s="307"/>
      <c r="H28" s="307"/>
      <c r="I28" s="307"/>
      <c r="J28" s="307"/>
    </row>
    <row r="29" spans="1:10" ht="17.100000000000001" customHeight="1" x14ac:dyDescent="0.25">
      <c r="B29" s="86" t="s">
        <v>262</v>
      </c>
      <c r="C29" s="307">
        <f>(+'indirect expenses'!F35+'indirect expenses'!F36)/(10^5)</f>
        <v>7.65</v>
      </c>
      <c r="D29" s="307">
        <f>(+'indirect expenses'!F37)/(10^5)</f>
        <v>11.880000000000003</v>
      </c>
      <c r="E29" s="307">
        <f>(+'indirect expenses'!F38)/(10^5)</f>
        <v>13.068000000000005</v>
      </c>
      <c r="F29" s="307">
        <f>(+'indirect expenses'!F39)/(10^5)</f>
        <v>14.374800000000004</v>
      </c>
      <c r="G29" s="307">
        <f>(+'indirect expenses'!F40)/(10^5)</f>
        <v>15.812280000000007</v>
      </c>
      <c r="H29" s="307">
        <f>(+'indirect expenses'!F41)/(10^5)</f>
        <v>17.393508000000011</v>
      </c>
      <c r="I29" s="307">
        <f>(+'indirect expenses'!F42)/(10^5)</f>
        <v>19.132858800000008</v>
      </c>
      <c r="J29" s="307">
        <f>(+'indirect expenses'!F43)/(10^5)</f>
        <v>21.046144680000012</v>
      </c>
    </row>
    <row r="30" spans="1:10" ht="4.5" hidden="1" customHeight="1" x14ac:dyDescent="0.25">
      <c r="C30" s="307"/>
      <c r="D30" s="307"/>
      <c r="E30" s="307"/>
      <c r="F30" s="307"/>
      <c r="G30" s="307"/>
      <c r="H30" s="307"/>
      <c r="I30" s="307"/>
      <c r="J30" s="307"/>
    </row>
    <row r="31" spans="1:10" x14ac:dyDescent="0.25">
      <c r="B31" s="86" t="s">
        <v>266</v>
      </c>
      <c r="C31" s="307">
        <f>(+'indirect expenses'!F49)/(10^5)</f>
        <v>3.3</v>
      </c>
      <c r="D31" s="307">
        <f>(+'indirect expenses'!F50)/(10^5)</f>
        <v>3.96</v>
      </c>
      <c r="E31" s="307">
        <f>(+'indirect expenses'!F51)/(10^5)</f>
        <v>4.3559999999999999</v>
      </c>
      <c r="F31" s="307">
        <f>(+'indirect expenses'!F52)/(10^5)</f>
        <v>4.7915999999999999</v>
      </c>
      <c r="G31" s="307">
        <f>(+'indirect expenses'!F53)/(10^5)</f>
        <v>5.270760000000001</v>
      </c>
      <c r="H31" s="307">
        <f>(+'indirect expenses'!F54)/(10^5)</f>
        <v>5.7978360000000011</v>
      </c>
      <c r="I31" s="307">
        <f>(+'indirect expenses'!F55)/(10^5)</f>
        <v>6.3776196000000009</v>
      </c>
      <c r="J31" s="307">
        <f>(+'indirect expenses'!F56)/(10^5)</f>
        <v>7.0153815600000016</v>
      </c>
    </row>
    <row r="32" spans="1:10" ht="4.5" hidden="1" customHeight="1" x14ac:dyDescent="0.25">
      <c r="C32" s="307"/>
      <c r="D32" s="307"/>
      <c r="E32" s="307"/>
      <c r="F32" s="307"/>
      <c r="G32" s="307"/>
      <c r="H32" s="307"/>
      <c r="I32" s="307"/>
      <c r="J32" s="307"/>
    </row>
    <row r="33" spans="2:10" x14ac:dyDescent="0.25">
      <c r="B33" s="86" t="s">
        <v>269</v>
      </c>
      <c r="C33" s="307">
        <f>(+'indirect expenses'!F62)/(10^5)</f>
        <v>1.65</v>
      </c>
      <c r="D33" s="307">
        <f>(+'indirect expenses'!F63)/(10^5)</f>
        <v>1.98</v>
      </c>
      <c r="E33" s="307">
        <f>(+'indirect expenses'!F64)/(10^5)</f>
        <v>2.1779999999999999</v>
      </c>
      <c r="F33" s="307">
        <f>(+'indirect expenses'!F65)/(10^5)</f>
        <v>2.3957999999999999</v>
      </c>
      <c r="G33" s="307">
        <f>(+'indirect expenses'!F66)/(10^5)</f>
        <v>2.6353800000000005</v>
      </c>
      <c r="H33" s="307">
        <f>(+'indirect expenses'!F67)/(10^5)</f>
        <v>2.8989180000000005</v>
      </c>
      <c r="I33" s="307">
        <f>(+'indirect expenses'!F68)/(10^5)</f>
        <v>3.1888098000000005</v>
      </c>
      <c r="J33" s="307">
        <f>(+'indirect expenses'!F69)/(10^5)</f>
        <v>3.5076907800000008</v>
      </c>
    </row>
    <row r="34" spans="2:10" ht="6.6" hidden="1" customHeight="1" x14ac:dyDescent="0.25">
      <c r="C34" s="307"/>
      <c r="D34" s="307"/>
      <c r="E34" s="307"/>
      <c r="F34" s="307"/>
      <c r="G34" s="307"/>
      <c r="H34" s="307"/>
      <c r="I34" s="307"/>
      <c r="J34" s="307"/>
    </row>
    <row r="35" spans="2:10" ht="15.95" customHeight="1" x14ac:dyDescent="0.25">
      <c r="B35" s="86" t="s">
        <v>272</v>
      </c>
      <c r="C35" s="307">
        <f>(+'indirect expenses'!F75)/(10^5)</f>
        <v>1.65</v>
      </c>
      <c r="D35" s="307">
        <f>(+'indirect expenses'!F76)/(10^5)</f>
        <v>1.98</v>
      </c>
      <c r="E35" s="307">
        <f>(+'indirect expenses'!F77)/(10^5)</f>
        <v>2.1779999999999999</v>
      </c>
      <c r="F35" s="307">
        <f>(+'indirect expenses'!F78)/(10^5)</f>
        <v>2.3957999999999999</v>
      </c>
      <c r="G35" s="307">
        <f>(+'indirect expenses'!F79)/(10^5)</f>
        <v>2.6353800000000005</v>
      </c>
      <c r="H35" s="307">
        <f>(+'indirect expenses'!F80)/(10^5)</f>
        <v>2.8989180000000005</v>
      </c>
      <c r="I35" s="307">
        <f>(+'indirect expenses'!F81)/(10^5)</f>
        <v>3.1888098000000005</v>
      </c>
      <c r="J35" s="307">
        <f>(+'indirect expenses'!F82)/(10^5)</f>
        <v>3.5076907800000008</v>
      </c>
    </row>
    <row r="36" spans="2:10" ht="6.6" hidden="1" customHeight="1" x14ac:dyDescent="0.25">
      <c r="C36" s="134"/>
      <c r="D36" s="134"/>
    </row>
    <row r="37" spans="2:10" ht="17.25" customHeight="1" x14ac:dyDescent="0.25">
      <c r="B37" s="130" t="s">
        <v>9</v>
      </c>
      <c r="C37" s="134"/>
      <c r="D37" s="134"/>
    </row>
    <row r="38" spans="2:10" ht="19.5" customHeight="1" x14ac:dyDescent="0.25">
      <c r="B38" s="86" t="s">
        <v>146</v>
      </c>
      <c r="C38" s="307">
        <f>(+depreciation!C13)/(10^5)</f>
        <v>33.524999999999999</v>
      </c>
      <c r="D38" s="307">
        <f>(+depreciation!D13)/(10^5)</f>
        <v>62.021250000000002</v>
      </c>
      <c r="E38" s="307">
        <f>(+depreciation!E13)/(10^5)</f>
        <v>52.718062500000002</v>
      </c>
      <c r="F38" s="307">
        <f>(+depreciation!F13)/(10^5)</f>
        <v>44.810353124999999</v>
      </c>
      <c r="G38" s="307">
        <f>(+depreciation!G13)/(10^5)</f>
        <v>38.088800156250002</v>
      </c>
      <c r="H38" s="307">
        <f>(+depreciation!H13)/(10^5)</f>
        <v>32.375480132812498</v>
      </c>
      <c r="I38" s="307">
        <f>(+depreciation!I13)/(10^5)</f>
        <v>27.519158112890626</v>
      </c>
      <c r="J38" s="307">
        <f>(+depreciation!J13)/(10^5)</f>
        <v>23.39128439595703</v>
      </c>
    </row>
    <row r="39" spans="2:10" ht="19.5" customHeight="1" x14ac:dyDescent="0.25">
      <c r="B39" s="86" t="s">
        <v>232</v>
      </c>
      <c r="C39" s="307">
        <f>(+depreciation!C24)/(10^5)</f>
        <v>1.2250000000000001</v>
      </c>
      <c r="D39" s="307">
        <f>(+depreciation!D24)/(10^5)</f>
        <v>4.7774999999999999</v>
      </c>
      <c r="E39" s="307">
        <f>(+depreciation!E24)/(10^5)</f>
        <v>4.2997500000000004</v>
      </c>
      <c r="F39" s="307">
        <f>(+depreciation!F24)/(10^5)</f>
        <v>3.8697750000000002</v>
      </c>
      <c r="G39" s="307">
        <f>(+depreciation!G24)/(10^5)</f>
        <v>3.4827975000000002</v>
      </c>
      <c r="H39" s="307">
        <f>(+depreciation!H24)/(10^5)</f>
        <v>3.1345177500000001</v>
      </c>
      <c r="I39" s="307">
        <f>(+depreciation!I24)/(10^5)</f>
        <v>2.8210659750000002</v>
      </c>
      <c r="J39" s="307">
        <f>(+depreciation!J24)/(10^5)</f>
        <v>2.5389593775000003</v>
      </c>
    </row>
    <row r="40" spans="2:10" ht="4.5" hidden="1" customHeight="1" x14ac:dyDescent="0.25">
      <c r="C40" s="307"/>
      <c r="D40" s="307"/>
      <c r="E40" s="307"/>
      <c r="F40" s="307"/>
      <c r="G40" s="307"/>
      <c r="H40" s="307"/>
      <c r="I40" s="307"/>
      <c r="J40" s="307"/>
    </row>
    <row r="41" spans="2:10" x14ac:dyDescent="0.25">
      <c r="B41" s="86" t="s">
        <v>273</v>
      </c>
      <c r="C41" s="307">
        <f>(+'indirect expenses'!F88)/(10^5)</f>
        <v>4.95</v>
      </c>
      <c r="D41" s="307">
        <f>(+'indirect expenses'!F89)/(10^5)</f>
        <v>5.9400000000000013</v>
      </c>
      <c r="E41" s="307">
        <f>(+'indirect expenses'!F90)/(10^5)</f>
        <v>6.5340000000000025</v>
      </c>
      <c r="F41" s="307">
        <f>(+'indirect expenses'!F91)/(10^5)</f>
        <v>7.187400000000002</v>
      </c>
      <c r="G41" s="307">
        <f>(+'indirect expenses'!F92)/(10^5)</f>
        <v>7.9061400000000033</v>
      </c>
      <c r="H41" s="307">
        <f>(+'indirect expenses'!F93)/(10^5)</f>
        <v>8.6967540000000056</v>
      </c>
      <c r="I41" s="307">
        <f>(+'indirect expenses'!F94)/(10^5)</f>
        <v>9.5664294000000041</v>
      </c>
      <c r="J41" s="307">
        <f>(+'indirect expenses'!F95)/(10^5)</f>
        <v>10.523072340000006</v>
      </c>
    </row>
    <row r="42" spans="2:10" ht="4.5" hidden="1" customHeight="1" x14ac:dyDescent="0.25">
      <c r="C42" s="307"/>
      <c r="D42" s="307"/>
      <c r="E42" s="307"/>
      <c r="F42" s="307"/>
      <c r="G42" s="307"/>
      <c r="H42" s="307"/>
      <c r="I42" s="307"/>
      <c r="J42" s="307"/>
    </row>
    <row r="43" spans="2:10" ht="18" customHeight="1" x14ac:dyDescent="0.25">
      <c r="B43" s="86" t="s">
        <v>223</v>
      </c>
      <c r="C43" s="307">
        <f>(+'indirect expenses'!F101)/(10^5)</f>
        <v>7.92</v>
      </c>
      <c r="D43" s="307">
        <f>(+'indirect expenses'!F102)/(10^5)</f>
        <v>9.5039999999999996</v>
      </c>
      <c r="E43" s="307">
        <f>(+'indirect expenses'!F103)/(10^5)</f>
        <v>10.454400000000001</v>
      </c>
      <c r="F43" s="307">
        <f>(+'indirect expenses'!F104)/(10^5)</f>
        <v>11.499840000000003</v>
      </c>
      <c r="G43" s="307">
        <f>(+'indirect expenses'!F105)/(10^5)</f>
        <v>12.649824000000004</v>
      </c>
      <c r="H43" s="307">
        <f>(+'indirect expenses'!F106)/(10^5)</f>
        <v>13.914806400000005</v>
      </c>
      <c r="I43" s="307">
        <f>(+'indirect expenses'!F107)/(10^5)</f>
        <v>15.306287040000006</v>
      </c>
      <c r="J43" s="307">
        <f>(+'indirect expenses'!F108)/(10^5)</f>
        <v>16.836915744000006</v>
      </c>
    </row>
    <row r="44" spans="2:10" ht="4.5" hidden="1" customHeight="1" x14ac:dyDescent="0.25">
      <c r="C44" s="307"/>
      <c r="D44" s="307"/>
      <c r="E44" s="307"/>
      <c r="F44" s="307"/>
      <c r="G44" s="307"/>
      <c r="H44" s="307"/>
      <c r="I44" s="307"/>
      <c r="J44" s="307"/>
    </row>
    <row r="45" spans="2:10" ht="15.95" customHeight="1" x14ac:dyDescent="0.25">
      <c r="B45" s="86" t="s">
        <v>224</v>
      </c>
      <c r="C45" s="307">
        <f>(+'indirect expenses'!F114+'indirect expenses'!F115)/(10^5)</f>
        <v>19.125</v>
      </c>
      <c r="D45" s="307">
        <f>(+'indirect expenses'!F116)/(10^5)</f>
        <v>29.7</v>
      </c>
      <c r="E45" s="307">
        <f>(+'indirect expenses'!F117)/(10^5)</f>
        <v>32.67</v>
      </c>
      <c r="F45" s="307">
        <f>(+'indirect expenses'!F118)/(10^5)</f>
        <v>35.937000000000012</v>
      </c>
      <c r="G45" s="307">
        <f>(+'indirect expenses'!F119)/(10^5)</f>
        <v>39.53070000000001</v>
      </c>
      <c r="H45" s="307">
        <f>(+'indirect expenses'!F120)/(10^5)</f>
        <v>43.483770000000021</v>
      </c>
      <c r="I45" s="307">
        <f>(+'indirect expenses'!F121)/(10^5)</f>
        <v>47.832147000000028</v>
      </c>
      <c r="J45" s="307">
        <f>(+'indirect expenses'!F122)/(10^5)</f>
        <v>52.615361700000037</v>
      </c>
    </row>
    <row r="46" spans="2:10" ht="4.5" hidden="1" customHeight="1" x14ac:dyDescent="0.25">
      <c r="C46" s="307"/>
      <c r="D46" s="307"/>
      <c r="E46" s="307"/>
      <c r="F46" s="307"/>
      <c r="G46" s="307"/>
      <c r="H46" s="307"/>
      <c r="I46" s="307"/>
      <c r="J46" s="307"/>
    </row>
    <row r="47" spans="2:10" ht="17.100000000000001" customHeight="1" x14ac:dyDescent="0.25">
      <c r="B47" s="86" t="s">
        <v>225</v>
      </c>
      <c r="C47" s="307">
        <f>(+BS!C29*11%)/(10^5)</f>
        <v>13.695</v>
      </c>
      <c r="D47" s="307">
        <f>(+BS!D29*11%)/(10^5)</f>
        <v>13.695</v>
      </c>
      <c r="E47" s="307">
        <f>(+BS!E29*11%)/(10^5)</f>
        <v>13.695</v>
      </c>
      <c r="F47" s="307">
        <f>(+BS!F29*11%)/(10^5)</f>
        <v>13.695</v>
      </c>
      <c r="G47" s="307">
        <f>(+BS!G29*11%)/(10^5)</f>
        <v>13.695</v>
      </c>
      <c r="H47" s="307">
        <f>(+BS!H29*11%)/(10^5)</f>
        <v>13.695</v>
      </c>
      <c r="I47" s="307">
        <f>(+BS!I29*11%)/(10^5)</f>
        <v>13.695</v>
      </c>
      <c r="J47" s="307">
        <f>(+BS!J29*11%)/(10^5)</f>
        <v>13.695</v>
      </c>
    </row>
    <row r="48" spans="2:10" ht="4.5" hidden="1" customHeight="1" x14ac:dyDescent="0.25">
      <c r="C48" s="307"/>
      <c r="D48" s="307"/>
      <c r="E48" s="307"/>
      <c r="F48" s="307"/>
      <c r="G48" s="307"/>
      <c r="H48" s="307"/>
      <c r="I48" s="307"/>
      <c r="J48" s="307"/>
    </row>
    <row r="49" spans="1:21" ht="15" customHeight="1" x14ac:dyDescent="0.25">
      <c r="B49" s="86" t="s">
        <v>226</v>
      </c>
      <c r="C49" s="307">
        <f>(+'TL interest'!D96)/(10^5)</f>
        <v>50.22</v>
      </c>
      <c r="D49" s="307">
        <f>(+'TL interest'!D97)/(10^5)</f>
        <v>47.612929999999999</v>
      </c>
      <c r="E49" s="307">
        <f>(+'TL interest'!D98)/(10^5)</f>
        <v>41.409050000000001</v>
      </c>
      <c r="F49" s="307">
        <f>(+'TL interest'!D99)/(10^5)</f>
        <v>34.31382</v>
      </c>
      <c r="G49" s="307">
        <f>(+'TL interest'!D100)/(10^5)</f>
        <v>26.199200000000001</v>
      </c>
      <c r="H49" s="307">
        <f>(+'TL interest'!D101)/(10^5)</f>
        <v>16.918690000000002</v>
      </c>
      <c r="I49" s="307">
        <f>(+'TL interest'!D102)/(10^5)</f>
        <v>6.3047899999999997</v>
      </c>
      <c r="J49" s="307">
        <f>0/(10^5)</f>
        <v>0</v>
      </c>
    </row>
    <row r="50" spans="1:21" ht="4.5" hidden="1" customHeight="1" x14ac:dyDescent="0.25">
      <c r="C50" s="134"/>
      <c r="D50" s="134"/>
    </row>
    <row r="51" spans="1:21" ht="15" customHeight="1" x14ac:dyDescent="0.25">
      <c r="A51" s="284">
        <v>5.0000000000000001E-4</v>
      </c>
      <c r="B51" s="86" t="s">
        <v>290</v>
      </c>
      <c r="C51" s="308">
        <f>C9*$A$51</f>
        <v>1.8726840377834999</v>
      </c>
      <c r="D51" s="308">
        <f t="shared" ref="D51:J51" si="2">D9*$A$51</f>
        <v>2.6966650144082407</v>
      </c>
      <c r="E51" s="308">
        <f t="shared" si="2"/>
        <v>2.750598314696405</v>
      </c>
      <c r="F51" s="308">
        <f t="shared" si="2"/>
        <v>2.8056102809903329</v>
      </c>
      <c r="G51" s="308">
        <f t="shared" si="2"/>
        <v>2.8617224866101401</v>
      </c>
      <c r="H51" s="308">
        <f t="shared" si="2"/>
        <v>2.918956936342342</v>
      </c>
      <c r="I51" s="308">
        <f t="shared" si="2"/>
        <v>2.9773360750691893</v>
      </c>
      <c r="J51" s="308">
        <f t="shared" si="2"/>
        <v>3.0368827965705738</v>
      </c>
    </row>
    <row r="52" spans="1:21" ht="5.45" hidden="1" customHeight="1" x14ac:dyDescent="0.25">
      <c r="A52" s="124"/>
      <c r="C52" s="308"/>
      <c r="D52" s="308"/>
      <c r="E52" s="308"/>
      <c r="F52" s="308"/>
      <c r="G52" s="308"/>
      <c r="H52" s="308"/>
      <c r="I52" s="308"/>
      <c r="J52" s="308"/>
    </row>
    <row r="53" spans="1:21" ht="15" customHeight="1" x14ac:dyDescent="0.25">
      <c r="A53" s="284">
        <v>5.0000000000000001E-4</v>
      </c>
      <c r="B53" s="86" t="s">
        <v>291</v>
      </c>
      <c r="C53" s="308">
        <f>C9*$A$53</f>
        <v>1.8726840377834999</v>
      </c>
      <c r="D53" s="308">
        <f t="shared" ref="D53:J53" si="3">D9*$A$53</f>
        <v>2.6966650144082407</v>
      </c>
      <c r="E53" s="308">
        <f t="shared" si="3"/>
        <v>2.750598314696405</v>
      </c>
      <c r="F53" s="308">
        <f t="shared" si="3"/>
        <v>2.8056102809903329</v>
      </c>
      <c r="G53" s="308">
        <f t="shared" si="3"/>
        <v>2.8617224866101401</v>
      </c>
      <c r="H53" s="308">
        <f t="shared" si="3"/>
        <v>2.918956936342342</v>
      </c>
      <c r="I53" s="308">
        <f t="shared" si="3"/>
        <v>2.9773360750691893</v>
      </c>
      <c r="J53" s="308">
        <f t="shared" si="3"/>
        <v>3.0368827965705738</v>
      </c>
    </row>
    <row r="54" spans="1:21" ht="6" hidden="1" customHeight="1" x14ac:dyDescent="0.25">
      <c r="A54" s="124"/>
      <c r="C54" s="134"/>
      <c r="D54" s="134"/>
    </row>
    <row r="55" spans="1:21" ht="15" customHeight="1" x14ac:dyDescent="0.25">
      <c r="A55" s="284">
        <v>5.0000000000000001E-4</v>
      </c>
      <c r="B55" s="86" t="s">
        <v>292</v>
      </c>
      <c r="C55" s="308">
        <f>C9*$A$55</f>
        <v>1.8726840377834999</v>
      </c>
      <c r="D55" s="308">
        <f t="shared" ref="D55:J55" si="4">D9*$A$55</f>
        <v>2.6966650144082407</v>
      </c>
      <c r="E55" s="308">
        <f t="shared" si="4"/>
        <v>2.750598314696405</v>
      </c>
      <c r="F55" s="308">
        <f t="shared" si="4"/>
        <v>2.8056102809903329</v>
      </c>
      <c r="G55" s="308">
        <f t="shared" si="4"/>
        <v>2.8617224866101401</v>
      </c>
      <c r="H55" s="308">
        <f t="shared" si="4"/>
        <v>2.918956936342342</v>
      </c>
      <c r="I55" s="308">
        <f t="shared" si="4"/>
        <v>2.9773360750691893</v>
      </c>
      <c r="J55" s="308">
        <f t="shared" si="4"/>
        <v>3.0368827965705738</v>
      </c>
    </row>
    <row r="56" spans="1:21" ht="8.1" hidden="1" customHeight="1" x14ac:dyDescent="0.25">
      <c r="A56" s="124"/>
      <c r="C56" s="134"/>
      <c r="D56" s="134"/>
    </row>
    <row r="57" spans="1:21" ht="15" customHeight="1" x14ac:dyDescent="0.25">
      <c r="A57" s="284">
        <v>1E-3</v>
      </c>
      <c r="B57" s="86" t="s">
        <v>293</v>
      </c>
      <c r="C57" s="308">
        <f>C9*$A$57</f>
        <v>3.7453680755669998</v>
      </c>
      <c r="D57" s="308">
        <f t="shared" ref="D57:J57" si="5">D9*$A$57</f>
        <v>5.3933300288164814</v>
      </c>
      <c r="E57" s="308">
        <f t="shared" si="5"/>
        <v>5.5011966293928101</v>
      </c>
      <c r="F57" s="308">
        <f t="shared" si="5"/>
        <v>5.6112205619806659</v>
      </c>
      <c r="G57" s="308">
        <f t="shared" si="5"/>
        <v>5.7234449732202801</v>
      </c>
      <c r="H57" s="308">
        <f t="shared" si="5"/>
        <v>5.837913872684684</v>
      </c>
      <c r="I57" s="308">
        <f t="shared" si="5"/>
        <v>5.9546721501383786</v>
      </c>
      <c r="J57" s="308">
        <f t="shared" si="5"/>
        <v>6.0737655931411476</v>
      </c>
    </row>
    <row r="58" spans="1:21" ht="6.95" hidden="1" customHeight="1" x14ac:dyDescent="0.25">
      <c r="A58" s="124"/>
      <c r="C58" s="308"/>
      <c r="D58" s="308"/>
      <c r="E58" s="309"/>
      <c r="F58" s="309"/>
      <c r="G58" s="309"/>
      <c r="H58" s="309"/>
      <c r="I58" s="309"/>
      <c r="J58" s="310"/>
    </row>
    <row r="59" spans="1:21" ht="15" customHeight="1" x14ac:dyDescent="0.25">
      <c r="A59" s="283">
        <v>2E-3</v>
      </c>
      <c r="B59" s="86" t="s">
        <v>294</v>
      </c>
      <c r="C59" s="308">
        <f>C9*$A$59</f>
        <v>7.4907361511339996</v>
      </c>
      <c r="D59" s="308">
        <f t="shared" ref="D59:J59" si="6">D9*$A$59</f>
        <v>10.786660057632963</v>
      </c>
      <c r="E59" s="308">
        <f t="shared" si="6"/>
        <v>11.00239325878562</v>
      </c>
      <c r="F59" s="308">
        <f t="shared" si="6"/>
        <v>11.222441123961332</v>
      </c>
      <c r="G59" s="308">
        <f t="shared" si="6"/>
        <v>11.44688994644056</v>
      </c>
      <c r="H59" s="308">
        <f t="shared" si="6"/>
        <v>11.675827745369368</v>
      </c>
      <c r="I59" s="308">
        <f t="shared" si="6"/>
        <v>11.909344300276757</v>
      </c>
      <c r="J59" s="308">
        <f t="shared" si="6"/>
        <v>12.147531186282295</v>
      </c>
    </row>
    <row r="60" spans="1:21" x14ac:dyDescent="0.25">
      <c r="C60" s="282"/>
      <c r="D60" s="134"/>
    </row>
    <row r="61" spans="1:21" x14ac:dyDescent="0.25">
      <c r="B61" s="139" t="s">
        <v>11</v>
      </c>
      <c r="C61" s="306">
        <f>SUM(C17:C59)</f>
        <v>3288.3891563400525</v>
      </c>
      <c r="D61" s="306">
        <f t="shared" ref="D61:J61" si="7">SUM(D17:D59)</f>
        <v>4838.7887881938323</v>
      </c>
      <c r="E61" s="306">
        <f t="shared" si="7"/>
        <v>4922.5299328577112</v>
      </c>
      <c r="F61" s="306">
        <f t="shared" si="7"/>
        <v>5009.3687318898646</v>
      </c>
      <c r="G61" s="306">
        <f t="shared" si="7"/>
        <v>5099.0690842964132</v>
      </c>
      <c r="H61" s="306">
        <f t="shared" si="7"/>
        <v>5191.415938175779</v>
      </c>
      <c r="I61" s="306">
        <f t="shared" si="7"/>
        <v>5286.2086970987157</v>
      </c>
      <c r="J61" s="306">
        <f t="shared" si="7"/>
        <v>5389.0889469276972</v>
      </c>
    </row>
    <row r="62" spans="1:21" ht="6" customHeight="1" x14ac:dyDescent="0.25">
      <c r="C62" s="135"/>
      <c r="D62" s="135"/>
    </row>
    <row r="63" spans="1:21" ht="15.75" customHeight="1" x14ac:dyDescent="0.25">
      <c r="B63" s="130" t="s">
        <v>54</v>
      </c>
      <c r="C63" s="311">
        <f t="shared" ref="C63:J63" si="8">C13-C61</f>
        <v>576.89904229110743</v>
      </c>
      <c r="D63" s="311">
        <f t="shared" si="8"/>
        <v>676.85976614809169</v>
      </c>
      <c r="E63" s="311">
        <f t="shared" si="8"/>
        <v>703.43159257105071</v>
      </c>
      <c r="F63" s="311">
        <f t="shared" si="8"/>
        <v>729.112024047472</v>
      </c>
      <c r="G63" s="311">
        <f t="shared" si="8"/>
        <v>754.18128675967182</v>
      </c>
      <c r="H63" s="311">
        <f t="shared" si="8"/>
        <v>778.89944030142578</v>
      </c>
      <c r="I63" s="311">
        <f t="shared" si="8"/>
        <v>803.51298894803313</v>
      </c>
      <c r="J63" s="311">
        <f t="shared" si="8"/>
        <v>822.427172839989</v>
      </c>
    </row>
    <row r="64" spans="1:21" s="125" customFormat="1" ht="36.6" customHeight="1" x14ac:dyDescent="0.25">
      <c r="A64" s="94"/>
      <c r="B64" s="136" t="s">
        <v>358</v>
      </c>
      <c r="C64" s="308">
        <f>+C63*'indirect expenses'!$C$144</f>
        <v>160.4933135653861</v>
      </c>
      <c r="D64" s="308">
        <f>+D63*'indirect expenses'!$C$144</f>
        <v>188.30238694239912</v>
      </c>
      <c r="E64" s="308">
        <f>+E63*'indirect expenses'!$C$144</f>
        <v>195.69466905326632</v>
      </c>
      <c r="F64" s="308">
        <f>+F63*'indirect expenses'!$C$144</f>
        <v>202.83896509000672</v>
      </c>
      <c r="G64" s="308">
        <f>+G63*'indirect expenses'!$C$144</f>
        <v>209.81323397654072</v>
      </c>
      <c r="H64" s="308">
        <f>+H63*'indirect expenses'!$C$144</f>
        <v>216.68982429185667</v>
      </c>
      <c r="I64" s="308">
        <f>+I63*'indirect expenses'!$C$144</f>
        <v>223.53731352534282</v>
      </c>
      <c r="J64" s="308">
        <f>+J63*'indirect expenses'!$C$144</f>
        <v>228.79923948408495</v>
      </c>
      <c r="L64" s="124"/>
      <c r="M64" s="124"/>
      <c r="N64" s="124"/>
      <c r="O64" s="124"/>
      <c r="P64" s="124"/>
      <c r="Q64" s="124"/>
      <c r="R64" s="124"/>
      <c r="S64" s="124"/>
      <c r="T64" s="124"/>
      <c r="U64" s="124"/>
    </row>
    <row r="65" spans="2:10" ht="15.75" customHeight="1" x14ac:dyDescent="0.25">
      <c r="B65" s="139" t="s">
        <v>148</v>
      </c>
      <c r="C65" s="306">
        <f>+C63-C64</f>
        <v>416.40572872572136</v>
      </c>
      <c r="D65" s="306">
        <f t="shared" ref="D65:J65" si="9">+D63-D64</f>
        <v>488.55737920569254</v>
      </c>
      <c r="E65" s="306">
        <f t="shared" si="9"/>
        <v>507.73692351778436</v>
      </c>
      <c r="F65" s="306">
        <f t="shared" si="9"/>
        <v>526.27305895746531</v>
      </c>
      <c r="G65" s="306">
        <f t="shared" si="9"/>
        <v>544.36805278313113</v>
      </c>
      <c r="H65" s="306">
        <f t="shared" si="9"/>
        <v>562.20961600956912</v>
      </c>
      <c r="I65" s="306">
        <f t="shared" si="9"/>
        <v>579.9756754226903</v>
      </c>
      <c r="J65" s="306">
        <f t="shared" si="9"/>
        <v>593.62793335590402</v>
      </c>
    </row>
    <row r="66" spans="2:10" ht="18.75" customHeight="1" x14ac:dyDescent="0.25">
      <c r="B66" s="130" t="s">
        <v>295</v>
      </c>
      <c r="C66" s="308">
        <f>+C65</f>
        <v>416.40572872572136</v>
      </c>
      <c r="D66" s="308">
        <f t="shared" ref="D66:J66" si="10">+D65</f>
        <v>488.55737920569254</v>
      </c>
      <c r="E66" s="308">
        <f t="shared" si="10"/>
        <v>507.73692351778436</v>
      </c>
      <c r="F66" s="308">
        <f t="shared" si="10"/>
        <v>526.27305895746531</v>
      </c>
      <c r="G66" s="308">
        <f t="shared" si="10"/>
        <v>544.36805278313113</v>
      </c>
      <c r="H66" s="308">
        <f t="shared" si="10"/>
        <v>562.20961600956912</v>
      </c>
      <c r="I66" s="308">
        <f t="shared" si="10"/>
        <v>579.9756754226903</v>
      </c>
      <c r="J66" s="308">
        <f t="shared" si="10"/>
        <v>593.62793335590402</v>
      </c>
    </row>
    <row r="67" spans="2:10" ht="18.75" customHeight="1" x14ac:dyDescent="0.25">
      <c r="B67" s="130" t="s">
        <v>296</v>
      </c>
      <c r="C67" s="308">
        <f>+C66</f>
        <v>416.40572872572136</v>
      </c>
      <c r="D67" s="308">
        <f>+C67+D66</f>
        <v>904.9631079314139</v>
      </c>
      <c r="E67" s="308">
        <f t="shared" ref="E67:J67" si="11">+D67+E66</f>
        <v>1412.7000314491984</v>
      </c>
      <c r="F67" s="308">
        <f t="shared" si="11"/>
        <v>1938.9730904066637</v>
      </c>
      <c r="G67" s="308">
        <f t="shared" si="11"/>
        <v>2483.3411431897948</v>
      </c>
      <c r="H67" s="308">
        <f t="shared" si="11"/>
        <v>3045.5507591993637</v>
      </c>
      <c r="I67" s="308">
        <f t="shared" si="11"/>
        <v>3625.5264346220538</v>
      </c>
      <c r="J67" s="308">
        <f t="shared" si="11"/>
        <v>4219.1543679779579</v>
      </c>
    </row>
    <row r="69" spans="2:10" x14ac:dyDescent="0.25">
      <c r="C69" s="137">
        <f t="shared" ref="C69:J69" si="12">+C63/C9*100</f>
        <v>15.402999936228495</v>
      </c>
      <c r="D69" s="137">
        <f t="shared" si="12"/>
        <v>12.549941548758191</v>
      </c>
      <c r="E69" s="137">
        <f t="shared" si="12"/>
        <v>12.786883290312264</v>
      </c>
      <c r="F69" s="137">
        <f t="shared" si="12"/>
        <v>12.993822217355644</v>
      </c>
      <c r="G69" s="137">
        <f t="shared" si="12"/>
        <v>13.177051413763028</v>
      </c>
      <c r="H69" s="137">
        <f t="shared" si="12"/>
        <v>13.342085157265826</v>
      </c>
      <c r="I69" s="137">
        <f t="shared" si="12"/>
        <v>13.493824155026918</v>
      </c>
      <c r="J69" s="137">
        <f t="shared" si="12"/>
        <v>13.540647234867311</v>
      </c>
    </row>
    <row r="70" spans="2:10" x14ac:dyDescent="0.25">
      <c r="C70" s="137">
        <f t="shared" ref="C70:J70" si="13">+C65/C9*100</f>
        <v>11.117885353969729</v>
      </c>
      <c r="D70" s="137">
        <f t="shared" si="13"/>
        <v>9.0585478098936623</v>
      </c>
      <c r="E70" s="137">
        <f t="shared" si="13"/>
        <v>9.2295723589473901</v>
      </c>
      <c r="F70" s="137">
        <f t="shared" si="13"/>
        <v>9.3789408764873041</v>
      </c>
      <c r="G70" s="137">
        <f t="shared" si="13"/>
        <v>9.5111957104541531</v>
      </c>
      <c r="H70" s="137">
        <f t="shared" si="13"/>
        <v>9.6303170665144719</v>
      </c>
      <c r="I70" s="137">
        <f t="shared" si="13"/>
        <v>9.7398422750984288</v>
      </c>
      <c r="J70" s="137">
        <f t="shared" si="13"/>
        <v>9.7736391741272257</v>
      </c>
    </row>
    <row r="71" spans="2:10" x14ac:dyDescent="0.25">
      <c r="C71" s="309">
        <f>+C65/365</f>
        <v>1.1408376129471818</v>
      </c>
      <c r="D71" s="309">
        <f t="shared" ref="D71:J71" si="14">+D65/365</f>
        <v>1.3385133676868288</v>
      </c>
      <c r="E71" s="309">
        <f t="shared" si="14"/>
        <v>1.3910600644322859</v>
      </c>
      <c r="F71" s="309">
        <f t="shared" si="14"/>
        <v>1.4418439971437407</v>
      </c>
      <c r="G71" s="309">
        <f t="shared" si="14"/>
        <v>1.49141932269351</v>
      </c>
      <c r="H71" s="309">
        <f t="shared" si="14"/>
        <v>1.5403003178344359</v>
      </c>
      <c r="I71" s="309">
        <f t="shared" si="14"/>
        <v>1.5889744532128502</v>
      </c>
      <c r="J71" s="309">
        <f t="shared" si="14"/>
        <v>1.6263778996052165</v>
      </c>
    </row>
    <row r="73" spans="2:10" x14ac:dyDescent="0.25">
      <c r="C73" s="132">
        <v>10000</v>
      </c>
    </row>
    <row r="74" spans="2:10" x14ac:dyDescent="0.25">
      <c r="C74" s="132">
        <f>+C73*9.5</f>
        <v>95000</v>
      </c>
    </row>
    <row r="75" spans="2:10" x14ac:dyDescent="0.25">
      <c r="C75" s="132">
        <f>+C74*25</f>
        <v>2375000</v>
      </c>
    </row>
    <row r="76" spans="2:10" x14ac:dyDescent="0.25">
      <c r="C76" s="132">
        <f>+C75*12</f>
        <v>28500000</v>
      </c>
    </row>
    <row r="78" spans="2:10" x14ac:dyDescent="0.25">
      <c r="C78" s="132">
        <f>+C13</f>
        <v>3865.28819863116</v>
      </c>
    </row>
    <row r="81" spans="2:10" x14ac:dyDescent="0.25">
      <c r="C81" s="132">
        <f>+C78-C76</f>
        <v>-28496134.711801369</v>
      </c>
    </row>
    <row r="83" spans="2:10" x14ac:dyDescent="0.25">
      <c r="C83" s="132">
        <f>+C81-C61</f>
        <v>-28499423.10095771</v>
      </c>
    </row>
    <row r="85" spans="2:10" x14ac:dyDescent="0.25">
      <c r="B85" s="86" t="s">
        <v>411</v>
      </c>
      <c r="C85" s="309">
        <f t="shared" ref="C85:J85" si="15">C9</f>
        <v>3745.3680755669998</v>
      </c>
      <c r="D85" s="309">
        <f t="shared" si="15"/>
        <v>5393.330028816481</v>
      </c>
      <c r="E85" s="309">
        <f t="shared" si="15"/>
        <v>5501.1966293928099</v>
      </c>
      <c r="F85" s="309">
        <f t="shared" si="15"/>
        <v>5611.2205619806655</v>
      </c>
      <c r="G85" s="309">
        <f t="shared" si="15"/>
        <v>5723.4449732202802</v>
      </c>
      <c r="H85" s="309">
        <f t="shared" si="15"/>
        <v>5837.9138726846841</v>
      </c>
      <c r="I85" s="309">
        <f t="shared" si="15"/>
        <v>5954.6721501383781</v>
      </c>
      <c r="J85" s="309">
        <f t="shared" si="15"/>
        <v>6073.7655931411473</v>
      </c>
    </row>
    <row r="86" spans="2:10" x14ac:dyDescent="0.25">
      <c r="B86" s="86" t="s">
        <v>412</v>
      </c>
      <c r="C86" s="309">
        <f t="shared" ref="C86:J86" si="16">C63</f>
        <v>576.89904229110743</v>
      </c>
      <c r="D86" s="309">
        <f t="shared" si="16"/>
        <v>676.85976614809169</v>
      </c>
      <c r="E86" s="309">
        <f t="shared" si="16"/>
        <v>703.43159257105071</v>
      </c>
      <c r="F86" s="309">
        <f t="shared" si="16"/>
        <v>729.112024047472</v>
      </c>
      <c r="G86" s="309">
        <f t="shared" si="16"/>
        <v>754.18128675967182</v>
      </c>
      <c r="H86" s="309">
        <f t="shared" si="16"/>
        <v>778.89944030142578</v>
      </c>
      <c r="I86" s="309">
        <f t="shared" si="16"/>
        <v>803.51298894803313</v>
      </c>
      <c r="J86" s="309">
        <f t="shared" si="16"/>
        <v>822.427172839989</v>
      </c>
    </row>
    <row r="87" spans="2:10" x14ac:dyDescent="0.25">
      <c r="B87" s="86" t="s">
        <v>413</v>
      </c>
      <c r="C87" s="309">
        <f t="shared" ref="C87:J87" si="17">C47+C49</f>
        <v>63.914999999999999</v>
      </c>
      <c r="D87" s="309">
        <f t="shared" si="17"/>
        <v>61.307929999999999</v>
      </c>
      <c r="E87" s="309">
        <f t="shared" si="17"/>
        <v>55.104050000000001</v>
      </c>
      <c r="F87" s="309">
        <f t="shared" si="17"/>
        <v>48.00882</v>
      </c>
      <c r="G87" s="309">
        <f t="shared" si="17"/>
        <v>39.894199999999998</v>
      </c>
      <c r="H87" s="309">
        <f t="shared" si="17"/>
        <v>30.613690000000002</v>
      </c>
      <c r="I87" s="309">
        <f t="shared" si="17"/>
        <v>19.999790000000001</v>
      </c>
      <c r="J87" s="309">
        <f t="shared" si="17"/>
        <v>13.695</v>
      </c>
    </row>
    <row r="88" spans="2:10" x14ac:dyDescent="0.25">
      <c r="B88" s="86" t="s">
        <v>414</v>
      </c>
      <c r="C88" s="309">
        <f>C87+C86</f>
        <v>640.8140422911074</v>
      </c>
      <c r="D88" s="309">
        <f t="shared" ref="D88:J88" si="18">D87+D86</f>
        <v>738.16769614809164</v>
      </c>
      <c r="E88" s="309">
        <f t="shared" si="18"/>
        <v>758.53564257105074</v>
      </c>
      <c r="F88" s="309">
        <f t="shared" si="18"/>
        <v>777.12084404747202</v>
      </c>
      <c r="G88" s="309">
        <f t="shared" si="18"/>
        <v>794.07548675967178</v>
      </c>
      <c r="H88" s="309">
        <f t="shared" si="18"/>
        <v>809.5131303014258</v>
      </c>
      <c r="I88" s="309">
        <f t="shared" si="18"/>
        <v>823.51277894803309</v>
      </c>
      <c r="J88" s="309">
        <f t="shared" si="18"/>
        <v>836.12217283998905</v>
      </c>
    </row>
    <row r="89" spans="2:10" x14ac:dyDescent="0.25">
      <c r="B89" s="86" t="s">
        <v>415</v>
      </c>
      <c r="C89" s="309">
        <f t="shared" ref="C89:J89" si="19">C38+C39</f>
        <v>34.75</v>
      </c>
      <c r="D89" s="309">
        <f t="shared" si="19"/>
        <v>66.798749999999998</v>
      </c>
      <c r="E89" s="309">
        <f t="shared" si="19"/>
        <v>57.017812500000005</v>
      </c>
      <c r="F89" s="309">
        <f t="shared" si="19"/>
        <v>48.680128124999996</v>
      </c>
      <c r="G89" s="309">
        <f t="shared" si="19"/>
        <v>41.571597656250006</v>
      </c>
      <c r="H89" s="309">
        <f t="shared" si="19"/>
        <v>35.509997882812499</v>
      </c>
      <c r="I89" s="309">
        <f t="shared" si="19"/>
        <v>30.340224087890626</v>
      </c>
      <c r="J89" s="309">
        <f t="shared" si="19"/>
        <v>25.930243773457029</v>
      </c>
    </row>
    <row r="90" spans="2:10" x14ac:dyDescent="0.25">
      <c r="B90" s="86" t="s">
        <v>416</v>
      </c>
      <c r="C90" s="309">
        <f>C88+C89</f>
        <v>675.5640422911074</v>
      </c>
      <c r="D90" s="309">
        <f t="shared" ref="D90:J90" si="20">D88+D89</f>
        <v>804.96644614809168</v>
      </c>
      <c r="E90" s="309">
        <f t="shared" si="20"/>
        <v>815.55345507105073</v>
      </c>
      <c r="F90" s="309">
        <f t="shared" si="20"/>
        <v>825.80097217247203</v>
      </c>
      <c r="G90" s="309">
        <f t="shared" si="20"/>
        <v>835.64708441592177</v>
      </c>
      <c r="H90" s="309">
        <f t="shared" si="20"/>
        <v>845.02312818423832</v>
      </c>
      <c r="I90" s="309">
        <f t="shared" si="20"/>
        <v>853.85300303592373</v>
      </c>
      <c r="J90" s="309">
        <f t="shared" si="20"/>
        <v>862.0524166134461</v>
      </c>
    </row>
    <row r="91" spans="2:10" x14ac:dyDescent="0.25">
      <c r="B91" s="86" t="s">
        <v>417</v>
      </c>
      <c r="C91" s="309">
        <f t="shared" ref="C91:J91" si="21">C65</f>
        <v>416.40572872572136</v>
      </c>
      <c r="D91" s="309">
        <f t="shared" si="21"/>
        <v>488.55737920569254</v>
      </c>
      <c r="E91" s="309">
        <f t="shared" si="21"/>
        <v>507.73692351778436</v>
      </c>
      <c r="F91" s="309">
        <f t="shared" si="21"/>
        <v>526.27305895746531</v>
      </c>
      <c r="G91" s="309">
        <f t="shared" si="21"/>
        <v>544.36805278313113</v>
      </c>
      <c r="H91" s="309">
        <f t="shared" si="21"/>
        <v>562.20961600956912</v>
      </c>
      <c r="I91" s="309">
        <f t="shared" si="21"/>
        <v>579.9756754226903</v>
      </c>
      <c r="J91" s="309">
        <f t="shared" si="21"/>
        <v>593.62793335590402</v>
      </c>
    </row>
    <row r="93" spans="2:10" x14ac:dyDescent="0.25">
      <c r="B93" s="272" t="s">
        <v>418</v>
      </c>
      <c r="C93" s="273">
        <f>C90/C85</f>
        <v>0.18037320462524523</v>
      </c>
      <c r="D93" s="273">
        <f t="shared" ref="D93:J93" si="22">D90/D85</f>
        <v>0.14925221372457612</v>
      </c>
      <c r="E93" s="273">
        <f t="shared" si="22"/>
        <v>0.14825019173347867</v>
      </c>
      <c r="F93" s="273">
        <f t="shared" si="22"/>
        <v>0.14716957978229578</v>
      </c>
      <c r="G93" s="273">
        <f t="shared" si="22"/>
        <v>0.14600421395258864</v>
      </c>
      <c r="H93" s="273">
        <f t="shared" si="22"/>
        <v>0.14474744688133556</v>
      </c>
      <c r="I93" s="273">
        <f t="shared" si="22"/>
        <v>0.14339210984371009</v>
      </c>
      <c r="J93" s="273">
        <f t="shared" si="22"/>
        <v>0.14193047186195765</v>
      </c>
    </row>
    <row r="94" spans="2:10" x14ac:dyDescent="0.25">
      <c r="B94" s="272" t="s">
        <v>419</v>
      </c>
      <c r="C94" s="273">
        <f>C88/C85</f>
        <v>0.17109507780329347</v>
      </c>
      <c r="D94" s="273">
        <f t="shared" ref="D94:J94" si="23">D88/D85</f>
        <v>0.13686677659332411</v>
      </c>
      <c r="E94" s="273">
        <f t="shared" si="23"/>
        <v>0.13788557175328117</v>
      </c>
      <c r="F94" s="273">
        <f t="shared" si="23"/>
        <v>0.13849408260885784</v>
      </c>
      <c r="G94" s="273">
        <f t="shared" si="23"/>
        <v>0.13874082663065904</v>
      </c>
      <c r="H94" s="273">
        <f t="shared" si="23"/>
        <v>0.13866479498594497</v>
      </c>
      <c r="I94" s="273">
        <f t="shared" si="23"/>
        <v>0.13829691344617451</v>
      </c>
      <c r="J94" s="273">
        <f t="shared" si="23"/>
        <v>0.13766125149514946</v>
      </c>
    </row>
    <row r="95" spans="2:10" x14ac:dyDescent="0.25">
      <c r="B95" s="272" t="s">
        <v>420</v>
      </c>
      <c r="C95" s="273">
        <f>C91/C85</f>
        <v>0.11117885353969729</v>
      </c>
      <c r="D95" s="273">
        <f t="shared" ref="D95:J95" si="24">D91/D85</f>
        <v>9.058547809893662E-2</v>
      </c>
      <c r="E95" s="273">
        <f t="shared" si="24"/>
        <v>9.229572358947391E-2</v>
      </c>
      <c r="F95" s="273">
        <f t="shared" si="24"/>
        <v>9.3789408764873045E-2</v>
      </c>
      <c r="G95" s="273">
        <f t="shared" si="24"/>
        <v>9.5111957104541525E-2</v>
      </c>
      <c r="H95" s="273">
        <f t="shared" si="24"/>
        <v>9.6303170665144724E-2</v>
      </c>
      <c r="I95" s="273">
        <f t="shared" si="24"/>
        <v>9.7398422750984287E-2</v>
      </c>
      <c r="J95" s="273">
        <f t="shared" si="24"/>
        <v>9.7736391741272258E-2</v>
      </c>
    </row>
    <row r="96" spans="2:10" x14ac:dyDescent="0.25">
      <c r="B96" s="272" t="s">
        <v>421</v>
      </c>
      <c r="C96" s="274"/>
      <c r="D96" s="273">
        <f>D85/C85-1</f>
        <v>0.44000000000000039</v>
      </c>
      <c r="E96" s="273">
        <f t="shared" ref="E96:J96" si="25">E85/D85-1</f>
        <v>1.9999999999999796E-2</v>
      </c>
      <c r="F96" s="273">
        <f t="shared" si="25"/>
        <v>1.9999999999999796E-2</v>
      </c>
      <c r="G96" s="273">
        <f t="shared" si="25"/>
        <v>2.000000000000024E-2</v>
      </c>
      <c r="H96" s="273">
        <f t="shared" si="25"/>
        <v>1.9999999999999796E-2</v>
      </c>
      <c r="I96" s="273">
        <f t="shared" si="25"/>
        <v>2.0000000000000018E-2</v>
      </c>
      <c r="J96" s="273">
        <f t="shared" si="25"/>
        <v>2.000000000000024E-2</v>
      </c>
    </row>
  </sheetData>
  <mergeCells count="3">
    <mergeCell ref="B1:J1"/>
    <mergeCell ref="B2:J2"/>
    <mergeCell ref="B3:J3"/>
  </mergeCells>
  <dataValidations disablePrompts="1" count="1">
    <dataValidation type="list" allowBlank="1" showInputMessage="1" showErrorMessage="1" sqref="A9 A20:A23">
      <formula1>"0%, 10%"</formula1>
    </dataValidation>
  </dataValidations>
  <pageMargins left="0.56999999999999995" right="0.31496062992125984" top="0.72" bottom="0.51181102362204722" header="0.31496062992125984" footer="0.31496062992125984"/>
  <pageSetup scale="2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98"/>
  <sheetViews>
    <sheetView showGridLines="0" zoomScaleNormal="100" zoomScaleSheetLayoutView="100" workbookViewId="0">
      <selection activeCell="A23" sqref="A23"/>
    </sheetView>
  </sheetViews>
  <sheetFormatPr defaultColWidth="8.7109375" defaultRowHeight="15" x14ac:dyDescent="0.25"/>
  <cols>
    <col min="1" max="1" width="6" style="124" customWidth="1"/>
    <col min="2" max="2" width="40" style="86" customWidth="1"/>
    <col min="3" max="9" width="14.85546875" style="132" customWidth="1"/>
    <col min="10" max="10" width="14.85546875" style="86" customWidth="1"/>
    <col min="11" max="11" width="13.85546875" style="124" bestFit="1" customWidth="1"/>
    <col min="12" max="21" width="1.7109375" style="124" customWidth="1"/>
    <col min="22" max="16384" width="8.7109375" style="124"/>
  </cols>
  <sheetData>
    <row r="1" spans="1:11" ht="18.75" customHeight="1" x14ac:dyDescent="0.25">
      <c r="B1" s="363"/>
      <c r="C1" s="363"/>
      <c r="D1" s="363"/>
      <c r="E1" s="363"/>
      <c r="F1" s="363"/>
      <c r="G1" s="363"/>
      <c r="H1" s="363"/>
      <c r="I1" s="363"/>
      <c r="J1" s="363"/>
    </row>
    <row r="2" spans="1:11" ht="18" customHeight="1" x14ac:dyDescent="0.25">
      <c r="B2" s="364" t="str">
        <f>'Investment in project'!B2:E2</f>
        <v xml:space="preserve">ORENSE INDUSTRIES PRIVATE LIMITED, CIN: U23209OR2022PTC041057,  Andhapasra Road, Near Hanuman Temple, Berhampur Ganjam Pin- 760002 </v>
      </c>
      <c r="C2" s="364"/>
      <c r="D2" s="364"/>
      <c r="E2" s="364"/>
      <c r="F2" s="364"/>
      <c r="G2" s="364"/>
      <c r="H2" s="364"/>
      <c r="I2" s="364"/>
      <c r="J2" s="364"/>
    </row>
    <row r="3" spans="1:11" ht="15.75" customHeight="1" x14ac:dyDescent="0.25">
      <c r="B3" s="365"/>
      <c r="C3" s="365"/>
      <c r="D3" s="365"/>
      <c r="E3" s="365"/>
      <c r="F3" s="365"/>
      <c r="G3" s="365"/>
      <c r="H3" s="365"/>
      <c r="I3" s="365"/>
      <c r="J3" s="365"/>
    </row>
    <row r="4" spans="1:11" ht="19.5" customHeight="1" x14ac:dyDescent="0.25">
      <c r="B4" s="147" t="s">
        <v>8</v>
      </c>
      <c r="C4" s="147"/>
      <c r="D4" s="147"/>
      <c r="E4" s="147"/>
      <c r="F4" s="147"/>
      <c r="G4" s="147"/>
      <c r="H4" s="147"/>
      <c r="I4" s="147"/>
      <c r="J4" s="147"/>
    </row>
    <row r="5" spans="1:11" ht="14.25" customHeight="1" x14ac:dyDescent="0.25">
      <c r="C5" s="86"/>
      <c r="D5" s="86"/>
      <c r="E5" s="86"/>
      <c r="F5" s="86"/>
      <c r="G5" s="86"/>
      <c r="H5" s="86"/>
      <c r="I5" s="86"/>
    </row>
    <row r="6" spans="1:11" ht="18" customHeight="1" x14ac:dyDescent="0.25">
      <c r="B6" s="73" t="s">
        <v>0</v>
      </c>
      <c r="C6" s="138" t="s">
        <v>335</v>
      </c>
      <c r="D6" s="138" t="s">
        <v>336</v>
      </c>
      <c r="E6" s="138" t="s">
        <v>337</v>
      </c>
      <c r="F6" s="138" t="s">
        <v>338</v>
      </c>
      <c r="G6" s="138" t="s">
        <v>339</v>
      </c>
      <c r="H6" s="138" t="s">
        <v>340</v>
      </c>
      <c r="I6" s="138" t="s">
        <v>341</v>
      </c>
      <c r="J6" s="138" t="s">
        <v>342</v>
      </c>
    </row>
    <row r="7" spans="1:11" ht="4.5" customHeight="1" x14ac:dyDescent="0.25">
      <c r="B7" s="131"/>
      <c r="C7" s="92"/>
      <c r="D7" s="92"/>
    </row>
    <row r="8" spans="1:11" x14ac:dyDescent="0.25">
      <c r="B8" s="133" t="s">
        <v>12</v>
      </c>
      <c r="C8" s="92"/>
      <c r="D8" s="92"/>
    </row>
    <row r="9" spans="1:11" x14ac:dyDescent="0.25">
      <c r="A9" s="281">
        <v>0</v>
      </c>
      <c r="B9" s="86" t="s">
        <v>256</v>
      </c>
      <c r="C9" s="134">
        <f>(+'sales of 1st year'!G9+'sales of 1st year'!G15)*(1-$A$9)</f>
        <v>374536807.55669999</v>
      </c>
      <c r="D9" s="134">
        <f>(+'sales of  other FY'!H8+'sales of  other FY'!G20)*(1-$A$9)</f>
        <v>539333002.88164806</v>
      </c>
      <c r="E9" s="134">
        <f>(+'sales of  other FY'!H9+'sales of  other FY'!G21)*(1-$A$9)</f>
        <v>550119662.93928099</v>
      </c>
      <c r="F9" s="134">
        <f>(+'sales of  other FY'!H10+'sales of  other FY'!G22)*(1-$A$9)</f>
        <v>561122056.19806659</v>
      </c>
      <c r="G9" s="134">
        <f>(+'sales of  other FY'!H11+'sales of  other FY'!G23)*(1-$A$9)</f>
        <v>572344497.32202804</v>
      </c>
      <c r="H9" s="134">
        <f>(+'sales of  other FY'!H12+'sales of  other FY'!G24)*(1-$A$9)</f>
        <v>583791387.26846838</v>
      </c>
      <c r="I9" s="134">
        <f>(+'sales of  other FY'!H13+'sales of  other FY'!G25)*(1-$A$9)</f>
        <v>595467215.01383781</v>
      </c>
      <c r="J9" s="134">
        <f>(+'sales of  other FY'!H14+'sales of  other FY'!G26)*(1-$A$9)</f>
        <v>607376559.31411469</v>
      </c>
    </row>
    <row r="10" spans="1:11" ht="4.5" customHeight="1" x14ac:dyDescent="0.25">
      <c r="C10" s="134"/>
      <c r="D10" s="134"/>
    </row>
    <row r="11" spans="1:11" x14ac:dyDescent="0.25">
      <c r="B11" s="86" t="s">
        <v>278</v>
      </c>
      <c r="C11" s="134">
        <f>+RM!E9*6+'sales of 1st year'!E13*2</f>
        <v>11992012.306416001</v>
      </c>
      <c r="D11" s="134">
        <f>+RM!E10*6+'sales of  other FY'!F8*2</f>
        <v>12231852.55254432</v>
      </c>
      <c r="E11" s="134">
        <f>+RM!E11*6+'sales of  other FY'!F9*2</f>
        <v>12476489.603595207</v>
      </c>
      <c r="F11" s="134">
        <f>+RM!E12*6+'sales of  other FY'!F10*2</f>
        <v>12726019.395667112</v>
      </c>
      <c r="G11" s="134">
        <f>+RM!E13*6+'sales of  other FY'!F11*2</f>
        <v>12980539.783580452</v>
      </c>
      <c r="H11" s="134">
        <f>+RM!E14*6+'sales of  other FY'!F12*2</f>
        <v>13240150.579252064</v>
      </c>
      <c r="I11" s="134">
        <f>+RM!E15*6+'sales of  other FY'!F13*2</f>
        <v>13504953.590837102</v>
      </c>
      <c r="J11" s="134">
        <f>+RM!E16*6+'sales of  other FY'!F14*2</f>
        <v>13775052.662653847</v>
      </c>
      <c r="K11" s="128">
        <v>16600000</v>
      </c>
    </row>
    <row r="12" spans="1:11" ht="4.5" customHeight="1" x14ac:dyDescent="0.25">
      <c r="C12" s="134"/>
      <c r="D12" s="134"/>
      <c r="I12" s="132" t="s">
        <v>176</v>
      </c>
    </row>
    <row r="13" spans="1:11" ht="16.5" customHeight="1" x14ac:dyDescent="0.25">
      <c r="B13" s="139" t="s">
        <v>10</v>
      </c>
      <c r="C13" s="140">
        <f t="shared" ref="C13:J13" si="0">SUM(C9:C12)</f>
        <v>386528819.86311597</v>
      </c>
      <c r="D13" s="140">
        <f t="shared" si="0"/>
        <v>551564855.43419242</v>
      </c>
      <c r="E13" s="140">
        <f t="shared" si="0"/>
        <v>562596152.54287624</v>
      </c>
      <c r="F13" s="140">
        <f>SUM(F9:F12)</f>
        <v>573848075.59373367</v>
      </c>
      <c r="G13" s="140">
        <f t="shared" si="0"/>
        <v>585325037.10560846</v>
      </c>
      <c r="H13" s="140">
        <f t="shared" si="0"/>
        <v>597031537.84772038</v>
      </c>
      <c r="I13" s="140">
        <f t="shared" si="0"/>
        <v>608972168.60467494</v>
      </c>
      <c r="J13" s="140">
        <f t="shared" si="0"/>
        <v>621151611.97676849</v>
      </c>
    </row>
    <row r="14" spans="1:11" ht="4.5" customHeight="1" x14ac:dyDescent="0.25">
      <c r="C14" s="134"/>
      <c r="D14" s="134"/>
    </row>
    <row r="15" spans="1:11" x14ac:dyDescent="0.25">
      <c r="B15" s="130" t="s">
        <v>13</v>
      </c>
      <c r="C15" s="134"/>
      <c r="D15" s="134"/>
    </row>
    <row r="16" spans="1:11" ht="4.5" customHeight="1" x14ac:dyDescent="0.25">
      <c r="B16" s="130"/>
      <c r="C16" s="134"/>
      <c r="D16" s="134"/>
    </row>
    <row r="17" spans="1:10" ht="14.1" customHeight="1" x14ac:dyDescent="0.25">
      <c r="B17" s="86" t="s">
        <v>279</v>
      </c>
      <c r="C17" s="134">
        <v>0</v>
      </c>
      <c r="D17" s="134">
        <f>+C11</f>
        <v>11992012.306416001</v>
      </c>
      <c r="E17" s="134">
        <f t="shared" ref="E17:J17" si="1">+D11</f>
        <v>12231852.55254432</v>
      </c>
      <c r="F17" s="134">
        <f t="shared" si="1"/>
        <v>12476489.603595207</v>
      </c>
      <c r="G17" s="134">
        <f t="shared" si="1"/>
        <v>12726019.395667112</v>
      </c>
      <c r="H17" s="134">
        <f t="shared" si="1"/>
        <v>12980539.783580452</v>
      </c>
      <c r="I17" s="134">
        <f t="shared" si="1"/>
        <v>13240150.579252064</v>
      </c>
      <c r="J17" s="134">
        <f t="shared" si="1"/>
        <v>13504953.590837102</v>
      </c>
    </row>
    <row r="18" spans="1:10" ht="4.5" customHeight="1" x14ac:dyDescent="0.25">
      <c r="B18" s="130"/>
      <c r="C18" s="134"/>
      <c r="D18" s="134"/>
    </row>
    <row r="19" spans="1:10" ht="17.25" customHeight="1" x14ac:dyDescent="0.25">
      <c r="B19" s="130" t="s">
        <v>233</v>
      </c>
      <c r="C19" s="134"/>
      <c r="D19" s="134"/>
    </row>
    <row r="20" spans="1:10" ht="19.5" customHeight="1" x14ac:dyDescent="0.25">
      <c r="A20" s="281">
        <v>0</v>
      </c>
      <c r="B20" s="86" t="s">
        <v>286</v>
      </c>
      <c r="C20" s="134">
        <f>(+RM!G8+RM!G9)*(1+$A$20)</f>
        <v>306000000</v>
      </c>
      <c r="D20" s="134">
        <f>+RM!G10*(1+$A$20)</f>
        <v>440640000</v>
      </c>
      <c r="E20" s="134">
        <f>+RM!G11*(1+$A$20)</f>
        <v>449452800</v>
      </c>
      <c r="F20" s="134">
        <f>+RM!G12*(1+$A$20)</f>
        <v>458441856</v>
      </c>
      <c r="G20" s="134">
        <f>+RM!G13*(1+$A$20)</f>
        <v>467610693.12</v>
      </c>
      <c r="H20" s="134">
        <f>+RM!G14*(1+$A$20)</f>
        <v>476962906.98240006</v>
      </c>
      <c r="I20" s="134">
        <f>+RM!G15*(1+$A$20)</f>
        <v>486502165.12204802</v>
      </c>
      <c r="J20" s="134">
        <f>+RM!G16*(1+$A$20)</f>
        <v>496232208.42448902</v>
      </c>
    </row>
    <row r="21" spans="1:10" ht="19.5" customHeight="1" x14ac:dyDescent="0.25">
      <c r="A21" s="281">
        <v>0</v>
      </c>
      <c r="B21" s="86" t="s">
        <v>287</v>
      </c>
      <c r="C21" s="134">
        <f>(+RM!G22+RM!G23)*(1+$A$21)</f>
        <v>2975000</v>
      </c>
      <c r="D21" s="134">
        <f>+RM!G24*(1+$A$21)</f>
        <v>4284000.0000000009</v>
      </c>
      <c r="E21" s="134">
        <f>+RM!G25*(1+$A$21)</f>
        <v>4369680</v>
      </c>
      <c r="F21" s="134">
        <f>+RM!G26*(1+$A$21)</f>
        <v>4457073.5999999996</v>
      </c>
      <c r="G21" s="134">
        <f>+RM!G27*(1+$A$21)</f>
        <v>4546215.0719999997</v>
      </c>
      <c r="H21" s="134">
        <f>+RM!G28*(1+$A$21)</f>
        <v>4637139.3734400002</v>
      </c>
      <c r="I21" s="134">
        <f>+RM!G29*(1+$A$21)</f>
        <v>4729882.1609088015</v>
      </c>
      <c r="J21" s="134">
        <f>+RM!G30*(1+$A$21)</f>
        <v>4824479.804126977</v>
      </c>
    </row>
    <row r="22" spans="1:10" ht="19.5" customHeight="1" x14ac:dyDescent="0.25">
      <c r="A22" s="281">
        <v>0</v>
      </c>
      <c r="B22" s="86" t="s">
        <v>288</v>
      </c>
      <c r="C22" s="134">
        <f>(+RM!G36+RM!G37)*(1+$A$22)</f>
        <v>3230000</v>
      </c>
      <c r="D22" s="134">
        <f>+RM!G38*(1+$A$22)</f>
        <v>4651200</v>
      </c>
      <c r="E22" s="134">
        <f>+RM!G39*(1+$A$22)</f>
        <v>4744223.9999999991</v>
      </c>
      <c r="F22" s="134">
        <f>+RM!G40*(1+$A$22)</f>
        <v>4839108.4799999995</v>
      </c>
      <c r="G22" s="134">
        <f>+RM!G41*(1+$A$22)</f>
        <v>4935890.6495999992</v>
      </c>
      <c r="H22" s="134">
        <f>+RM!G42*(1+$A$22)</f>
        <v>5034608.4625920001</v>
      </c>
      <c r="I22" s="134">
        <f>+RM!G43*(1+$A$22)</f>
        <v>5135300.6318438407</v>
      </c>
      <c r="J22" s="134">
        <f>+RM!G44*(1+$A$22)</f>
        <v>5238006.6444807164</v>
      </c>
    </row>
    <row r="23" spans="1:10" ht="19.5" customHeight="1" x14ac:dyDescent="0.25">
      <c r="A23" s="281">
        <v>0</v>
      </c>
      <c r="B23" s="86" t="s">
        <v>289</v>
      </c>
      <c r="C23" s="134">
        <f>(+RM!G50+RM!G51)*(1+$A$23)</f>
        <v>25500</v>
      </c>
      <c r="D23" s="134">
        <f>+RM!G52*(1+$A$23)</f>
        <v>36720</v>
      </c>
      <c r="E23" s="134">
        <f>+RM!G53*(1+$A$23)</f>
        <v>37454.399999999994</v>
      </c>
      <c r="F23" s="134">
        <f>+RM!G54*(1+$A$23)</f>
        <v>38203.488000000005</v>
      </c>
      <c r="G23" s="134">
        <f>+RM!G55*(1+$A$23)</f>
        <v>38967.557759999996</v>
      </c>
      <c r="H23" s="134">
        <f>+RM!G56*(1+$A$23)</f>
        <v>39746.908915200009</v>
      </c>
      <c r="I23" s="134">
        <f>+RM!G57*(1+$A$23)</f>
        <v>40541.84709350401</v>
      </c>
      <c r="J23" s="134">
        <f>+RM!G58*(1+$A$23)</f>
        <v>41352.684035374084</v>
      </c>
    </row>
    <row r="24" spans="1:10" ht="4.5" customHeight="1" x14ac:dyDescent="0.25">
      <c r="B24" s="130"/>
      <c r="C24" s="134"/>
      <c r="D24" s="134"/>
    </row>
    <row r="25" spans="1:10" ht="16.5" customHeight="1" x14ac:dyDescent="0.25">
      <c r="B25" s="86" t="s">
        <v>260</v>
      </c>
      <c r="C25" s="134">
        <f>+'indirect expenses'!F8+'indirect expenses'!F9</f>
        <v>102000</v>
      </c>
      <c r="D25" s="134">
        <f>+'indirect expenses'!F10</f>
        <v>146880</v>
      </c>
      <c r="E25" s="134">
        <f>+'indirect expenses'!F11</f>
        <v>149817.60000000001</v>
      </c>
      <c r="F25" s="134">
        <f>+'indirect expenses'!F12</f>
        <v>152813.95200000002</v>
      </c>
      <c r="G25" s="134">
        <f>+'indirect expenses'!F13</f>
        <v>155870.23104000004</v>
      </c>
      <c r="H25" s="134">
        <f>+'indirect expenses'!F14</f>
        <v>158987.63566080004</v>
      </c>
      <c r="I25" s="134">
        <f>+'indirect expenses'!F15</f>
        <v>162167.38837401607</v>
      </c>
      <c r="J25" s="134">
        <f>+'indirect expenses'!F16</f>
        <v>165410.7361414964</v>
      </c>
    </row>
    <row r="26" spans="1:10" ht="4.5" customHeight="1" x14ac:dyDescent="0.25">
      <c r="C26" s="134"/>
      <c r="D26" s="134"/>
    </row>
    <row r="27" spans="1:10" x14ac:dyDescent="0.25">
      <c r="B27" s="86" t="s">
        <v>261</v>
      </c>
      <c r="C27" s="134">
        <f>+'indirect expenses'!F22</f>
        <v>330000</v>
      </c>
      <c r="D27" s="134">
        <f>+'indirect expenses'!F23</f>
        <v>396000</v>
      </c>
      <c r="E27" s="134">
        <f>+'indirect expenses'!F24</f>
        <v>435600</v>
      </c>
      <c r="F27" s="134">
        <f>+'indirect expenses'!F25</f>
        <v>479160</v>
      </c>
      <c r="G27" s="134">
        <f>+'indirect expenses'!F26</f>
        <v>527076.00000000012</v>
      </c>
      <c r="H27" s="134">
        <f>+'indirect expenses'!F27</f>
        <v>579783.60000000009</v>
      </c>
      <c r="I27" s="134">
        <f>+'indirect expenses'!F28</f>
        <v>637761.96000000008</v>
      </c>
      <c r="J27" s="134">
        <f>+'indirect expenses'!F29</f>
        <v>701538.15600000019</v>
      </c>
    </row>
    <row r="28" spans="1:10" ht="4.5" customHeight="1" x14ac:dyDescent="0.25">
      <c r="C28" s="134"/>
      <c r="D28" s="134"/>
    </row>
    <row r="29" spans="1:10" ht="17.100000000000001" customHeight="1" x14ac:dyDescent="0.25">
      <c r="B29" s="86" t="s">
        <v>262</v>
      </c>
      <c r="C29" s="134">
        <f>+'indirect expenses'!F35+'indirect expenses'!F36</f>
        <v>765000</v>
      </c>
      <c r="D29" s="134">
        <f>+'indirect expenses'!F37</f>
        <v>1188000.0000000002</v>
      </c>
      <c r="E29" s="132">
        <f>+'indirect expenses'!F38</f>
        <v>1306800.0000000005</v>
      </c>
      <c r="F29" s="132">
        <f>+'indirect expenses'!F39</f>
        <v>1437480.0000000005</v>
      </c>
      <c r="G29" s="132">
        <f>+'indirect expenses'!F40</f>
        <v>1581228.0000000007</v>
      </c>
      <c r="H29" s="132">
        <f>+'indirect expenses'!F41</f>
        <v>1739350.800000001</v>
      </c>
      <c r="I29" s="132">
        <f>+'indirect expenses'!F42</f>
        <v>1913285.8800000008</v>
      </c>
      <c r="J29" s="132">
        <f>+'indirect expenses'!F43</f>
        <v>2104614.4680000013</v>
      </c>
    </row>
    <row r="30" spans="1:10" ht="4.5" customHeight="1" x14ac:dyDescent="0.25">
      <c r="C30" s="134">
        <v>0</v>
      </c>
      <c r="D30" s="134"/>
    </row>
    <row r="31" spans="1:10" x14ac:dyDescent="0.25">
      <c r="B31" s="86" t="s">
        <v>266</v>
      </c>
      <c r="C31" s="134">
        <f>+'indirect expenses'!F49</f>
        <v>330000</v>
      </c>
      <c r="D31" s="134">
        <f>+'indirect expenses'!F50</f>
        <v>396000</v>
      </c>
      <c r="E31" s="134">
        <f>+'indirect expenses'!F51</f>
        <v>435600</v>
      </c>
      <c r="F31" s="134">
        <f>+'indirect expenses'!F52</f>
        <v>479160</v>
      </c>
      <c r="G31" s="134">
        <f>+'indirect expenses'!F53</f>
        <v>527076.00000000012</v>
      </c>
      <c r="H31" s="134">
        <f>+'indirect expenses'!F54</f>
        <v>579783.60000000009</v>
      </c>
      <c r="I31" s="134">
        <f>+'indirect expenses'!F55</f>
        <v>637761.96000000008</v>
      </c>
      <c r="J31" s="134">
        <f>+'indirect expenses'!F56</f>
        <v>701538.15600000019</v>
      </c>
    </row>
    <row r="32" spans="1:10" ht="4.5" customHeight="1" x14ac:dyDescent="0.25">
      <c r="C32" s="134"/>
      <c r="D32" s="134"/>
    </row>
    <row r="33" spans="2:10" x14ac:dyDescent="0.25">
      <c r="B33" s="86" t="s">
        <v>269</v>
      </c>
      <c r="C33" s="134">
        <f>+'indirect expenses'!F62</f>
        <v>165000</v>
      </c>
      <c r="D33" s="134">
        <f>+'indirect expenses'!F63</f>
        <v>198000</v>
      </c>
      <c r="E33" s="134">
        <f>+'indirect expenses'!F64</f>
        <v>217800</v>
      </c>
      <c r="F33" s="134">
        <f>+'indirect expenses'!F65</f>
        <v>239580</v>
      </c>
      <c r="G33" s="134">
        <f>+'indirect expenses'!F66</f>
        <v>263538.00000000006</v>
      </c>
      <c r="H33" s="134">
        <f>+'indirect expenses'!F67</f>
        <v>289891.80000000005</v>
      </c>
      <c r="I33" s="134">
        <f>+'indirect expenses'!F68</f>
        <v>318880.98000000004</v>
      </c>
      <c r="J33" s="134">
        <f>+'indirect expenses'!F69</f>
        <v>350769.0780000001</v>
      </c>
    </row>
    <row r="34" spans="2:10" ht="6.6" customHeight="1" x14ac:dyDescent="0.25">
      <c r="C34" s="134"/>
      <c r="D34" s="134"/>
    </row>
    <row r="35" spans="2:10" ht="15.95" customHeight="1" x14ac:dyDescent="0.25">
      <c r="B35" s="86" t="s">
        <v>272</v>
      </c>
      <c r="C35" s="134">
        <f>+'indirect expenses'!F75</f>
        <v>165000</v>
      </c>
      <c r="D35" s="134">
        <f>+'indirect expenses'!F76</f>
        <v>198000</v>
      </c>
      <c r="E35" s="134">
        <f>+'indirect expenses'!F77</f>
        <v>217800</v>
      </c>
      <c r="F35" s="134">
        <f>+'indirect expenses'!F78</f>
        <v>239580</v>
      </c>
      <c r="G35" s="134">
        <f>+'indirect expenses'!F79</f>
        <v>263538.00000000006</v>
      </c>
      <c r="H35" s="134">
        <f>+'indirect expenses'!F80</f>
        <v>289891.80000000005</v>
      </c>
      <c r="I35" s="134">
        <f>+'indirect expenses'!F81</f>
        <v>318880.98000000004</v>
      </c>
      <c r="J35" s="134">
        <f>+'indirect expenses'!F82</f>
        <v>350769.0780000001</v>
      </c>
    </row>
    <row r="36" spans="2:10" ht="6.6" customHeight="1" x14ac:dyDescent="0.25">
      <c r="C36" s="134"/>
      <c r="D36" s="134"/>
    </row>
    <row r="37" spans="2:10" ht="17.25" customHeight="1" x14ac:dyDescent="0.25">
      <c r="B37" s="130" t="s">
        <v>9</v>
      </c>
      <c r="C37" s="134"/>
      <c r="D37" s="134"/>
    </row>
    <row r="38" spans="2:10" ht="19.5" customHeight="1" x14ac:dyDescent="0.25">
      <c r="B38" s="86" t="s">
        <v>146</v>
      </c>
      <c r="C38" s="134">
        <f>+depreciation!C13</f>
        <v>3352500</v>
      </c>
      <c r="D38" s="134">
        <f>+depreciation!D13</f>
        <v>6202125</v>
      </c>
      <c r="E38" s="134">
        <f>+depreciation!E13</f>
        <v>5271806.25</v>
      </c>
      <c r="F38" s="134">
        <f>+depreciation!F13</f>
        <v>4481035.3125</v>
      </c>
      <c r="G38" s="134">
        <f>+depreciation!G13</f>
        <v>3808880.015625</v>
      </c>
      <c r="H38" s="134">
        <f>+depreciation!H13</f>
        <v>3237548.0132812499</v>
      </c>
      <c r="I38" s="134">
        <f>+depreciation!I13</f>
        <v>2751915.8112890627</v>
      </c>
      <c r="J38" s="134">
        <f>+depreciation!J13</f>
        <v>2339128.439595703</v>
      </c>
    </row>
    <row r="39" spans="2:10" ht="19.5" customHeight="1" x14ac:dyDescent="0.25">
      <c r="B39" s="86" t="s">
        <v>232</v>
      </c>
      <c r="C39" s="134">
        <f>+depreciation!C24</f>
        <v>122500</v>
      </c>
      <c r="D39" s="134">
        <f>+depreciation!D24</f>
        <v>477750</v>
      </c>
      <c r="E39" s="134">
        <f>+depreciation!E24</f>
        <v>429975</v>
      </c>
      <c r="F39" s="134">
        <f>+depreciation!F24</f>
        <v>386977.5</v>
      </c>
      <c r="G39" s="134">
        <f>+depreciation!G24</f>
        <v>348279.75</v>
      </c>
      <c r="H39" s="134">
        <f>+depreciation!H24</f>
        <v>313451.77500000002</v>
      </c>
      <c r="I39" s="134">
        <f>+depreciation!I24</f>
        <v>282106.59750000003</v>
      </c>
      <c r="J39" s="134">
        <f>+depreciation!J24</f>
        <v>253895.93775000001</v>
      </c>
    </row>
    <row r="40" spans="2:10" ht="4.5" customHeight="1" x14ac:dyDescent="0.25">
      <c r="C40" s="134"/>
      <c r="D40" s="134"/>
    </row>
    <row r="41" spans="2:10" x14ac:dyDescent="0.25">
      <c r="B41" s="86" t="s">
        <v>273</v>
      </c>
      <c r="C41" s="134">
        <f>+'indirect expenses'!F88</f>
        <v>495000</v>
      </c>
      <c r="D41" s="134">
        <f>+'indirect expenses'!F89</f>
        <v>594000.00000000012</v>
      </c>
      <c r="E41" s="134">
        <f>+'indirect expenses'!F90</f>
        <v>653400.00000000023</v>
      </c>
      <c r="F41" s="134">
        <f>+'indirect expenses'!F91</f>
        <v>718740.00000000023</v>
      </c>
      <c r="G41" s="134">
        <f>+'indirect expenses'!F92</f>
        <v>790614.00000000035</v>
      </c>
      <c r="H41" s="134">
        <f>+'indirect expenses'!F93</f>
        <v>869675.40000000049</v>
      </c>
      <c r="I41" s="134">
        <f>+'indirect expenses'!F94</f>
        <v>956642.94000000041</v>
      </c>
      <c r="J41" s="134">
        <f>+'indirect expenses'!F95</f>
        <v>1052307.2340000006</v>
      </c>
    </row>
    <row r="42" spans="2:10" ht="4.5" customHeight="1" x14ac:dyDescent="0.25">
      <c r="C42" s="134"/>
      <c r="D42" s="134"/>
    </row>
    <row r="43" spans="2:10" ht="18" customHeight="1" x14ac:dyDescent="0.25">
      <c r="B43" s="86" t="s">
        <v>223</v>
      </c>
      <c r="C43" s="134">
        <f>+'indirect expenses'!F101</f>
        <v>792000</v>
      </c>
      <c r="D43" s="134">
        <f>+'indirect expenses'!F102</f>
        <v>950400</v>
      </c>
      <c r="E43" s="134">
        <f>+'indirect expenses'!F103</f>
        <v>1045440.0000000002</v>
      </c>
      <c r="F43" s="134">
        <f>+'indirect expenses'!F104</f>
        <v>1149984.0000000002</v>
      </c>
      <c r="G43" s="134">
        <f>+'indirect expenses'!F105</f>
        <v>1264982.4000000004</v>
      </c>
      <c r="H43" s="134">
        <f>+'indirect expenses'!F106</f>
        <v>1391480.6400000006</v>
      </c>
      <c r="I43" s="134">
        <f>+'indirect expenses'!F107</f>
        <v>1530628.7040000006</v>
      </c>
      <c r="J43" s="134">
        <f>+'indirect expenses'!F108</f>
        <v>1683691.5744000007</v>
      </c>
    </row>
    <row r="44" spans="2:10" ht="4.5" customHeight="1" x14ac:dyDescent="0.25">
      <c r="C44" s="134"/>
      <c r="D44" s="134"/>
    </row>
    <row r="45" spans="2:10" ht="15.95" customHeight="1" x14ac:dyDescent="0.25">
      <c r="B45" s="86" t="s">
        <v>224</v>
      </c>
      <c r="C45" s="134">
        <f>+'indirect expenses'!F114+'indirect expenses'!F115</f>
        <v>1912500</v>
      </c>
      <c r="D45" s="134">
        <f>+'indirect expenses'!F116</f>
        <v>2970000</v>
      </c>
      <c r="E45" s="134">
        <f>+'indirect expenses'!F117</f>
        <v>3267000</v>
      </c>
      <c r="F45" s="134">
        <f>+'indirect expenses'!F118</f>
        <v>3593700.0000000009</v>
      </c>
      <c r="G45" s="134">
        <f>+'indirect expenses'!F119</f>
        <v>3953070.0000000009</v>
      </c>
      <c r="H45" s="134">
        <f>+'indirect expenses'!F120</f>
        <v>4348377.0000000019</v>
      </c>
      <c r="I45" s="134">
        <f>+'indirect expenses'!F121</f>
        <v>4783214.700000003</v>
      </c>
      <c r="J45" s="134">
        <f>+'indirect expenses'!F122</f>
        <v>5261536.1700000037</v>
      </c>
    </row>
    <row r="46" spans="2:10" ht="4.5" customHeight="1" x14ac:dyDescent="0.25">
      <c r="C46" s="134"/>
      <c r="D46" s="134"/>
    </row>
    <row r="47" spans="2:10" ht="17.100000000000001" customHeight="1" x14ac:dyDescent="0.25">
      <c r="B47" s="86" t="s">
        <v>225</v>
      </c>
      <c r="C47" s="134">
        <f>+BS!C29*11%</f>
        <v>1369500</v>
      </c>
      <c r="D47" s="134">
        <f>+BS!D29*11%</f>
        <v>1369500</v>
      </c>
      <c r="E47" s="134">
        <f>+BS!E29*11%</f>
        <v>1369500</v>
      </c>
      <c r="F47" s="134">
        <f>+BS!F29*11%</f>
        <v>1369500</v>
      </c>
      <c r="G47" s="134">
        <f>+BS!G29*11%</f>
        <v>1369500</v>
      </c>
      <c r="H47" s="134">
        <f>+BS!H29*11%</f>
        <v>1369500</v>
      </c>
      <c r="I47" s="134">
        <f>+BS!I29*11%</f>
        <v>1369500</v>
      </c>
      <c r="J47" s="134">
        <f>+BS!J29*11%</f>
        <v>1369500</v>
      </c>
    </row>
    <row r="48" spans="2:10" ht="4.5" customHeight="1" x14ac:dyDescent="0.25">
      <c r="C48" s="134"/>
      <c r="D48" s="134"/>
    </row>
    <row r="49" spans="1:21" ht="15" customHeight="1" x14ac:dyDescent="0.25">
      <c r="B49" s="86" t="s">
        <v>226</v>
      </c>
      <c r="C49" s="134">
        <f>+'TL interest'!D96</f>
        <v>5022000</v>
      </c>
      <c r="D49" s="134">
        <f>+'TL interest'!D97</f>
        <v>4761293</v>
      </c>
      <c r="E49" s="134">
        <f>+'TL interest'!D98</f>
        <v>4140905</v>
      </c>
      <c r="F49" s="134">
        <f>+'TL interest'!D99</f>
        <v>3431382</v>
      </c>
      <c r="G49" s="134">
        <f>+'TL interest'!D100</f>
        <v>2619920</v>
      </c>
      <c r="H49" s="134">
        <f>+'TL interest'!D101</f>
        <v>1691869</v>
      </c>
      <c r="I49" s="134">
        <f>+'TL interest'!D102</f>
        <v>630479</v>
      </c>
      <c r="J49" s="134">
        <v>0</v>
      </c>
    </row>
    <row r="50" spans="1:21" ht="4.5" customHeight="1" x14ac:dyDescent="0.25">
      <c r="C50" s="134"/>
      <c r="D50" s="134"/>
    </row>
    <row r="51" spans="1:21" ht="15" customHeight="1" x14ac:dyDescent="0.25">
      <c r="A51" s="284">
        <v>5.0000000000000001E-4</v>
      </c>
      <c r="B51" s="86" t="s">
        <v>290</v>
      </c>
      <c r="C51" s="134">
        <f>C9*$A$51</f>
        <v>187268.40377835001</v>
      </c>
      <c r="D51" s="134">
        <f t="shared" ref="D51:J51" si="2">D9*$A$51</f>
        <v>269666.50144082401</v>
      </c>
      <c r="E51" s="134">
        <f t="shared" si="2"/>
        <v>275059.83146964049</v>
      </c>
      <c r="F51" s="134">
        <f t="shared" si="2"/>
        <v>280561.02809903328</v>
      </c>
      <c r="G51" s="134">
        <f t="shared" si="2"/>
        <v>286172.24866101402</v>
      </c>
      <c r="H51" s="134">
        <f t="shared" si="2"/>
        <v>291895.69363423419</v>
      </c>
      <c r="I51" s="134">
        <f t="shared" si="2"/>
        <v>297733.6075069189</v>
      </c>
      <c r="J51" s="134">
        <f t="shared" si="2"/>
        <v>303688.27965705737</v>
      </c>
    </row>
    <row r="52" spans="1:21" ht="5.45" customHeight="1" x14ac:dyDescent="0.25">
      <c r="C52" s="134"/>
      <c r="D52" s="134"/>
    </row>
    <row r="53" spans="1:21" ht="15" customHeight="1" x14ac:dyDescent="0.25">
      <c r="A53" s="284">
        <v>5.0000000000000001E-4</v>
      </c>
      <c r="B53" s="86" t="s">
        <v>291</v>
      </c>
      <c r="C53" s="134">
        <f>C9*$A$53</f>
        <v>187268.40377835001</v>
      </c>
      <c r="D53" s="134">
        <f t="shared" ref="D53:J53" si="3">D9*$A$53</f>
        <v>269666.50144082401</v>
      </c>
      <c r="E53" s="134">
        <f t="shared" si="3"/>
        <v>275059.83146964049</v>
      </c>
      <c r="F53" s="134">
        <f t="shared" si="3"/>
        <v>280561.02809903328</v>
      </c>
      <c r="G53" s="134">
        <f t="shared" si="3"/>
        <v>286172.24866101402</v>
      </c>
      <c r="H53" s="134">
        <f t="shared" si="3"/>
        <v>291895.69363423419</v>
      </c>
      <c r="I53" s="134">
        <f t="shared" si="3"/>
        <v>297733.6075069189</v>
      </c>
      <c r="J53" s="134">
        <f t="shared" si="3"/>
        <v>303688.27965705737</v>
      </c>
    </row>
    <row r="54" spans="1:21" ht="6" customHeight="1" x14ac:dyDescent="0.25">
      <c r="C54" s="134"/>
      <c r="D54" s="134"/>
    </row>
    <row r="55" spans="1:21" ht="15" customHeight="1" x14ac:dyDescent="0.25">
      <c r="A55" s="284">
        <v>5.0000000000000001E-4</v>
      </c>
      <c r="B55" s="86" t="s">
        <v>292</v>
      </c>
      <c r="C55" s="134">
        <f>C9*$A$55</f>
        <v>187268.40377835001</v>
      </c>
      <c r="D55" s="134">
        <f t="shared" ref="D55:J55" si="4">D9*$A$55</f>
        <v>269666.50144082401</v>
      </c>
      <c r="E55" s="134">
        <f t="shared" si="4"/>
        <v>275059.83146964049</v>
      </c>
      <c r="F55" s="134">
        <f t="shared" si="4"/>
        <v>280561.02809903328</v>
      </c>
      <c r="G55" s="134">
        <f t="shared" si="4"/>
        <v>286172.24866101402</v>
      </c>
      <c r="H55" s="134">
        <f t="shared" si="4"/>
        <v>291895.69363423419</v>
      </c>
      <c r="I55" s="134">
        <f t="shared" si="4"/>
        <v>297733.6075069189</v>
      </c>
      <c r="J55" s="134">
        <f t="shared" si="4"/>
        <v>303688.27965705737</v>
      </c>
    </row>
    <row r="56" spans="1:21" ht="8.1" customHeight="1" x14ac:dyDescent="0.25">
      <c r="C56" s="134"/>
      <c r="D56" s="134"/>
    </row>
    <row r="57" spans="1:21" ht="15" customHeight="1" x14ac:dyDescent="0.25">
      <c r="A57" s="284">
        <v>1E-3</v>
      </c>
      <c r="B57" s="86" t="s">
        <v>293</v>
      </c>
      <c r="C57" s="134">
        <f>C9*$A$57</f>
        <v>374536.80755670002</v>
      </c>
      <c r="D57" s="134">
        <f t="shared" ref="D57:J57" si="5">D9*$A$57</f>
        <v>539333.00288164802</v>
      </c>
      <c r="E57" s="134">
        <f t="shared" si="5"/>
        <v>550119.66293928097</v>
      </c>
      <c r="F57" s="134">
        <f t="shared" si="5"/>
        <v>561122.05619806657</v>
      </c>
      <c r="G57" s="134">
        <f t="shared" si="5"/>
        <v>572344.49732202804</v>
      </c>
      <c r="H57" s="134">
        <f t="shared" si="5"/>
        <v>583791.38726846839</v>
      </c>
      <c r="I57" s="134">
        <f t="shared" si="5"/>
        <v>595467.21501383779</v>
      </c>
      <c r="J57" s="134">
        <f t="shared" si="5"/>
        <v>607376.55931411474</v>
      </c>
    </row>
    <row r="58" spans="1:21" ht="6.95" customHeight="1" x14ac:dyDescent="0.25">
      <c r="C58" s="134"/>
      <c r="D58" s="134"/>
    </row>
    <row r="59" spans="1:21" ht="15" customHeight="1" x14ac:dyDescent="0.25">
      <c r="A59" s="283">
        <v>2E-3</v>
      </c>
      <c r="B59" s="86" t="s">
        <v>294</v>
      </c>
      <c r="C59" s="134">
        <f>C9*$A$59</f>
        <v>749073.61511340004</v>
      </c>
      <c r="D59" s="134">
        <f t="shared" ref="D59:J59" si="6">D9*$A$59</f>
        <v>1078666.005763296</v>
      </c>
      <c r="E59" s="134">
        <f t="shared" si="6"/>
        <v>1100239.3258785619</v>
      </c>
      <c r="F59" s="134">
        <f t="shared" si="6"/>
        <v>1122244.1123961331</v>
      </c>
      <c r="G59" s="134">
        <f t="shared" si="6"/>
        <v>1144688.9946440561</v>
      </c>
      <c r="H59" s="134">
        <f t="shared" si="6"/>
        <v>1167582.7745369368</v>
      </c>
      <c r="I59" s="134">
        <f t="shared" si="6"/>
        <v>1190934.4300276756</v>
      </c>
      <c r="J59" s="134">
        <f t="shared" si="6"/>
        <v>1214753.1186282295</v>
      </c>
    </row>
    <row r="60" spans="1:21" x14ac:dyDescent="0.25">
      <c r="C60" s="282"/>
      <c r="D60" s="134"/>
    </row>
    <row r="61" spans="1:21" x14ac:dyDescent="0.25">
      <c r="B61" s="139" t="s">
        <v>11</v>
      </c>
      <c r="C61" s="140">
        <f>SUM(C17:C59)</f>
        <v>328838915.63400519</v>
      </c>
      <c r="D61" s="140">
        <f t="shared" ref="D61:J61" si="7">SUM(D17:D59)</f>
        <v>483878878.81938338</v>
      </c>
      <c r="E61" s="140">
        <f t="shared" si="7"/>
        <v>492252993.28577113</v>
      </c>
      <c r="F61" s="140">
        <f t="shared" si="7"/>
        <v>500936873.1889866</v>
      </c>
      <c r="G61" s="140">
        <f t="shared" si="7"/>
        <v>509906908.42964131</v>
      </c>
      <c r="H61" s="140">
        <f t="shared" si="7"/>
        <v>519141593.81757784</v>
      </c>
      <c r="I61" s="140">
        <f t="shared" si="7"/>
        <v>528620869.70987171</v>
      </c>
      <c r="J61" s="140">
        <f t="shared" si="7"/>
        <v>538908894.69277</v>
      </c>
    </row>
    <row r="62" spans="1:21" ht="6" customHeight="1" x14ac:dyDescent="0.25">
      <c r="C62" s="135"/>
      <c r="D62" s="135"/>
    </row>
    <row r="63" spans="1:21" ht="15.75" customHeight="1" x14ac:dyDescent="0.25">
      <c r="B63" s="130" t="s">
        <v>54</v>
      </c>
      <c r="C63" s="135">
        <f t="shared" ref="C63:J63" si="8">C13-C61</f>
        <v>57689904.229110777</v>
      </c>
      <c r="D63" s="135">
        <f t="shared" si="8"/>
        <v>67685976.614809036</v>
      </c>
      <c r="E63" s="135">
        <f t="shared" si="8"/>
        <v>70343159.257105112</v>
      </c>
      <c r="F63" s="135">
        <f t="shared" si="8"/>
        <v>72911202.404747069</v>
      </c>
      <c r="G63" s="135">
        <f t="shared" si="8"/>
        <v>75418128.675967157</v>
      </c>
      <c r="H63" s="135">
        <f t="shared" si="8"/>
        <v>77889944.030142546</v>
      </c>
      <c r="I63" s="135">
        <f t="shared" si="8"/>
        <v>80351298.894803226</v>
      </c>
      <c r="J63" s="135">
        <f t="shared" si="8"/>
        <v>82242717.283998489</v>
      </c>
    </row>
    <row r="64" spans="1:21" s="125" customFormat="1" ht="36.6" customHeight="1" x14ac:dyDescent="0.25">
      <c r="B64" s="136" t="s">
        <v>358</v>
      </c>
      <c r="C64" s="134">
        <f>+C63*'indirect expenses'!$C$144</f>
        <v>16049331.356538618</v>
      </c>
      <c r="D64" s="134">
        <f>+D63*'indirect expenses'!$C$144</f>
        <v>18830238.694239873</v>
      </c>
      <c r="E64" s="134">
        <f>+E63*'indirect expenses'!$C$144</f>
        <v>19569466.905326642</v>
      </c>
      <c r="F64" s="134">
        <f>+F63*'indirect expenses'!$C$144</f>
        <v>20283896.509000633</v>
      </c>
      <c r="G64" s="134">
        <f>+G63*'indirect expenses'!$C$144</f>
        <v>20981323.397654064</v>
      </c>
      <c r="H64" s="134">
        <f>+H63*'indirect expenses'!$C$144</f>
        <v>21668982.429185655</v>
      </c>
      <c r="I64" s="134">
        <f>+I63*'indirect expenses'!$C$144</f>
        <v>22353731.352534257</v>
      </c>
      <c r="J64" s="134">
        <f>+J63*'indirect expenses'!$C$144</f>
        <v>22879923.94840838</v>
      </c>
      <c r="L64" s="124"/>
      <c r="M64" s="124"/>
      <c r="N64" s="124"/>
      <c r="O64" s="124"/>
      <c r="P64" s="124"/>
      <c r="Q64" s="124"/>
      <c r="R64" s="124"/>
      <c r="S64" s="124"/>
      <c r="T64" s="124"/>
      <c r="U64" s="124"/>
    </row>
    <row r="65" spans="2:10" ht="15.75" customHeight="1" x14ac:dyDescent="0.25">
      <c r="B65" s="139" t="s">
        <v>148</v>
      </c>
      <c r="C65" s="140">
        <f>+C63-C64</f>
        <v>41640572.872572161</v>
      </c>
      <c r="D65" s="140">
        <f t="shared" ref="D65:J65" si="9">+D63-D64</f>
        <v>48855737.920569167</v>
      </c>
      <c r="E65" s="140">
        <f t="shared" si="9"/>
        <v>50773692.35177847</v>
      </c>
      <c r="F65" s="140">
        <f t="shared" si="9"/>
        <v>52627305.89574644</v>
      </c>
      <c r="G65" s="140">
        <f t="shared" si="9"/>
        <v>54436805.278313093</v>
      </c>
      <c r="H65" s="140">
        <f t="shared" si="9"/>
        <v>56220961.600956887</v>
      </c>
      <c r="I65" s="140">
        <f t="shared" si="9"/>
        <v>57997567.542268969</v>
      </c>
      <c r="J65" s="140">
        <f t="shared" si="9"/>
        <v>59362793.335590109</v>
      </c>
    </row>
    <row r="66" spans="2:10" ht="18.75" customHeight="1" x14ac:dyDescent="0.25">
      <c r="B66" s="130" t="s">
        <v>295</v>
      </c>
      <c r="C66" s="134">
        <f>+C65</f>
        <v>41640572.872572161</v>
      </c>
      <c r="D66" s="134">
        <f t="shared" ref="D66:J66" si="10">+D65</f>
        <v>48855737.920569167</v>
      </c>
      <c r="E66" s="134">
        <f t="shared" si="10"/>
        <v>50773692.35177847</v>
      </c>
      <c r="F66" s="134">
        <f t="shared" si="10"/>
        <v>52627305.89574644</v>
      </c>
      <c r="G66" s="134">
        <f t="shared" si="10"/>
        <v>54436805.278313093</v>
      </c>
      <c r="H66" s="134">
        <f t="shared" si="10"/>
        <v>56220961.600956887</v>
      </c>
      <c r="I66" s="134">
        <f t="shared" si="10"/>
        <v>57997567.542268969</v>
      </c>
      <c r="J66" s="134">
        <f t="shared" si="10"/>
        <v>59362793.335590109</v>
      </c>
    </row>
    <row r="67" spans="2:10" ht="18.75" customHeight="1" x14ac:dyDescent="0.25">
      <c r="B67" s="130" t="s">
        <v>296</v>
      </c>
      <c r="C67" s="134">
        <f>+C66</f>
        <v>41640572.872572161</v>
      </c>
      <c r="D67" s="134">
        <f>+C67+D66</f>
        <v>90496310.793141335</v>
      </c>
      <c r="E67" s="134">
        <f t="shared" ref="E67:J67" si="11">+D67+E66</f>
        <v>141270003.14491981</v>
      </c>
      <c r="F67" s="134">
        <f t="shared" si="11"/>
        <v>193897309.04066625</v>
      </c>
      <c r="G67" s="134">
        <f t="shared" si="11"/>
        <v>248334114.31897935</v>
      </c>
      <c r="H67" s="134">
        <f t="shared" si="11"/>
        <v>304555075.91993624</v>
      </c>
      <c r="I67" s="134">
        <f t="shared" si="11"/>
        <v>362552643.46220523</v>
      </c>
      <c r="J67" s="134">
        <f t="shared" si="11"/>
        <v>421915436.79779536</v>
      </c>
    </row>
    <row r="68" spans="2:10" hidden="1" x14ac:dyDescent="0.25"/>
    <row r="69" spans="2:10" hidden="1" x14ac:dyDescent="0.25">
      <c r="C69" s="137">
        <f t="shared" ref="C69:J69" si="12">+C63/C9*100</f>
        <v>15.402999936228504</v>
      </c>
      <c r="D69" s="137">
        <f t="shared" si="12"/>
        <v>12.549941548758166</v>
      </c>
      <c r="E69" s="137">
        <f t="shared" si="12"/>
        <v>12.786883290312273</v>
      </c>
      <c r="F69" s="137">
        <f t="shared" si="12"/>
        <v>12.993822217355621</v>
      </c>
      <c r="G69" s="137">
        <f t="shared" si="12"/>
        <v>13.177051413763023</v>
      </c>
      <c r="H69" s="137">
        <f t="shared" si="12"/>
        <v>13.342085157265821</v>
      </c>
      <c r="I69" s="137">
        <f t="shared" si="12"/>
        <v>13.493824155026902</v>
      </c>
      <c r="J69" s="137">
        <f t="shared" si="12"/>
        <v>13.540647234867246</v>
      </c>
    </row>
    <row r="70" spans="2:10" hidden="1" x14ac:dyDescent="0.25">
      <c r="C70" s="137">
        <f t="shared" ref="C70:J70" si="13">+C65/C9*100</f>
        <v>11.117885353969735</v>
      </c>
      <c r="D70" s="137">
        <f t="shared" si="13"/>
        <v>9.0585478098936463</v>
      </c>
      <c r="E70" s="137">
        <f t="shared" si="13"/>
        <v>9.2295723589473972</v>
      </c>
      <c r="F70" s="137">
        <f t="shared" si="13"/>
        <v>9.3789408764872881</v>
      </c>
      <c r="G70" s="137">
        <f t="shared" si="13"/>
        <v>9.5111957104541478</v>
      </c>
      <c r="H70" s="137">
        <f t="shared" si="13"/>
        <v>9.6303170665144684</v>
      </c>
      <c r="I70" s="137">
        <f t="shared" si="13"/>
        <v>9.7398422750984182</v>
      </c>
      <c r="J70" s="137">
        <f t="shared" si="13"/>
        <v>9.7736391741271778</v>
      </c>
    </row>
    <row r="71" spans="2:10" hidden="1" x14ac:dyDescent="0.25">
      <c r="C71" s="132">
        <f>+C65/365</f>
        <v>114083.76129471825</v>
      </c>
      <c r="D71" s="132">
        <f t="shared" ref="D71:J71" si="14">+D65/365</f>
        <v>133851.33676868264</v>
      </c>
      <c r="E71" s="132">
        <f t="shared" si="14"/>
        <v>139106.00644322869</v>
      </c>
      <c r="F71" s="132">
        <f t="shared" si="14"/>
        <v>144184.39971437381</v>
      </c>
      <c r="G71" s="132">
        <f t="shared" si="14"/>
        <v>149141.93226935095</v>
      </c>
      <c r="H71" s="132">
        <f t="shared" si="14"/>
        <v>154030.03178344353</v>
      </c>
      <c r="I71" s="132">
        <f t="shared" si="14"/>
        <v>158897.44532128485</v>
      </c>
      <c r="J71" s="132">
        <f t="shared" si="14"/>
        <v>162637.78996052084</v>
      </c>
    </row>
    <row r="72" spans="2:10" hidden="1" x14ac:dyDescent="0.25"/>
    <row r="73" spans="2:10" hidden="1" x14ac:dyDescent="0.25">
      <c r="C73" s="132">
        <v>10000</v>
      </c>
    </row>
    <row r="74" spans="2:10" hidden="1" x14ac:dyDescent="0.25">
      <c r="C74" s="132">
        <f>+C73*9.5</f>
        <v>95000</v>
      </c>
    </row>
    <row r="75" spans="2:10" hidden="1" x14ac:dyDescent="0.25">
      <c r="C75" s="132">
        <f>+C74*25</f>
        <v>2375000</v>
      </c>
    </row>
    <row r="76" spans="2:10" hidden="1" x14ac:dyDescent="0.25">
      <c r="C76" s="132">
        <f>+C75*12</f>
        <v>28500000</v>
      </c>
    </row>
    <row r="77" spans="2:10" hidden="1" x14ac:dyDescent="0.25"/>
    <row r="78" spans="2:10" x14ac:dyDescent="0.25">
      <c r="C78" s="132">
        <f>+C13</f>
        <v>386528819.86311597</v>
      </c>
    </row>
    <row r="81" spans="2:10" hidden="1" x14ac:dyDescent="0.25"/>
    <row r="82" spans="2:10" hidden="1" x14ac:dyDescent="0.25">
      <c r="C82" s="132">
        <f>+C78-C76</f>
        <v>358028819.86311597</v>
      </c>
    </row>
    <row r="83" spans="2:10" hidden="1" x14ac:dyDescent="0.25"/>
    <row r="84" spans="2:10" hidden="1" x14ac:dyDescent="0.25">
      <c r="C84" s="132">
        <f>+C82-C61</f>
        <v>29189904.229110777</v>
      </c>
    </row>
    <row r="87" spans="2:10" x14ac:dyDescent="0.25">
      <c r="B87" s="86" t="s">
        <v>411</v>
      </c>
      <c r="C87" s="132">
        <f>C9</f>
        <v>374536807.55669999</v>
      </c>
      <c r="D87" s="132">
        <f t="shared" ref="D87:J87" si="15">D9</f>
        <v>539333002.88164806</v>
      </c>
      <c r="E87" s="132">
        <f t="shared" si="15"/>
        <v>550119662.93928099</v>
      </c>
      <c r="F87" s="132">
        <f t="shared" si="15"/>
        <v>561122056.19806659</v>
      </c>
      <c r="G87" s="132">
        <f t="shared" si="15"/>
        <v>572344497.32202804</v>
      </c>
      <c r="H87" s="132">
        <f t="shared" si="15"/>
        <v>583791387.26846838</v>
      </c>
      <c r="I87" s="132">
        <f t="shared" si="15"/>
        <v>595467215.01383781</v>
      </c>
      <c r="J87" s="132">
        <f t="shared" si="15"/>
        <v>607376559.31411469</v>
      </c>
    </row>
    <row r="88" spans="2:10" x14ac:dyDescent="0.25">
      <c r="B88" s="86" t="s">
        <v>412</v>
      </c>
      <c r="C88" s="132">
        <f>C63</f>
        <v>57689904.229110777</v>
      </c>
      <c r="D88" s="132">
        <f t="shared" ref="D88:J88" si="16">D63</f>
        <v>67685976.614809036</v>
      </c>
      <c r="E88" s="132">
        <f t="shared" si="16"/>
        <v>70343159.257105112</v>
      </c>
      <c r="F88" s="132">
        <f t="shared" si="16"/>
        <v>72911202.404747069</v>
      </c>
      <c r="G88" s="132">
        <f t="shared" si="16"/>
        <v>75418128.675967157</v>
      </c>
      <c r="H88" s="132">
        <f t="shared" si="16"/>
        <v>77889944.030142546</v>
      </c>
      <c r="I88" s="132">
        <f t="shared" si="16"/>
        <v>80351298.894803226</v>
      </c>
      <c r="J88" s="132">
        <f t="shared" si="16"/>
        <v>82242717.283998489</v>
      </c>
    </row>
    <row r="89" spans="2:10" x14ac:dyDescent="0.25">
      <c r="B89" s="86" t="s">
        <v>413</v>
      </c>
      <c r="C89" s="132">
        <f>C47+C49</f>
        <v>6391500</v>
      </c>
      <c r="D89" s="132">
        <f t="shared" ref="D89:J89" si="17">D47+D49</f>
        <v>6130793</v>
      </c>
      <c r="E89" s="132">
        <f t="shared" si="17"/>
        <v>5510405</v>
      </c>
      <c r="F89" s="132">
        <f t="shared" si="17"/>
        <v>4800882</v>
      </c>
      <c r="G89" s="132">
        <f t="shared" si="17"/>
        <v>3989420</v>
      </c>
      <c r="H89" s="132">
        <f t="shared" si="17"/>
        <v>3061369</v>
      </c>
      <c r="I89" s="132">
        <f t="shared" si="17"/>
        <v>1999979</v>
      </c>
      <c r="J89" s="132">
        <f t="shared" si="17"/>
        <v>1369500</v>
      </c>
    </row>
    <row r="90" spans="2:10" x14ac:dyDescent="0.25">
      <c r="B90" s="86" t="s">
        <v>414</v>
      </c>
      <c r="C90" s="132">
        <f>C89+C88</f>
        <v>64081404.229110777</v>
      </c>
      <c r="D90" s="132">
        <f t="shared" ref="D90:J90" si="18">D89+D88</f>
        <v>73816769.614809036</v>
      </c>
      <c r="E90" s="132">
        <f t="shared" si="18"/>
        <v>75853564.257105112</v>
      </c>
      <c r="F90" s="132">
        <f t="shared" si="18"/>
        <v>77712084.404747069</v>
      </c>
      <c r="G90" s="132">
        <f t="shared" si="18"/>
        <v>79407548.675967157</v>
      </c>
      <c r="H90" s="132">
        <f t="shared" si="18"/>
        <v>80951313.030142546</v>
      </c>
      <c r="I90" s="132">
        <f t="shared" si="18"/>
        <v>82351277.894803226</v>
      </c>
      <c r="J90" s="132">
        <f t="shared" si="18"/>
        <v>83612217.283998489</v>
      </c>
    </row>
    <row r="91" spans="2:10" x14ac:dyDescent="0.25">
      <c r="B91" s="86" t="s">
        <v>415</v>
      </c>
      <c r="C91" s="132">
        <f>C38+C39</f>
        <v>3475000</v>
      </c>
      <c r="D91" s="132">
        <f t="shared" ref="D91:J91" si="19">D38+D39</f>
        <v>6679875</v>
      </c>
      <c r="E91" s="132">
        <f t="shared" si="19"/>
        <v>5701781.25</v>
      </c>
      <c r="F91" s="132">
        <f t="shared" si="19"/>
        <v>4868012.8125</v>
      </c>
      <c r="G91" s="132">
        <f t="shared" si="19"/>
        <v>4157159.765625</v>
      </c>
      <c r="H91" s="132">
        <f t="shared" si="19"/>
        <v>3550999.7882812498</v>
      </c>
      <c r="I91" s="132">
        <f t="shared" si="19"/>
        <v>3034022.4087890629</v>
      </c>
      <c r="J91" s="132">
        <f t="shared" si="19"/>
        <v>2593024.3773457031</v>
      </c>
    </row>
    <row r="92" spans="2:10" x14ac:dyDescent="0.25">
      <c r="B92" s="86" t="s">
        <v>416</v>
      </c>
      <c r="C92" s="132">
        <f>C90+C91</f>
        <v>67556404.229110777</v>
      </c>
      <c r="D92" s="132">
        <f t="shared" ref="D92:J92" si="20">D90+D91</f>
        <v>80496644.614809036</v>
      </c>
      <c r="E92" s="132">
        <f t="shared" si="20"/>
        <v>81555345.507105112</v>
      </c>
      <c r="F92" s="132">
        <f t="shared" si="20"/>
        <v>82580097.217247069</v>
      </c>
      <c r="G92" s="132">
        <f t="shared" si="20"/>
        <v>83564708.441592157</v>
      </c>
      <c r="H92" s="132">
        <f t="shared" si="20"/>
        <v>84502312.818423793</v>
      </c>
      <c r="I92" s="132">
        <f t="shared" si="20"/>
        <v>85385300.303592294</v>
      </c>
      <c r="J92" s="132">
        <f t="shared" si="20"/>
        <v>86205241.661344185</v>
      </c>
    </row>
    <row r="93" spans="2:10" x14ac:dyDescent="0.25">
      <c r="B93" s="86" t="s">
        <v>417</v>
      </c>
      <c r="C93" s="132">
        <f>C65</f>
        <v>41640572.872572161</v>
      </c>
      <c r="D93" s="132">
        <f t="shared" ref="D93:J93" si="21">D65</f>
        <v>48855737.920569167</v>
      </c>
      <c r="E93" s="132">
        <f t="shared" si="21"/>
        <v>50773692.35177847</v>
      </c>
      <c r="F93" s="132">
        <f t="shared" si="21"/>
        <v>52627305.89574644</v>
      </c>
      <c r="G93" s="132">
        <f t="shared" si="21"/>
        <v>54436805.278313093</v>
      </c>
      <c r="H93" s="132">
        <f t="shared" si="21"/>
        <v>56220961.600956887</v>
      </c>
      <c r="I93" s="132">
        <f t="shared" si="21"/>
        <v>57997567.542268969</v>
      </c>
      <c r="J93" s="132">
        <f t="shared" si="21"/>
        <v>59362793.335590109</v>
      </c>
    </row>
    <row r="95" spans="2:10" x14ac:dyDescent="0.25">
      <c r="B95" s="272" t="s">
        <v>418</v>
      </c>
      <c r="C95" s="273">
        <f>C92/C87</f>
        <v>0.18037320462524534</v>
      </c>
      <c r="D95" s="273">
        <f t="shared" ref="D95:J95" si="22">D92/D87</f>
        <v>0.14925221372457589</v>
      </c>
      <c r="E95" s="273">
        <f t="shared" si="22"/>
        <v>0.14825019173347875</v>
      </c>
      <c r="F95" s="273">
        <f t="shared" si="22"/>
        <v>0.14716957978229553</v>
      </c>
      <c r="G95" s="273">
        <f t="shared" si="22"/>
        <v>0.14600421395258861</v>
      </c>
      <c r="H95" s="273">
        <f t="shared" si="22"/>
        <v>0.14474744688133551</v>
      </c>
      <c r="I95" s="273">
        <f t="shared" si="22"/>
        <v>0.14339210984370998</v>
      </c>
      <c r="J95" s="273">
        <f t="shared" si="22"/>
        <v>0.14193047186195695</v>
      </c>
    </row>
    <row r="96" spans="2:10" x14ac:dyDescent="0.25">
      <c r="B96" s="272" t="s">
        <v>419</v>
      </c>
      <c r="C96" s="273">
        <f>C90/C87</f>
        <v>0.17109507780329358</v>
      </c>
      <c r="D96" s="273">
        <f t="shared" ref="D96:J96" si="23">D90/D87</f>
        <v>0.13686677659332389</v>
      </c>
      <c r="E96" s="273">
        <f t="shared" si="23"/>
        <v>0.13788557175328123</v>
      </c>
      <c r="F96" s="273">
        <f t="shared" si="23"/>
        <v>0.13849408260885759</v>
      </c>
      <c r="G96" s="273">
        <f t="shared" si="23"/>
        <v>0.13874082663065898</v>
      </c>
      <c r="H96" s="273">
        <f t="shared" si="23"/>
        <v>0.13866479498594492</v>
      </c>
      <c r="I96" s="273">
        <f t="shared" si="23"/>
        <v>0.13829691344617437</v>
      </c>
      <c r="J96" s="273">
        <f t="shared" si="23"/>
        <v>0.13766125149514877</v>
      </c>
    </row>
    <row r="97" spans="2:10" x14ac:dyDescent="0.25">
      <c r="B97" s="272" t="s">
        <v>420</v>
      </c>
      <c r="C97" s="273">
        <f>C93/C87</f>
        <v>0.11117885353969735</v>
      </c>
      <c r="D97" s="273">
        <f t="shared" ref="D97:J97" si="24">D93/D87</f>
        <v>9.0585478098936467E-2</v>
      </c>
      <c r="E97" s="273">
        <f t="shared" si="24"/>
        <v>9.229572358947398E-2</v>
      </c>
      <c r="F97" s="273">
        <f t="shared" si="24"/>
        <v>9.3789408764872878E-2</v>
      </c>
      <c r="G97" s="273">
        <f t="shared" si="24"/>
        <v>9.5111957104541484E-2</v>
      </c>
      <c r="H97" s="273">
        <f t="shared" si="24"/>
        <v>9.6303170665144683E-2</v>
      </c>
      <c r="I97" s="273">
        <f t="shared" si="24"/>
        <v>9.7398422750984176E-2</v>
      </c>
      <c r="J97" s="273">
        <f t="shared" si="24"/>
        <v>9.7736391741271786E-2</v>
      </c>
    </row>
    <row r="98" spans="2:10" x14ac:dyDescent="0.25">
      <c r="B98" s="272" t="s">
        <v>421</v>
      </c>
      <c r="C98" s="274"/>
      <c r="D98" s="273">
        <f>D87/C87-1</f>
        <v>0.44000000000000017</v>
      </c>
      <c r="E98" s="273">
        <f t="shared" ref="E98:J98" si="25">E87/D87-1</f>
        <v>2.0000000000000018E-2</v>
      </c>
      <c r="F98" s="273">
        <f t="shared" si="25"/>
        <v>2.0000000000000018E-2</v>
      </c>
      <c r="G98" s="273">
        <f t="shared" si="25"/>
        <v>2.000000000000024E-2</v>
      </c>
      <c r="H98" s="273">
        <f t="shared" si="25"/>
        <v>1.9999999999999574E-2</v>
      </c>
      <c r="I98" s="273">
        <f t="shared" si="25"/>
        <v>2.0000000000000018E-2</v>
      </c>
      <c r="J98" s="273">
        <f t="shared" si="25"/>
        <v>2.000000000000024E-2</v>
      </c>
    </row>
  </sheetData>
  <mergeCells count="3">
    <mergeCell ref="B1:J1"/>
    <mergeCell ref="B2:J2"/>
    <mergeCell ref="B3:J3"/>
  </mergeCells>
  <dataValidations count="1">
    <dataValidation type="list" allowBlank="1" showInputMessage="1" showErrorMessage="1" sqref="A9 A20:A23">
      <formula1>"0%, 10%"</formula1>
    </dataValidation>
  </dataValidations>
  <pageMargins left="0.56999999999999995" right="0.31496062992125984" top="0.72" bottom="0.51181102362204722" header="0.31496062992125984" footer="0.31496062992125984"/>
  <pageSetup scale="2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M72"/>
  <sheetViews>
    <sheetView showGridLines="0" topLeftCell="A43" zoomScaleNormal="100" zoomScaleSheetLayoutView="100" workbookViewId="0">
      <selection activeCell="C51" sqref="C51:J51"/>
    </sheetView>
  </sheetViews>
  <sheetFormatPr defaultColWidth="8.85546875" defaultRowHeight="15" x14ac:dyDescent="0.25"/>
  <cols>
    <col min="1" max="1" width="5" style="124" customWidth="1"/>
    <col min="2" max="2" width="46.28515625" style="145" customWidth="1"/>
    <col min="3" max="9" width="16.28515625" style="95" customWidth="1"/>
    <col min="10" max="10" width="16.28515625" style="129" customWidth="1"/>
    <col min="11" max="12" width="8.85546875" style="124"/>
    <col min="13" max="13" width="14.140625" style="124" bestFit="1" customWidth="1"/>
    <col min="14" max="16384" width="8.85546875" style="124"/>
  </cols>
  <sheetData>
    <row r="1" spans="2:10" ht="23.25" customHeight="1" x14ac:dyDescent="0.25">
      <c r="B1" s="366"/>
      <c r="C1" s="366"/>
      <c r="D1" s="366"/>
      <c r="E1" s="366"/>
      <c r="F1" s="366"/>
      <c r="G1" s="366"/>
      <c r="H1" s="366"/>
      <c r="I1" s="366"/>
      <c r="J1" s="366"/>
    </row>
    <row r="2" spans="2:10" ht="18.75" customHeight="1" x14ac:dyDescent="0.25">
      <c r="B2" s="364" t="str">
        <f>'Investment in project'!B2:E2</f>
        <v xml:space="preserve">ORENSE INDUSTRIES PRIVATE LIMITED, CIN: U23209OR2022PTC041057,  Andhapasra Road, Near Hanuman Temple, Berhampur Ganjam Pin- 760002 </v>
      </c>
      <c r="C2" s="364"/>
      <c r="D2" s="364"/>
      <c r="E2" s="364"/>
      <c r="F2" s="364"/>
      <c r="G2" s="364"/>
      <c r="H2" s="364"/>
      <c r="I2" s="364"/>
      <c r="J2" s="364"/>
    </row>
    <row r="3" spans="2:10" ht="14.25" customHeight="1" x14ac:dyDescent="0.25">
      <c r="B3" s="124"/>
      <c r="C3" s="129"/>
      <c r="D3" s="129"/>
      <c r="E3" s="129"/>
      <c r="F3" s="129"/>
      <c r="G3" s="129"/>
      <c r="H3" s="129"/>
      <c r="I3" s="129"/>
    </row>
    <row r="4" spans="2:10" ht="19.5" customHeight="1" x14ac:dyDescent="0.25">
      <c r="B4" s="147" t="s">
        <v>7</v>
      </c>
      <c r="C4" s="138"/>
      <c r="D4" s="138"/>
      <c r="E4" s="138"/>
      <c r="F4" s="138"/>
      <c r="G4" s="138"/>
      <c r="H4" s="138"/>
      <c r="I4" s="138"/>
      <c r="J4" s="138"/>
    </row>
    <row r="5" spans="2:10" ht="16.5" customHeight="1" x14ac:dyDescent="0.25">
      <c r="B5" s="124"/>
      <c r="C5" s="94">
        <f>10^5</f>
        <v>100000</v>
      </c>
      <c r="D5" s="129"/>
      <c r="E5" s="129"/>
      <c r="F5" s="129"/>
      <c r="G5" s="129"/>
      <c r="H5" s="129"/>
      <c r="I5" s="129"/>
    </row>
    <row r="6" spans="2:10" ht="19.5" customHeight="1" x14ac:dyDescent="0.25">
      <c r="B6" s="73" t="s">
        <v>317</v>
      </c>
      <c r="C6" s="148" t="str">
        <f>+PL!C6</f>
        <v>FY-24-25</v>
      </c>
      <c r="D6" s="148" t="str">
        <f>+PL!D6</f>
        <v>FY-25-26</v>
      </c>
      <c r="E6" s="148" t="str">
        <f>+PL!E6</f>
        <v>FY-26-27</v>
      </c>
      <c r="F6" s="148" t="str">
        <f>+PL!F6</f>
        <v>FY-27-28</v>
      </c>
      <c r="G6" s="148" t="str">
        <f>+PL!G6</f>
        <v>FY-28-29</v>
      </c>
      <c r="H6" s="148" t="str">
        <f>+PL!H6</f>
        <v>FY-29-30</v>
      </c>
      <c r="I6" s="148" t="str">
        <f>+PL!I6</f>
        <v>FY-30-31</v>
      </c>
      <c r="J6" s="148" t="str">
        <f>+PL!J6</f>
        <v>FY-31-32</v>
      </c>
    </row>
    <row r="7" spans="2:10" x14ac:dyDescent="0.25">
      <c r="B7" s="133" t="s">
        <v>318</v>
      </c>
      <c r="C7" s="92"/>
      <c r="D7" s="92"/>
    </row>
    <row r="8" spans="2:10" ht="3.75" hidden="1" customHeight="1" x14ac:dyDescent="0.25">
      <c r="C8" s="92"/>
      <c r="D8" s="92"/>
    </row>
    <row r="9" spans="2:10" ht="16.5" customHeight="1" x14ac:dyDescent="0.25">
      <c r="B9" s="145" t="s">
        <v>313</v>
      </c>
      <c r="C9" s="313">
        <v>0</v>
      </c>
      <c r="D9" s="313">
        <f>+C13</f>
        <v>165.5</v>
      </c>
      <c r="E9" s="313">
        <f t="shared" ref="E9:J9" si="0">+D13</f>
        <v>165.5</v>
      </c>
      <c r="F9" s="313">
        <f t="shared" si="0"/>
        <v>165.5</v>
      </c>
      <c r="G9" s="313">
        <f t="shared" si="0"/>
        <v>165.5</v>
      </c>
      <c r="H9" s="313">
        <f t="shared" si="0"/>
        <v>165.5</v>
      </c>
      <c r="I9" s="313">
        <f t="shared" si="0"/>
        <v>165.5</v>
      </c>
      <c r="J9" s="313">
        <f t="shared" si="0"/>
        <v>165.5</v>
      </c>
    </row>
    <row r="10" spans="2:10" ht="3" hidden="1" customHeight="1" x14ac:dyDescent="0.25">
      <c r="C10" s="313"/>
      <c r="D10" s="313"/>
      <c r="E10" s="313"/>
      <c r="F10" s="313"/>
      <c r="G10" s="313"/>
      <c r="H10" s="313"/>
      <c r="I10" s="313"/>
      <c r="J10" s="313"/>
    </row>
    <row r="11" spans="2:10" ht="18" customHeight="1" x14ac:dyDescent="0.25">
      <c r="B11" s="145" t="s">
        <v>314</v>
      </c>
      <c r="C11" s="313">
        <f>(+'Means of Finance'!C18+'Means of Finance'!C20)/(10^5)</f>
        <v>165.5</v>
      </c>
      <c r="D11" s="313">
        <v>0</v>
      </c>
      <c r="E11" s="313">
        <v>0</v>
      </c>
      <c r="F11" s="313">
        <v>0</v>
      </c>
      <c r="G11" s="313">
        <v>0</v>
      </c>
      <c r="H11" s="313">
        <v>0</v>
      </c>
      <c r="I11" s="313">
        <v>0</v>
      </c>
      <c r="J11" s="313">
        <v>0</v>
      </c>
    </row>
    <row r="12" spans="2:10" ht="6.6" hidden="1" customHeight="1" x14ac:dyDescent="0.25">
      <c r="C12" s="313"/>
      <c r="D12" s="313"/>
      <c r="E12" s="313"/>
      <c r="F12" s="313"/>
      <c r="G12" s="313"/>
      <c r="H12" s="313"/>
      <c r="I12" s="313"/>
      <c r="J12" s="313"/>
    </row>
    <row r="13" spans="2:10" ht="15" customHeight="1" x14ac:dyDescent="0.25">
      <c r="B13" s="314" t="s">
        <v>315</v>
      </c>
      <c r="C13" s="315">
        <f>+C9+C11</f>
        <v>165.5</v>
      </c>
      <c r="D13" s="315">
        <f t="shared" ref="D13:J13" si="1">+D9+D11</f>
        <v>165.5</v>
      </c>
      <c r="E13" s="315">
        <f t="shared" si="1"/>
        <v>165.5</v>
      </c>
      <c r="F13" s="315">
        <f t="shared" si="1"/>
        <v>165.5</v>
      </c>
      <c r="G13" s="315">
        <f t="shared" si="1"/>
        <v>165.5</v>
      </c>
      <c r="H13" s="315">
        <f t="shared" si="1"/>
        <v>165.5</v>
      </c>
      <c r="I13" s="315">
        <f t="shared" si="1"/>
        <v>165.5</v>
      </c>
      <c r="J13" s="315">
        <f t="shared" si="1"/>
        <v>165.5</v>
      </c>
    </row>
    <row r="14" spans="2:10" ht="6" customHeight="1" x14ac:dyDescent="0.25">
      <c r="C14" s="94"/>
      <c r="D14" s="94"/>
      <c r="E14" s="94"/>
      <c r="F14" s="94"/>
      <c r="G14" s="94"/>
      <c r="H14" s="94"/>
      <c r="I14" s="94"/>
      <c r="J14" s="94"/>
    </row>
    <row r="15" spans="2:10" ht="15" customHeight="1" x14ac:dyDescent="0.25">
      <c r="B15" s="145" t="s">
        <v>316</v>
      </c>
      <c r="C15" s="313">
        <v>0</v>
      </c>
      <c r="D15" s="313">
        <f>+C21</f>
        <v>216.40572872572159</v>
      </c>
      <c r="E15" s="313">
        <f t="shared" ref="E15:J15" si="2">+D21</f>
        <v>244.96310793141333</v>
      </c>
      <c r="F15" s="313">
        <f t="shared" si="2"/>
        <v>352.70003144919804</v>
      </c>
      <c r="G15" s="313">
        <f t="shared" si="2"/>
        <v>478.97309040666244</v>
      </c>
      <c r="H15" s="313">
        <f t="shared" si="2"/>
        <v>623.34114318979334</v>
      </c>
      <c r="I15" s="313">
        <f t="shared" si="2"/>
        <v>785.55075919936235</v>
      </c>
      <c r="J15" s="313">
        <f t="shared" si="2"/>
        <v>965.52643462205197</v>
      </c>
    </row>
    <row r="16" spans="2:10" ht="5.45" hidden="1" customHeight="1" x14ac:dyDescent="0.25">
      <c r="C16" s="313"/>
      <c r="D16" s="313"/>
      <c r="E16" s="313"/>
      <c r="F16" s="313"/>
      <c r="G16" s="313"/>
      <c r="H16" s="313"/>
      <c r="I16" s="313"/>
      <c r="J16" s="313"/>
    </row>
    <row r="17" spans="2:10" ht="19.5" customHeight="1" x14ac:dyDescent="0.25">
      <c r="B17" s="145" t="s">
        <v>402</v>
      </c>
      <c r="C17" s="313">
        <f>(+PL!C65)/(10^5)</f>
        <v>416.40572872572159</v>
      </c>
      <c r="D17" s="313">
        <f>(+PL!D65)/(10^5)</f>
        <v>488.55737920569169</v>
      </c>
      <c r="E17" s="313">
        <f>(+PL!E65)/(10^5)</f>
        <v>507.7369235177847</v>
      </c>
      <c r="F17" s="313">
        <f>(+PL!F65)/(10^5)</f>
        <v>526.2730589574644</v>
      </c>
      <c r="G17" s="313">
        <f>(+PL!G65)/(10^5)</f>
        <v>544.36805278313091</v>
      </c>
      <c r="H17" s="313">
        <f>(+PL!H65)/(10^5)</f>
        <v>562.20961600956889</v>
      </c>
      <c r="I17" s="313">
        <f>(+PL!I65)/(10^5)</f>
        <v>579.97567542268973</v>
      </c>
      <c r="J17" s="313">
        <f>(+PL!J65)/(10^5)</f>
        <v>593.62793335590106</v>
      </c>
    </row>
    <row r="18" spans="2:10" ht="3.75" hidden="1" customHeight="1" x14ac:dyDescent="0.25">
      <c r="C18" s="313">
        <f t="shared" ref="C18:J18" si="3">0/(10^5)</f>
        <v>0</v>
      </c>
      <c r="D18" s="313">
        <f t="shared" si="3"/>
        <v>0</v>
      </c>
      <c r="E18" s="313">
        <f t="shared" si="3"/>
        <v>0</v>
      </c>
      <c r="F18" s="313">
        <f t="shared" si="3"/>
        <v>0</v>
      </c>
      <c r="G18" s="313">
        <f t="shared" si="3"/>
        <v>0</v>
      </c>
      <c r="H18" s="313">
        <f t="shared" si="3"/>
        <v>0</v>
      </c>
      <c r="I18" s="313">
        <f t="shared" si="3"/>
        <v>0</v>
      </c>
      <c r="J18" s="313">
        <f t="shared" si="3"/>
        <v>0</v>
      </c>
    </row>
    <row r="19" spans="2:10" ht="18.600000000000001" customHeight="1" x14ac:dyDescent="0.25">
      <c r="B19" s="145" t="s">
        <v>403</v>
      </c>
      <c r="C19" s="313">
        <f>(10000000*2)/(10^5)</f>
        <v>200</v>
      </c>
      <c r="D19" s="313">
        <f>(23000000*2)/(10^5)</f>
        <v>460</v>
      </c>
      <c r="E19" s="313">
        <f>(20000000*2)/(10^5)</f>
        <v>400</v>
      </c>
      <c r="F19" s="313">
        <f>(20000000*2)/(10^5)</f>
        <v>400</v>
      </c>
      <c r="G19" s="313">
        <f>(20000000*2)/(10^5)</f>
        <v>400</v>
      </c>
      <c r="H19" s="313">
        <f>(20000000*2)/(10^5)</f>
        <v>400</v>
      </c>
      <c r="I19" s="313">
        <f>(20000000*2)/(10^5)</f>
        <v>400</v>
      </c>
      <c r="J19" s="313">
        <f>(25000000*2)/(10^5)</f>
        <v>500</v>
      </c>
    </row>
    <row r="20" spans="2:10" ht="3.75" hidden="1" customHeight="1" x14ac:dyDescent="0.25">
      <c r="C20" s="313"/>
      <c r="D20" s="313"/>
      <c r="E20" s="313"/>
      <c r="F20" s="313"/>
      <c r="G20" s="313"/>
      <c r="H20" s="313"/>
      <c r="I20" s="313"/>
      <c r="J20" s="313"/>
    </row>
    <row r="21" spans="2:10" ht="17.25" customHeight="1" x14ac:dyDescent="0.25">
      <c r="B21" s="133" t="s">
        <v>404</v>
      </c>
      <c r="C21" s="313">
        <f>+C15+C17-C19</f>
        <v>216.40572872572159</v>
      </c>
      <c r="D21" s="313">
        <f t="shared" ref="D21:J21" si="4">+D15+D17-D19</f>
        <v>244.96310793141333</v>
      </c>
      <c r="E21" s="313">
        <f t="shared" si="4"/>
        <v>352.70003144919804</v>
      </c>
      <c r="F21" s="313">
        <f t="shared" si="4"/>
        <v>478.97309040666244</v>
      </c>
      <c r="G21" s="313">
        <f t="shared" si="4"/>
        <v>623.34114318979334</v>
      </c>
      <c r="H21" s="313">
        <f t="shared" si="4"/>
        <v>785.55075919936235</v>
      </c>
      <c r="I21" s="313">
        <f t="shared" si="4"/>
        <v>965.52643462205197</v>
      </c>
      <c r="J21" s="313">
        <f t="shared" si="4"/>
        <v>1059.1543679779529</v>
      </c>
    </row>
    <row r="22" spans="2:10" ht="3.75" hidden="1" customHeight="1" x14ac:dyDescent="0.25">
      <c r="B22" s="133"/>
      <c r="C22" s="94"/>
      <c r="D22" s="94"/>
      <c r="J22" s="95"/>
    </row>
    <row r="23" spans="2:10" ht="15" customHeight="1" x14ac:dyDescent="0.25">
      <c r="B23" s="133" t="s">
        <v>319</v>
      </c>
      <c r="C23" s="94"/>
      <c r="D23" s="94"/>
      <c r="J23" s="95"/>
    </row>
    <row r="24" spans="2:10" ht="3.75" hidden="1" customHeight="1" x14ac:dyDescent="0.25">
      <c r="B24" s="133"/>
      <c r="C24" s="94"/>
      <c r="D24" s="94"/>
      <c r="J24" s="95"/>
    </row>
    <row r="25" spans="2:10" ht="18.75" customHeight="1" x14ac:dyDescent="0.25">
      <c r="B25" s="145" t="s">
        <v>320</v>
      </c>
      <c r="C25" s="313">
        <f>(+'TL interest'!G20)/(10^5)</f>
        <v>372</v>
      </c>
      <c r="D25" s="313">
        <f>(+'TL interest'!G32)/(10^5)</f>
        <v>328.81984999999997</v>
      </c>
      <c r="E25" s="313">
        <f>(+'TL interest'!G44)/(10^5)</f>
        <v>279.43581999999998</v>
      </c>
      <c r="F25" s="313">
        <f>(+'TL interest'!G56)/(10^5)</f>
        <v>222.95656</v>
      </c>
      <c r="G25" s="313">
        <f>(+'TL interest'!G68)/(10^5)</f>
        <v>158.36268000000001</v>
      </c>
      <c r="H25" s="313">
        <f>(+'TL interest'!G80)/(10^5)</f>
        <v>84.488290000000006</v>
      </c>
      <c r="I25" s="313">
        <f>(+'TL interest'!G92)/(10^5)</f>
        <v>0</v>
      </c>
      <c r="J25" s="313">
        <f>0/(10^5)</f>
        <v>0</v>
      </c>
    </row>
    <row r="26" spans="2:10" ht="4.5" hidden="1" customHeight="1" x14ac:dyDescent="0.25">
      <c r="C26" s="94"/>
      <c r="D26" s="94"/>
      <c r="J26" s="95"/>
    </row>
    <row r="27" spans="2:10" ht="15" customHeight="1" x14ac:dyDescent="0.25">
      <c r="B27" s="133" t="s">
        <v>321</v>
      </c>
      <c r="C27" s="94"/>
      <c r="D27" s="94"/>
      <c r="J27" s="95"/>
    </row>
    <row r="28" spans="2:10" ht="4.5" hidden="1" customHeight="1" x14ac:dyDescent="0.25">
      <c r="C28" s="94"/>
      <c r="D28" s="94"/>
      <c r="J28" s="95"/>
    </row>
    <row r="29" spans="2:10" ht="17.25" customHeight="1" x14ac:dyDescent="0.25">
      <c r="B29" s="145" t="s">
        <v>147</v>
      </c>
      <c r="C29" s="313">
        <f>(+'Means of Finance'!C16)/(10^5)</f>
        <v>124.5</v>
      </c>
      <c r="D29" s="94">
        <f>+C29</f>
        <v>124.5</v>
      </c>
      <c r="E29" s="94">
        <f t="shared" ref="E29:J29" si="5">+D29</f>
        <v>124.5</v>
      </c>
      <c r="F29" s="94">
        <f t="shared" si="5"/>
        <v>124.5</v>
      </c>
      <c r="G29" s="94">
        <f t="shared" si="5"/>
        <v>124.5</v>
      </c>
      <c r="H29" s="94">
        <f t="shared" si="5"/>
        <v>124.5</v>
      </c>
      <c r="I29" s="94">
        <f t="shared" si="5"/>
        <v>124.5</v>
      </c>
      <c r="J29" s="94">
        <f t="shared" si="5"/>
        <v>124.5</v>
      </c>
    </row>
    <row r="30" spans="2:10" ht="5.25" hidden="1" customHeight="1" x14ac:dyDescent="0.25">
      <c r="C30" s="94"/>
      <c r="D30" s="94"/>
    </row>
    <row r="31" spans="2:10" ht="19.5" customHeight="1" x14ac:dyDescent="0.25">
      <c r="B31" s="145" t="s">
        <v>1</v>
      </c>
      <c r="C31" s="313">
        <f>(+(RM!G8+RM!G9)/300*3)/(10^5)</f>
        <v>30.6</v>
      </c>
      <c r="D31" s="313">
        <f>(+RM!E10*3)/(10^5)</f>
        <v>44.064</v>
      </c>
      <c r="E31" s="313">
        <f>(+RM!E11*3)/(10^5)</f>
        <v>44.945279999999997</v>
      </c>
      <c r="F31" s="313">
        <f>(+RM!E12*3)/(10^5)</f>
        <v>45.844185600000003</v>
      </c>
      <c r="G31" s="313">
        <f>(+RM!E13*3)/(10^5)</f>
        <v>46.761069311999997</v>
      </c>
      <c r="H31" s="313">
        <f>(+RM!E14*3)/(10^5)</f>
        <v>47.696290698240006</v>
      </c>
      <c r="I31" s="313">
        <f>(+RM!E15*3)/(10^5)</f>
        <v>48.6502165122048</v>
      </c>
      <c r="J31" s="313">
        <f>(+RM!E16*3)/(10^5)</f>
        <v>49.623220842448902</v>
      </c>
    </row>
    <row r="32" spans="2:10" ht="3" customHeight="1" x14ac:dyDescent="0.25">
      <c r="C32" s="94"/>
      <c r="D32" s="94"/>
    </row>
    <row r="33" spans="2:13" ht="18" customHeight="1" x14ac:dyDescent="0.25">
      <c r="B33" s="149" t="s">
        <v>6</v>
      </c>
      <c r="C33" s="316">
        <f t="shared" ref="C33:J33" si="6">SUM(C21:C32)+C13</f>
        <v>909.00572872572161</v>
      </c>
      <c r="D33" s="316">
        <f t="shared" si="6"/>
        <v>907.84695793141327</v>
      </c>
      <c r="E33" s="316">
        <f t="shared" si="6"/>
        <v>967.0811314491981</v>
      </c>
      <c r="F33" s="316">
        <f t="shared" si="6"/>
        <v>1037.7738360066623</v>
      </c>
      <c r="G33" s="316">
        <f t="shared" si="6"/>
        <v>1118.4648925017934</v>
      </c>
      <c r="H33" s="316">
        <f t="shared" si="6"/>
        <v>1207.7353398976024</v>
      </c>
      <c r="I33" s="316">
        <f t="shared" si="6"/>
        <v>1304.1766511342569</v>
      </c>
      <c r="J33" s="316">
        <f t="shared" si="6"/>
        <v>1398.7775888204019</v>
      </c>
    </row>
    <row r="34" spans="2:13" ht="4.5" customHeight="1" x14ac:dyDescent="0.25">
      <c r="C34" s="94"/>
      <c r="D34" s="94"/>
    </row>
    <row r="35" spans="2:13" ht="18" customHeight="1" x14ac:dyDescent="0.25">
      <c r="B35" s="133" t="s">
        <v>2</v>
      </c>
      <c r="C35" s="94"/>
      <c r="D35" s="94"/>
    </row>
    <row r="36" spans="2:13" ht="18" customHeight="1" x14ac:dyDescent="0.25">
      <c r="B36" s="133" t="s">
        <v>322</v>
      </c>
      <c r="C36" s="94"/>
      <c r="D36" s="94"/>
    </row>
    <row r="37" spans="2:13" ht="18" customHeight="1" x14ac:dyDescent="0.25">
      <c r="B37" s="145" t="s">
        <v>3</v>
      </c>
      <c r="C37" s="94"/>
      <c r="D37" s="94"/>
      <c r="M37" s="125"/>
    </row>
    <row r="38" spans="2:13" x14ac:dyDescent="0.25">
      <c r="B38" s="145" t="s">
        <v>146</v>
      </c>
      <c r="C38" s="313">
        <f>(+depreciation!C14)/(10^5)</f>
        <v>413.47500000000002</v>
      </c>
      <c r="D38" s="313">
        <f>(+depreciation!D14)/(10^5)</f>
        <v>351.45375000000001</v>
      </c>
      <c r="E38" s="313">
        <f>(+depreciation!E14)/(10^5)</f>
        <v>298.73568749999998</v>
      </c>
      <c r="F38" s="313">
        <f>(+depreciation!F14)/(10^5)</f>
        <v>253.92533437500001</v>
      </c>
      <c r="G38" s="313">
        <f>(+depreciation!G14)/(10^5)</f>
        <v>215.83653421874999</v>
      </c>
      <c r="H38" s="313">
        <f>(+depreciation!H14)/(10^5)</f>
        <v>183.46105408593752</v>
      </c>
      <c r="I38" s="313">
        <f>(+depreciation!I14)/(10^5)</f>
        <v>155.94189597304688</v>
      </c>
      <c r="J38" s="313">
        <f>(+depreciation!J14)/(10^5)</f>
        <v>132.55061157708985</v>
      </c>
    </row>
    <row r="39" spans="2:13" x14ac:dyDescent="0.25">
      <c r="B39" s="145" t="s">
        <v>232</v>
      </c>
      <c r="C39" s="313">
        <f>(+depreciation!C25)/(10^5)</f>
        <v>47.774999999999999</v>
      </c>
      <c r="D39" s="313">
        <f>(+depreciation!D25)/(10^5)</f>
        <v>42.997500000000002</v>
      </c>
      <c r="E39" s="313">
        <f>(+depreciation!E25)/(10^5)</f>
        <v>38.697749999999999</v>
      </c>
      <c r="F39" s="313">
        <f>(+depreciation!F25)/(10^5)</f>
        <v>34.827975000000002</v>
      </c>
      <c r="G39" s="313">
        <f>(+depreciation!G25)/(10^5)</f>
        <v>31.345177499999998</v>
      </c>
      <c r="H39" s="313">
        <f>(+depreciation!H25)/(10^5)</f>
        <v>28.210659750000001</v>
      </c>
      <c r="I39" s="313">
        <f>(+depreciation!I25)/(10^5)</f>
        <v>25.389593774999998</v>
      </c>
      <c r="J39" s="313">
        <f>(+depreciation!J25)/(10^5)</f>
        <v>22.850634397499999</v>
      </c>
      <c r="M39" s="141"/>
    </row>
    <row r="40" spans="2:13" ht="6" customHeight="1" x14ac:dyDescent="0.25">
      <c r="C40" s="94"/>
      <c r="D40" s="94"/>
    </row>
    <row r="41" spans="2:13" ht="21.95" customHeight="1" x14ac:dyDescent="0.25">
      <c r="B41" s="133" t="s">
        <v>323</v>
      </c>
      <c r="C41" s="94"/>
      <c r="D41" s="94"/>
    </row>
    <row r="42" spans="2:13" ht="6" customHeight="1" x14ac:dyDescent="0.25">
      <c r="C42" s="94"/>
      <c r="D42" s="94"/>
    </row>
    <row r="43" spans="2:13" ht="18.75" customHeight="1" x14ac:dyDescent="0.25">
      <c r="B43" s="145" t="s">
        <v>4</v>
      </c>
      <c r="C43" s="313">
        <f>(PL!C11)/(10^5)</f>
        <v>119.92012306416001</v>
      </c>
      <c r="D43" s="313">
        <f>(PL!D11)/(10^5)</f>
        <v>122.31852552544321</v>
      </c>
      <c r="E43" s="313">
        <f>(PL!E11)/(10^5)</f>
        <v>124.76489603595206</v>
      </c>
      <c r="F43" s="313">
        <f>(PL!F11)/(10^5)</f>
        <v>127.26019395667112</v>
      </c>
      <c r="G43" s="313">
        <f>(PL!G11)/(10^5)</f>
        <v>129.80539783580451</v>
      </c>
      <c r="H43" s="313">
        <f>(PL!H11)/(10^5)</f>
        <v>132.40150579252065</v>
      </c>
      <c r="I43" s="313">
        <f>(PL!I11)/(10^5)</f>
        <v>135.04953590837101</v>
      </c>
      <c r="J43" s="313">
        <f>(PL!J11)/(10^5)</f>
        <v>137.75052662653846</v>
      </c>
      <c r="K43" s="141"/>
      <c r="L43" s="141"/>
      <c r="M43" s="141"/>
    </row>
    <row r="44" spans="2:13" ht="3.75" hidden="1" customHeight="1" x14ac:dyDescent="0.25">
      <c r="C44" s="313">
        <f t="shared" ref="C44:J44" si="7">0/(10^5)</f>
        <v>0</v>
      </c>
      <c r="D44" s="313">
        <f t="shared" si="7"/>
        <v>0</v>
      </c>
      <c r="E44" s="313">
        <f t="shared" si="7"/>
        <v>0</v>
      </c>
      <c r="F44" s="313">
        <f t="shared" si="7"/>
        <v>0</v>
      </c>
      <c r="G44" s="313">
        <f t="shared" si="7"/>
        <v>0</v>
      </c>
      <c r="H44" s="313">
        <f t="shared" si="7"/>
        <v>0</v>
      </c>
      <c r="I44" s="313">
        <f t="shared" si="7"/>
        <v>0</v>
      </c>
      <c r="J44" s="313">
        <f t="shared" si="7"/>
        <v>0</v>
      </c>
      <c r="K44" s="141"/>
      <c r="L44" s="141"/>
      <c r="M44" s="141"/>
    </row>
    <row r="45" spans="2:13" ht="18" customHeight="1" x14ac:dyDescent="0.25">
      <c r="B45" s="145" t="s">
        <v>5</v>
      </c>
      <c r="C45" s="313">
        <f>(+PL!C9*15/300)/(10^5)</f>
        <v>187.26840377835001</v>
      </c>
      <c r="D45" s="313">
        <f>(+PL!D9*20/300)/(10^5)</f>
        <v>359.55533525443201</v>
      </c>
      <c r="E45" s="313">
        <f>(+PL!E9*25/300)/(10^5)</f>
        <v>458.43305244940086</v>
      </c>
      <c r="F45" s="313">
        <f>(+PL!F9*30/300)/(10^5)</f>
        <v>561.1220561980665</v>
      </c>
      <c r="G45" s="313">
        <f>(+PL!G9*35/300)/(10^5)</f>
        <v>667.73524687569943</v>
      </c>
      <c r="H45" s="313">
        <f>(+PL!H9*40/300)/(10^5)</f>
        <v>778.38851635795788</v>
      </c>
      <c r="I45" s="313">
        <f>(+PL!I9*45/300)/(10^5)</f>
        <v>893.20082252075667</v>
      </c>
      <c r="J45" s="313">
        <f>(+PL!J9*50/300)/(10^5)</f>
        <v>1012.2942655235245</v>
      </c>
      <c r="M45" s="141"/>
    </row>
    <row r="46" spans="2:13" ht="5.25" hidden="1" customHeight="1" x14ac:dyDescent="0.25">
      <c r="C46" s="94"/>
      <c r="D46" s="94"/>
      <c r="M46" s="141"/>
    </row>
    <row r="47" spans="2:13" ht="19.5" customHeight="1" x14ac:dyDescent="0.25">
      <c r="B47" s="145" t="s">
        <v>324</v>
      </c>
      <c r="C47" s="313">
        <f>(+'Means of Finance'!C27)/(10^5)</f>
        <v>123</v>
      </c>
      <c r="D47" s="94">
        <v>0</v>
      </c>
      <c r="E47" s="95">
        <v>0</v>
      </c>
      <c r="F47" s="95">
        <v>0</v>
      </c>
      <c r="G47" s="95">
        <v>0</v>
      </c>
      <c r="H47" s="95">
        <v>0</v>
      </c>
      <c r="I47" s="95">
        <v>0</v>
      </c>
      <c r="J47" s="129">
        <v>0</v>
      </c>
      <c r="M47" s="141"/>
    </row>
    <row r="48" spans="2:13" ht="5.25" hidden="1" customHeight="1" x14ac:dyDescent="0.25">
      <c r="C48" s="94"/>
      <c r="D48" s="94"/>
      <c r="M48" s="141"/>
    </row>
    <row r="49" spans="2:13" ht="17.25" customHeight="1" x14ac:dyDescent="0.25">
      <c r="B49" s="145" t="s">
        <v>325</v>
      </c>
      <c r="C49" s="313">
        <f>'cash flow statement Lakhs'!C46</f>
        <v>17.567201883211624</v>
      </c>
      <c r="D49" s="313">
        <f>'cash flow statement Lakhs'!D46</f>
        <v>31.521847151538054</v>
      </c>
      <c r="E49" s="313">
        <f>'cash flow statement Lakhs'!E46</f>
        <v>46.449745463845147</v>
      </c>
      <c r="F49" s="313">
        <f>'cash flow statement Lakhs'!F46</f>
        <v>60.638276476924773</v>
      </c>
      <c r="G49" s="313">
        <f>'cash flow statement Lakhs'!G46</f>
        <v>73.742536071539462</v>
      </c>
      <c r="H49" s="313">
        <f>'cash flow statement Lakhs'!H46</f>
        <v>85.273603911186285</v>
      </c>
      <c r="I49" s="313">
        <f>'cash flow statement Lakhs'!I46</f>
        <v>94.594802957082095</v>
      </c>
      <c r="J49" s="313">
        <f>'cash flow statement Lakhs'!J46</f>
        <v>93.331550695749172</v>
      </c>
      <c r="M49" s="141"/>
    </row>
    <row r="50" spans="2:13" ht="4.5" hidden="1" customHeight="1" x14ac:dyDescent="0.25">
      <c r="C50" s="94"/>
      <c r="D50" s="94"/>
    </row>
    <row r="51" spans="2:13" ht="19.5" customHeight="1" x14ac:dyDescent="0.25">
      <c r="B51" s="149" t="s">
        <v>6</v>
      </c>
      <c r="C51" s="316">
        <f>SUM(C38:C50)</f>
        <v>909.00572872572161</v>
      </c>
      <c r="D51" s="316">
        <f t="shared" ref="D51:J51" si="8">SUM(D38:D50)</f>
        <v>907.84695793141339</v>
      </c>
      <c r="E51" s="316">
        <f t="shared" si="8"/>
        <v>967.08113144919798</v>
      </c>
      <c r="F51" s="316">
        <f t="shared" si="8"/>
        <v>1037.7738360066623</v>
      </c>
      <c r="G51" s="316">
        <f t="shared" si="8"/>
        <v>1118.4648925017934</v>
      </c>
      <c r="H51" s="316">
        <f t="shared" si="8"/>
        <v>1207.7353398976022</v>
      </c>
      <c r="I51" s="316">
        <f t="shared" si="8"/>
        <v>1304.1766511342566</v>
      </c>
      <c r="J51" s="316">
        <f t="shared" si="8"/>
        <v>1398.7775888204019</v>
      </c>
    </row>
    <row r="52" spans="2:13" x14ac:dyDescent="0.25">
      <c r="C52" s="317">
        <f>+C33-C51</f>
        <v>0</v>
      </c>
      <c r="D52" s="95">
        <f t="shared" ref="D52:J52" si="9">+D33-D51</f>
        <v>0</v>
      </c>
      <c r="E52" s="95">
        <f t="shared" si="9"/>
        <v>0</v>
      </c>
      <c r="F52" s="95">
        <f t="shared" si="9"/>
        <v>0</v>
      </c>
      <c r="G52" s="95">
        <f t="shared" si="9"/>
        <v>0</v>
      </c>
      <c r="H52" s="95">
        <f t="shared" si="9"/>
        <v>0</v>
      </c>
      <c r="I52" s="95">
        <f t="shared" si="9"/>
        <v>0</v>
      </c>
      <c r="J52" s="95">
        <f t="shared" si="9"/>
        <v>0</v>
      </c>
      <c r="M52" s="141"/>
    </row>
    <row r="53" spans="2:13" x14ac:dyDescent="0.25">
      <c r="D53" s="95">
        <f t="shared" ref="D53:J53" si="10">-D52</f>
        <v>0</v>
      </c>
      <c r="E53" s="95">
        <f t="shared" si="10"/>
        <v>0</v>
      </c>
      <c r="F53" s="95">
        <f t="shared" si="10"/>
        <v>0</v>
      </c>
      <c r="G53" s="95">
        <f t="shared" si="10"/>
        <v>0</v>
      </c>
      <c r="H53" s="95">
        <f t="shared" si="10"/>
        <v>0</v>
      </c>
      <c r="I53" s="95">
        <f t="shared" si="10"/>
        <v>0</v>
      </c>
      <c r="J53" s="95">
        <f t="shared" si="10"/>
        <v>0</v>
      </c>
    </row>
    <row r="54" spans="2:13" x14ac:dyDescent="0.25">
      <c r="J54" s="95"/>
    </row>
    <row r="55" spans="2:13" hidden="1" x14ac:dyDescent="0.25">
      <c r="C55" s="95">
        <f>3200000/75%</f>
        <v>4266666.666666667</v>
      </c>
      <c r="J55" s="95"/>
    </row>
    <row r="56" spans="2:13" hidden="1" x14ac:dyDescent="0.25">
      <c r="C56" s="95">
        <f t="shared" ref="C56:J56" si="11">+SUM(C43:C49)-C31</f>
        <v>417.15572872572159</v>
      </c>
      <c r="D56" s="95">
        <f t="shared" si="11"/>
        <v>469.33170793141318</v>
      </c>
      <c r="E56" s="95">
        <f t="shared" si="11"/>
        <v>584.7024139491981</v>
      </c>
      <c r="F56" s="95">
        <f t="shared" si="11"/>
        <v>703.17634103166256</v>
      </c>
      <c r="G56" s="95">
        <f t="shared" si="11"/>
        <v>824.52211147104344</v>
      </c>
      <c r="H56" s="95">
        <f t="shared" si="11"/>
        <v>948.36733536342479</v>
      </c>
      <c r="I56" s="95">
        <f t="shared" si="11"/>
        <v>1074.1949448740047</v>
      </c>
      <c r="J56" s="95">
        <f t="shared" si="11"/>
        <v>1193.7531220033632</v>
      </c>
    </row>
    <row r="57" spans="2:13" hidden="1" x14ac:dyDescent="0.25">
      <c r="C57" s="95">
        <f>+C56*75%</f>
        <v>312.86679654429122</v>
      </c>
      <c r="D57" s="95">
        <f t="shared" ref="D57:J57" si="12">+D56*75%</f>
        <v>351.9987809485599</v>
      </c>
      <c r="E57" s="95">
        <f t="shared" si="12"/>
        <v>438.52681046189855</v>
      </c>
      <c r="F57" s="95">
        <f t="shared" si="12"/>
        <v>527.38225577374692</v>
      </c>
      <c r="G57" s="95">
        <f t="shared" si="12"/>
        <v>618.39158360328258</v>
      </c>
      <c r="H57" s="95">
        <f t="shared" si="12"/>
        <v>711.27550152256856</v>
      </c>
      <c r="I57" s="95">
        <f t="shared" si="12"/>
        <v>805.64620865550353</v>
      </c>
      <c r="J57" s="95">
        <f t="shared" si="12"/>
        <v>895.31484150252231</v>
      </c>
    </row>
    <row r="58" spans="2:13" hidden="1" x14ac:dyDescent="0.25"/>
    <row r="59" spans="2:13" hidden="1" x14ac:dyDescent="0.25">
      <c r="C59" s="95">
        <f t="shared" ref="C59:J59" si="13">+(C43-C31)*75%</f>
        <v>66.990092298120004</v>
      </c>
      <c r="D59" s="95">
        <f t="shared" si="13"/>
        <v>58.690894144082399</v>
      </c>
      <c r="E59" s="95">
        <f t="shared" si="13"/>
        <v>59.86471202696405</v>
      </c>
      <c r="F59" s="95">
        <f t="shared" si="13"/>
        <v>61.062006267503335</v>
      </c>
      <c r="G59" s="95">
        <f t="shared" si="13"/>
        <v>62.283246392853393</v>
      </c>
      <c r="H59" s="95">
        <f t="shared" si="13"/>
        <v>63.528911320710485</v>
      </c>
      <c r="I59" s="95">
        <f t="shared" si="13"/>
        <v>64.799489547124665</v>
      </c>
      <c r="J59" s="95">
        <f t="shared" si="13"/>
        <v>66.095479338067165</v>
      </c>
    </row>
    <row r="60" spans="2:13" hidden="1" x14ac:dyDescent="0.25">
      <c r="C60" s="95">
        <f t="shared" ref="C60:J60" si="14">+C45*75%</f>
        <v>140.4513028337625</v>
      </c>
      <c r="D60" s="95">
        <f t="shared" si="14"/>
        <v>269.66650144082399</v>
      </c>
      <c r="E60" s="95">
        <f t="shared" si="14"/>
        <v>343.82478933705067</v>
      </c>
      <c r="F60" s="95">
        <f t="shared" si="14"/>
        <v>420.84154214854988</v>
      </c>
      <c r="G60" s="95">
        <f t="shared" si="14"/>
        <v>500.80143515677457</v>
      </c>
      <c r="H60" s="95">
        <f t="shared" si="14"/>
        <v>583.79138726846838</v>
      </c>
      <c r="I60" s="95">
        <f t="shared" si="14"/>
        <v>669.90061689056756</v>
      </c>
      <c r="J60" s="95">
        <f t="shared" si="14"/>
        <v>759.2206991426433</v>
      </c>
    </row>
    <row r="61" spans="2:13" hidden="1" x14ac:dyDescent="0.25">
      <c r="C61" s="95">
        <f>+C59+C60</f>
        <v>207.4413951318825</v>
      </c>
      <c r="D61" s="95">
        <f t="shared" ref="D61:J61" si="15">+D59+D60</f>
        <v>328.35739558490639</v>
      </c>
      <c r="E61" s="95">
        <f t="shared" si="15"/>
        <v>403.68950136401475</v>
      </c>
      <c r="F61" s="95">
        <f t="shared" si="15"/>
        <v>481.90354841605324</v>
      </c>
      <c r="G61" s="95">
        <f t="shared" si="15"/>
        <v>563.08468154962793</v>
      </c>
      <c r="H61" s="95">
        <f t="shared" si="15"/>
        <v>647.32029858917883</v>
      </c>
      <c r="I61" s="95">
        <f t="shared" si="15"/>
        <v>734.70010643769228</v>
      </c>
      <c r="J61" s="95">
        <f t="shared" si="15"/>
        <v>825.31617848071051</v>
      </c>
    </row>
    <row r="62" spans="2:13" hidden="1" x14ac:dyDescent="0.25"/>
    <row r="63" spans="2:13" hidden="1" x14ac:dyDescent="0.25"/>
    <row r="64" spans="2:13" hidden="1" x14ac:dyDescent="0.25">
      <c r="C64" s="95">
        <v>3739239</v>
      </c>
    </row>
    <row r="65" spans="2:10" hidden="1" x14ac:dyDescent="0.25"/>
    <row r="66" spans="2:10" hidden="1" x14ac:dyDescent="0.25"/>
    <row r="69" spans="2:10" x14ac:dyDescent="0.25">
      <c r="B69" s="145" t="s">
        <v>452</v>
      </c>
      <c r="C69" s="95">
        <f>C43+C45+C47</f>
        <v>430.18852684250999</v>
      </c>
      <c r="D69" s="95">
        <f t="shared" ref="D69:J69" si="16">D43+D45+D47</f>
        <v>481.8738607798752</v>
      </c>
      <c r="E69" s="95">
        <f t="shared" si="16"/>
        <v>583.19794848535298</v>
      </c>
      <c r="F69" s="95">
        <f t="shared" si="16"/>
        <v>688.38225015473768</v>
      </c>
      <c r="G69" s="95">
        <f t="shared" si="16"/>
        <v>797.540644711504</v>
      </c>
      <c r="H69" s="95">
        <f t="shared" si="16"/>
        <v>910.79002215047853</v>
      </c>
      <c r="I69" s="95">
        <f t="shared" si="16"/>
        <v>1028.2503584291276</v>
      </c>
      <c r="J69" s="95">
        <f t="shared" si="16"/>
        <v>1150.0447921500629</v>
      </c>
    </row>
    <row r="70" spans="2:10" x14ac:dyDescent="0.25">
      <c r="B70" s="145" t="s">
        <v>453</v>
      </c>
      <c r="C70" s="95">
        <f>C31</f>
        <v>30.6</v>
      </c>
      <c r="D70" s="95">
        <f t="shared" ref="D70:J70" si="17">D31</f>
        <v>44.064</v>
      </c>
      <c r="E70" s="95">
        <f t="shared" si="17"/>
        <v>44.945279999999997</v>
      </c>
      <c r="F70" s="95">
        <f t="shared" si="17"/>
        <v>45.844185600000003</v>
      </c>
      <c r="G70" s="95">
        <f t="shared" si="17"/>
        <v>46.761069311999997</v>
      </c>
      <c r="H70" s="95">
        <f t="shared" si="17"/>
        <v>47.696290698240006</v>
      </c>
      <c r="I70" s="95">
        <f t="shared" si="17"/>
        <v>48.6502165122048</v>
      </c>
      <c r="J70" s="95">
        <f t="shared" si="17"/>
        <v>49.623220842448902</v>
      </c>
    </row>
    <row r="71" spans="2:10" x14ac:dyDescent="0.25">
      <c r="B71" s="145" t="s">
        <v>451</v>
      </c>
      <c r="C71" s="95">
        <f>C69-C70</f>
        <v>399.58852684250996</v>
      </c>
      <c r="D71" s="95">
        <f t="shared" ref="D71:J71" si="18">D69-D70</f>
        <v>437.80986077987518</v>
      </c>
      <c r="E71" s="95">
        <f t="shared" si="18"/>
        <v>538.25266848535296</v>
      </c>
      <c r="F71" s="95">
        <f t="shared" si="18"/>
        <v>642.53806455473773</v>
      </c>
      <c r="G71" s="95">
        <f t="shared" si="18"/>
        <v>750.77957539950398</v>
      </c>
      <c r="H71" s="95">
        <f t="shared" si="18"/>
        <v>863.09373145223856</v>
      </c>
      <c r="I71" s="95">
        <f t="shared" si="18"/>
        <v>979.60014191692278</v>
      </c>
      <c r="J71" s="95">
        <f t="shared" si="18"/>
        <v>1100.4215713076139</v>
      </c>
    </row>
    <row r="72" spans="2:10" x14ac:dyDescent="0.25">
      <c r="B72" s="145" t="s">
        <v>450</v>
      </c>
      <c r="C72" s="95">
        <f>C71-0</f>
        <v>399.58852684250996</v>
      </c>
      <c r="D72" s="95">
        <f>D71-C71</f>
        <v>38.221333937365216</v>
      </c>
      <c r="E72" s="95">
        <f t="shared" ref="E72:J72" si="19">E71-D71</f>
        <v>100.44280770547778</v>
      </c>
      <c r="F72" s="95">
        <f t="shared" si="19"/>
        <v>104.28539606938477</v>
      </c>
      <c r="G72" s="95">
        <f t="shared" si="19"/>
        <v>108.24151084476625</v>
      </c>
      <c r="H72" s="95">
        <f t="shared" si="19"/>
        <v>112.31415605273457</v>
      </c>
      <c r="I72" s="95">
        <f t="shared" si="19"/>
        <v>116.50641046468422</v>
      </c>
      <c r="J72" s="95">
        <f t="shared" si="19"/>
        <v>120.82142939069115</v>
      </c>
    </row>
  </sheetData>
  <mergeCells count="2">
    <mergeCell ref="B1:J1"/>
    <mergeCell ref="B2:J2"/>
  </mergeCells>
  <pageMargins left="0.66" right="0.196850393700787" top="0.25" bottom="0.33" header="0.23622047244094499" footer="0.31496062992126"/>
  <pageSetup scale="3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M72"/>
  <sheetViews>
    <sheetView showGridLines="0" topLeftCell="A31" zoomScaleNormal="100" zoomScaleSheetLayoutView="100" workbookViewId="0">
      <selection activeCell="C45" sqref="C45"/>
    </sheetView>
  </sheetViews>
  <sheetFormatPr defaultColWidth="8.85546875" defaultRowHeight="15" x14ac:dyDescent="0.25"/>
  <cols>
    <col min="1" max="1" width="5" style="124" customWidth="1"/>
    <col min="2" max="2" width="46.28515625" style="145" customWidth="1"/>
    <col min="3" max="9" width="16.28515625" style="95" customWidth="1"/>
    <col min="10" max="10" width="16.28515625" style="93" customWidth="1"/>
    <col min="11" max="12" width="8.85546875" style="124"/>
    <col min="13" max="13" width="14.140625" style="124" bestFit="1" customWidth="1"/>
    <col min="14" max="16384" width="8.85546875" style="124"/>
  </cols>
  <sheetData>
    <row r="1" spans="2:10" ht="23.25" customHeight="1" x14ac:dyDescent="0.25">
      <c r="B1" s="366"/>
      <c r="C1" s="366"/>
      <c r="D1" s="366"/>
      <c r="E1" s="366"/>
      <c r="F1" s="366"/>
      <c r="G1" s="366"/>
      <c r="H1" s="366"/>
      <c r="I1" s="366"/>
      <c r="J1" s="366"/>
    </row>
    <row r="2" spans="2:10" ht="18.75" customHeight="1" x14ac:dyDescent="0.25">
      <c r="B2" s="364" t="str">
        <f>'Investment in project'!B2:E2</f>
        <v xml:space="preserve">ORENSE INDUSTRIES PRIVATE LIMITED, CIN: U23209OR2022PTC041057,  Andhapasra Road, Near Hanuman Temple, Berhampur Ganjam Pin- 760002 </v>
      </c>
      <c r="C2" s="364"/>
      <c r="D2" s="364"/>
      <c r="E2" s="364"/>
      <c r="F2" s="364"/>
      <c r="G2" s="364"/>
      <c r="H2" s="364"/>
      <c r="I2" s="364"/>
      <c r="J2" s="364"/>
    </row>
    <row r="3" spans="2:10" ht="14.25" customHeight="1" x14ac:dyDescent="0.25">
      <c r="B3" s="124"/>
      <c r="C3" s="93"/>
      <c r="D3" s="93"/>
      <c r="E3" s="93"/>
      <c r="F3" s="93"/>
      <c r="G3" s="93"/>
      <c r="H3" s="93"/>
      <c r="I3" s="93"/>
    </row>
    <row r="4" spans="2:10" ht="19.5" customHeight="1" x14ac:dyDescent="0.25">
      <c r="B4" s="147" t="s">
        <v>7</v>
      </c>
      <c r="C4" s="138"/>
      <c r="D4" s="138"/>
      <c r="E4" s="138"/>
      <c r="F4" s="138"/>
      <c r="G4" s="138"/>
      <c r="H4" s="138"/>
      <c r="I4" s="138"/>
      <c r="J4" s="138"/>
    </row>
    <row r="5" spans="2:10" ht="16.5" customHeight="1" x14ac:dyDescent="0.25">
      <c r="B5" s="124"/>
      <c r="C5" s="93"/>
      <c r="D5" s="93"/>
      <c r="E5" s="93"/>
      <c r="F5" s="93"/>
      <c r="G5" s="93"/>
      <c r="H5" s="93"/>
      <c r="I5" s="93"/>
    </row>
    <row r="6" spans="2:10" ht="19.5" customHeight="1" x14ac:dyDescent="0.25">
      <c r="B6" s="73" t="s">
        <v>317</v>
      </c>
      <c r="C6" s="148" t="str">
        <f>+PL!C6</f>
        <v>FY-24-25</v>
      </c>
      <c r="D6" s="148" t="str">
        <f>+PL!D6</f>
        <v>FY-25-26</v>
      </c>
      <c r="E6" s="148" t="str">
        <f>+PL!E6</f>
        <v>FY-26-27</v>
      </c>
      <c r="F6" s="148" t="str">
        <f>+PL!F6</f>
        <v>FY-27-28</v>
      </c>
      <c r="G6" s="148" t="str">
        <f>+PL!G6</f>
        <v>FY-28-29</v>
      </c>
      <c r="H6" s="148" t="str">
        <f>+PL!H6</f>
        <v>FY-29-30</v>
      </c>
      <c r="I6" s="148" t="str">
        <f>+PL!I6</f>
        <v>FY-30-31</v>
      </c>
      <c r="J6" s="148" t="str">
        <f>+PL!J6</f>
        <v>FY-31-32</v>
      </c>
    </row>
    <row r="7" spans="2:10" x14ac:dyDescent="0.25">
      <c r="B7" s="133" t="s">
        <v>318</v>
      </c>
      <c r="C7" s="92"/>
      <c r="D7" s="92"/>
    </row>
    <row r="8" spans="2:10" ht="3.75" customHeight="1" x14ac:dyDescent="0.25">
      <c r="C8" s="92"/>
      <c r="D8" s="92"/>
    </row>
    <row r="9" spans="2:10" ht="16.5" customHeight="1" x14ac:dyDescent="0.25">
      <c r="B9" s="145" t="s">
        <v>313</v>
      </c>
      <c r="C9" s="94">
        <v>0</v>
      </c>
      <c r="D9" s="94">
        <f>+C13</f>
        <v>16550000</v>
      </c>
      <c r="E9" s="94">
        <f t="shared" ref="E9:J9" si="0">+D13</f>
        <v>16550000</v>
      </c>
      <c r="F9" s="94">
        <f t="shared" si="0"/>
        <v>16550000</v>
      </c>
      <c r="G9" s="94">
        <f t="shared" si="0"/>
        <v>16550000</v>
      </c>
      <c r="H9" s="94">
        <f t="shared" si="0"/>
        <v>16550000</v>
      </c>
      <c r="I9" s="94">
        <f t="shared" si="0"/>
        <v>16550000</v>
      </c>
      <c r="J9" s="94">
        <f t="shared" si="0"/>
        <v>16550000</v>
      </c>
    </row>
    <row r="10" spans="2:10" ht="3" customHeight="1" x14ac:dyDescent="0.25">
      <c r="C10" s="94"/>
      <c r="D10" s="94"/>
      <c r="E10" s="94"/>
      <c r="F10" s="94"/>
      <c r="G10" s="94"/>
      <c r="H10" s="94"/>
      <c r="I10" s="94"/>
      <c r="J10" s="94"/>
    </row>
    <row r="11" spans="2:10" ht="18" customHeight="1" x14ac:dyDescent="0.25">
      <c r="B11" s="145" t="s">
        <v>314</v>
      </c>
      <c r="C11" s="94">
        <f>+'Means of Finance'!C18+'Means of Finance'!C20</f>
        <v>16550000</v>
      </c>
      <c r="D11" s="94">
        <v>0</v>
      </c>
      <c r="E11" s="94">
        <v>0</v>
      </c>
      <c r="F11" s="94">
        <v>0</v>
      </c>
      <c r="G11" s="94">
        <v>0</v>
      </c>
      <c r="H11" s="94">
        <v>0</v>
      </c>
      <c r="I11" s="94">
        <v>0</v>
      </c>
      <c r="J11" s="94">
        <v>0</v>
      </c>
    </row>
    <row r="12" spans="2:10" ht="6.6" customHeight="1" x14ac:dyDescent="0.25">
      <c r="C12" s="94"/>
      <c r="D12" s="94"/>
      <c r="E12" s="94"/>
      <c r="F12" s="94"/>
      <c r="G12" s="94"/>
      <c r="H12" s="94"/>
      <c r="I12" s="94"/>
      <c r="J12" s="94"/>
    </row>
    <row r="13" spans="2:10" ht="15" customHeight="1" x14ac:dyDescent="0.25">
      <c r="B13" s="133" t="s">
        <v>315</v>
      </c>
      <c r="C13" s="94">
        <f>+C9+C11</f>
        <v>16550000</v>
      </c>
      <c r="D13" s="94">
        <f t="shared" ref="D13:J13" si="1">+D9+D11</f>
        <v>16550000</v>
      </c>
      <c r="E13" s="94">
        <f t="shared" si="1"/>
        <v>16550000</v>
      </c>
      <c r="F13" s="94">
        <f t="shared" si="1"/>
        <v>16550000</v>
      </c>
      <c r="G13" s="94">
        <f t="shared" si="1"/>
        <v>16550000</v>
      </c>
      <c r="H13" s="94">
        <f t="shared" si="1"/>
        <v>16550000</v>
      </c>
      <c r="I13" s="94">
        <f t="shared" si="1"/>
        <v>16550000</v>
      </c>
      <c r="J13" s="94">
        <f t="shared" si="1"/>
        <v>16550000</v>
      </c>
    </row>
    <row r="14" spans="2:10" ht="6" customHeight="1" x14ac:dyDescent="0.25">
      <c r="C14" s="94"/>
      <c r="D14" s="94"/>
      <c r="E14" s="94"/>
      <c r="F14" s="94"/>
      <c r="G14" s="94"/>
      <c r="H14" s="94"/>
      <c r="I14" s="94"/>
      <c r="J14" s="94"/>
    </row>
    <row r="15" spans="2:10" ht="15" customHeight="1" x14ac:dyDescent="0.25">
      <c r="B15" s="145" t="s">
        <v>316</v>
      </c>
      <c r="C15" s="94">
        <v>0</v>
      </c>
      <c r="D15" s="94">
        <f>+C21</f>
        <v>21640572.872572161</v>
      </c>
      <c r="E15" s="94">
        <f t="shared" ref="E15:J15" si="2">+D21</f>
        <v>24496310.793141335</v>
      </c>
      <c r="F15" s="94">
        <f t="shared" si="2"/>
        <v>35270003.144919813</v>
      </c>
      <c r="G15" s="94">
        <f t="shared" si="2"/>
        <v>47897309.040666252</v>
      </c>
      <c r="H15" s="94">
        <f t="shared" si="2"/>
        <v>62334114.318979353</v>
      </c>
      <c r="I15" s="94">
        <f t="shared" si="2"/>
        <v>78555075.91993624</v>
      </c>
      <c r="J15" s="94">
        <f t="shared" si="2"/>
        <v>96552643.462205201</v>
      </c>
    </row>
    <row r="16" spans="2:10" ht="5.45" customHeight="1" x14ac:dyDescent="0.25">
      <c r="C16" s="94"/>
      <c r="D16" s="94"/>
      <c r="E16" s="94"/>
      <c r="F16" s="94"/>
      <c r="G16" s="94"/>
      <c r="H16" s="94"/>
      <c r="I16" s="94"/>
      <c r="J16" s="94"/>
    </row>
    <row r="17" spans="2:10" ht="19.5" customHeight="1" x14ac:dyDescent="0.25">
      <c r="B17" s="145" t="s">
        <v>402</v>
      </c>
      <c r="C17" s="94">
        <f>+PL!C65</f>
        <v>41640572.872572161</v>
      </c>
      <c r="D17" s="94">
        <f>+PL!D65</f>
        <v>48855737.920569167</v>
      </c>
      <c r="E17" s="94">
        <f>+PL!E65</f>
        <v>50773692.35177847</v>
      </c>
      <c r="F17" s="94">
        <f>+PL!F65</f>
        <v>52627305.89574644</v>
      </c>
      <c r="G17" s="94">
        <f>+PL!G65</f>
        <v>54436805.278313093</v>
      </c>
      <c r="H17" s="94">
        <f>+PL!H65</f>
        <v>56220961.600956887</v>
      </c>
      <c r="I17" s="94">
        <f>+PL!I65</f>
        <v>57997567.542268969</v>
      </c>
      <c r="J17" s="94">
        <f>+PL!J65</f>
        <v>59362793.335590109</v>
      </c>
    </row>
    <row r="18" spans="2:10" ht="3.75" customHeight="1" x14ac:dyDescent="0.25">
      <c r="C18" s="94"/>
      <c r="D18" s="94"/>
      <c r="E18" s="94"/>
      <c r="F18" s="94"/>
      <c r="G18" s="94"/>
      <c r="H18" s="94"/>
      <c r="I18" s="94"/>
      <c r="J18" s="94"/>
    </row>
    <row r="19" spans="2:10" ht="18.600000000000001" customHeight="1" x14ac:dyDescent="0.25">
      <c r="B19" s="145" t="s">
        <v>403</v>
      </c>
      <c r="C19" s="94">
        <f>10000000*2</f>
        <v>20000000</v>
      </c>
      <c r="D19" s="94">
        <f>23000000*2</f>
        <v>46000000</v>
      </c>
      <c r="E19" s="94">
        <f>20000000*2</f>
        <v>40000000</v>
      </c>
      <c r="F19" s="94">
        <f>20000000*2</f>
        <v>40000000</v>
      </c>
      <c r="G19" s="94">
        <f>20000000*2</f>
        <v>40000000</v>
      </c>
      <c r="H19" s="94">
        <f>20000000*2</f>
        <v>40000000</v>
      </c>
      <c r="I19" s="94">
        <f>20000000*2</f>
        <v>40000000</v>
      </c>
      <c r="J19" s="94">
        <f>25000000*2</f>
        <v>50000000</v>
      </c>
    </row>
    <row r="20" spans="2:10" ht="3.75" customHeight="1" x14ac:dyDescent="0.25">
      <c r="C20" s="94"/>
      <c r="D20" s="94"/>
      <c r="E20" s="94"/>
      <c r="F20" s="94"/>
      <c r="G20" s="94"/>
      <c r="H20" s="94"/>
      <c r="I20" s="94"/>
      <c r="J20" s="94"/>
    </row>
    <row r="21" spans="2:10" ht="17.25" customHeight="1" x14ac:dyDescent="0.25">
      <c r="B21" s="133" t="s">
        <v>404</v>
      </c>
      <c r="C21" s="94">
        <f>+C15+C17-C19</f>
        <v>21640572.872572161</v>
      </c>
      <c r="D21" s="94">
        <f t="shared" ref="D21:J21" si="3">+D15+D17-D19</f>
        <v>24496310.793141335</v>
      </c>
      <c r="E21" s="94">
        <f t="shared" si="3"/>
        <v>35270003.144919813</v>
      </c>
      <c r="F21" s="94">
        <f t="shared" si="3"/>
        <v>47897309.040666252</v>
      </c>
      <c r="G21" s="94">
        <f t="shared" si="3"/>
        <v>62334114.318979353</v>
      </c>
      <c r="H21" s="94">
        <f t="shared" si="3"/>
        <v>78555075.91993624</v>
      </c>
      <c r="I21" s="94">
        <f t="shared" si="3"/>
        <v>96552643.462205201</v>
      </c>
      <c r="J21" s="94">
        <f t="shared" si="3"/>
        <v>105915436.7977953</v>
      </c>
    </row>
    <row r="22" spans="2:10" ht="3.75" customHeight="1" x14ac:dyDescent="0.25">
      <c r="B22" s="133"/>
      <c r="C22" s="94"/>
      <c r="D22" s="94"/>
      <c r="J22" s="95"/>
    </row>
    <row r="23" spans="2:10" ht="15" customHeight="1" x14ac:dyDescent="0.25">
      <c r="B23" s="133" t="s">
        <v>319</v>
      </c>
      <c r="C23" s="94"/>
      <c r="D23" s="94"/>
      <c r="J23" s="95"/>
    </row>
    <row r="24" spans="2:10" ht="3.75" customHeight="1" x14ac:dyDescent="0.25">
      <c r="B24" s="133"/>
      <c r="C24" s="94"/>
      <c r="D24" s="94"/>
      <c r="J24" s="95"/>
    </row>
    <row r="25" spans="2:10" ht="18.75" customHeight="1" x14ac:dyDescent="0.25">
      <c r="B25" s="145" t="s">
        <v>320</v>
      </c>
      <c r="C25" s="94">
        <f>+'TL interest'!G20</f>
        <v>37200000</v>
      </c>
      <c r="D25" s="94">
        <f>+'TL interest'!G32</f>
        <v>32881985</v>
      </c>
      <c r="E25" s="94">
        <f>+'TL interest'!G44</f>
        <v>27943582</v>
      </c>
      <c r="F25" s="94">
        <f>+'TL interest'!G56</f>
        <v>22295656</v>
      </c>
      <c r="G25" s="94">
        <f>+'TL interest'!G68</f>
        <v>15836268</v>
      </c>
      <c r="H25" s="94">
        <f>+'TL interest'!G80</f>
        <v>8448829</v>
      </c>
      <c r="I25" s="94">
        <f>+'TL interest'!G92</f>
        <v>0</v>
      </c>
      <c r="J25" s="94">
        <v>0</v>
      </c>
    </row>
    <row r="26" spans="2:10" ht="4.5" customHeight="1" x14ac:dyDescent="0.25">
      <c r="C26" s="94"/>
      <c r="D26" s="94"/>
      <c r="J26" s="95"/>
    </row>
    <row r="27" spans="2:10" ht="15" customHeight="1" x14ac:dyDescent="0.25">
      <c r="B27" s="133" t="s">
        <v>321</v>
      </c>
      <c r="C27" s="94"/>
      <c r="D27" s="94"/>
      <c r="J27" s="95"/>
    </row>
    <row r="28" spans="2:10" ht="4.5" customHeight="1" x14ac:dyDescent="0.25">
      <c r="C28" s="94"/>
      <c r="D28" s="94"/>
      <c r="J28" s="95"/>
    </row>
    <row r="29" spans="2:10" ht="17.25" customHeight="1" x14ac:dyDescent="0.25">
      <c r="B29" s="145" t="s">
        <v>147</v>
      </c>
      <c r="C29" s="94">
        <f>+'Means of Finance'!C16</f>
        <v>12450000</v>
      </c>
      <c r="D29" s="94">
        <f>+C29</f>
        <v>12450000</v>
      </c>
      <c r="E29" s="94">
        <f t="shared" ref="E29:J29" si="4">+D29</f>
        <v>12450000</v>
      </c>
      <c r="F29" s="94">
        <f t="shared" si="4"/>
        <v>12450000</v>
      </c>
      <c r="G29" s="94">
        <f t="shared" si="4"/>
        <v>12450000</v>
      </c>
      <c r="H29" s="94">
        <f t="shared" si="4"/>
        <v>12450000</v>
      </c>
      <c r="I29" s="94">
        <f t="shared" si="4"/>
        <v>12450000</v>
      </c>
      <c r="J29" s="94">
        <f t="shared" si="4"/>
        <v>12450000</v>
      </c>
    </row>
    <row r="30" spans="2:10" ht="5.25" customHeight="1" x14ac:dyDescent="0.25">
      <c r="C30" s="94"/>
      <c r="D30" s="94"/>
    </row>
    <row r="31" spans="2:10" ht="19.5" customHeight="1" x14ac:dyDescent="0.25">
      <c r="B31" s="145" t="s">
        <v>1</v>
      </c>
      <c r="C31" s="94">
        <f>+(RM!G8+RM!G9)/300*3</f>
        <v>3060000</v>
      </c>
      <c r="D31" s="94">
        <f>+RM!E10*3</f>
        <v>4406400</v>
      </c>
      <c r="E31" s="94">
        <f>+RM!E11*3</f>
        <v>4494528</v>
      </c>
      <c r="F31" s="94">
        <f>+RM!E12*3</f>
        <v>4584418.5600000005</v>
      </c>
      <c r="G31" s="94">
        <f>+RM!E13*3</f>
        <v>4676106.9311999995</v>
      </c>
      <c r="H31" s="94">
        <f>+RM!E14*3</f>
        <v>4769629.0698240008</v>
      </c>
      <c r="I31" s="94">
        <f>+RM!E15*3</f>
        <v>4865021.65122048</v>
      </c>
      <c r="J31" s="94">
        <f>+RM!E16*3</f>
        <v>4962322.0842448901</v>
      </c>
    </row>
    <row r="32" spans="2:10" ht="3" customHeight="1" x14ac:dyDescent="0.25">
      <c r="C32" s="94"/>
      <c r="D32" s="94"/>
    </row>
    <row r="33" spans="2:13" ht="18" customHeight="1" x14ac:dyDescent="0.25">
      <c r="B33" s="149" t="s">
        <v>6</v>
      </c>
      <c r="C33" s="150">
        <f t="shared" ref="C33:J33" si="5">SUM(C21:C32)+C13</f>
        <v>90900572.872572154</v>
      </c>
      <c r="D33" s="150">
        <f t="shared" si="5"/>
        <v>90784695.793141335</v>
      </c>
      <c r="E33" s="150">
        <f t="shared" si="5"/>
        <v>96708113.144919813</v>
      </c>
      <c r="F33" s="150">
        <f t="shared" si="5"/>
        <v>103777383.60066625</v>
      </c>
      <c r="G33" s="150">
        <f t="shared" si="5"/>
        <v>111846489.25017935</v>
      </c>
      <c r="H33" s="150">
        <f t="shared" si="5"/>
        <v>120773533.98976023</v>
      </c>
      <c r="I33" s="150">
        <f t="shared" si="5"/>
        <v>130417665.11342569</v>
      </c>
      <c r="J33" s="150">
        <f t="shared" si="5"/>
        <v>139877758.8820402</v>
      </c>
    </row>
    <row r="34" spans="2:13" ht="4.5" customHeight="1" x14ac:dyDescent="0.25">
      <c r="C34" s="94"/>
      <c r="D34" s="94"/>
    </row>
    <row r="35" spans="2:13" ht="18" customHeight="1" x14ac:dyDescent="0.25">
      <c r="B35" s="133" t="s">
        <v>2</v>
      </c>
      <c r="C35" s="94"/>
      <c r="D35" s="94"/>
    </row>
    <row r="36" spans="2:13" ht="18" customHeight="1" x14ac:dyDescent="0.25">
      <c r="B36" s="133" t="s">
        <v>322</v>
      </c>
      <c r="C36" s="94"/>
      <c r="D36" s="94"/>
    </row>
    <row r="37" spans="2:13" ht="18" customHeight="1" x14ac:dyDescent="0.25">
      <c r="B37" s="145" t="s">
        <v>3</v>
      </c>
      <c r="C37" s="94"/>
      <c r="D37" s="94"/>
      <c r="M37" s="125"/>
    </row>
    <row r="38" spans="2:13" x14ac:dyDescent="0.25">
      <c r="B38" s="145" t="s">
        <v>146</v>
      </c>
      <c r="C38" s="94">
        <f>+depreciation!C14</f>
        <v>41347500</v>
      </c>
      <c r="D38" s="94">
        <f>+depreciation!D14</f>
        <v>35145375</v>
      </c>
      <c r="E38" s="94">
        <f>+depreciation!E14</f>
        <v>29873568.75</v>
      </c>
      <c r="F38" s="94">
        <f>+depreciation!F14</f>
        <v>25392533.4375</v>
      </c>
      <c r="G38" s="94">
        <f>+depreciation!G14</f>
        <v>21583653.421875</v>
      </c>
      <c r="H38" s="94">
        <f>+depreciation!H14</f>
        <v>18346105.408593751</v>
      </c>
      <c r="I38" s="94">
        <f>+depreciation!I14</f>
        <v>15594189.597304689</v>
      </c>
      <c r="J38" s="94">
        <f>+depreciation!J14</f>
        <v>13255061.157708986</v>
      </c>
    </row>
    <row r="39" spans="2:13" x14ac:dyDescent="0.25">
      <c r="B39" s="145" t="s">
        <v>232</v>
      </c>
      <c r="C39" s="94">
        <f>+depreciation!C25</f>
        <v>4777500</v>
      </c>
      <c r="D39" s="94">
        <f>+depreciation!D25</f>
        <v>4299750</v>
      </c>
      <c r="E39" s="94">
        <f>+depreciation!E25</f>
        <v>3869775</v>
      </c>
      <c r="F39" s="94">
        <f>+depreciation!F25</f>
        <v>3482797.5</v>
      </c>
      <c r="G39" s="94">
        <f>+depreciation!G25</f>
        <v>3134517.75</v>
      </c>
      <c r="H39" s="94">
        <f>+depreciation!H25</f>
        <v>2821065.9750000001</v>
      </c>
      <c r="I39" s="94">
        <f>+depreciation!I25</f>
        <v>2538959.3774999999</v>
      </c>
      <c r="J39" s="94">
        <f>+depreciation!J25</f>
        <v>2285063.4397499999</v>
      </c>
      <c r="M39" s="141"/>
    </row>
    <row r="40" spans="2:13" ht="6" customHeight="1" x14ac:dyDescent="0.25">
      <c r="C40" s="94"/>
      <c r="D40" s="94"/>
    </row>
    <row r="41" spans="2:13" ht="21.95" customHeight="1" x14ac:dyDescent="0.25">
      <c r="B41" s="133" t="s">
        <v>323</v>
      </c>
      <c r="C41" s="94"/>
      <c r="D41" s="94"/>
    </row>
    <row r="42" spans="2:13" ht="6" customHeight="1" x14ac:dyDescent="0.25">
      <c r="C42" s="94"/>
      <c r="D42" s="94"/>
    </row>
    <row r="43" spans="2:13" ht="18.75" customHeight="1" x14ac:dyDescent="0.25">
      <c r="B43" s="145" t="s">
        <v>4</v>
      </c>
      <c r="C43" s="94">
        <f>PL!C11</f>
        <v>11992012.306416001</v>
      </c>
      <c r="D43" s="94">
        <f>PL!D11</f>
        <v>12231852.55254432</v>
      </c>
      <c r="E43" s="94">
        <f>PL!E11</f>
        <v>12476489.603595207</v>
      </c>
      <c r="F43" s="94">
        <f>PL!F11</f>
        <v>12726019.395667112</v>
      </c>
      <c r="G43" s="94">
        <f>PL!G11</f>
        <v>12980539.783580452</v>
      </c>
      <c r="H43" s="94">
        <f>PL!H11</f>
        <v>13240150.579252064</v>
      </c>
      <c r="I43" s="94">
        <f>PL!I11</f>
        <v>13504953.590837102</v>
      </c>
      <c r="J43" s="94">
        <f>PL!J11</f>
        <v>13775052.662653847</v>
      </c>
      <c r="K43" s="141"/>
      <c r="L43" s="141"/>
      <c r="M43" s="141"/>
    </row>
    <row r="44" spans="2:13" ht="3.75" customHeight="1" x14ac:dyDescent="0.25">
      <c r="C44" s="94"/>
      <c r="D44" s="94"/>
      <c r="E44" s="94"/>
      <c r="F44" s="94"/>
      <c r="G44" s="94"/>
      <c r="H44" s="94"/>
      <c r="I44" s="94"/>
      <c r="J44" s="94"/>
      <c r="K44" s="141"/>
      <c r="L44" s="141"/>
      <c r="M44" s="141"/>
    </row>
    <row r="45" spans="2:13" ht="18" customHeight="1" x14ac:dyDescent="0.25">
      <c r="B45" s="145" t="s">
        <v>5</v>
      </c>
      <c r="C45" s="94">
        <f>+PL!C9*15/300</f>
        <v>18726840.377835002</v>
      </c>
      <c r="D45" s="94">
        <f>+PL!D9*20/300</f>
        <v>35955533.525443204</v>
      </c>
      <c r="E45" s="94">
        <f>+PL!E9*25/300</f>
        <v>45843305.244940087</v>
      </c>
      <c r="F45" s="94">
        <f>+PL!F9*30/300</f>
        <v>56112205.619806655</v>
      </c>
      <c r="G45" s="94">
        <f>+PL!G9*35/300</f>
        <v>66773524.687569939</v>
      </c>
      <c r="H45" s="94">
        <f>+PL!H9*40/300</f>
        <v>77838851.635795787</v>
      </c>
      <c r="I45" s="94">
        <f>+PL!I9*45/300</f>
        <v>89320082.252075672</v>
      </c>
      <c r="J45" s="94">
        <f>+PL!J9*50/300</f>
        <v>101229426.55235244</v>
      </c>
      <c r="M45" s="141"/>
    </row>
    <row r="46" spans="2:13" ht="5.25" customHeight="1" x14ac:dyDescent="0.25">
      <c r="C46" s="94"/>
      <c r="D46" s="94"/>
      <c r="M46" s="141"/>
    </row>
    <row r="47" spans="2:13" ht="19.5" customHeight="1" x14ac:dyDescent="0.25">
      <c r="B47" s="145" t="s">
        <v>324</v>
      </c>
      <c r="C47" s="94">
        <f>+'Means of Finance'!C27</f>
        <v>12300000</v>
      </c>
      <c r="D47" s="94">
        <v>0</v>
      </c>
      <c r="E47" s="95">
        <v>0</v>
      </c>
      <c r="F47" s="95">
        <v>0</v>
      </c>
      <c r="G47" s="95">
        <v>0</v>
      </c>
      <c r="H47" s="95">
        <v>0</v>
      </c>
      <c r="I47" s="95">
        <v>0</v>
      </c>
      <c r="J47" s="93">
        <v>0</v>
      </c>
      <c r="M47" s="141"/>
    </row>
    <row r="48" spans="2:13" ht="5.25" customHeight="1" x14ac:dyDescent="0.25">
      <c r="C48" s="94"/>
      <c r="D48" s="94"/>
      <c r="M48" s="141"/>
    </row>
    <row r="49" spans="2:13" ht="17.25" customHeight="1" x14ac:dyDescent="0.25">
      <c r="B49" s="145" t="s">
        <v>325</v>
      </c>
      <c r="C49" s="94">
        <f>+'cash flow statement'!C46</f>
        <v>1756720.1883211508</v>
      </c>
      <c r="D49" s="94">
        <f>+'cash flow statement'!D46</f>
        <v>3152184.715153791</v>
      </c>
      <c r="E49" s="94">
        <f>+'cash flow statement'!E46</f>
        <v>4644974.546384491</v>
      </c>
      <c r="F49" s="94">
        <f>+'cash flow statement'!F46</f>
        <v>6063827.6476924494</v>
      </c>
      <c r="G49" s="94">
        <f>+'cash flow statement'!G46</f>
        <v>7374253.6071539074</v>
      </c>
      <c r="H49" s="94">
        <f>+'cash flow statement'!H46</f>
        <v>8527360.3911185861</v>
      </c>
      <c r="I49" s="94">
        <f>+'cash flow statement'!I46</f>
        <v>9459480.295708172</v>
      </c>
      <c r="J49" s="94">
        <f>+'cash flow statement'!J46</f>
        <v>9333155.0695748702</v>
      </c>
      <c r="M49" s="141"/>
    </row>
    <row r="50" spans="2:13" ht="4.5" customHeight="1" x14ac:dyDescent="0.25">
      <c r="C50" s="94"/>
      <c r="D50" s="94"/>
    </row>
    <row r="51" spans="2:13" ht="19.5" customHeight="1" x14ac:dyDescent="0.25">
      <c r="B51" s="149" t="s">
        <v>6</v>
      </c>
      <c r="C51" s="150">
        <f>SUM(C38:C50)</f>
        <v>90900572.872572154</v>
      </c>
      <c r="D51" s="150">
        <f t="shared" ref="D51:J51" si="6">SUM(D38:D50)</f>
        <v>90784695.793141305</v>
      </c>
      <c r="E51" s="150">
        <f t="shared" si="6"/>
        <v>96708113.144919783</v>
      </c>
      <c r="F51" s="150">
        <f t="shared" si="6"/>
        <v>103777383.60066622</v>
      </c>
      <c r="G51" s="150">
        <f t="shared" si="6"/>
        <v>111846489.25017931</v>
      </c>
      <c r="H51" s="150">
        <f t="shared" si="6"/>
        <v>120773533.98976019</v>
      </c>
      <c r="I51" s="150">
        <f t="shared" si="6"/>
        <v>130417665.11342564</v>
      </c>
      <c r="J51" s="150">
        <f t="shared" si="6"/>
        <v>139877758.88204014</v>
      </c>
    </row>
    <row r="52" spans="2:13" x14ac:dyDescent="0.25">
      <c r="C52" s="95">
        <f>+C33-C51</f>
        <v>0</v>
      </c>
      <c r="D52" s="95">
        <f t="shared" ref="D52:J52" si="7">+D33-D51</f>
        <v>0</v>
      </c>
      <c r="E52" s="95">
        <f t="shared" si="7"/>
        <v>0</v>
      </c>
      <c r="F52" s="95">
        <f t="shared" si="7"/>
        <v>0</v>
      </c>
      <c r="G52" s="95">
        <f t="shared" si="7"/>
        <v>0</v>
      </c>
      <c r="H52" s="95">
        <f t="shared" si="7"/>
        <v>0</v>
      </c>
      <c r="I52" s="95">
        <f t="shared" si="7"/>
        <v>0</v>
      </c>
      <c r="J52" s="95">
        <f t="shared" si="7"/>
        <v>0</v>
      </c>
      <c r="M52" s="141"/>
    </row>
    <row r="53" spans="2:13" x14ac:dyDescent="0.25">
      <c r="D53" s="95">
        <f t="shared" ref="D53:J53" si="8">-D52</f>
        <v>0</v>
      </c>
      <c r="E53" s="95">
        <f t="shared" si="8"/>
        <v>0</v>
      </c>
      <c r="F53" s="95">
        <f t="shared" si="8"/>
        <v>0</v>
      </c>
      <c r="G53" s="95">
        <f t="shared" si="8"/>
        <v>0</v>
      </c>
      <c r="H53" s="95">
        <f t="shared" si="8"/>
        <v>0</v>
      </c>
      <c r="I53" s="95">
        <f t="shared" si="8"/>
        <v>0</v>
      </c>
      <c r="J53" s="95">
        <f t="shared" si="8"/>
        <v>0</v>
      </c>
    </row>
    <row r="54" spans="2:13" x14ac:dyDescent="0.25">
      <c r="J54" s="95"/>
    </row>
    <row r="55" spans="2:13" hidden="1" x14ac:dyDescent="0.25">
      <c r="C55" s="95">
        <f>3200000/75%</f>
        <v>4266666.666666667</v>
      </c>
      <c r="J55" s="95"/>
    </row>
    <row r="56" spans="2:13" hidden="1" x14ac:dyDescent="0.25">
      <c r="C56" s="95">
        <f t="shared" ref="C56:J56" si="9">+SUM(C43:C49)-C31</f>
        <v>41715572.872572154</v>
      </c>
      <c r="D56" s="95">
        <f t="shared" si="9"/>
        <v>46933170.793141313</v>
      </c>
      <c r="E56" s="95">
        <f t="shared" si="9"/>
        <v>58470241.394919783</v>
      </c>
      <c r="F56" s="95">
        <f t="shared" si="9"/>
        <v>70317634.103166223</v>
      </c>
      <c r="G56" s="95">
        <f t="shared" si="9"/>
        <v>82452211.147104308</v>
      </c>
      <c r="H56" s="95">
        <f t="shared" si="9"/>
        <v>94836733.536342442</v>
      </c>
      <c r="I56" s="95">
        <f t="shared" si="9"/>
        <v>107419494.48740046</v>
      </c>
      <c r="J56" s="95">
        <f t="shared" si="9"/>
        <v>119375312.20033626</v>
      </c>
    </row>
    <row r="57" spans="2:13" hidden="1" x14ac:dyDescent="0.25">
      <c r="C57" s="95">
        <f>+C56*75%</f>
        <v>31286679.654429115</v>
      </c>
      <c r="D57" s="95">
        <f t="shared" ref="D57:J57" si="10">+D56*75%</f>
        <v>35199878.094855987</v>
      </c>
      <c r="E57" s="95">
        <f t="shared" si="10"/>
        <v>43852681.046189837</v>
      </c>
      <c r="F57" s="95">
        <f t="shared" si="10"/>
        <v>52738225.577374667</v>
      </c>
      <c r="G57" s="95">
        <f t="shared" si="10"/>
        <v>61839158.360328227</v>
      </c>
      <c r="H57" s="95">
        <f t="shared" si="10"/>
        <v>71127550.152256832</v>
      </c>
      <c r="I57" s="95">
        <f t="shared" si="10"/>
        <v>80564620.865550339</v>
      </c>
      <c r="J57" s="95">
        <f t="shared" si="10"/>
        <v>89531484.150252193</v>
      </c>
    </row>
    <row r="58" spans="2:13" hidden="1" x14ac:dyDescent="0.25"/>
    <row r="59" spans="2:13" hidden="1" x14ac:dyDescent="0.25">
      <c r="C59" s="95">
        <f t="shared" ref="C59:J59" si="11">+(C43-C31)*75%</f>
        <v>6699009.2298120009</v>
      </c>
      <c r="D59" s="95">
        <f t="shared" si="11"/>
        <v>5869089.4144082405</v>
      </c>
      <c r="E59" s="95">
        <f t="shared" si="11"/>
        <v>5986471.2026964054</v>
      </c>
      <c r="F59" s="95">
        <f t="shared" si="11"/>
        <v>6106200.6267503332</v>
      </c>
      <c r="G59" s="95">
        <f t="shared" si="11"/>
        <v>6228324.639285339</v>
      </c>
      <c r="H59" s="95">
        <f t="shared" si="11"/>
        <v>6352891.132071048</v>
      </c>
      <c r="I59" s="95">
        <f t="shared" si="11"/>
        <v>6479948.9547124673</v>
      </c>
      <c r="J59" s="95">
        <f t="shared" si="11"/>
        <v>6609547.9338067174</v>
      </c>
    </row>
    <row r="60" spans="2:13" hidden="1" x14ac:dyDescent="0.25">
      <c r="C60" s="95">
        <f t="shared" ref="C60:J60" si="12">+C45*75%</f>
        <v>14045130.28337625</v>
      </c>
      <c r="D60" s="95">
        <f t="shared" si="12"/>
        <v>26966650.144082405</v>
      </c>
      <c r="E60" s="95">
        <f t="shared" si="12"/>
        <v>34382478.933705062</v>
      </c>
      <c r="F60" s="95">
        <f t="shared" si="12"/>
        <v>42084154.214854993</v>
      </c>
      <c r="G60" s="95">
        <f t="shared" si="12"/>
        <v>50080143.515677452</v>
      </c>
      <c r="H60" s="95">
        <f t="shared" si="12"/>
        <v>58379138.726846844</v>
      </c>
      <c r="I60" s="95">
        <f t="shared" si="12"/>
        <v>66990061.689056754</v>
      </c>
      <c r="J60" s="95">
        <f t="shared" si="12"/>
        <v>75922069.914264336</v>
      </c>
    </row>
    <row r="61" spans="2:13" hidden="1" x14ac:dyDescent="0.25">
      <c r="C61" s="95">
        <f>+C59+C60</f>
        <v>20744139.51318825</v>
      </c>
      <c r="D61" s="95">
        <f t="shared" ref="D61:J61" si="13">+D59+D60</f>
        <v>32835739.558490645</v>
      </c>
      <c r="E61" s="95">
        <f t="shared" si="13"/>
        <v>40368950.136401467</v>
      </c>
      <c r="F61" s="95">
        <f t="shared" si="13"/>
        <v>48190354.841605328</v>
      </c>
      <c r="G61" s="95">
        <f t="shared" si="13"/>
        <v>56308468.154962793</v>
      </c>
      <c r="H61" s="95">
        <f t="shared" si="13"/>
        <v>64732029.858917892</v>
      </c>
      <c r="I61" s="95">
        <f t="shared" si="13"/>
        <v>73470010.64376922</v>
      </c>
      <c r="J61" s="95">
        <f t="shared" si="13"/>
        <v>82531617.848071054</v>
      </c>
    </row>
    <row r="62" spans="2:13" hidden="1" x14ac:dyDescent="0.25"/>
    <row r="63" spans="2:13" hidden="1" x14ac:dyDescent="0.25"/>
    <row r="64" spans="2:13" hidden="1" x14ac:dyDescent="0.25">
      <c r="C64" s="95">
        <v>3739239</v>
      </c>
    </row>
    <row r="65" spans="2:10" hidden="1" x14ac:dyDescent="0.25"/>
    <row r="66" spans="2:10" hidden="1" x14ac:dyDescent="0.25"/>
    <row r="69" spans="2:10" x14ac:dyDescent="0.25">
      <c r="B69" s="145" t="s">
        <v>452</v>
      </c>
      <c r="C69" s="95">
        <f>C43+C45+C47</f>
        <v>43018852.684251003</v>
      </c>
      <c r="D69" s="95">
        <f t="shared" ref="D69:J69" si="14">D43+D45+D47</f>
        <v>48187386.077987522</v>
      </c>
      <c r="E69" s="95">
        <f t="shared" si="14"/>
        <v>58319794.848535292</v>
      </c>
      <c r="F69" s="95">
        <f t="shared" si="14"/>
        <v>68838225.015473768</v>
      </c>
      <c r="G69" s="95">
        <f t="shared" si="14"/>
        <v>79754064.471150398</v>
      </c>
      <c r="H69" s="95">
        <f t="shared" si="14"/>
        <v>91079002.215047851</v>
      </c>
      <c r="I69" s="95">
        <f t="shared" si="14"/>
        <v>102825035.84291278</v>
      </c>
      <c r="J69" s="95">
        <f t="shared" si="14"/>
        <v>115004479.21500629</v>
      </c>
    </row>
    <row r="70" spans="2:10" x14ac:dyDescent="0.25">
      <c r="B70" s="145" t="s">
        <v>453</v>
      </c>
      <c r="C70" s="95">
        <f>C31</f>
        <v>3060000</v>
      </c>
      <c r="D70" s="95">
        <f t="shared" ref="D70:J70" si="15">D31</f>
        <v>4406400</v>
      </c>
      <c r="E70" s="95">
        <f t="shared" si="15"/>
        <v>4494528</v>
      </c>
      <c r="F70" s="95">
        <f t="shared" si="15"/>
        <v>4584418.5600000005</v>
      </c>
      <c r="G70" s="95">
        <f t="shared" si="15"/>
        <v>4676106.9311999995</v>
      </c>
      <c r="H70" s="95">
        <f t="shared" si="15"/>
        <v>4769629.0698240008</v>
      </c>
      <c r="I70" s="95">
        <f t="shared" si="15"/>
        <v>4865021.65122048</v>
      </c>
      <c r="J70" s="95">
        <f t="shared" si="15"/>
        <v>4962322.0842448901</v>
      </c>
    </row>
    <row r="71" spans="2:10" x14ac:dyDescent="0.25">
      <c r="B71" s="145" t="s">
        <v>451</v>
      </c>
      <c r="C71" s="95">
        <f>C69-C70</f>
        <v>39958852.684251003</v>
      </c>
      <c r="D71" s="95">
        <f t="shared" ref="D71:J71" si="16">D69-D70</f>
        <v>43780986.077987522</v>
      </c>
      <c r="E71" s="95">
        <f t="shared" si="16"/>
        <v>53825266.848535292</v>
      </c>
      <c r="F71" s="95">
        <f t="shared" si="16"/>
        <v>64253806.455473766</v>
      </c>
      <c r="G71" s="95">
        <f t="shared" si="16"/>
        <v>75077957.539950401</v>
      </c>
      <c r="H71" s="95">
        <f t="shared" si="16"/>
        <v>86309373.145223856</v>
      </c>
      <c r="I71" s="95">
        <f t="shared" si="16"/>
        <v>97960014.191692293</v>
      </c>
      <c r="J71" s="95">
        <f t="shared" si="16"/>
        <v>110042157.1307614</v>
      </c>
    </row>
    <row r="72" spans="2:10" x14ac:dyDescent="0.25">
      <c r="B72" s="145" t="s">
        <v>450</v>
      </c>
      <c r="C72" s="95">
        <f>C71-0</f>
        <v>39958852.684251003</v>
      </c>
      <c r="D72" s="95">
        <f>D71-C71</f>
        <v>3822133.3937365189</v>
      </c>
      <c r="E72" s="95">
        <f t="shared" ref="E72:J72" si="17">E71-D71</f>
        <v>10044280.77054777</v>
      </c>
      <c r="F72" s="95">
        <f t="shared" si="17"/>
        <v>10428539.606938474</v>
      </c>
      <c r="G72" s="95">
        <f t="shared" si="17"/>
        <v>10824151.084476635</v>
      </c>
      <c r="H72" s="95">
        <f t="shared" si="17"/>
        <v>11231415.605273455</v>
      </c>
      <c r="I72" s="95">
        <f t="shared" si="17"/>
        <v>11650641.046468437</v>
      </c>
      <c r="J72" s="95">
        <f t="shared" si="17"/>
        <v>12082142.939069107</v>
      </c>
    </row>
  </sheetData>
  <mergeCells count="2">
    <mergeCell ref="B1:J1"/>
    <mergeCell ref="B2:J2"/>
  </mergeCells>
  <pageMargins left="0.66" right="0.196850393700787" top="0.25" bottom="0.33" header="0.23622047244094499" footer="0.31496062992126"/>
  <pageSetup scale="3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50"/>
  <sheetViews>
    <sheetView showGridLines="0" zoomScaleNormal="100" zoomScaleSheetLayoutView="100" workbookViewId="0">
      <selection activeCell="C46" sqref="C46:J46"/>
    </sheetView>
  </sheetViews>
  <sheetFormatPr defaultRowHeight="15" x14ac:dyDescent="0.25"/>
  <cols>
    <col min="1" max="1" width="7" style="78" customWidth="1"/>
    <col min="2" max="2" width="56" style="103" customWidth="1"/>
    <col min="3" max="10" width="14.85546875" style="81" customWidth="1"/>
    <col min="11" max="16384" width="9.140625" style="78"/>
  </cols>
  <sheetData>
    <row r="1" spans="2:10" x14ac:dyDescent="0.25">
      <c r="B1" s="367"/>
      <c r="C1" s="367"/>
      <c r="D1" s="367"/>
      <c r="E1" s="367"/>
      <c r="F1" s="367"/>
      <c r="G1" s="367"/>
      <c r="H1" s="367"/>
      <c r="I1" s="367"/>
      <c r="J1" s="367"/>
    </row>
    <row r="2" spans="2:10" ht="19.5" customHeight="1" x14ac:dyDescent="0.25">
      <c r="B2" s="364" t="str">
        <f>'Investment in project'!B2:E2</f>
        <v xml:space="preserve">ORENSE INDUSTRIES PRIVATE LIMITED, CIN: U23209OR2022PTC041057,  Andhapasra Road, Near Hanuman Temple, Berhampur Ganjam Pin- 760002 </v>
      </c>
      <c r="C2" s="364"/>
      <c r="D2" s="364"/>
      <c r="E2" s="364"/>
      <c r="F2" s="364"/>
      <c r="G2" s="364"/>
      <c r="H2" s="364"/>
      <c r="I2" s="364"/>
      <c r="J2" s="364"/>
    </row>
    <row r="3" spans="2:10" x14ac:dyDescent="0.25">
      <c r="B3" s="367"/>
      <c r="C3" s="367"/>
      <c r="D3" s="367"/>
      <c r="E3" s="367"/>
      <c r="F3" s="367"/>
      <c r="G3" s="367"/>
      <c r="H3" s="367"/>
      <c r="I3" s="367"/>
      <c r="J3" s="367"/>
    </row>
    <row r="4" spans="2:10" x14ac:dyDescent="0.25">
      <c r="B4" s="230" t="s">
        <v>359</v>
      </c>
      <c r="C4" s="74"/>
      <c r="D4" s="74"/>
      <c r="E4" s="74"/>
      <c r="F4" s="74"/>
      <c r="G4" s="74"/>
      <c r="H4" s="74"/>
      <c r="I4" s="74"/>
      <c r="J4" s="74"/>
    </row>
    <row r="5" spans="2:10" x14ac:dyDescent="0.25">
      <c r="C5" s="116">
        <f>10^5</f>
        <v>100000</v>
      </c>
    </row>
    <row r="6" spans="2:10" x14ac:dyDescent="0.25">
      <c r="B6" s="230" t="s">
        <v>351</v>
      </c>
      <c r="C6" s="148" t="s">
        <v>335</v>
      </c>
      <c r="D6" s="148" t="s">
        <v>336</v>
      </c>
      <c r="E6" s="148" t="s">
        <v>337</v>
      </c>
      <c r="F6" s="148" t="s">
        <v>338</v>
      </c>
      <c r="G6" s="148" t="s">
        <v>339</v>
      </c>
      <c r="H6" s="148" t="s">
        <v>340</v>
      </c>
      <c r="I6" s="148" t="s">
        <v>341</v>
      </c>
      <c r="J6" s="148" t="s">
        <v>342</v>
      </c>
    </row>
    <row r="7" spans="2:10" ht="18" customHeight="1" x14ac:dyDescent="0.25">
      <c r="B7" s="152" t="s">
        <v>360</v>
      </c>
      <c r="C7" s="97"/>
      <c r="D7" s="97"/>
      <c r="E7" s="97"/>
      <c r="F7" s="97"/>
      <c r="G7" s="97"/>
      <c r="H7" s="97"/>
      <c r="I7" s="97"/>
    </row>
    <row r="8" spans="2:10" ht="18" customHeight="1" x14ac:dyDescent="0.25">
      <c r="B8" s="152" t="s">
        <v>361</v>
      </c>
      <c r="C8" s="318">
        <f>(+PL!C63)/(10^5)</f>
        <v>576.89904229110778</v>
      </c>
      <c r="D8" s="318">
        <f>(+PL!D63)/(10^5)</f>
        <v>676.85976614809033</v>
      </c>
      <c r="E8" s="318">
        <f>(+PL!E63)/(10^5)</f>
        <v>703.43159257105117</v>
      </c>
      <c r="F8" s="318">
        <f>(+PL!F63)/(10^5)</f>
        <v>729.11202404747064</v>
      </c>
      <c r="G8" s="318">
        <f>(+PL!G63)/(10^5)</f>
        <v>754.18128675967159</v>
      </c>
      <c r="H8" s="318">
        <f>(+PL!H63)/(10^5)</f>
        <v>778.89944030142544</v>
      </c>
      <c r="I8" s="318">
        <f>(+PL!I63)/(10^5)</f>
        <v>803.51298894803222</v>
      </c>
      <c r="J8" s="318">
        <f>(+PL!J63)/(10^5)</f>
        <v>822.42717283998491</v>
      </c>
    </row>
    <row r="9" spans="2:10" ht="18" customHeight="1" x14ac:dyDescent="0.25">
      <c r="B9" s="153" t="s">
        <v>362</v>
      </c>
      <c r="C9" s="96"/>
      <c r="D9" s="96"/>
      <c r="E9" s="96"/>
      <c r="F9" s="96"/>
      <c r="G9" s="96"/>
      <c r="H9" s="96"/>
      <c r="I9" s="96"/>
    </row>
    <row r="10" spans="2:10" ht="18" customHeight="1" x14ac:dyDescent="0.25">
      <c r="B10" s="153" t="s">
        <v>363</v>
      </c>
      <c r="C10" s="319">
        <f>(+PL!C38+PL!C39)/$C$5</f>
        <v>34.75</v>
      </c>
      <c r="D10" s="319">
        <f>(+PL!D38+PL!D39)/$C$5</f>
        <v>66.798749999999998</v>
      </c>
      <c r="E10" s="319">
        <f>(+PL!E38+PL!E39)/$C$5</f>
        <v>57.017812499999998</v>
      </c>
      <c r="F10" s="319">
        <f>(+PL!F38+PL!F39)/$C$5</f>
        <v>48.680128125000003</v>
      </c>
      <c r="G10" s="319">
        <f>(+PL!G38+PL!G39)/$C$5</f>
        <v>41.571597656249999</v>
      </c>
      <c r="H10" s="319">
        <f>(+PL!H38+PL!H39)/$C$5</f>
        <v>35.509997882812499</v>
      </c>
      <c r="I10" s="319">
        <f>(+PL!I38+PL!I39)/$C$5</f>
        <v>30.340224087890629</v>
      </c>
      <c r="J10" s="319">
        <f>(+PL!J38+PL!J39)/$C$5</f>
        <v>25.930243773457029</v>
      </c>
    </row>
    <row r="11" spans="2:10" ht="18" customHeight="1" x14ac:dyDescent="0.25">
      <c r="B11" s="153" t="s">
        <v>364</v>
      </c>
      <c r="C11" s="96"/>
      <c r="D11" s="96"/>
      <c r="E11" s="96"/>
      <c r="F11" s="96"/>
      <c r="G11" s="96"/>
      <c r="H11" s="96"/>
      <c r="I11" s="96"/>
    </row>
    <row r="12" spans="2:10" ht="18" customHeight="1" x14ac:dyDescent="0.25">
      <c r="B12" s="153" t="s">
        <v>365</v>
      </c>
      <c r="C12" s="96"/>
      <c r="D12" s="96"/>
      <c r="E12" s="96"/>
      <c r="F12" s="96"/>
      <c r="G12" s="96"/>
      <c r="H12" s="96"/>
      <c r="I12" s="96"/>
    </row>
    <row r="13" spans="2:10" ht="18" customHeight="1" x14ac:dyDescent="0.25">
      <c r="B13" s="153" t="s">
        <v>366</v>
      </c>
      <c r="C13" s="96"/>
      <c r="D13" s="96"/>
      <c r="E13" s="96"/>
      <c r="F13" s="96"/>
      <c r="G13" s="96"/>
      <c r="H13" s="96"/>
      <c r="I13" s="96"/>
    </row>
    <row r="14" spans="2:10" ht="18" customHeight="1" x14ac:dyDescent="0.25">
      <c r="B14" s="153" t="s">
        <v>367</v>
      </c>
      <c r="C14" s="96"/>
      <c r="D14" s="96"/>
      <c r="E14" s="96"/>
      <c r="F14" s="96"/>
      <c r="G14" s="96"/>
      <c r="H14" s="96"/>
      <c r="I14" s="96"/>
    </row>
    <row r="15" spans="2:10" ht="18" customHeight="1" x14ac:dyDescent="0.25">
      <c r="B15" s="152" t="s">
        <v>368</v>
      </c>
      <c r="C15" s="96"/>
      <c r="D15" s="96"/>
      <c r="E15" s="96"/>
      <c r="F15" s="96"/>
      <c r="G15" s="96"/>
      <c r="H15" s="96"/>
      <c r="I15" s="96"/>
    </row>
    <row r="16" spans="2:10" ht="18" customHeight="1" x14ac:dyDescent="0.25">
      <c r="B16" s="153" t="s">
        <v>369</v>
      </c>
      <c r="C16" s="318">
        <f>(-BS!C43)/(10^5)</f>
        <v>-119.92012306416001</v>
      </c>
      <c r="D16" s="318">
        <f>(-BS!D43+BS!C43)/(10^5)</f>
        <v>-2.3984024612831885</v>
      </c>
      <c r="E16" s="318">
        <f>(-BS!E43+BS!D43)/(10^5)</f>
        <v>-2.4463705105088653</v>
      </c>
      <c r="F16" s="318">
        <f>(-BS!F43+BS!E43)/(10^5)</f>
        <v>-2.4952979207190498</v>
      </c>
      <c r="G16" s="318">
        <f>(-BS!G43+BS!F43)/(10^5)</f>
        <v>-2.5452038791334068</v>
      </c>
      <c r="H16" s="318">
        <f>(-BS!H43+BS!G43)/(10^5)</f>
        <v>-2.59610795671612</v>
      </c>
      <c r="I16" s="318">
        <f>(-BS!I43+BS!H43)/(10^5)</f>
        <v>-2.6480301158503816</v>
      </c>
      <c r="J16" s="318">
        <f>(-BS!J43+BS!I43)/(10^5)</f>
        <v>-2.7009907181674429</v>
      </c>
    </row>
    <row r="17" spans="2:10" ht="18" customHeight="1" x14ac:dyDescent="0.25">
      <c r="B17" s="153" t="s">
        <v>370</v>
      </c>
      <c r="C17" s="318">
        <f>(-BS!C45)/(10^5)</f>
        <v>-187.26840377835001</v>
      </c>
      <c r="D17" s="318">
        <f>(-BS!D45+BS!C45)/(10^5)</f>
        <v>-172.28693147608203</v>
      </c>
      <c r="E17" s="318">
        <f>(-BS!E45+BS!D45)/(10^5)</f>
        <v>-98.877717194968838</v>
      </c>
      <c r="F17" s="318">
        <f>(-BS!F45+BS!E45)/(10^5)</f>
        <v>-102.68900374866567</v>
      </c>
      <c r="G17" s="318">
        <f>(-BS!G45+BS!F45)/(10^5)</f>
        <v>-106.61319067763284</v>
      </c>
      <c r="H17" s="318">
        <f>(-BS!H45+BS!G45)/(10^5)</f>
        <v>-110.65326948225848</v>
      </c>
      <c r="I17" s="318">
        <f>(-BS!I45+BS!H45)/(10^5)</f>
        <v>-114.81230616279885</v>
      </c>
      <c r="J17" s="318">
        <f>(-BS!J45+BS!I45)/(10^5)</f>
        <v>-119.09344300276771</v>
      </c>
    </row>
    <row r="18" spans="2:10" ht="18" customHeight="1" x14ac:dyDescent="0.25">
      <c r="B18" s="153" t="s">
        <v>371</v>
      </c>
      <c r="D18" s="96">
        <v>0</v>
      </c>
      <c r="E18" s="96"/>
      <c r="F18" s="96"/>
      <c r="G18" s="96"/>
      <c r="H18" s="96"/>
      <c r="I18" s="96"/>
    </row>
    <row r="19" spans="2:10" ht="18" customHeight="1" x14ac:dyDescent="0.25">
      <c r="B19" s="153" t="s">
        <v>372</v>
      </c>
      <c r="C19" s="96"/>
      <c r="D19" s="96"/>
      <c r="E19" s="96"/>
      <c r="F19" s="96"/>
      <c r="G19" s="96"/>
      <c r="H19" s="96"/>
      <c r="I19" s="96"/>
    </row>
    <row r="20" spans="2:10" ht="18" customHeight="1" x14ac:dyDescent="0.25">
      <c r="B20" s="153" t="s">
        <v>373</v>
      </c>
      <c r="C20" s="318">
        <f>(+BS!C31)/(10^5)</f>
        <v>30.6</v>
      </c>
      <c r="D20" s="318">
        <f>(+BS!D31-BS!C31)/(10^5)</f>
        <v>13.464</v>
      </c>
      <c r="E20" s="318">
        <f>(+BS!E31-BS!D31)/(10^5)</f>
        <v>0.88127999999999995</v>
      </c>
      <c r="F20" s="318">
        <f>(+BS!F31-BS!E31)/(10^5)</f>
        <v>0.89890560000000519</v>
      </c>
      <c r="G20" s="318">
        <f>(+BS!G31-BS!F31)/(10^5)</f>
        <v>0.91688371199999008</v>
      </c>
      <c r="H20" s="318">
        <f>(+BS!H31-BS!G31)/(10^5)</f>
        <v>0.93522138624001294</v>
      </c>
      <c r="I20" s="318">
        <f>(+BS!I31-BS!H31)/(10^5)</f>
        <v>0.95392581396479159</v>
      </c>
      <c r="J20" s="318">
        <f>(+BS!J31-BS!I31)/(10^5)</f>
        <v>0.9730043302441016</v>
      </c>
    </row>
    <row r="21" spans="2:10" ht="18" customHeight="1" x14ac:dyDescent="0.25">
      <c r="B21" s="152" t="s">
        <v>374</v>
      </c>
      <c r="C21" s="96"/>
      <c r="D21" s="96"/>
      <c r="E21" s="96"/>
      <c r="F21" s="96"/>
      <c r="G21" s="96"/>
      <c r="H21" s="96"/>
      <c r="I21" s="96"/>
    </row>
    <row r="22" spans="2:10" ht="18" customHeight="1" x14ac:dyDescent="0.25">
      <c r="B22" s="153" t="s">
        <v>375</v>
      </c>
      <c r="C22" s="318">
        <f>(-PL!C64)/(10^5)</f>
        <v>-160.49331356538619</v>
      </c>
      <c r="D22" s="318">
        <f>(-PL!D64)/(10^5)</f>
        <v>-188.30238694239873</v>
      </c>
      <c r="E22" s="318">
        <f>(-PL!E64)/(10^5)</f>
        <v>-195.69466905326641</v>
      </c>
      <c r="F22" s="318">
        <f>(-PL!F64)/(10^5)</f>
        <v>-202.83896509000633</v>
      </c>
      <c r="G22" s="318">
        <f>(-PL!G64)/(10^5)</f>
        <v>-209.81323397654063</v>
      </c>
      <c r="H22" s="318">
        <f>(-PL!H64)/(10^5)</f>
        <v>-216.68982429185655</v>
      </c>
      <c r="I22" s="318">
        <f>(-PL!I64)/(10^5)</f>
        <v>-223.53731352534257</v>
      </c>
      <c r="J22" s="318">
        <f>(-PL!J64)/(10^5)</f>
        <v>-228.79923948408381</v>
      </c>
    </row>
    <row r="23" spans="2:10" ht="18" customHeight="1" x14ac:dyDescent="0.25">
      <c r="B23" s="156" t="s">
        <v>376</v>
      </c>
      <c r="C23" s="320">
        <f t="shared" ref="C23:H23" si="0">+SUM(C8:C22)</f>
        <v>174.56720188321162</v>
      </c>
      <c r="D23" s="320">
        <f t="shared" si="0"/>
        <v>394.13479526832646</v>
      </c>
      <c r="E23" s="320">
        <f t="shared" si="0"/>
        <v>464.31192831230709</v>
      </c>
      <c r="F23" s="320">
        <f t="shared" si="0"/>
        <v>470.66779101307964</v>
      </c>
      <c r="G23" s="320">
        <f t="shared" si="0"/>
        <v>477.6981395946147</v>
      </c>
      <c r="H23" s="320">
        <f t="shared" si="0"/>
        <v>485.40545783964683</v>
      </c>
      <c r="I23" s="320">
        <f t="shared" ref="I23:J23" si="1">+SUM(I8:I22)</f>
        <v>493.80948904589582</v>
      </c>
      <c r="J23" s="320">
        <f t="shared" si="1"/>
        <v>498.73674773866708</v>
      </c>
    </row>
    <row r="24" spans="2:10" ht="18" customHeight="1" x14ac:dyDescent="0.25">
      <c r="B24" s="153"/>
      <c r="C24" s="97"/>
      <c r="D24" s="97"/>
      <c r="E24" s="97"/>
      <c r="F24" s="97"/>
      <c r="G24" s="97"/>
      <c r="H24" s="97"/>
      <c r="I24" s="97"/>
    </row>
    <row r="25" spans="2:10" ht="18" customHeight="1" x14ac:dyDescent="0.25">
      <c r="B25" s="152" t="s">
        <v>377</v>
      </c>
      <c r="C25" s="97"/>
      <c r="D25" s="97"/>
      <c r="E25" s="97"/>
      <c r="F25" s="97"/>
      <c r="G25" s="97"/>
      <c r="H25" s="97"/>
      <c r="I25" s="97"/>
    </row>
    <row r="26" spans="2:10" ht="18" customHeight="1" x14ac:dyDescent="0.25">
      <c r="B26" s="153" t="s">
        <v>378</v>
      </c>
      <c r="C26" s="318">
        <f>(-depreciation!C11-depreciation!C22)/(10^5)</f>
        <v>-496</v>
      </c>
      <c r="D26" s="319">
        <v>0</v>
      </c>
      <c r="E26" s="96"/>
      <c r="F26" s="96"/>
      <c r="G26" s="96"/>
      <c r="H26" s="96"/>
      <c r="I26" s="96"/>
    </row>
    <row r="27" spans="2:10" ht="18" customHeight="1" x14ac:dyDescent="0.25">
      <c r="B27" s="153" t="s">
        <v>379</v>
      </c>
      <c r="C27" s="318">
        <f>(-BS!C47)/(10^5)</f>
        <v>-123</v>
      </c>
      <c r="D27" s="318">
        <f>12300000/(10^5)</f>
        <v>123</v>
      </c>
      <c r="E27" s="96"/>
      <c r="F27" s="96"/>
      <c r="G27" s="96"/>
      <c r="H27" s="96"/>
      <c r="I27" s="96"/>
    </row>
    <row r="28" spans="2:10" ht="18" customHeight="1" x14ac:dyDescent="0.25">
      <c r="B28" s="153" t="s">
        <v>380</v>
      </c>
      <c r="C28" s="96"/>
      <c r="D28" s="96"/>
      <c r="E28" s="96"/>
      <c r="F28" s="96"/>
      <c r="G28" s="96"/>
      <c r="H28" s="96"/>
      <c r="I28" s="96"/>
    </row>
    <row r="29" spans="2:10" ht="18" customHeight="1" x14ac:dyDescent="0.25">
      <c r="B29" s="153" t="s">
        <v>381</v>
      </c>
      <c r="C29" s="96"/>
      <c r="D29" s="96"/>
      <c r="E29" s="96"/>
      <c r="F29" s="96"/>
      <c r="G29" s="96"/>
      <c r="H29" s="96"/>
      <c r="I29" s="96"/>
    </row>
    <row r="30" spans="2:10" ht="18" customHeight="1" x14ac:dyDescent="0.25">
      <c r="B30" s="153" t="s">
        <v>382</v>
      </c>
      <c r="C30" s="96"/>
      <c r="D30" s="96"/>
      <c r="E30" s="96"/>
      <c r="F30" s="96"/>
      <c r="G30" s="96"/>
      <c r="H30" s="96"/>
      <c r="I30" s="96"/>
    </row>
    <row r="31" spans="2:10" ht="18" customHeight="1" x14ac:dyDescent="0.25">
      <c r="B31" s="153" t="s">
        <v>383</v>
      </c>
      <c r="C31" s="96"/>
      <c r="D31" s="96"/>
      <c r="E31" s="96"/>
      <c r="F31" s="96"/>
      <c r="G31" s="96"/>
      <c r="H31" s="96"/>
      <c r="I31" s="96"/>
    </row>
    <row r="32" spans="2:10" ht="18" customHeight="1" x14ac:dyDescent="0.25">
      <c r="B32" s="153" t="s">
        <v>367</v>
      </c>
      <c r="C32" s="96"/>
      <c r="D32" s="96"/>
      <c r="E32" s="96"/>
      <c r="F32" s="96"/>
      <c r="G32" s="96"/>
      <c r="H32" s="96"/>
      <c r="I32" s="96"/>
    </row>
    <row r="33" spans="2:10" ht="18" customHeight="1" x14ac:dyDescent="0.25">
      <c r="B33" s="156" t="s">
        <v>384</v>
      </c>
      <c r="C33" s="157">
        <f t="shared" ref="C33:J33" si="2">+SUM(C26:C32)</f>
        <v>-619</v>
      </c>
      <c r="D33" s="320">
        <f t="shared" si="2"/>
        <v>123</v>
      </c>
      <c r="E33" s="320">
        <f t="shared" si="2"/>
        <v>0</v>
      </c>
      <c r="F33" s="320">
        <f t="shared" si="2"/>
        <v>0</v>
      </c>
      <c r="G33" s="320">
        <f t="shared" si="2"/>
        <v>0</v>
      </c>
      <c r="H33" s="320">
        <f t="shared" si="2"/>
        <v>0</v>
      </c>
      <c r="I33" s="320">
        <f t="shared" si="2"/>
        <v>0</v>
      </c>
      <c r="J33" s="320">
        <f t="shared" si="2"/>
        <v>0</v>
      </c>
    </row>
    <row r="34" spans="2:10" ht="18" customHeight="1" x14ac:dyDescent="0.25">
      <c r="B34" s="153"/>
      <c r="C34" s="97"/>
      <c r="D34" s="97"/>
      <c r="E34" s="97"/>
      <c r="F34" s="97"/>
      <c r="G34" s="97"/>
      <c r="H34" s="97"/>
      <c r="I34" s="97"/>
    </row>
    <row r="35" spans="2:10" ht="18" customHeight="1" x14ac:dyDescent="0.25">
      <c r="B35" s="152" t="s">
        <v>385</v>
      </c>
      <c r="C35" s="97"/>
      <c r="D35" s="97"/>
      <c r="E35" s="97"/>
      <c r="F35" s="97"/>
      <c r="G35" s="97"/>
      <c r="H35" s="97"/>
      <c r="I35" s="97"/>
    </row>
    <row r="36" spans="2:10" ht="18" customHeight="1" x14ac:dyDescent="0.25">
      <c r="B36" s="153" t="s">
        <v>386</v>
      </c>
      <c r="C36" s="318">
        <f>(+BS!C11)/(10^5)</f>
        <v>165.5</v>
      </c>
      <c r="D36" s="318">
        <f t="shared" ref="D36:J36" si="3">0/(10^5)</f>
        <v>0</v>
      </c>
      <c r="E36" s="318">
        <f t="shared" si="3"/>
        <v>0</v>
      </c>
      <c r="F36" s="318">
        <f t="shared" si="3"/>
        <v>0</v>
      </c>
      <c r="G36" s="318">
        <f t="shared" si="3"/>
        <v>0</v>
      </c>
      <c r="H36" s="318">
        <f t="shared" si="3"/>
        <v>0</v>
      </c>
      <c r="I36" s="318">
        <f t="shared" si="3"/>
        <v>0</v>
      </c>
      <c r="J36" s="318">
        <f t="shared" si="3"/>
        <v>0</v>
      </c>
    </row>
    <row r="37" spans="2:10" ht="18" customHeight="1" x14ac:dyDescent="0.25">
      <c r="B37" s="153" t="s">
        <v>387</v>
      </c>
      <c r="C37" s="318">
        <f>(+'Means of Finance'!C14)/(10^5)</f>
        <v>372</v>
      </c>
      <c r="D37" s="318">
        <f>(-'TL interest'!C97)/(10^5)</f>
        <v>-43.180149999999998</v>
      </c>
      <c r="E37" s="318">
        <f>(-'TL interest'!C98)/(10^5)</f>
        <v>-49.384030000000003</v>
      </c>
      <c r="F37" s="318">
        <f>(-'TL interest'!C99)/(10^5)</f>
        <v>-56.479259999999996</v>
      </c>
      <c r="G37" s="318">
        <f>(-'TL interest'!C100)/(10^5)</f>
        <v>-64.593879999999999</v>
      </c>
      <c r="H37" s="318">
        <f>(-'TL interest'!C101)/(10^5)</f>
        <v>-73.874390000000005</v>
      </c>
      <c r="I37" s="318">
        <f>(-'TL interest'!C102)/(10^5)</f>
        <v>-84.488290000000006</v>
      </c>
      <c r="J37" s="318">
        <f>0/(10^5)</f>
        <v>0</v>
      </c>
    </row>
    <row r="38" spans="2:10" ht="18" customHeight="1" x14ac:dyDescent="0.25">
      <c r="B38" s="153" t="s">
        <v>388</v>
      </c>
      <c r="C38" s="318">
        <f>(+'Means of Finance'!C16)/(10^5)</f>
        <v>124.5</v>
      </c>
      <c r="D38" s="318">
        <f t="shared" ref="D38:I38" si="4">0/(10^5)</f>
        <v>0</v>
      </c>
      <c r="E38" s="318">
        <f t="shared" si="4"/>
        <v>0</v>
      </c>
      <c r="F38" s="318">
        <f t="shared" si="4"/>
        <v>0</v>
      </c>
      <c r="G38" s="318">
        <f t="shared" si="4"/>
        <v>0</v>
      </c>
      <c r="H38" s="318">
        <f t="shared" si="4"/>
        <v>0</v>
      </c>
      <c r="I38" s="318">
        <f t="shared" si="4"/>
        <v>0</v>
      </c>
      <c r="J38" s="318">
        <f>0/(10^5)</f>
        <v>0</v>
      </c>
    </row>
    <row r="39" spans="2:10" ht="18" customHeight="1" x14ac:dyDescent="0.25">
      <c r="B39" s="153" t="s">
        <v>395</v>
      </c>
      <c r="C39" s="318">
        <f>(-BS!C19)/(10^5)</f>
        <v>-200</v>
      </c>
      <c r="D39" s="318">
        <f>(-BS!D19)/(10^5)</f>
        <v>-460</v>
      </c>
      <c r="E39" s="318">
        <f>(-BS!E19)/(10^5)</f>
        <v>-400</v>
      </c>
      <c r="F39" s="318">
        <f>(-BS!F19)/(10^5)</f>
        <v>-400</v>
      </c>
      <c r="G39" s="318">
        <f>(-BS!G19)/(10^5)</f>
        <v>-400</v>
      </c>
      <c r="H39" s="318">
        <f>(-BS!H19)/(10^5)</f>
        <v>-400</v>
      </c>
      <c r="I39" s="318">
        <f>(-BS!I19)/(10^5)</f>
        <v>-400</v>
      </c>
      <c r="J39" s="318">
        <f>(-BS!J19)/(10^5)</f>
        <v>-500</v>
      </c>
    </row>
    <row r="40" spans="2:10" ht="18" customHeight="1" x14ac:dyDescent="0.25">
      <c r="B40" s="153" t="s">
        <v>389</v>
      </c>
      <c r="C40" s="96"/>
      <c r="D40" s="96"/>
      <c r="E40" s="96"/>
      <c r="F40" s="96"/>
      <c r="G40" s="96"/>
      <c r="H40" s="96"/>
      <c r="I40" s="96"/>
    </row>
    <row r="41" spans="2:10" ht="18" customHeight="1" x14ac:dyDescent="0.25">
      <c r="B41" s="153" t="s">
        <v>390</v>
      </c>
      <c r="C41" s="96"/>
      <c r="D41" s="96"/>
      <c r="E41" s="96"/>
      <c r="F41" s="96"/>
      <c r="G41" s="96"/>
      <c r="H41" s="96"/>
      <c r="I41" s="96"/>
    </row>
    <row r="42" spans="2:10" ht="18" customHeight="1" x14ac:dyDescent="0.25">
      <c r="B42" s="156" t="s">
        <v>391</v>
      </c>
      <c r="C42" s="320">
        <f t="shared" ref="C42:J42" si="5">+SUM(C36:C41)</f>
        <v>462</v>
      </c>
      <c r="D42" s="320">
        <f t="shared" si="5"/>
        <v>-503.18015000000003</v>
      </c>
      <c r="E42" s="320">
        <f t="shared" si="5"/>
        <v>-449.38403</v>
      </c>
      <c r="F42" s="320">
        <f t="shared" si="5"/>
        <v>-456.47926000000001</v>
      </c>
      <c r="G42" s="320">
        <f t="shared" si="5"/>
        <v>-464.59388000000001</v>
      </c>
      <c r="H42" s="320">
        <f t="shared" si="5"/>
        <v>-473.87439000000001</v>
      </c>
      <c r="I42" s="320">
        <f t="shared" si="5"/>
        <v>-484.48829000000001</v>
      </c>
      <c r="J42" s="320">
        <f t="shared" si="5"/>
        <v>-500</v>
      </c>
    </row>
    <row r="43" spans="2:10" ht="18" customHeight="1" x14ac:dyDescent="0.25">
      <c r="B43" s="153"/>
      <c r="C43" s="97"/>
      <c r="D43" s="97"/>
      <c r="E43" s="97"/>
      <c r="F43" s="97"/>
      <c r="G43" s="97"/>
      <c r="H43" s="97"/>
      <c r="I43" s="97"/>
    </row>
    <row r="44" spans="2:10" ht="18" customHeight="1" x14ac:dyDescent="0.25">
      <c r="B44" s="152" t="s">
        <v>392</v>
      </c>
      <c r="C44" s="321">
        <f t="shared" ref="C44:J44" si="6">+C23+C33+C42</f>
        <v>17.567201883211624</v>
      </c>
      <c r="D44" s="321">
        <f t="shared" si="6"/>
        <v>13.954645268326431</v>
      </c>
      <c r="E44" s="321">
        <f t="shared" si="6"/>
        <v>14.927898312307093</v>
      </c>
      <c r="F44" s="321">
        <f t="shared" si="6"/>
        <v>14.188531013079626</v>
      </c>
      <c r="G44" s="321">
        <f t="shared" si="6"/>
        <v>13.104259594614689</v>
      </c>
      <c r="H44" s="321">
        <f t="shared" si="6"/>
        <v>11.531067839646823</v>
      </c>
      <c r="I44" s="321">
        <f t="shared" si="6"/>
        <v>9.3211990458958098</v>
      </c>
      <c r="J44" s="321">
        <f t="shared" si="6"/>
        <v>-1.2632522613329229</v>
      </c>
    </row>
    <row r="45" spans="2:10" ht="18" customHeight="1" x14ac:dyDescent="0.25">
      <c r="B45" s="153" t="s">
        <v>393</v>
      </c>
      <c r="C45" s="321">
        <v>0</v>
      </c>
      <c r="D45" s="321">
        <f t="shared" ref="D45:J45" si="7">+C46</f>
        <v>17.567201883211624</v>
      </c>
      <c r="E45" s="321">
        <f t="shared" si="7"/>
        <v>31.521847151538054</v>
      </c>
      <c r="F45" s="321">
        <f t="shared" si="7"/>
        <v>46.449745463845147</v>
      </c>
      <c r="G45" s="321">
        <f t="shared" si="7"/>
        <v>60.638276476924773</v>
      </c>
      <c r="H45" s="321">
        <f t="shared" si="7"/>
        <v>73.742536071539462</v>
      </c>
      <c r="I45" s="321">
        <f t="shared" si="7"/>
        <v>85.273603911186285</v>
      </c>
      <c r="J45" s="321">
        <f t="shared" si="7"/>
        <v>94.594802957082095</v>
      </c>
    </row>
    <row r="46" spans="2:10" ht="19.5" customHeight="1" x14ac:dyDescent="0.25">
      <c r="B46" s="158" t="s">
        <v>394</v>
      </c>
      <c r="C46" s="322">
        <f t="shared" ref="C46:J46" si="8">+C45+C44</f>
        <v>17.567201883211624</v>
      </c>
      <c r="D46" s="322">
        <f t="shared" si="8"/>
        <v>31.521847151538054</v>
      </c>
      <c r="E46" s="322">
        <f t="shared" si="8"/>
        <v>46.449745463845147</v>
      </c>
      <c r="F46" s="322">
        <f t="shared" si="8"/>
        <v>60.638276476924773</v>
      </c>
      <c r="G46" s="322">
        <f t="shared" si="8"/>
        <v>73.742536071539462</v>
      </c>
      <c r="H46" s="322">
        <f t="shared" si="8"/>
        <v>85.273603911186285</v>
      </c>
      <c r="I46" s="322">
        <f t="shared" si="8"/>
        <v>94.594802957082095</v>
      </c>
      <c r="J46" s="322">
        <f t="shared" si="8"/>
        <v>93.331550695749172</v>
      </c>
    </row>
    <row r="47" spans="2:10" x14ac:dyDescent="0.25">
      <c r="C47" s="155"/>
      <c r="D47" s="155"/>
      <c r="E47" s="155"/>
      <c r="F47" s="155"/>
      <c r="G47" s="155"/>
      <c r="H47" s="155"/>
      <c r="I47" s="155"/>
      <c r="J47" s="155"/>
    </row>
    <row r="48" spans="2:10" x14ac:dyDescent="0.25">
      <c r="C48" s="96"/>
      <c r="D48" s="96"/>
      <c r="E48" s="96"/>
      <c r="F48" s="96"/>
      <c r="G48" s="96"/>
      <c r="H48" s="96"/>
      <c r="I48" s="96"/>
      <c r="J48" s="96"/>
    </row>
    <row r="50" spans="3:3" x14ac:dyDescent="0.25">
      <c r="C50" s="96"/>
    </row>
  </sheetData>
  <mergeCells count="3">
    <mergeCell ref="B1:J1"/>
    <mergeCell ref="B2:J2"/>
    <mergeCell ref="B3:J3"/>
  </mergeCells>
  <pageMargins left="0.72" right="0.12" top="0.28999999999999998" bottom="0.12" header="0.3" footer="0.18"/>
  <pageSetup scale="3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50"/>
  <sheetViews>
    <sheetView showGridLines="0" topLeftCell="A34" zoomScaleNormal="100" zoomScaleSheetLayoutView="100" workbookViewId="0">
      <selection activeCell="C44" sqref="C44"/>
    </sheetView>
  </sheetViews>
  <sheetFormatPr defaultRowHeight="15" x14ac:dyDescent="0.25"/>
  <cols>
    <col min="1" max="1" width="7" style="78" customWidth="1"/>
    <col min="2" max="2" width="56" style="103" customWidth="1"/>
    <col min="3" max="10" width="14.85546875" style="81" customWidth="1"/>
    <col min="11" max="16384" width="9.140625" style="78"/>
  </cols>
  <sheetData>
    <row r="1" spans="2:10" x14ac:dyDescent="0.25">
      <c r="B1" s="367"/>
      <c r="C1" s="367"/>
      <c r="D1" s="367"/>
      <c r="E1" s="367"/>
      <c r="F1" s="367"/>
      <c r="G1" s="367"/>
      <c r="H1" s="367"/>
      <c r="I1" s="367"/>
      <c r="J1" s="367"/>
    </row>
    <row r="2" spans="2:10" ht="19.5" customHeight="1" x14ac:dyDescent="0.25">
      <c r="B2" s="364" t="str">
        <f>'Investment in project'!B2:E2</f>
        <v xml:space="preserve">ORENSE INDUSTRIES PRIVATE LIMITED, CIN: U23209OR2022PTC041057,  Andhapasra Road, Near Hanuman Temple, Berhampur Ganjam Pin- 760002 </v>
      </c>
      <c r="C2" s="364"/>
      <c r="D2" s="364"/>
      <c r="E2" s="364"/>
      <c r="F2" s="364"/>
      <c r="G2" s="364"/>
      <c r="H2" s="364"/>
      <c r="I2" s="364"/>
      <c r="J2" s="364"/>
    </row>
    <row r="3" spans="2:10" x14ac:dyDescent="0.25">
      <c r="B3" s="367"/>
      <c r="C3" s="367"/>
      <c r="D3" s="367"/>
      <c r="E3" s="367"/>
      <c r="F3" s="367"/>
      <c r="G3" s="367"/>
      <c r="H3" s="367"/>
      <c r="I3" s="367"/>
      <c r="J3" s="367"/>
    </row>
    <row r="4" spans="2:10" x14ac:dyDescent="0.25">
      <c r="B4" s="107" t="s">
        <v>359</v>
      </c>
      <c r="C4" s="74"/>
      <c r="D4" s="74"/>
      <c r="E4" s="74"/>
      <c r="F4" s="74"/>
      <c r="G4" s="74"/>
      <c r="H4" s="74"/>
      <c r="I4" s="74"/>
      <c r="J4" s="74"/>
    </row>
    <row r="6" spans="2:10" x14ac:dyDescent="0.25">
      <c r="B6" s="107" t="s">
        <v>351</v>
      </c>
      <c r="C6" s="148" t="s">
        <v>335</v>
      </c>
      <c r="D6" s="148" t="s">
        <v>336</v>
      </c>
      <c r="E6" s="148" t="s">
        <v>337</v>
      </c>
      <c r="F6" s="148" t="s">
        <v>338</v>
      </c>
      <c r="G6" s="148" t="s">
        <v>339</v>
      </c>
      <c r="H6" s="148" t="s">
        <v>340</v>
      </c>
      <c r="I6" s="148" t="s">
        <v>341</v>
      </c>
      <c r="J6" s="148" t="s">
        <v>342</v>
      </c>
    </row>
    <row r="7" spans="2:10" ht="18" customHeight="1" x14ac:dyDescent="0.25">
      <c r="B7" s="152" t="s">
        <v>360</v>
      </c>
      <c r="C7" s="97"/>
      <c r="D7" s="97"/>
      <c r="E7" s="97"/>
      <c r="F7" s="97"/>
      <c r="G7" s="97"/>
      <c r="H7" s="97"/>
      <c r="I7" s="97"/>
    </row>
    <row r="8" spans="2:10" ht="18" customHeight="1" x14ac:dyDescent="0.25">
      <c r="B8" s="152" t="s">
        <v>361</v>
      </c>
      <c r="C8" s="96">
        <f>+PL!C63</f>
        <v>57689904.229110777</v>
      </c>
      <c r="D8" s="96">
        <f>+PL!D63</f>
        <v>67685976.614809036</v>
      </c>
      <c r="E8" s="96">
        <f>+PL!E63</f>
        <v>70343159.257105112</v>
      </c>
      <c r="F8" s="96">
        <f>+PL!F63</f>
        <v>72911202.404747069</v>
      </c>
      <c r="G8" s="96">
        <f>+PL!G63</f>
        <v>75418128.675967157</v>
      </c>
      <c r="H8" s="96">
        <f>+PL!H63</f>
        <v>77889944.030142546</v>
      </c>
      <c r="I8" s="96">
        <f>+PL!I63</f>
        <v>80351298.894803226</v>
      </c>
      <c r="J8" s="96">
        <f>+PL!J63</f>
        <v>82242717.283998489</v>
      </c>
    </row>
    <row r="9" spans="2:10" ht="18" customHeight="1" x14ac:dyDescent="0.25">
      <c r="B9" s="153" t="s">
        <v>362</v>
      </c>
      <c r="C9" s="96"/>
      <c r="D9" s="96"/>
      <c r="E9" s="96"/>
      <c r="F9" s="96"/>
      <c r="G9" s="96"/>
      <c r="H9" s="96"/>
      <c r="I9" s="96"/>
    </row>
    <row r="10" spans="2:10" ht="18" customHeight="1" x14ac:dyDescent="0.25">
      <c r="B10" s="153" t="s">
        <v>363</v>
      </c>
      <c r="C10" s="96">
        <f>+PL!C38+PL!C39</f>
        <v>3475000</v>
      </c>
      <c r="D10" s="96">
        <f>+PL!D38+PL!D39</f>
        <v>6679875</v>
      </c>
      <c r="E10" s="96">
        <f>+PL!E38+PL!E39</f>
        <v>5701781.25</v>
      </c>
      <c r="F10" s="96">
        <f>+PL!F38+PL!F39</f>
        <v>4868012.8125</v>
      </c>
      <c r="G10" s="96">
        <f>+PL!G38+PL!G39</f>
        <v>4157159.765625</v>
      </c>
      <c r="H10" s="96">
        <f>+PL!H38+PL!H39</f>
        <v>3550999.7882812498</v>
      </c>
      <c r="I10" s="96">
        <f>+PL!I38+PL!I39</f>
        <v>3034022.4087890629</v>
      </c>
      <c r="J10" s="96">
        <f>+PL!J38+PL!J39</f>
        <v>2593024.3773457031</v>
      </c>
    </row>
    <row r="11" spans="2:10" ht="18" customHeight="1" x14ac:dyDescent="0.25">
      <c r="B11" s="153" t="s">
        <v>364</v>
      </c>
      <c r="C11" s="96"/>
      <c r="D11" s="96"/>
      <c r="E11" s="96"/>
      <c r="F11" s="96"/>
      <c r="G11" s="96"/>
      <c r="H11" s="96"/>
      <c r="I11" s="96"/>
    </row>
    <row r="12" spans="2:10" ht="18" customHeight="1" x14ac:dyDescent="0.25">
      <c r="B12" s="153" t="s">
        <v>365</v>
      </c>
      <c r="C12" s="96"/>
      <c r="D12" s="96"/>
      <c r="E12" s="96"/>
      <c r="F12" s="96"/>
      <c r="G12" s="96"/>
      <c r="H12" s="96"/>
      <c r="I12" s="96"/>
    </row>
    <row r="13" spans="2:10" ht="18" customHeight="1" x14ac:dyDescent="0.25">
      <c r="B13" s="153" t="s">
        <v>366</v>
      </c>
      <c r="C13" s="96"/>
      <c r="D13" s="96"/>
      <c r="E13" s="96"/>
      <c r="F13" s="96"/>
      <c r="G13" s="96"/>
      <c r="H13" s="96"/>
      <c r="I13" s="96"/>
    </row>
    <row r="14" spans="2:10" ht="18" customHeight="1" x14ac:dyDescent="0.25">
      <c r="B14" s="153" t="s">
        <v>367</v>
      </c>
      <c r="C14" s="96"/>
      <c r="D14" s="96"/>
      <c r="E14" s="96"/>
      <c r="F14" s="96"/>
      <c r="G14" s="96"/>
      <c r="H14" s="96"/>
      <c r="I14" s="96"/>
    </row>
    <row r="15" spans="2:10" ht="18" customHeight="1" x14ac:dyDescent="0.25">
      <c r="B15" s="152" t="s">
        <v>368</v>
      </c>
      <c r="C15" s="96"/>
      <c r="D15" s="96"/>
      <c r="E15" s="96"/>
      <c r="F15" s="96"/>
      <c r="G15" s="96"/>
      <c r="H15" s="96"/>
      <c r="I15" s="96"/>
    </row>
    <row r="16" spans="2:10" ht="18" customHeight="1" x14ac:dyDescent="0.25">
      <c r="B16" s="153" t="s">
        <v>369</v>
      </c>
      <c r="C16" s="96">
        <f>-BS!C43</f>
        <v>-11992012.306416001</v>
      </c>
      <c r="D16" s="96">
        <f>-BS!D43+BS!C43</f>
        <v>-239840.24612831883</v>
      </c>
      <c r="E16" s="96">
        <f>-BS!E43+BS!D43</f>
        <v>-244637.05105088651</v>
      </c>
      <c r="F16" s="96">
        <f>-BS!F43+BS!E43</f>
        <v>-249529.79207190499</v>
      </c>
      <c r="G16" s="96">
        <f>-BS!G43+BS!F43</f>
        <v>-254520.3879133407</v>
      </c>
      <c r="H16" s="96">
        <f>-BS!H43+BS!G43</f>
        <v>-259610.79567161202</v>
      </c>
      <c r="I16" s="96">
        <f>-BS!I43+BS!H43</f>
        <v>-264803.01158503816</v>
      </c>
      <c r="J16" s="96">
        <f>-BS!J43+BS!I43</f>
        <v>-270099.07181674428</v>
      </c>
    </row>
    <row r="17" spans="2:10" ht="18" customHeight="1" x14ac:dyDescent="0.25">
      <c r="B17" s="153" t="s">
        <v>370</v>
      </c>
      <c r="C17" s="96">
        <f>-BS!C45</f>
        <v>-18726840.377835002</v>
      </c>
      <c r="D17" s="96">
        <f>-BS!D45+BS!C45</f>
        <v>-17228693.147608202</v>
      </c>
      <c r="E17" s="96">
        <f>-BS!E45+BS!D45</f>
        <v>-9887771.7194968835</v>
      </c>
      <c r="F17" s="96">
        <f>-BS!F45+BS!E45</f>
        <v>-10268900.374866568</v>
      </c>
      <c r="G17" s="96">
        <f>-BS!G45+BS!F45</f>
        <v>-10661319.067763284</v>
      </c>
      <c r="H17" s="96">
        <f>-BS!H45+BS!G45</f>
        <v>-11065326.948225848</v>
      </c>
      <c r="I17" s="96">
        <f>-BS!I45+BS!H45</f>
        <v>-11481230.616279885</v>
      </c>
      <c r="J17" s="96">
        <f>-BS!J45+BS!I45</f>
        <v>-11909344.300276771</v>
      </c>
    </row>
    <row r="18" spans="2:10" ht="18" customHeight="1" x14ac:dyDescent="0.25">
      <c r="B18" s="153" t="s">
        <v>371</v>
      </c>
      <c r="D18" s="96">
        <v>0</v>
      </c>
      <c r="E18" s="96"/>
      <c r="F18" s="96"/>
      <c r="G18" s="96"/>
      <c r="H18" s="96"/>
      <c r="I18" s="96"/>
    </row>
    <row r="19" spans="2:10" ht="18" customHeight="1" x14ac:dyDescent="0.25">
      <c r="B19" s="153" t="s">
        <v>372</v>
      </c>
      <c r="C19" s="96"/>
      <c r="D19" s="96"/>
      <c r="E19" s="96"/>
      <c r="F19" s="96"/>
      <c r="G19" s="96"/>
      <c r="H19" s="96"/>
      <c r="I19" s="96"/>
    </row>
    <row r="20" spans="2:10" ht="18" customHeight="1" x14ac:dyDescent="0.25">
      <c r="B20" s="153" t="s">
        <v>373</v>
      </c>
      <c r="C20" s="96">
        <f>+BS!C31</f>
        <v>3060000</v>
      </c>
      <c r="D20" s="96">
        <f>+BS!D31-BS!C31</f>
        <v>1346400</v>
      </c>
      <c r="E20" s="96">
        <f>+BS!E31-BS!D31</f>
        <v>88128</v>
      </c>
      <c r="F20" s="96">
        <f>+BS!F31-BS!E31</f>
        <v>89890.560000000522</v>
      </c>
      <c r="G20" s="96">
        <f>+BS!G31-BS!F31</f>
        <v>91688.371199999005</v>
      </c>
      <c r="H20" s="96">
        <f>+BS!H31-BS!G31</f>
        <v>93522.138624001294</v>
      </c>
      <c r="I20" s="96">
        <f>+BS!I31-BS!H31</f>
        <v>95392.58139647916</v>
      </c>
      <c r="J20" s="96">
        <f>+BS!J31-BS!I31</f>
        <v>97300.433024410158</v>
      </c>
    </row>
    <row r="21" spans="2:10" ht="18" customHeight="1" x14ac:dyDescent="0.25">
      <c r="B21" s="152" t="s">
        <v>374</v>
      </c>
      <c r="C21" s="96"/>
      <c r="D21" s="96"/>
      <c r="E21" s="96"/>
      <c r="F21" s="96"/>
      <c r="G21" s="96"/>
      <c r="H21" s="96"/>
      <c r="I21" s="96"/>
    </row>
    <row r="22" spans="2:10" ht="18" customHeight="1" x14ac:dyDescent="0.25">
      <c r="B22" s="153" t="s">
        <v>375</v>
      </c>
      <c r="C22" s="96">
        <f>-PL!C64</f>
        <v>-16049331.356538618</v>
      </c>
      <c r="D22" s="96">
        <f>-PL!D64</f>
        <v>-18830238.694239873</v>
      </c>
      <c r="E22" s="96">
        <f>-PL!E64</f>
        <v>-19569466.905326642</v>
      </c>
      <c r="F22" s="96">
        <f>-PL!F64</f>
        <v>-20283896.509000633</v>
      </c>
      <c r="G22" s="96">
        <f>-PL!G64</f>
        <v>-20981323.397654064</v>
      </c>
      <c r="H22" s="96">
        <f>-PL!H64</f>
        <v>-21668982.429185655</v>
      </c>
      <c r="I22" s="96">
        <f>-PL!I64</f>
        <v>-22353731.352534257</v>
      </c>
      <c r="J22" s="96">
        <f>-PL!J64</f>
        <v>-22879923.94840838</v>
      </c>
    </row>
    <row r="23" spans="2:10" ht="18" customHeight="1" x14ac:dyDescent="0.25">
      <c r="B23" s="156" t="s">
        <v>376</v>
      </c>
      <c r="C23" s="157">
        <f t="shared" ref="C23:H23" si="0">+SUM(C8:C22)</f>
        <v>17456720.188321151</v>
      </c>
      <c r="D23" s="157">
        <f t="shared" si="0"/>
        <v>39413479.52683264</v>
      </c>
      <c r="E23" s="157">
        <f t="shared" si="0"/>
        <v>46431192.8312307</v>
      </c>
      <c r="F23" s="157">
        <f t="shared" si="0"/>
        <v>47066779.101307958</v>
      </c>
      <c r="G23" s="157">
        <f t="shared" si="0"/>
        <v>47769813.959461458</v>
      </c>
      <c r="H23" s="157">
        <f t="shared" si="0"/>
        <v>48540545.783964679</v>
      </c>
      <c r="I23" s="157">
        <f t="shared" ref="I23:J23" si="1">+SUM(I8:I22)</f>
        <v>49380948.904589586</v>
      </c>
      <c r="J23" s="157">
        <f t="shared" si="1"/>
        <v>49873674.773866698</v>
      </c>
    </row>
    <row r="24" spans="2:10" ht="18" customHeight="1" x14ac:dyDescent="0.25">
      <c r="B24" s="153"/>
      <c r="C24" s="97"/>
      <c r="D24" s="97"/>
      <c r="E24" s="97"/>
      <c r="F24" s="97"/>
      <c r="G24" s="97"/>
      <c r="H24" s="97"/>
      <c r="I24" s="97"/>
    </row>
    <row r="25" spans="2:10" ht="18" customHeight="1" x14ac:dyDescent="0.25">
      <c r="B25" s="152" t="s">
        <v>377</v>
      </c>
      <c r="C25" s="97"/>
      <c r="D25" s="97"/>
      <c r="E25" s="97"/>
      <c r="F25" s="97"/>
      <c r="G25" s="97"/>
      <c r="H25" s="97"/>
      <c r="I25" s="97"/>
    </row>
    <row r="26" spans="2:10" ht="18" customHeight="1" x14ac:dyDescent="0.25">
      <c r="B26" s="153" t="s">
        <v>378</v>
      </c>
      <c r="C26" s="96">
        <f>-depreciation!C11-depreciation!C22</f>
        <v>-49600000</v>
      </c>
      <c r="D26" s="96">
        <v>0</v>
      </c>
      <c r="E26" s="96"/>
      <c r="F26" s="96"/>
      <c r="G26" s="96"/>
      <c r="H26" s="96"/>
      <c r="I26" s="96"/>
    </row>
    <row r="27" spans="2:10" ht="18" customHeight="1" x14ac:dyDescent="0.25">
      <c r="B27" s="153" t="s">
        <v>379</v>
      </c>
      <c r="C27" s="96">
        <f>-BS!C47</f>
        <v>-12300000</v>
      </c>
      <c r="D27" s="96">
        <v>12300000</v>
      </c>
      <c r="E27" s="96"/>
      <c r="F27" s="96"/>
      <c r="G27" s="96"/>
      <c r="H27" s="96"/>
      <c r="I27" s="96"/>
    </row>
    <row r="28" spans="2:10" ht="18" customHeight="1" x14ac:dyDescent="0.25">
      <c r="B28" s="153" t="s">
        <v>380</v>
      </c>
      <c r="C28" s="96"/>
      <c r="D28" s="96"/>
      <c r="E28" s="96"/>
      <c r="F28" s="96"/>
      <c r="G28" s="96"/>
      <c r="H28" s="96"/>
      <c r="I28" s="96"/>
    </row>
    <row r="29" spans="2:10" ht="18" customHeight="1" x14ac:dyDescent="0.25">
      <c r="B29" s="153" t="s">
        <v>381</v>
      </c>
      <c r="C29" s="96"/>
      <c r="D29" s="96"/>
      <c r="E29" s="96"/>
      <c r="F29" s="96"/>
      <c r="G29" s="96"/>
      <c r="H29" s="96"/>
      <c r="I29" s="96"/>
    </row>
    <row r="30" spans="2:10" ht="18" customHeight="1" x14ac:dyDescent="0.25">
      <c r="B30" s="153" t="s">
        <v>382</v>
      </c>
      <c r="C30" s="96"/>
      <c r="D30" s="96"/>
      <c r="E30" s="96"/>
      <c r="F30" s="96"/>
      <c r="G30" s="96"/>
      <c r="H30" s="96"/>
      <c r="I30" s="96"/>
    </row>
    <row r="31" spans="2:10" ht="18" customHeight="1" x14ac:dyDescent="0.25">
      <c r="B31" s="153" t="s">
        <v>383</v>
      </c>
      <c r="C31" s="96"/>
      <c r="D31" s="96"/>
      <c r="E31" s="96"/>
      <c r="F31" s="96"/>
      <c r="G31" s="96"/>
      <c r="H31" s="96"/>
      <c r="I31" s="96"/>
    </row>
    <row r="32" spans="2:10" ht="18" customHeight="1" x14ac:dyDescent="0.25">
      <c r="B32" s="153" t="s">
        <v>367</v>
      </c>
      <c r="C32" s="96"/>
      <c r="D32" s="96"/>
      <c r="E32" s="96"/>
      <c r="F32" s="96"/>
      <c r="G32" s="96"/>
      <c r="H32" s="96"/>
      <c r="I32" s="96"/>
    </row>
    <row r="33" spans="2:10" ht="18" customHeight="1" x14ac:dyDescent="0.25">
      <c r="B33" s="156" t="s">
        <v>384</v>
      </c>
      <c r="C33" s="157">
        <f t="shared" ref="C33:J33" si="2">+SUM(C26:C32)</f>
        <v>-61900000</v>
      </c>
      <c r="D33" s="157">
        <f t="shared" si="2"/>
        <v>12300000</v>
      </c>
      <c r="E33" s="157">
        <f t="shared" si="2"/>
        <v>0</v>
      </c>
      <c r="F33" s="157">
        <f t="shared" si="2"/>
        <v>0</v>
      </c>
      <c r="G33" s="157">
        <f t="shared" si="2"/>
        <v>0</v>
      </c>
      <c r="H33" s="157">
        <f t="shared" si="2"/>
        <v>0</v>
      </c>
      <c r="I33" s="157">
        <f t="shared" si="2"/>
        <v>0</v>
      </c>
      <c r="J33" s="157">
        <f t="shared" si="2"/>
        <v>0</v>
      </c>
    </row>
    <row r="34" spans="2:10" ht="18" customHeight="1" x14ac:dyDescent="0.25">
      <c r="B34" s="153"/>
      <c r="C34" s="97"/>
      <c r="D34" s="97"/>
      <c r="E34" s="97"/>
      <c r="F34" s="97"/>
      <c r="G34" s="97"/>
      <c r="H34" s="97"/>
      <c r="I34" s="97"/>
    </row>
    <row r="35" spans="2:10" ht="18" customHeight="1" x14ac:dyDescent="0.25">
      <c r="B35" s="152" t="s">
        <v>385</v>
      </c>
      <c r="C35" s="97"/>
      <c r="D35" s="97"/>
      <c r="E35" s="97"/>
      <c r="F35" s="97"/>
      <c r="G35" s="97"/>
      <c r="H35" s="97"/>
      <c r="I35" s="97"/>
    </row>
    <row r="36" spans="2:10" ht="18" customHeight="1" x14ac:dyDescent="0.25">
      <c r="B36" s="153" t="s">
        <v>386</v>
      </c>
      <c r="C36" s="96">
        <f>+BS!C11</f>
        <v>16550000</v>
      </c>
      <c r="D36" s="96">
        <v>0</v>
      </c>
      <c r="E36" s="96"/>
      <c r="F36" s="96"/>
      <c r="G36" s="96"/>
      <c r="H36" s="96"/>
      <c r="I36" s="96"/>
    </row>
    <row r="37" spans="2:10" ht="18" customHeight="1" x14ac:dyDescent="0.25">
      <c r="B37" s="153" t="s">
        <v>387</v>
      </c>
      <c r="C37" s="96">
        <f>+'Means of Finance'!C14</f>
        <v>37200000</v>
      </c>
      <c r="D37" s="96">
        <f>-'TL interest'!C97</f>
        <v>-4318015</v>
      </c>
      <c r="E37" s="96">
        <f>-'TL interest'!C98</f>
        <v>-4938403</v>
      </c>
      <c r="F37" s="96">
        <f>-'TL interest'!C99</f>
        <v>-5647926</v>
      </c>
      <c r="G37" s="96">
        <f>-'TL interest'!C100</f>
        <v>-6459388</v>
      </c>
      <c r="H37" s="96">
        <f>-'TL interest'!C101</f>
        <v>-7387439</v>
      </c>
      <c r="I37" s="96">
        <f>-'TL interest'!C102</f>
        <v>-8448829</v>
      </c>
    </row>
    <row r="38" spans="2:10" ht="18" customHeight="1" x14ac:dyDescent="0.25">
      <c r="B38" s="153" t="s">
        <v>388</v>
      </c>
      <c r="C38" s="96">
        <f>+'Means of Finance'!C16</f>
        <v>12450000</v>
      </c>
      <c r="D38" s="96">
        <v>0</v>
      </c>
      <c r="E38" s="96"/>
      <c r="F38" s="96"/>
      <c r="G38" s="96"/>
      <c r="H38" s="96"/>
      <c r="I38" s="96"/>
    </row>
    <row r="39" spans="2:10" ht="18" customHeight="1" x14ac:dyDescent="0.25">
      <c r="B39" s="153" t="s">
        <v>395</v>
      </c>
      <c r="C39" s="96">
        <f>-BS!C19</f>
        <v>-20000000</v>
      </c>
      <c r="D39" s="96">
        <f>-BS!D19</f>
        <v>-46000000</v>
      </c>
      <c r="E39" s="96">
        <f>-BS!E19</f>
        <v>-40000000</v>
      </c>
      <c r="F39" s="96">
        <f>-BS!F19</f>
        <v>-40000000</v>
      </c>
      <c r="G39" s="96">
        <f>-BS!G19</f>
        <v>-40000000</v>
      </c>
      <c r="H39" s="96">
        <f>-BS!H19</f>
        <v>-40000000</v>
      </c>
      <c r="I39" s="96">
        <f>-BS!I19</f>
        <v>-40000000</v>
      </c>
      <c r="J39" s="96">
        <f>-BS!J19</f>
        <v>-50000000</v>
      </c>
    </row>
    <row r="40" spans="2:10" ht="18" customHeight="1" x14ac:dyDescent="0.25">
      <c r="B40" s="153" t="s">
        <v>389</v>
      </c>
      <c r="C40" s="96"/>
      <c r="D40" s="96"/>
      <c r="E40" s="96"/>
      <c r="F40" s="96"/>
      <c r="G40" s="96"/>
      <c r="H40" s="96"/>
      <c r="I40" s="96"/>
    </row>
    <row r="41" spans="2:10" ht="18" customHeight="1" x14ac:dyDescent="0.25">
      <c r="B41" s="153" t="s">
        <v>390</v>
      </c>
      <c r="C41" s="96"/>
      <c r="D41" s="96"/>
      <c r="E41" s="96"/>
      <c r="F41" s="96"/>
      <c r="G41" s="96"/>
      <c r="H41" s="96"/>
      <c r="I41" s="96"/>
    </row>
    <row r="42" spans="2:10" ht="18" customHeight="1" x14ac:dyDescent="0.25">
      <c r="B42" s="156" t="s">
        <v>391</v>
      </c>
      <c r="C42" s="157">
        <f t="shared" ref="C42:J42" si="3">+SUM(C36:C41)</f>
        <v>46200000</v>
      </c>
      <c r="D42" s="157">
        <f t="shared" si="3"/>
        <v>-50318015</v>
      </c>
      <c r="E42" s="157">
        <f t="shared" si="3"/>
        <v>-44938403</v>
      </c>
      <c r="F42" s="157">
        <f t="shared" si="3"/>
        <v>-45647926</v>
      </c>
      <c r="G42" s="157">
        <f t="shared" si="3"/>
        <v>-46459388</v>
      </c>
      <c r="H42" s="157">
        <f t="shared" si="3"/>
        <v>-47387439</v>
      </c>
      <c r="I42" s="157">
        <f t="shared" si="3"/>
        <v>-48448829</v>
      </c>
      <c r="J42" s="157">
        <f t="shared" si="3"/>
        <v>-50000000</v>
      </c>
    </row>
    <row r="43" spans="2:10" ht="18" customHeight="1" x14ac:dyDescent="0.25">
      <c r="B43" s="153"/>
      <c r="C43" s="97"/>
      <c r="D43" s="97"/>
      <c r="E43" s="97"/>
      <c r="F43" s="97"/>
      <c r="G43" s="97"/>
      <c r="H43" s="97"/>
      <c r="I43" s="97"/>
    </row>
    <row r="44" spans="2:10" ht="18" customHeight="1" x14ac:dyDescent="0.25">
      <c r="B44" s="152" t="s">
        <v>392</v>
      </c>
      <c r="C44" s="97">
        <f t="shared" ref="C44:J44" si="4">+C23+C33+C42</f>
        <v>1756720.1883211508</v>
      </c>
      <c r="D44" s="97">
        <f t="shared" si="4"/>
        <v>1395464.5268326402</v>
      </c>
      <c r="E44" s="97">
        <f t="shared" si="4"/>
        <v>1492789.8312307</v>
      </c>
      <c r="F44" s="97">
        <f t="shared" si="4"/>
        <v>1418853.1013079584</v>
      </c>
      <c r="G44" s="97">
        <f t="shared" si="4"/>
        <v>1310425.959461458</v>
      </c>
      <c r="H44" s="97">
        <f t="shared" si="4"/>
        <v>1153106.7839646786</v>
      </c>
      <c r="I44" s="97">
        <f t="shared" si="4"/>
        <v>932119.90458958596</v>
      </c>
      <c r="J44" s="97">
        <f t="shared" si="4"/>
        <v>-126325.22613330185</v>
      </c>
    </row>
    <row r="45" spans="2:10" ht="18" customHeight="1" x14ac:dyDescent="0.25">
      <c r="B45" s="153" t="s">
        <v>393</v>
      </c>
      <c r="C45" s="76">
        <v>0</v>
      </c>
      <c r="D45" s="97">
        <f t="shared" ref="D45:J45" si="5">+C46</f>
        <v>1756720.1883211508</v>
      </c>
      <c r="E45" s="97">
        <f t="shared" si="5"/>
        <v>3152184.715153791</v>
      </c>
      <c r="F45" s="97">
        <f t="shared" si="5"/>
        <v>4644974.546384491</v>
      </c>
      <c r="G45" s="97">
        <f t="shared" si="5"/>
        <v>6063827.6476924494</v>
      </c>
      <c r="H45" s="97">
        <f t="shared" si="5"/>
        <v>7374253.6071539074</v>
      </c>
      <c r="I45" s="97">
        <f t="shared" si="5"/>
        <v>8527360.3911185861</v>
      </c>
      <c r="J45" s="97">
        <f t="shared" si="5"/>
        <v>9459480.295708172</v>
      </c>
    </row>
    <row r="46" spans="2:10" ht="19.5" customHeight="1" x14ac:dyDescent="0.25">
      <c r="B46" s="158" t="s">
        <v>394</v>
      </c>
      <c r="C46" s="148">
        <f t="shared" ref="C46:J46" si="6">+C45+C44</f>
        <v>1756720.1883211508</v>
      </c>
      <c r="D46" s="148">
        <f t="shared" si="6"/>
        <v>3152184.715153791</v>
      </c>
      <c r="E46" s="148">
        <f t="shared" si="6"/>
        <v>4644974.546384491</v>
      </c>
      <c r="F46" s="148">
        <f t="shared" si="6"/>
        <v>6063827.6476924494</v>
      </c>
      <c r="G46" s="148">
        <f t="shared" si="6"/>
        <v>7374253.6071539074</v>
      </c>
      <c r="H46" s="148">
        <f t="shared" si="6"/>
        <v>8527360.3911185861</v>
      </c>
      <c r="I46" s="148">
        <f t="shared" si="6"/>
        <v>9459480.295708172</v>
      </c>
      <c r="J46" s="148">
        <f t="shared" si="6"/>
        <v>9333155.0695748702</v>
      </c>
    </row>
    <row r="47" spans="2:10" x14ac:dyDescent="0.25">
      <c r="C47" s="155"/>
      <c r="D47" s="155"/>
      <c r="E47" s="155"/>
      <c r="F47" s="155"/>
      <c r="G47" s="155"/>
      <c r="H47" s="155"/>
      <c r="I47" s="155"/>
      <c r="J47" s="155"/>
    </row>
    <row r="48" spans="2:10" x14ac:dyDescent="0.25">
      <c r="C48" s="96"/>
      <c r="D48" s="96"/>
      <c r="E48" s="96"/>
      <c r="F48" s="96"/>
      <c r="G48" s="96"/>
      <c r="H48" s="96"/>
      <c r="I48" s="96"/>
      <c r="J48" s="96"/>
    </row>
    <row r="50" spans="3:3" x14ac:dyDescent="0.25">
      <c r="C50" s="96"/>
    </row>
  </sheetData>
  <mergeCells count="3">
    <mergeCell ref="B1:J1"/>
    <mergeCell ref="B2:J2"/>
    <mergeCell ref="B3:J3"/>
  </mergeCells>
  <pageMargins left="0.72" right="0.12" top="0.28999999999999998" bottom="0.12" header="0.3" footer="0.18"/>
  <pageSetup scale="3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J47"/>
  <sheetViews>
    <sheetView showGridLines="0" topLeftCell="A4" zoomScaleNormal="100" zoomScaleSheetLayoutView="100" workbookViewId="0">
      <selection activeCell="G17" sqref="G17"/>
    </sheetView>
  </sheetViews>
  <sheetFormatPr defaultRowHeight="15" x14ac:dyDescent="0.25"/>
  <cols>
    <col min="1" max="1" width="5.85546875" style="78" customWidth="1"/>
    <col min="2" max="2" width="29.7109375" style="103" customWidth="1"/>
    <col min="3" max="3" width="24" style="81" customWidth="1"/>
    <col min="4" max="4" width="20.28515625" style="163" customWidth="1"/>
    <col min="5" max="6" width="25.140625" style="81" customWidth="1"/>
    <col min="7" max="7" width="20.42578125" style="81" customWidth="1"/>
    <col min="8" max="8" width="14" style="78" customWidth="1"/>
    <col min="9" max="9" width="14.5703125" style="78" bestFit="1" customWidth="1"/>
    <col min="10" max="10" width="15.85546875" style="78" customWidth="1"/>
    <col min="11" max="16384" width="9.140625" style="78"/>
  </cols>
  <sheetData>
    <row r="1" spans="2:10" ht="19.5" customHeight="1" x14ac:dyDescent="0.25">
      <c r="B1" s="369"/>
      <c r="C1" s="369"/>
      <c r="D1" s="369"/>
      <c r="E1" s="369"/>
      <c r="F1" s="369"/>
      <c r="G1" s="369"/>
    </row>
    <row r="2" spans="2:10" ht="19.5" customHeight="1" x14ac:dyDescent="0.25">
      <c r="B2" s="377" t="str">
        <f>'Investment in project'!B2:E2</f>
        <v xml:space="preserve">ORENSE INDUSTRIES PRIVATE LIMITED, CIN: U23209OR2022PTC041057,  Andhapasra Road, Near Hanuman Temple, Berhampur Ganjam Pin- 760002 </v>
      </c>
      <c r="C2" s="377"/>
      <c r="D2" s="377"/>
      <c r="E2" s="377"/>
      <c r="F2" s="377"/>
      <c r="G2" s="377"/>
    </row>
    <row r="4" spans="2:10" x14ac:dyDescent="0.25">
      <c r="B4" s="230" t="s">
        <v>343</v>
      </c>
      <c r="C4" s="164"/>
      <c r="D4" s="165"/>
      <c r="E4" s="166"/>
      <c r="F4" s="166"/>
      <c r="G4" s="166"/>
      <c r="H4" s="125"/>
      <c r="I4" s="125"/>
      <c r="J4" s="125"/>
    </row>
    <row r="5" spans="2:10" x14ac:dyDescent="0.25">
      <c r="B5" s="121" t="s">
        <v>347</v>
      </c>
      <c r="C5" s="170"/>
      <c r="D5" s="171"/>
      <c r="E5" s="172"/>
      <c r="F5" s="172"/>
      <c r="G5" s="172"/>
      <c r="H5" s="125"/>
      <c r="I5" s="125"/>
      <c r="J5" s="125"/>
    </row>
    <row r="6" spans="2:10" ht="30" x14ac:dyDescent="0.25">
      <c r="B6" s="173" t="s">
        <v>235</v>
      </c>
      <c r="C6" s="174" t="s">
        <v>238</v>
      </c>
      <c r="D6" s="175" t="s">
        <v>237</v>
      </c>
      <c r="E6" s="174" t="s">
        <v>215</v>
      </c>
      <c r="F6" s="174" t="s">
        <v>221</v>
      </c>
      <c r="G6" s="174" t="s">
        <v>344</v>
      </c>
      <c r="H6" s="125"/>
      <c r="I6" s="125"/>
      <c r="J6" s="125"/>
    </row>
    <row r="7" spans="2:10" x14ac:dyDescent="0.25">
      <c r="B7" s="103" t="s">
        <v>218</v>
      </c>
      <c r="C7" s="84">
        <f>+C13/2</f>
        <v>10303.738800000001</v>
      </c>
      <c r="D7" s="167">
        <v>81.33</v>
      </c>
      <c r="E7" s="94">
        <f>+D7*C7</f>
        <v>838003.07660400006</v>
      </c>
      <c r="F7" s="94">
        <v>25</v>
      </c>
      <c r="G7" s="94">
        <f>+E7*F7*5</f>
        <v>104750384.57550001</v>
      </c>
      <c r="H7" s="125"/>
      <c r="I7" s="125"/>
      <c r="J7" s="125"/>
    </row>
    <row r="8" spans="2:10" x14ac:dyDescent="0.25">
      <c r="B8" s="103" t="s">
        <v>251</v>
      </c>
      <c r="C8" s="81">
        <f>+C14/2</f>
        <v>1236</v>
      </c>
      <c r="D8" s="167">
        <v>35</v>
      </c>
      <c r="E8" s="94">
        <f>+D8*C8</f>
        <v>43260</v>
      </c>
      <c r="F8" s="94">
        <v>25</v>
      </c>
      <c r="G8" s="94">
        <f>+E8*F8*5</f>
        <v>5407500</v>
      </c>
      <c r="H8" s="125"/>
      <c r="I8" s="125"/>
      <c r="J8" s="125"/>
    </row>
    <row r="9" spans="2:10" x14ac:dyDescent="0.25">
      <c r="B9" s="103" t="s">
        <v>6</v>
      </c>
      <c r="C9" s="84"/>
      <c r="D9" s="167"/>
      <c r="E9" s="94">
        <f>+E8+E7</f>
        <v>881263.07660400006</v>
      </c>
      <c r="F9" s="94"/>
      <c r="G9" s="94">
        <f>+G7+G8</f>
        <v>110157884.57550001</v>
      </c>
      <c r="H9" s="125"/>
      <c r="I9" s="125"/>
      <c r="J9" s="125"/>
    </row>
    <row r="10" spans="2:10" x14ac:dyDescent="0.25">
      <c r="D10" s="167"/>
      <c r="E10" s="94"/>
      <c r="F10" s="94"/>
      <c r="G10" s="94"/>
      <c r="H10" s="125"/>
      <c r="I10" s="125"/>
      <c r="J10" s="125"/>
    </row>
    <row r="11" spans="2:10" x14ac:dyDescent="0.25">
      <c r="B11" s="121" t="s">
        <v>239</v>
      </c>
      <c r="C11" s="170"/>
      <c r="D11" s="171"/>
      <c r="E11" s="172"/>
      <c r="F11" s="172"/>
      <c r="G11" s="172"/>
      <c r="H11" s="125"/>
      <c r="I11" s="125"/>
      <c r="J11" s="125"/>
    </row>
    <row r="12" spans="2:10" ht="30" x14ac:dyDescent="0.25">
      <c r="B12" s="173" t="s">
        <v>236</v>
      </c>
      <c r="C12" s="174" t="s">
        <v>238</v>
      </c>
      <c r="D12" s="175" t="s">
        <v>237</v>
      </c>
      <c r="E12" s="174" t="s">
        <v>215</v>
      </c>
      <c r="F12" s="174" t="s">
        <v>221</v>
      </c>
      <c r="G12" s="174" t="s">
        <v>227</v>
      </c>
      <c r="I12" s="160"/>
      <c r="J12" s="125"/>
    </row>
    <row r="13" spans="2:10" x14ac:dyDescent="0.25">
      <c r="B13" s="103" t="s">
        <v>218</v>
      </c>
      <c r="C13" s="94">
        <f>18134*1.1364</f>
        <v>20607.477600000002</v>
      </c>
      <c r="D13" s="167">
        <f>D7</f>
        <v>81.33</v>
      </c>
      <c r="E13" s="94">
        <f>+C13*D13</f>
        <v>1676006.1532080001</v>
      </c>
      <c r="F13" s="94">
        <v>25</v>
      </c>
      <c r="G13" s="94">
        <f>+E13*F13*6</f>
        <v>251400922.98120001</v>
      </c>
      <c r="H13" s="125"/>
      <c r="I13" s="125"/>
      <c r="J13" s="125"/>
    </row>
    <row r="14" spans="2:10" x14ac:dyDescent="0.25">
      <c r="B14" s="103" t="s">
        <v>251</v>
      </c>
      <c r="C14" s="94">
        <v>2472</v>
      </c>
      <c r="D14" s="167">
        <f>D8</f>
        <v>35</v>
      </c>
      <c r="E14" s="94">
        <f>+C14*D14</f>
        <v>86520</v>
      </c>
      <c r="F14" s="94">
        <v>25</v>
      </c>
      <c r="G14" s="94">
        <f>+E14*F14*6</f>
        <v>12978000</v>
      </c>
      <c r="H14" s="125"/>
      <c r="I14" s="125"/>
      <c r="J14" s="125"/>
    </row>
    <row r="15" spans="2:10" x14ac:dyDescent="0.25">
      <c r="B15" s="103" t="s">
        <v>6</v>
      </c>
      <c r="C15" s="96"/>
      <c r="E15" s="96">
        <f>+E14+E13</f>
        <v>1762526.1532080001</v>
      </c>
      <c r="G15" s="94">
        <f>+G13+G14</f>
        <v>264378922.98120001</v>
      </c>
      <c r="H15" s="125">
        <f>+G15*2</f>
        <v>528757845.96240002</v>
      </c>
      <c r="I15" s="125"/>
      <c r="J15" s="125"/>
    </row>
    <row r="16" spans="2:10" x14ac:dyDescent="0.25">
      <c r="D16" s="167"/>
      <c r="E16" s="94"/>
      <c r="F16" s="94"/>
      <c r="G16" s="94"/>
      <c r="H16" s="125"/>
      <c r="I16" s="125"/>
      <c r="J16" s="125"/>
    </row>
    <row r="17" spans="4:10" x14ac:dyDescent="0.25">
      <c r="D17" s="167"/>
      <c r="E17" s="94"/>
      <c r="F17" s="94"/>
      <c r="G17" s="94">
        <f>G9+G15</f>
        <v>374536807.55669999</v>
      </c>
      <c r="H17" s="125"/>
      <c r="I17" s="125"/>
      <c r="J17" s="125"/>
    </row>
    <row r="18" spans="4:10" x14ac:dyDescent="0.25">
      <c r="D18" s="167"/>
      <c r="E18" s="94"/>
      <c r="F18" s="94"/>
      <c r="G18" s="94">
        <v>374098898.6577</v>
      </c>
      <c r="H18" s="125"/>
      <c r="I18" s="125"/>
      <c r="J18" s="125"/>
    </row>
    <row r="19" spans="4:10" x14ac:dyDescent="0.25">
      <c r="D19" s="167"/>
      <c r="E19" s="94"/>
      <c r="F19" s="94"/>
      <c r="G19" s="94"/>
      <c r="H19" s="125"/>
      <c r="I19" s="125"/>
      <c r="J19" s="125"/>
    </row>
    <row r="20" spans="4:10" x14ac:dyDescent="0.25">
      <c r="D20" s="167"/>
      <c r="E20" s="94"/>
      <c r="F20" s="94"/>
      <c r="G20" s="94"/>
      <c r="H20" s="125"/>
      <c r="I20" s="125"/>
      <c r="J20" s="125"/>
    </row>
    <row r="21" spans="4:10" x14ac:dyDescent="0.25">
      <c r="D21" s="167"/>
      <c r="E21" s="94"/>
      <c r="F21" s="94"/>
      <c r="G21" s="94"/>
      <c r="H21" s="125"/>
      <c r="I21" s="125"/>
      <c r="J21" s="125"/>
    </row>
    <row r="22" spans="4:10" x14ac:dyDescent="0.25">
      <c r="D22" s="167"/>
      <c r="E22" s="94"/>
      <c r="F22" s="94"/>
      <c r="G22" s="94"/>
      <c r="H22" s="125"/>
      <c r="I22" s="125"/>
      <c r="J22" s="125"/>
    </row>
    <row r="23" spans="4:10" x14ac:dyDescent="0.25">
      <c r="D23" s="167"/>
      <c r="E23" s="94"/>
      <c r="F23" s="94"/>
      <c r="G23" s="94"/>
      <c r="H23" s="125"/>
      <c r="I23" s="125"/>
      <c r="J23" s="125"/>
    </row>
    <row r="24" spans="4:10" x14ac:dyDescent="0.25">
      <c r="D24" s="167"/>
      <c r="E24" s="94"/>
      <c r="F24" s="94"/>
      <c r="G24" s="94"/>
      <c r="H24" s="125"/>
      <c r="I24" s="125"/>
      <c r="J24" s="125"/>
    </row>
    <row r="25" spans="4:10" x14ac:dyDescent="0.25">
      <c r="D25" s="167"/>
      <c r="E25" s="94"/>
      <c r="F25" s="94"/>
      <c r="G25" s="94"/>
      <c r="H25" s="125"/>
      <c r="I25" s="125"/>
      <c r="J25" s="125"/>
    </row>
    <row r="26" spans="4:10" x14ac:dyDescent="0.25">
      <c r="D26" s="167"/>
      <c r="E26" s="94"/>
      <c r="F26" s="94"/>
      <c r="G26" s="94"/>
      <c r="H26" s="125"/>
      <c r="I26" s="125"/>
      <c r="J26" s="125"/>
    </row>
    <row r="27" spans="4:10" x14ac:dyDescent="0.25">
      <c r="D27" s="167"/>
      <c r="E27" s="94"/>
      <c r="F27" s="94"/>
      <c r="G27" s="94"/>
      <c r="H27" s="125"/>
      <c r="I27" s="125"/>
      <c r="J27" s="125"/>
    </row>
    <row r="28" spans="4:10" x14ac:dyDescent="0.25">
      <c r="D28" s="167"/>
      <c r="E28" s="94"/>
      <c r="F28" s="94"/>
      <c r="G28" s="94"/>
      <c r="H28" s="125"/>
      <c r="I28" s="125"/>
      <c r="J28" s="125"/>
    </row>
    <row r="29" spans="4:10" x14ac:dyDescent="0.25">
      <c r="D29" s="167"/>
      <c r="E29" s="94"/>
      <c r="F29" s="94"/>
      <c r="G29" s="94"/>
      <c r="H29" s="125"/>
      <c r="I29" s="125"/>
      <c r="J29" s="125"/>
    </row>
    <row r="30" spans="4:10" x14ac:dyDescent="0.25">
      <c r="D30" s="167"/>
      <c r="E30" s="94"/>
      <c r="F30" s="94"/>
      <c r="G30" s="94"/>
      <c r="H30" s="125"/>
      <c r="I30" s="125"/>
      <c r="J30" s="125"/>
    </row>
    <row r="31" spans="4:10" x14ac:dyDescent="0.25">
      <c r="D31" s="167"/>
      <c r="E31" s="94"/>
      <c r="F31" s="94"/>
      <c r="G31" s="94"/>
      <c r="H31" s="125"/>
      <c r="I31" s="125"/>
      <c r="J31" s="125"/>
    </row>
    <row r="32" spans="4:10" x14ac:dyDescent="0.25">
      <c r="D32" s="167"/>
      <c r="E32" s="94"/>
      <c r="F32" s="94"/>
      <c r="G32" s="94"/>
      <c r="H32" s="125"/>
      <c r="I32" s="125"/>
      <c r="J32" s="125"/>
    </row>
    <row r="33" spans="2:10" x14ac:dyDescent="0.25">
      <c r="D33" s="167"/>
      <c r="E33" s="94"/>
      <c r="F33" s="94"/>
      <c r="G33" s="94"/>
      <c r="H33" s="125"/>
      <c r="I33" s="125"/>
      <c r="J33" s="125"/>
    </row>
    <row r="34" spans="2:10" x14ac:dyDescent="0.25">
      <c r="D34" s="167"/>
      <c r="E34" s="94"/>
      <c r="F34" s="94"/>
      <c r="G34" s="94"/>
      <c r="H34" s="125"/>
      <c r="I34" s="125"/>
      <c r="J34" s="125"/>
    </row>
    <row r="35" spans="2:10" x14ac:dyDescent="0.25">
      <c r="D35" s="167"/>
      <c r="E35" s="94"/>
      <c r="F35" s="94"/>
      <c r="G35" s="94"/>
      <c r="H35" s="125"/>
      <c r="I35" s="125"/>
      <c r="J35" s="125"/>
    </row>
    <row r="36" spans="2:10" x14ac:dyDescent="0.25">
      <c r="D36" s="167"/>
      <c r="E36" s="94"/>
      <c r="F36" s="94"/>
      <c r="G36" s="94"/>
      <c r="H36" s="125"/>
      <c r="I36" s="125"/>
      <c r="J36" s="125"/>
    </row>
    <row r="37" spans="2:10" x14ac:dyDescent="0.25">
      <c r="D37" s="167"/>
      <c r="E37" s="94"/>
      <c r="F37" s="94"/>
      <c r="G37" s="94"/>
      <c r="H37" s="125"/>
      <c r="I37" s="125"/>
      <c r="J37" s="125"/>
    </row>
    <row r="38" spans="2:10" x14ac:dyDescent="0.25">
      <c r="D38" s="167"/>
      <c r="E38" s="94"/>
      <c r="F38" s="94"/>
      <c r="G38" s="94"/>
      <c r="H38" s="125"/>
      <c r="I38" s="125"/>
      <c r="J38" s="125"/>
    </row>
    <row r="39" spans="2:10" x14ac:dyDescent="0.25">
      <c r="D39" s="167"/>
      <c r="E39" s="94"/>
      <c r="F39" s="94"/>
      <c r="G39" s="94"/>
      <c r="H39" s="125"/>
      <c r="I39" s="125"/>
      <c r="J39" s="125"/>
    </row>
    <row r="40" spans="2:10" x14ac:dyDescent="0.25">
      <c r="D40" s="167"/>
      <c r="E40" s="94"/>
      <c r="F40" s="94"/>
      <c r="G40" s="94"/>
      <c r="H40" s="125"/>
      <c r="I40" s="125"/>
      <c r="J40" s="125"/>
    </row>
    <row r="41" spans="2:10" x14ac:dyDescent="0.25">
      <c r="D41" s="167"/>
      <c r="E41" s="94"/>
      <c r="F41" s="94"/>
      <c r="G41" s="94"/>
      <c r="H41" s="125"/>
      <c r="I41" s="125"/>
      <c r="J41" s="125"/>
    </row>
    <row r="42" spans="2:10" x14ac:dyDescent="0.25">
      <c r="D42" s="167"/>
      <c r="E42" s="94"/>
      <c r="F42" s="94"/>
      <c r="G42" s="94"/>
      <c r="H42" s="125"/>
      <c r="I42" s="125"/>
      <c r="J42" s="125"/>
    </row>
    <row r="43" spans="2:10" x14ac:dyDescent="0.25">
      <c r="D43" s="167"/>
      <c r="E43" s="94"/>
      <c r="F43" s="94"/>
      <c r="G43" s="94"/>
      <c r="H43" s="125"/>
      <c r="I43" s="125"/>
      <c r="J43" s="125"/>
    </row>
    <row r="44" spans="2:10" x14ac:dyDescent="0.25">
      <c r="D44" s="167"/>
      <c r="E44" s="94"/>
      <c r="F44" s="94"/>
      <c r="G44" s="94"/>
      <c r="H44" s="125"/>
      <c r="I44" s="125"/>
      <c r="J44" s="125"/>
    </row>
    <row r="47" spans="2:10" x14ac:dyDescent="0.25">
      <c r="B47" s="162"/>
      <c r="C47" s="161"/>
      <c r="D47" s="168"/>
      <c r="E47" s="161"/>
      <c r="F47" s="161"/>
    </row>
  </sheetData>
  <mergeCells count="2">
    <mergeCell ref="B2:G2"/>
    <mergeCell ref="B1:G1"/>
  </mergeCells>
  <pageMargins left="0.44" right="0.14000000000000001" top="0.75" bottom="0.75" header="0.3" footer="0.3"/>
  <pageSetup scale="3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209"/>
  <sheetViews>
    <sheetView showGridLines="0" topLeftCell="A7" zoomScaleNormal="100" zoomScaleSheetLayoutView="100" workbookViewId="0">
      <selection activeCell="D20" sqref="D20"/>
    </sheetView>
  </sheetViews>
  <sheetFormatPr defaultColWidth="9.140625" defaultRowHeight="15" x14ac:dyDescent="0.25"/>
  <cols>
    <col min="1" max="1" width="5.140625" style="81" customWidth="1"/>
    <col min="2" max="2" width="21.28515625" style="98" customWidth="1"/>
    <col min="3" max="3" width="22.5703125" style="192" customWidth="1"/>
    <col min="4" max="4" width="24.28515625" style="192" bestFit="1" customWidth="1"/>
    <col min="5" max="5" width="20.140625" style="192" customWidth="1"/>
    <col min="6" max="6" width="20.7109375" style="192" bestFit="1" customWidth="1"/>
    <col min="7" max="7" width="16.7109375" style="192" customWidth="1"/>
    <col min="8" max="8" width="16.28515625" style="192" bestFit="1" customWidth="1"/>
    <col min="9" max="16384" width="9.140625" style="78"/>
  </cols>
  <sheetData>
    <row r="1" spans="1:8" ht="17.25" customHeight="1" x14ac:dyDescent="0.25">
      <c r="A1" s="77"/>
      <c r="B1" s="77"/>
      <c r="C1" s="77"/>
      <c r="D1" s="77"/>
      <c r="E1" s="77"/>
      <c r="F1" s="77"/>
      <c r="G1" s="77"/>
      <c r="H1" s="77"/>
    </row>
    <row r="2" spans="1:8" s="179" customFormat="1" ht="18.75" customHeight="1" x14ac:dyDescent="0.25">
      <c r="A2" s="178"/>
      <c r="B2" s="187" t="str">
        <f>'Investment in project'!B2:E2</f>
        <v xml:space="preserve">ORENSE INDUSTRIES PRIVATE LIMITED, CIN: U23209OR2022PTC041057,  Andhapasra Road, Near Hanuman Temple, Berhampur Ganjam Pin- 760002 </v>
      </c>
      <c r="C2" s="146"/>
      <c r="D2" s="146"/>
      <c r="E2" s="146"/>
      <c r="F2" s="146"/>
      <c r="G2" s="146"/>
      <c r="H2" s="146"/>
    </row>
    <row r="3" spans="1:8" ht="14.25" customHeight="1" x14ac:dyDescent="0.25"/>
    <row r="4" spans="1:8" ht="20.25" customHeight="1" x14ac:dyDescent="0.25">
      <c r="A4" s="76">
        <v>1</v>
      </c>
      <c r="B4" s="151" t="s">
        <v>297</v>
      </c>
      <c r="C4" s="193"/>
      <c r="D4" s="193"/>
      <c r="E4" s="193"/>
      <c r="F4" s="193"/>
      <c r="G4" s="193"/>
      <c r="H4" s="193"/>
    </row>
    <row r="5" spans="1:8" ht="18.75" customHeight="1" x14ac:dyDescent="0.25">
      <c r="B5" s="188" t="s">
        <v>212</v>
      </c>
      <c r="C5" s="194"/>
      <c r="D5" s="194"/>
      <c r="E5" s="194"/>
      <c r="F5" s="194"/>
      <c r="G5" s="194"/>
      <c r="H5" s="194"/>
    </row>
    <row r="6" spans="1:8" x14ac:dyDescent="0.25">
      <c r="B6" s="188" t="s">
        <v>252</v>
      </c>
      <c r="C6" s="194"/>
      <c r="D6" s="194"/>
      <c r="E6" s="194"/>
      <c r="F6" s="194"/>
      <c r="G6" s="194"/>
      <c r="H6" s="194"/>
    </row>
    <row r="7" spans="1:8" ht="43.5" customHeight="1" x14ac:dyDescent="0.25">
      <c r="B7" s="121" t="s">
        <v>21</v>
      </c>
      <c r="C7" s="186" t="s">
        <v>213</v>
      </c>
      <c r="D7" s="186" t="s">
        <v>219</v>
      </c>
      <c r="E7" s="186" t="s">
        <v>214</v>
      </c>
      <c r="F7" s="186" t="s">
        <v>215</v>
      </c>
      <c r="G7" s="186" t="s">
        <v>221</v>
      </c>
      <c r="H7" s="186" t="s">
        <v>220</v>
      </c>
    </row>
    <row r="8" spans="1:8" x14ac:dyDescent="0.25">
      <c r="A8" s="299">
        <v>0.02</v>
      </c>
      <c r="B8" s="98" t="str">
        <f>+PL!D6</f>
        <v>FY-25-26</v>
      </c>
      <c r="C8" s="192">
        <v>18134</v>
      </c>
      <c r="D8" s="192">
        <f t="shared" ref="D8:D14" si="0">+C8*1.1364</f>
        <v>20607.477600000002</v>
      </c>
      <c r="E8" s="192">
        <f>+'sales of 1st year'!D13*(1+$A$8)</f>
        <v>82.956599999999995</v>
      </c>
      <c r="F8" s="192">
        <f t="shared" ref="F8:F14" si="1">+D8*E8</f>
        <v>1709526.27627216</v>
      </c>
      <c r="G8" s="192">
        <v>25</v>
      </c>
      <c r="H8" s="192">
        <f t="shared" ref="H8:H14" si="2">+F8*G8*12</f>
        <v>512857882.88164806</v>
      </c>
    </row>
    <row r="9" spans="1:8" x14ac:dyDescent="0.25">
      <c r="B9" s="98" t="str">
        <f>+PL!E6</f>
        <v>FY-26-27</v>
      </c>
      <c r="C9" s="192">
        <v>18134</v>
      </c>
      <c r="D9" s="192">
        <f t="shared" si="0"/>
        <v>20607.477600000002</v>
      </c>
      <c r="E9" s="192">
        <f>+E8*(1+$A$8)</f>
        <v>84.615731999999994</v>
      </c>
      <c r="F9" s="192">
        <f t="shared" si="1"/>
        <v>1743716.8017976033</v>
      </c>
      <c r="G9" s="192">
        <v>25</v>
      </c>
      <c r="H9" s="192">
        <f t="shared" si="2"/>
        <v>523115040.53928101</v>
      </c>
    </row>
    <row r="10" spans="1:8" x14ac:dyDescent="0.25">
      <c r="B10" s="98" t="str">
        <f>+PL!F6</f>
        <v>FY-27-28</v>
      </c>
      <c r="C10" s="192">
        <v>18134</v>
      </c>
      <c r="D10" s="192">
        <f t="shared" si="0"/>
        <v>20607.477600000002</v>
      </c>
      <c r="E10" s="192">
        <f>+E9*(1+$A$8)</f>
        <v>86.308046640000001</v>
      </c>
      <c r="F10" s="192">
        <f t="shared" si="1"/>
        <v>1778591.1378335555</v>
      </c>
      <c r="G10" s="192">
        <v>25</v>
      </c>
      <c r="H10" s="192">
        <f t="shared" si="2"/>
        <v>533577341.3500666</v>
      </c>
    </row>
    <row r="11" spans="1:8" x14ac:dyDescent="0.25">
      <c r="B11" s="98" t="str">
        <f>+PL!G6</f>
        <v>FY-28-29</v>
      </c>
      <c r="C11" s="192">
        <v>18134</v>
      </c>
      <c r="D11" s="192">
        <f t="shared" si="0"/>
        <v>20607.477600000002</v>
      </c>
      <c r="E11" s="192">
        <f t="shared" ref="E11:E14" si="3">+E10*(1+$A$8)</f>
        <v>88.0342075728</v>
      </c>
      <c r="F11" s="192">
        <f t="shared" si="1"/>
        <v>1814162.9605902266</v>
      </c>
      <c r="G11" s="192">
        <v>25</v>
      </c>
      <c r="H11" s="192">
        <f t="shared" si="2"/>
        <v>544248888.177068</v>
      </c>
    </row>
    <row r="12" spans="1:8" x14ac:dyDescent="0.25">
      <c r="B12" s="98" t="str">
        <f>+PL!H6</f>
        <v>FY-29-30</v>
      </c>
      <c r="C12" s="192">
        <v>18134</v>
      </c>
      <c r="D12" s="192">
        <f t="shared" si="0"/>
        <v>20607.477600000002</v>
      </c>
      <c r="E12" s="192">
        <f t="shared" si="3"/>
        <v>89.794891724256004</v>
      </c>
      <c r="F12" s="192">
        <f t="shared" si="1"/>
        <v>1850446.2198020311</v>
      </c>
      <c r="G12" s="192">
        <v>25</v>
      </c>
      <c r="H12" s="192">
        <f t="shared" si="2"/>
        <v>555133865.94060922</v>
      </c>
    </row>
    <row r="13" spans="1:8" x14ac:dyDescent="0.25">
      <c r="B13" s="98" t="str">
        <f>+PL!I6</f>
        <v>FY-30-31</v>
      </c>
      <c r="C13" s="192">
        <v>18134</v>
      </c>
      <c r="D13" s="192">
        <f t="shared" si="0"/>
        <v>20607.477600000002</v>
      </c>
      <c r="E13" s="192">
        <f t="shared" si="3"/>
        <v>91.590789558741122</v>
      </c>
      <c r="F13" s="192">
        <f t="shared" si="1"/>
        <v>1887455.1441980717</v>
      </c>
      <c r="G13" s="192">
        <v>25</v>
      </c>
      <c r="H13" s="192">
        <f t="shared" si="2"/>
        <v>566236543.25942147</v>
      </c>
    </row>
    <row r="14" spans="1:8" x14ac:dyDescent="0.25">
      <c r="B14" s="98" t="str">
        <f>+PL!J6</f>
        <v>FY-31-32</v>
      </c>
      <c r="C14" s="192">
        <v>18134</v>
      </c>
      <c r="D14" s="192">
        <f t="shared" si="0"/>
        <v>20607.477600000002</v>
      </c>
      <c r="E14" s="192">
        <f t="shared" si="3"/>
        <v>93.422605349915941</v>
      </c>
      <c r="F14" s="192">
        <f t="shared" si="1"/>
        <v>1925204.2470820332</v>
      </c>
      <c r="G14" s="192">
        <v>25</v>
      </c>
      <c r="H14" s="192">
        <f t="shared" si="2"/>
        <v>577561274.12460995</v>
      </c>
    </row>
    <row r="16" spans="1:8" x14ac:dyDescent="0.25">
      <c r="B16" s="98" t="s">
        <v>460</v>
      </c>
    </row>
    <row r="18" spans="1:8" x14ac:dyDescent="0.25">
      <c r="B18" s="188" t="s">
        <v>253</v>
      </c>
      <c r="C18" s="194"/>
      <c r="D18" s="194"/>
      <c r="E18" s="194"/>
      <c r="F18" s="194"/>
      <c r="G18" s="194"/>
      <c r="H18" s="194"/>
    </row>
    <row r="19" spans="1:8" ht="30" x14ac:dyDescent="0.25">
      <c r="B19" s="188" t="s">
        <v>21</v>
      </c>
      <c r="C19" s="186" t="s">
        <v>213</v>
      </c>
      <c r="D19" s="186" t="s">
        <v>216</v>
      </c>
      <c r="E19" s="186" t="s">
        <v>215</v>
      </c>
      <c r="F19" s="186" t="s">
        <v>221</v>
      </c>
      <c r="G19" s="186" t="s">
        <v>220</v>
      </c>
      <c r="H19" s="186"/>
    </row>
    <row r="20" spans="1:8" x14ac:dyDescent="0.25">
      <c r="A20" s="299">
        <v>0.02</v>
      </c>
      <c r="B20" s="98" t="str">
        <f t="shared" ref="B20:B26" si="4">+B8</f>
        <v>FY-25-26</v>
      </c>
      <c r="C20" s="192">
        <v>2472</v>
      </c>
      <c r="D20" s="192">
        <f>+'sales of 1st year'!D14*(1+$A$20)</f>
        <v>35.700000000000003</v>
      </c>
      <c r="E20" s="192">
        <f t="shared" ref="E20:E26" si="5">+C20*D20</f>
        <v>88250.400000000009</v>
      </c>
      <c r="F20" s="192">
        <v>25</v>
      </c>
      <c r="G20" s="192">
        <f t="shared" ref="G20:G26" si="6">+E20*F20*12</f>
        <v>26475120</v>
      </c>
    </row>
    <row r="21" spans="1:8" x14ac:dyDescent="0.25">
      <c r="B21" s="98" t="str">
        <f t="shared" si="4"/>
        <v>FY-26-27</v>
      </c>
      <c r="C21" s="192">
        <v>2472</v>
      </c>
      <c r="D21" s="192">
        <f>+D20*(1+$A$20)</f>
        <v>36.414000000000001</v>
      </c>
      <c r="E21" s="192">
        <f t="shared" si="5"/>
        <v>90015.40800000001</v>
      </c>
      <c r="F21" s="192">
        <v>25</v>
      </c>
      <c r="G21" s="192">
        <f t="shared" si="6"/>
        <v>27004622.400000002</v>
      </c>
    </row>
    <row r="22" spans="1:8" x14ac:dyDescent="0.25">
      <c r="B22" s="98" t="str">
        <f t="shared" si="4"/>
        <v>FY-27-28</v>
      </c>
      <c r="C22" s="192">
        <v>2472</v>
      </c>
      <c r="D22" s="192">
        <f t="shared" ref="D22:D26" si="7">+D21*(1+$A$20)</f>
        <v>37.14228</v>
      </c>
      <c r="E22" s="192">
        <f t="shared" si="5"/>
        <v>91815.716159999996</v>
      </c>
      <c r="F22" s="192">
        <v>25</v>
      </c>
      <c r="G22" s="192">
        <f t="shared" si="6"/>
        <v>27544714.848000001</v>
      </c>
    </row>
    <row r="23" spans="1:8" x14ac:dyDescent="0.25">
      <c r="B23" s="98" t="str">
        <f t="shared" si="4"/>
        <v>FY-28-29</v>
      </c>
      <c r="C23" s="192">
        <v>2472</v>
      </c>
      <c r="D23" s="192">
        <f t="shared" si="7"/>
        <v>37.885125600000002</v>
      </c>
      <c r="E23" s="192">
        <f t="shared" si="5"/>
        <v>93652.030483200011</v>
      </c>
      <c r="F23" s="192">
        <v>25</v>
      </c>
      <c r="G23" s="192">
        <f t="shared" si="6"/>
        <v>28095609.144960001</v>
      </c>
    </row>
    <row r="24" spans="1:8" x14ac:dyDescent="0.25">
      <c r="B24" s="98" t="str">
        <f t="shared" si="4"/>
        <v>FY-29-30</v>
      </c>
      <c r="C24" s="192">
        <v>2472</v>
      </c>
      <c r="D24" s="192">
        <f t="shared" si="7"/>
        <v>38.642828112000004</v>
      </c>
      <c r="E24" s="192">
        <f t="shared" si="5"/>
        <v>95525.071092864004</v>
      </c>
      <c r="F24" s="192">
        <v>25</v>
      </c>
      <c r="G24" s="192">
        <f t="shared" si="6"/>
        <v>28657521.327859201</v>
      </c>
    </row>
    <row r="25" spans="1:8" x14ac:dyDescent="0.25">
      <c r="B25" s="98" t="str">
        <f t="shared" si="4"/>
        <v>FY-30-31</v>
      </c>
      <c r="C25" s="192">
        <v>2472</v>
      </c>
      <c r="D25" s="192">
        <f t="shared" si="7"/>
        <v>39.415684674240005</v>
      </c>
      <c r="E25" s="192">
        <f t="shared" si="5"/>
        <v>97435.572514721294</v>
      </c>
      <c r="F25" s="192">
        <v>25</v>
      </c>
      <c r="G25" s="192">
        <f t="shared" si="6"/>
        <v>29230671.754416384</v>
      </c>
    </row>
    <row r="26" spans="1:8" x14ac:dyDescent="0.25">
      <c r="B26" s="98" t="str">
        <f t="shared" si="4"/>
        <v>FY-31-32</v>
      </c>
      <c r="C26" s="192">
        <v>2472</v>
      </c>
      <c r="D26" s="192">
        <f t="shared" si="7"/>
        <v>40.203998367724807</v>
      </c>
      <c r="E26" s="192">
        <f t="shared" si="5"/>
        <v>99384.283965015726</v>
      </c>
      <c r="F26" s="192">
        <v>25</v>
      </c>
      <c r="G26" s="192">
        <f t="shared" si="6"/>
        <v>29815285.18950472</v>
      </c>
    </row>
    <row r="28" spans="1:8" x14ac:dyDescent="0.25">
      <c r="B28" s="98" t="s">
        <v>461</v>
      </c>
    </row>
    <row r="209" spans="2:2" x14ac:dyDescent="0.25">
      <c r="B209" s="109"/>
    </row>
  </sheetData>
  <pageMargins left="0.4" right="0.41" top="0.52" bottom="0.27" header="0.3" footer="0.3"/>
  <pageSetup paperSize="9" scale="35" firstPageNumber="4" orientation="landscape" useFirstPageNumber="1" r:id="rId1"/>
  <rowBreaks count="2" manualBreakCount="2">
    <brk id="102" max="8" man="1"/>
    <brk id="150"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H77"/>
  <sheetViews>
    <sheetView showGridLines="0" topLeftCell="A40" zoomScaleNormal="100" zoomScaleSheetLayoutView="100" workbookViewId="0">
      <selection activeCell="D10" sqref="D10"/>
    </sheetView>
  </sheetViews>
  <sheetFormatPr defaultRowHeight="15" x14ac:dyDescent="0.25"/>
  <cols>
    <col min="1" max="1" width="5.28515625" style="78" customWidth="1"/>
    <col min="2" max="2" width="24.85546875" style="103" customWidth="1"/>
    <col min="3" max="7" width="29.5703125" style="81" customWidth="1"/>
    <col min="8" max="16384" width="9.140625" style="78"/>
  </cols>
  <sheetData>
    <row r="1" spans="2:8" ht="16.5" customHeight="1" x14ac:dyDescent="0.25">
      <c r="B1" s="369"/>
      <c r="C1" s="369"/>
      <c r="D1" s="369"/>
      <c r="E1" s="369"/>
      <c r="F1" s="369"/>
      <c r="G1" s="369"/>
    </row>
    <row r="2" spans="2:8" ht="21.75" customHeight="1" x14ac:dyDescent="0.25">
      <c r="B2" s="378" t="str">
        <f>'Investment in project'!B2:E2</f>
        <v xml:space="preserve">ORENSE INDUSTRIES PRIVATE LIMITED, CIN: U23209OR2022PTC041057,  Andhapasra Road, Near Hanuman Temple, Berhampur Ganjam Pin- 760002 </v>
      </c>
      <c r="C2" s="378"/>
      <c r="D2" s="378"/>
      <c r="E2" s="378"/>
      <c r="F2" s="378"/>
      <c r="G2" s="378"/>
    </row>
    <row r="4" spans="2:8" x14ac:dyDescent="0.25">
      <c r="B4" s="107" t="s">
        <v>209</v>
      </c>
      <c r="C4" s="193"/>
      <c r="D4" s="193"/>
      <c r="E4" s="193"/>
      <c r="F4" s="193"/>
      <c r="G4" s="193"/>
      <c r="H4" s="126"/>
    </row>
    <row r="5" spans="2:8" x14ac:dyDescent="0.25">
      <c r="B5" s="111"/>
      <c r="C5" s="192"/>
      <c r="D5" s="192"/>
      <c r="E5" s="192"/>
      <c r="F5" s="192"/>
      <c r="G5" s="192"/>
      <c r="H5" s="126"/>
    </row>
    <row r="6" spans="2:8" x14ac:dyDescent="0.25">
      <c r="B6" s="121" t="s">
        <v>285</v>
      </c>
      <c r="C6" s="194"/>
      <c r="D6" s="194"/>
      <c r="E6" s="194"/>
      <c r="F6" s="194"/>
      <c r="G6" s="194"/>
      <c r="H6" s="126"/>
    </row>
    <row r="7" spans="2:8" ht="30" x14ac:dyDescent="0.25">
      <c r="B7" s="121" t="s">
        <v>21</v>
      </c>
      <c r="C7" s="186" t="s">
        <v>184</v>
      </c>
      <c r="D7" s="186" t="s">
        <v>280</v>
      </c>
      <c r="E7" s="186" t="s">
        <v>208</v>
      </c>
      <c r="F7" s="186" t="s">
        <v>203</v>
      </c>
      <c r="G7" s="186" t="s">
        <v>205</v>
      </c>
      <c r="H7" s="126"/>
    </row>
    <row r="8" spans="2:8" x14ac:dyDescent="0.25">
      <c r="B8" s="103" t="s">
        <v>345</v>
      </c>
      <c r="C8" s="192">
        <v>10000</v>
      </c>
      <c r="D8" s="192">
        <v>72</v>
      </c>
      <c r="E8" s="192">
        <f>+C8*D8</f>
        <v>720000</v>
      </c>
      <c r="F8" s="192">
        <v>25</v>
      </c>
      <c r="G8" s="192">
        <f>+E8*F8*5</f>
        <v>90000000</v>
      </c>
      <c r="H8" s="126"/>
    </row>
    <row r="9" spans="2:8" x14ac:dyDescent="0.25">
      <c r="B9" s="103" t="s">
        <v>346</v>
      </c>
      <c r="C9" s="192">
        <v>20000</v>
      </c>
      <c r="D9" s="192">
        <v>72</v>
      </c>
      <c r="E9" s="192">
        <f>+C9*D9</f>
        <v>1440000</v>
      </c>
      <c r="F9" s="192">
        <v>25</v>
      </c>
      <c r="G9" s="192">
        <f>+E9*F9*6</f>
        <v>216000000</v>
      </c>
      <c r="H9" s="126"/>
    </row>
    <row r="10" spans="2:8" x14ac:dyDescent="0.25">
      <c r="B10" s="103" t="str">
        <f>+'sales of  other FY'!B8</f>
        <v>FY-25-26</v>
      </c>
      <c r="C10" s="192">
        <v>20000</v>
      </c>
      <c r="D10" s="192">
        <f t="shared" ref="D10:D16" si="0">+D9*102%</f>
        <v>73.44</v>
      </c>
      <c r="E10" s="192">
        <f t="shared" ref="E10:E16" si="1">+C10*D10</f>
        <v>1468800</v>
      </c>
      <c r="F10" s="192">
        <v>25</v>
      </c>
      <c r="G10" s="192">
        <f>+E10*F10*12</f>
        <v>440640000</v>
      </c>
      <c r="H10" s="126"/>
    </row>
    <row r="11" spans="2:8" x14ac:dyDescent="0.25">
      <c r="B11" s="103" t="str">
        <f>+'sales of  other FY'!B9</f>
        <v>FY-26-27</v>
      </c>
      <c r="C11" s="192">
        <v>20000</v>
      </c>
      <c r="D11" s="192">
        <f t="shared" si="0"/>
        <v>74.908799999999999</v>
      </c>
      <c r="E11" s="192">
        <f t="shared" si="1"/>
        <v>1498176</v>
      </c>
      <c r="F11" s="192">
        <v>25</v>
      </c>
      <c r="G11" s="192">
        <f t="shared" ref="G11:G16" si="2">+E11*F11*12</f>
        <v>449452800</v>
      </c>
      <c r="H11" s="126"/>
    </row>
    <row r="12" spans="2:8" x14ac:dyDescent="0.25">
      <c r="B12" s="103" t="str">
        <f>+'sales of  other FY'!B10</f>
        <v>FY-27-28</v>
      </c>
      <c r="C12" s="192">
        <v>20000</v>
      </c>
      <c r="D12" s="192">
        <f t="shared" si="0"/>
        <v>76.406976</v>
      </c>
      <c r="E12" s="192">
        <f t="shared" si="1"/>
        <v>1528139.52</v>
      </c>
      <c r="F12" s="192">
        <v>25</v>
      </c>
      <c r="G12" s="192">
        <f t="shared" si="2"/>
        <v>458441856</v>
      </c>
      <c r="H12" s="126"/>
    </row>
    <row r="13" spans="2:8" x14ac:dyDescent="0.25">
      <c r="B13" s="103" t="str">
        <f>+'sales of  other FY'!B11</f>
        <v>FY-28-29</v>
      </c>
      <c r="C13" s="192">
        <v>20000</v>
      </c>
      <c r="D13" s="192">
        <f t="shared" si="0"/>
        <v>77.935115519999997</v>
      </c>
      <c r="E13" s="192">
        <f t="shared" si="1"/>
        <v>1558702.3103999998</v>
      </c>
      <c r="F13" s="192">
        <v>25</v>
      </c>
      <c r="G13" s="192">
        <f t="shared" si="2"/>
        <v>467610693.12</v>
      </c>
      <c r="H13" s="126"/>
    </row>
    <row r="14" spans="2:8" x14ac:dyDescent="0.25">
      <c r="B14" s="103" t="str">
        <f>+'sales of  other FY'!B12</f>
        <v>FY-29-30</v>
      </c>
      <c r="C14" s="192">
        <v>20000</v>
      </c>
      <c r="D14" s="192">
        <f t="shared" si="0"/>
        <v>79.493817830400005</v>
      </c>
      <c r="E14" s="192">
        <f t="shared" si="1"/>
        <v>1589876.3566080001</v>
      </c>
      <c r="F14" s="192">
        <v>25</v>
      </c>
      <c r="G14" s="192">
        <f t="shared" si="2"/>
        <v>476962906.98240006</v>
      </c>
      <c r="H14" s="126"/>
    </row>
    <row r="15" spans="2:8" x14ac:dyDescent="0.25">
      <c r="B15" s="103" t="str">
        <f>+'sales of  other FY'!B13</f>
        <v>FY-30-31</v>
      </c>
      <c r="C15" s="192">
        <v>20000</v>
      </c>
      <c r="D15" s="192">
        <f t="shared" si="0"/>
        <v>81.083694187008007</v>
      </c>
      <c r="E15" s="192">
        <f t="shared" si="1"/>
        <v>1621673.8837401601</v>
      </c>
      <c r="F15" s="192">
        <v>25</v>
      </c>
      <c r="G15" s="192">
        <f t="shared" si="2"/>
        <v>486502165.12204802</v>
      </c>
      <c r="H15" s="126"/>
    </row>
    <row r="16" spans="2:8" x14ac:dyDescent="0.25">
      <c r="B16" s="103" t="str">
        <f>+'sales of  other FY'!B14</f>
        <v>FY-31-32</v>
      </c>
      <c r="C16" s="192">
        <v>20000</v>
      </c>
      <c r="D16" s="192">
        <f t="shared" si="0"/>
        <v>82.705368070748165</v>
      </c>
      <c r="E16" s="192">
        <f t="shared" si="1"/>
        <v>1654107.3614149634</v>
      </c>
      <c r="F16" s="192">
        <v>25</v>
      </c>
      <c r="G16" s="192">
        <f t="shared" si="2"/>
        <v>496232208.42448902</v>
      </c>
      <c r="H16" s="126"/>
    </row>
    <row r="17" spans="2:8" x14ac:dyDescent="0.25">
      <c r="B17" s="111"/>
      <c r="C17" s="192"/>
      <c r="D17" s="192"/>
      <c r="E17" s="192"/>
      <c r="F17" s="192"/>
      <c r="G17" s="192"/>
      <c r="H17" s="126"/>
    </row>
    <row r="18" spans="2:8" x14ac:dyDescent="0.25">
      <c r="B18" s="103" t="s">
        <v>284</v>
      </c>
      <c r="C18" s="192"/>
      <c r="D18" s="192"/>
      <c r="E18" s="192"/>
      <c r="F18" s="192"/>
      <c r="G18" s="192"/>
      <c r="H18" s="126"/>
    </row>
    <row r="19" spans="2:8" x14ac:dyDescent="0.25">
      <c r="B19" s="111"/>
      <c r="C19" s="192"/>
      <c r="D19" s="192"/>
      <c r="E19" s="192"/>
      <c r="F19" s="192"/>
      <c r="G19" s="192"/>
      <c r="H19" s="126"/>
    </row>
    <row r="20" spans="2:8" x14ac:dyDescent="0.25">
      <c r="B20" s="121" t="s">
        <v>207</v>
      </c>
      <c r="C20" s="194"/>
      <c r="D20" s="194"/>
      <c r="E20" s="194"/>
      <c r="F20" s="194"/>
      <c r="G20" s="194"/>
      <c r="H20" s="126"/>
    </row>
    <row r="21" spans="2:8" ht="30" x14ac:dyDescent="0.25">
      <c r="B21" s="121" t="s">
        <v>21</v>
      </c>
      <c r="C21" s="186" t="s">
        <v>184</v>
      </c>
      <c r="D21" s="186" t="s">
        <v>280</v>
      </c>
      <c r="E21" s="186" t="s">
        <v>208</v>
      </c>
      <c r="F21" s="186" t="s">
        <v>203</v>
      </c>
      <c r="G21" s="186" t="s">
        <v>205</v>
      </c>
      <c r="H21" s="190"/>
    </row>
    <row r="22" spans="2:8" x14ac:dyDescent="0.25">
      <c r="B22" s="103" t="str">
        <f t="shared" ref="B22:B30" si="3">+B8</f>
        <v>FY-24-25 (1st 5 month)</v>
      </c>
      <c r="C22" s="192">
        <v>100</v>
      </c>
      <c r="D22" s="192">
        <v>70</v>
      </c>
      <c r="E22" s="192">
        <f>+C22*D22</f>
        <v>7000</v>
      </c>
      <c r="F22" s="192">
        <v>25</v>
      </c>
      <c r="G22" s="192">
        <f>+E22*F22*5</f>
        <v>875000</v>
      </c>
      <c r="H22" s="126"/>
    </row>
    <row r="23" spans="2:8" x14ac:dyDescent="0.25">
      <c r="B23" s="103" t="str">
        <f t="shared" si="3"/>
        <v>FY-24-25 (next six month)</v>
      </c>
      <c r="C23" s="192">
        <v>200</v>
      </c>
      <c r="D23" s="192">
        <v>70</v>
      </c>
      <c r="E23" s="192">
        <f>+C23*D23</f>
        <v>14000</v>
      </c>
      <c r="F23" s="192">
        <v>25</v>
      </c>
      <c r="G23" s="192">
        <f>+E23*F23*6</f>
        <v>2100000</v>
      </c>
      <c r="H23" s="126"/>
    </row>
    <row r="24" spans="2:8" x14ac:dyDescent="0.25">
      <c r="B24" s="103" t="str">
        <f t="shared" si="3"/>
        <v>FY-25-26</v>
      </c>
      <c r="C24" s="192">
        <v>200</v>
      </c>
      <c r="D24" s="192">
        <f t="shared" ref="D24:D30" si="4">+D23*102%</f>
        <v>71.400000000000006</v>
      </c>
      <c r="E24" s="192">
        <f t="shared" ref="E24:E30" si="5">+C24*D24</f>
        <v>14280.000000000002</v>
      </c>
      <c r="F24" s="192">
        <v>25</v>
      </c>
      <c r="G24" s="192">
        <f>+E24*F24*12</f>
        <v>4284000.0000000009</v>
      </c>
      <c r="H24" s="126"/>
    </row>
    <row r="25" spans="2:8" x14ac:dyDescent="0.25">
      <c r="B25" s="103" t="str">
        <f t="shared" si="3"/>
        <v>FY-26-27</v>
      </c>
      <c r="C25" s="192">
        <v>200</v>
      </c>
      <c r="D25" s="192">
        <f t="shared" si="4"/>
        <v>72.828000000000003</v>
      </c>
      <c r="E25" s="192">
        <f t="shared" si="5"/>
        <v>14565.6</v>
      </c>
      <c r="F25" s="192">
        <v>25</v>
      </c>
      <c r="G25" s="192">
        <f t="shared" ref="G25:G30" si="6">+E25*F25*12</f>
        <v>4369680</v>
      </c>
      <c r="H25" s="126"/>
    </row>
    <row r="26" spans="2:8" x14ac:dyDescent="0.25">
      <c r="B26" s="103" t="str">
        <f t="shared" si="3"/>
        <v>FY-27-28</v>
      </c>
      <c r="C26" s="192">
        <v>200</v>
      </c>
      <c r="D26" s="192">
        <f t="shared" si="4"/>
        <v>74.284559999999999</v>
      </c>
      <c r="E26" s="192">
        <f t="shared" si="5"/>
        <v>14856.912</v>
      </c>
      <c r="F26" s="192">
        <v>25</v>
      </c>
      <c r="G26" s="192">
        <f t="shared" si="6"/>
        <v>4457073.5999999996</v>
      </c>
      <c r="H26" s="126"/>
    </row>
    <row r="27" spans="2:8" x14ac:dyDescent="0.25">
      <c r="B27" s="103" t="str">
        <f t="shared" si="3"/>
        <v>FY-28-29</v>
      </c>
      <c r="C27" s="192">
        <v>200</v>
      </c>
      <c r="D27" s="192">
        <f t="shared" si="4"/>
        <v>75.770251200000004</v>
      </c>
      <c r="E27" s="192">
        <f t="shared" si="5"/>
        <v>15154.05024</v>
      </c>
      <c r="F27" s="192">
        <v>25</v>
      </c>
      <c r="G27" s="192">
        <f t="shared" si="6"/>
        <v>4546215.0719999997</v>
      </c>
      <c r="H27" s="126"/>
    </row>
    <row r="28" spans="2:8" x14ac:dyDescent="0.25">
      <c r="B28" s="103" t="str">
        <f t="shared" si="3"/>
        <v>FY-29-30</v>
      </c>
      <c r="C28" s="192">
        <v>200</v>
      </c>
      <c r="D28" s="192">
        <f t="shared" si="4"/>
        <v>77.285656224000007</v>
      </c>
      <c r="E28" s="192">
        <f t="shared" si="5"/>
        <v>15457.131244800001</v>
      </c>
      <c r="F28" s="192">
        <v>25</v>
      </c>
      <c r="G28" s="192">
        <f t="shared" si="6"/>
        <v>4637139.3734400002</v>
      </c>
      <c r="H28" s="126"/>
    </row>
    <row r="29" spans="2:8" x14ac:dyDescent="0.25">
      <c r="B29" s="103" t="str">
        <f t="shared" si="3"/>
        <v>FY-30-31</v>
      </c>
      <c r="C29" s="192">
        <v>200</v>
      </c>
      <c r="D29" s="192">
        <f t="shared" si="4"/>
        <v>78.83136934848001</v>
      </c>
      <c r="E29" s="192">
        <f t="shared" si="5"/>
        <v>15766.273869696002</v>
      </c>
      <c r="F29" s="192">
        <v>25</v>
      </c>
      <c r="G29" s="192">
        <f t="shared" si="6"/>
        <v>4729882.1609088015</v>
      </c>
      <c r="H29" s="126"/>
    </row>
    <row r="30" spans="2:8" x14ac:dyDescent="0.25">
      <c r="B30" s="103" t="str">
        <f t="shared" si="3"/>
        <v>FY-31-32</v>
      </c>
      <c r="C30" s="192">
        <v>200</v>
      </c>
      <c r="D30" s="192">
        <f t="shared" si="4"/>
        <v>80.407996735449615</v>
      </c>
      <c r="E30" s="192">
        <f t="shared" si="5"/>
        <v>16081.599347089923</v>
      </c>
      <c r="F30" s="192">
        <v>25</v>
      </c>
      <c r="G30" s="192">
        <f t="shared" si="6"/>
        <v>4824479.804126977</v>
      </c>
      <c r="H30" s="126"/>
    </row>
    <row r="31" spans="2:8" x14ac:dyDescent="0.25">
      <c r="C31" s="192"/>
      <c r="D31" s="192"/>
      <c r="E31" s="192"/>
      <c r="F31" s="192"/>
      <c r="G31" s="192"/>
      <c r="H31" s="126"/>
    </row>
    <row r="32" spans="2:8" x14ac:dyDescent="0.25">
      <c r="B32" s="103" t="s">
        <v>281</v>
      </c>
      <c r="C32" s="192"/>
      <c r="D32" s="192"/>
      <c r="E32" s="192"/>
      <c r="F32" s="192"/>
      <c r="G32" s="192"/>
      <c r="H32" s="126"/>
    </row>
    <row r="33" spans="2:8" x14ac:dyDescent="0.25">
      <c r="C33" s="192"/>
      <c r="D33" s="192"/>
      <c r="E33" s="192"/>
      <c r="F33" s="192"/>
      <c r="G33" s="192"/>
      <c r="H33" s="126"/>
    </row>
    <row r="34" spans="2:8" x14ac:dyDescent="0.25">
      <c r="B34" s="121" t="s">
        <v>210</v>
      </c>
      <c r="C34" s="194"/>
      <c r="D34" s="194"/>
      <c r="E34" s="194"/>
      <c r="F34" s="194"/>
      <c r="G34" s="194"/>
      <c r="H34" s="126"/>
    </row>
    <row r="35" spans="2:8" ht="30" x14ac:dyDescent="0.25">
      <c r="B35" s="121" t="s">
        <v>21</v>
      </c>
      <c r="C35" s="186" t="s">
        <v>184</v>
      </c>
      <c r="D35" s="186" t="s">
        <v>280</v>
      </c>
      <c r="E35" s="186" t="s">
        <v>208</v>
      </c>
      <c r="F35" s="186" t="s">
        <v>203</v>
      </c>
      <c r="G35" s="186" t="s">
        <v>205</v>
      </c>
      <c r="H35" s="126"/>
    </row>
    <row r="36" spans="2:8" x14ac:dyDescent="0.25">
      <c r="B36" s="103" t="str">
        <f t="shared" ref="B36:B44" si="7">+B22</f>
        <v>FY-24-25 (1st 5 month)</v>
      </c>
      <c r="C36" s="192">
        <v>200</v>
      </c>
      <c r="D36" s="192">
        <v>38</v>
      </c>
      <c r="E36" s="192">
        <f>+C36*D36</f>
        <v>7600</v>
      </c>
      <c r="F36" s="192">
        <v>25</v>
      </c>
      <c r="G36" s="192">
        <f>+E36*F36*5</f>
        <v>950000</v>
      </c>
      <c r="H36" s="126"/>
    </row>
    <row r="37" spans="2:8" x14ac:dyDescent="0.25">
      <c r="B37" s="103" t="str">
        <f t="shared" si="7"/>
        <v>FY-24-25 (next six month)</v>
      </c>
      <c r="C37" s="192">
        <v>400</v>
      </c>
      <c r="D37" s="192">
        <v>38</v>
      </c>
      <c r="E37" s="192">
        <f t="shared" ref="E37:E44" si="8">+C37*D37</f>
        <v>15200</v>
      </c>
      <c r="F37" s="192">
        <v>25</v>
      </c>
      <c r="G37" s="192">
        <f>+E37*F37*6</f>
        <v>2280000</v>
      </c>
      <c r="H37" s="126"/>
    </row>
    <row r="38" spans="2:8" x14ac:dyDescent="0.25">
      <c r="B38" s="103" t="str">
        <f t="shared" si="7"/>
        <v>FY-25-26</v>
      </c>
      <c r="C38" s="192">
        <v>400</v>
      </c>
      <c r="D38" s="192">
        <f>+D37*102%</f>
        <v>38.76</v>
      </c>
      <c r="E38" s="192">
        <f t="shared" si="8"/>
        <v>15504</v>
      </c>
      <c r="F38" s="192">
        <v>25</v>
      </c>
      <c r="G38" s="192">
        <f>+E38*F38*12</f>
        <v>4651200</v>
      </c>
      <c r="H38" s="126"/>
    </row>
    <row r="39" spans="2:8" x14ac:dyDescent="0.25">
      <c r="B39" s="103" t="str">
        <f t="shared" si="7"/>
        <v>FY-26-27</v>
      </c>
      <c r="C39" s="192">
        <v>400</v>
      </c>
      <c r="D39" s="192">
        <f t="shared" ref="D39:D44" si="9">+D38*102%</f>
        <v>39.535199999999996</v>
      </c>
      <c r="E39" s="192">
        <f t="shared" si="8"/>
        <v>15814.079999999998</v>
      </c>
      <c r="F39" s="192">
        <v>25</v>
      </c>
      <c r="G39" s="192">
        <f t="shared" ref="G39:G44" si="10">+E39*F39*12</f>
        <v>4744223.9999999991</v>
      </c>
      <c r="H39" s="126"/>
    </row>
    <row r="40" spans="2:8" x14ac:dyDescent="0.25">
      <c r="B40" s="103" t="str">
        <f t="shared" si="7"/>
        <v>FY-27-28</v>
      </c>
      <c r="C40" s="192">
        <v>400</v>
      </c>
      <c r="D40" s="192">
        <f t="shared" si="9"/>
        <v>40.325903999999994</v>
      </c>
      <c r="E40" s="192">
        <f t="shared" si="8"/>
        <v>16130.361599999998</v>
      </c>
      <c r="F40" s="192">
        <v>25</v>
      </c>
      <c r="G40" s="192">
        <f t="shared" si="10"/>
        <v>4839108.4799999995</v>
      </c>
      <c r="H40" s="126"/>
    </row>
    <row r="41" spans="2:8" x14ac:dyDescent="0.25">
      <c r="B41" s="103" t="str">
        <f t="shared" si="7"/>
        <v>FY-28-29</v>
      </c>
      <c r="C41" s="192">
        <v>400</v>
      </c>
      <c r="D41" s="192">
        <f t="shared" si="9"/>
        <v>41.132422079999998</v>
      </c>
      <c r="E41" s="192">
        <f t="shared" si="8"/>
        <v>16452.968831999999</v>
      </c>
      <c r="F41" s="192">
        <v>25</v>
      </c>
      <c r="G41" s="192">
        <f t="shared" si="10"/>
        <v>4935890.6495999992</v>
      </c>
      <c r="H41" s="126"/>
    </row>
    <row r="42" spans="2:8" x14ac:dyDescent="0.25">
      <c r="B42" s="103" t="str">
        <f t="shared" si="7"/>
        <v>FY-29-30</v>
      </c>
      <c r="C42" s="192">
        <v>400</v>
      </c>
      <c r="D42" s="192">
        <f t="shared" si="9"/>
        <v>41.9550705216</v>
      </c>
      <c r="E42" s="192">
        <f t="shared" si="8"/>
        <v>16782.02820864</v>
      </c>
      <c r="F42" s="192">
        <v>25</v>
      </c>
      <c r="G42" s="192">
        <f t="shared" si="10"/>
        <v>5034608.4625920001</v>
      </c>
      <c r="H42" s="126"/>
    </row>
    <row r="43" spans="2:8" x14ac:dyDescent="0.25">
      <c r="B43" s="103" t="str">
        <f t="shared" si="7"/>
        <v>FY-30-31</v>
      </c>
      <c r="C43" s="192">
        <v>400</v>
      </c>
      <c r="D43" s="192">
        <f t="shared" si="9"/>
        <v>42.794171932032</v>
      </c>
      <c r="E43" s="192">
        <f t="shared" si="8"/>
        <v>17117.668772812802</v>
      </c>
      <c r="F43" s="192">
        <v>25</v>
      </c>
      <c r="G43" s="192">
        <f t="shared" si="10"/>
        <v>5135300.6318438407</v>
      </c>
      <c r="H43" s="126"/>
    </row>
    <row r="44" spans="2:8" x14ac:dyDescent="0.25">
      <c r="B44" s="103" t="str">
        <f t="shared" si="7"/>
        <v>FY-31-32</v>
      </c>
      <c r="C44" s="192">
        <v>400</v>
      </c>
      <c r="D44" s="192">
        <f t="shared" si="9"/>
        <v>43.650055370672639</v>
      </c>
      <c r="E44" s="192">
        <f t="shared" si="8"/>
        <v>17460.022148269054</v>
      </c>
      <c r="F44" s="192">
        <v>25</v>
      </c>
      <c r="G44" s="192">
        <f t="shared" si="10"/>
        <v>5238006.6444807164</v>
      </c>
      <c r="H44" s="126"/>
    </row>
    <row r="45" spans="2:8" x14ac:dyDescent="0.25">
      <c r="C45" s="192"/>
      <c r="D45" s="192"/>
      <c r="E45" s="192"/>
      <c r="F45" s="192"/>
      <c r="G45" s="192"/>
      <c r="H45" s="126"/>
    </row>
    <row r="46" spans="2:8" x14ac:dyDescent="0.25">
      <c r="B46" s="103" t="s">
        <v>282</v>
      </c>
      <c r="C46" s="192"/>
      <c r="D46" s="192"/>
      <c r="E46" s="192"/>
      <c r="F46" s="192"/>
      <c r="G46" s="192"/>
      <c r="H46" s="126"/>
    </row>
    <row r="47" spans="2:8" x14ac:dyDescent="0.25">
      <c r="C47" s="192"/>
      <c r="D47" s="192"/>
      <c r="E47" s="192"/>
      <c r="F47" s="192"/>
      <c r="G47" s="192"/>
      <c r="H47" s="126"/>
    </row>
    <row r="48" spans="2:8" x14ac:dyDescent="0.25">
      <c r="B48" s="121" t="s">
        <v>211</v>
      </c>
      <c r="C48" s="194"/>
      <c r="D48" s="194"/>
      <c r="E48" s="194"/>
      <c r="F48" s="194"/>
      <c r="G48" s="194"/>
      <c r="H48" s="126"/>
    </row>
    <row r="49" spans="2:8" ht="30" x14ac:dyDescent="0.25">
      <c r="B49" s="121" t="s">
        <v>21</v>
      </c>
      <c r="C49" s="186" t="s">
        <v>184</v>
      </c>
      <c r="D49" s="186" t="s">
        <v>280</v>
      </c>
      <c r="E49" s="186" t="s">
        <v>208</v>
      </c>
      <c r="F49" s="186" t="s">
        <v>203</v>
      </c>
      <c r="G49" s="186" t="s">
        <v>205</v>
      </c>
      <c r="H49" s="126"/>
    </row>
    <row r="50" spans="2:8" x14ac:dyDescent="0.25">
      <c r="B50" s="103" t="str">
        <f t="shared" ref="B50:B58" si="11">+B36</f>
        <v>FY-24-25 (1st 5 month)</v>
      </c>
      <c r="C50" s="192">
        <v>3</v>
      </c>
      <c r="D50" s="192">
        <v>20</v>
      </c>
      <c r="E50" s="192">
        <f>+C50*D50</f>
        <v>60</v>
      </c>
      <c r="F50" s="192">
        <v>25</v>
      </c>
      <c r="G50" s="192">
        <f>+F50*E50*5</f>
        <v>7500</v>
      </c>
      <c r="H50" s="126"/>
    </row>
    <row r="51" spans="2:8" x14ac:dyDescent="0.25">
      <c r="B51" s="103" t="str">
        <f t="shared" si="11"/>
        <v>FY-24-25 (next six month)</v>
      </c>
      <c r="C51" s="192">
        <v>6</v>
      </c>
      <c r="D51" s="192">
        <v>20</v>
      </c>
      <c r="E51" s="192">
        <f t="shared" ref="E51:E58" si="12">+C51*D51</f>
        <v>120</v>
      </c>
      <c r="F51" s="192">
        <v>25</v>
      </c>
      <c r="G51" s="192">
        <f>+E51*F51*6</f>
        <v>18000</v>
      </c>
      <c r="H51" s="126"/>
    </row>
    <row r="52" spans="2:8" x14ac:dyDescent="0.25">
      <c r="B52" s="103" t="str">
        <f t="shared" si="11"/>
        <v>FY-25-26</v>
      </c>
      <c r="C52" s="192">
        <v>6</v>
      </c>
      <c r="D52" s="192">
        <f>+D51*102%</f>
        <v>20.399999999999999</v>
      </c>
      <c r="E52" s="192">
        <f t="shared" si="12"/>
        <v>122.39999999999999</v>
      </c>
      <c r="F52" s="192">
        <v>25</v>
      </c>
      <c r="G52" s="192">
        <f>+E52*F52*12</f>
        <v>36720</v>
      </c>
      <c r="H52" s="126"/>
    </row>
    <row r="53" spans="2:8" x14ac:dyDescent="0.25">
      <c r="B53" s="103" t="str">
        <f t="shared" si="11"/>
        <v>FY-26-27</v>
      </c>
      <c r="C53" s="192">
        <v>6</v>
      </c>
      <c r="D53" s="192">
        <f t="shared" ref="D53:D58" si="13">+D52*102%</f>
        <v>20.808</v>
      </c>
      <c r="E53" s="192">
        <f t="shared" si="12"/>
        <v>124.848</v>
      </c>
      <c r="F53" s="192">
        <v>25</v>
      </c>
      <c r="G53" s="192">
        <f t="shared" ref="G53:G58" si="14">+E53*F53*12</f>
        <v>37454.399999999994</v>
      </c>
      <c r="H53" s="126"/>
    </row>
    <row r="54" spans="2:8" x14ac:dyDescent="0.25">
      <c r="B54" s="103" t="str">
        <f t="shared" si="11"/>
        <v>FY-27-28</v>
      </c>
      <c r="C54" s="192">
        <v>6</v>
      </c>
      <c r="D54" s="192">
        <f t="shared" si="13"/>
        <v>21.224160000000001</v>
      </c>
      <c r="E54" s="192">
        <f t="shared" si="12"/>
        <v>127.34496000000001</v>
      </c>
      <c r="F54" s="192">
        <v>25</v>
      </c>
      <c r="G54" s="192">
        <f t="shared" si="14"/>
        <v>38203.488000000005</v>
      </c>
      <c r="H54" s="126"/>
    </row>
    <row r="55" spans="2:8" x14ac:dyDescent="0.25">
      <c r="B55" s="103" t="str">
        <f t="shared" si="11"/>
        <v>FY-28-29</v>
      </c>
      <c r="C55" s="192">
        <v>6</v>
      </c>
      <c r="D55" s="192">
        <f t="shared" si="13"/>
        <v>21.648643200000002</v>
      </c>
      <c r="E55" s="192">
        <f t="shared" si="12"/>
        <v>129.8918592</v>
      </c>
      <c r="F55" s="192">
        <v>25</v>
      </c>
      <c r="G55" s="192">
        <f t="shared" si="14"/>
        <v>38967.557759999996</v>
      </c>
      <c r="H55" s="126"/>
    </row>
    <row r="56" spans="2:8" x14ac:dyDescent="0.25">
      <c r="B56" s="103" t="str">
        <f t="shared" si="11"/>
        <v>FY-29-30</v>
      </c>
      <c r="C56" s="192">
        <v>6</v>
      </c>
      <c r="D56" s="192">
        <f t="shared" si="13"/>
        <v>22.081616064000002</v>
      </c>
      <c r="E56" s="192">
        <f t="shared" si="12"/>
        <v>132.48969638400001</v>
      </c>
      <c r="F56" s="192">
        <v>25</v>
      </c>
      <c r="G56" s="192">
        <f t="shared" si="14"/>
        <v>39746.908915200009</v>
      </c>
      <c r="H56" s="126"/>
    </row>
    <row r="57" spans="2:8" x14ac:dyDescent="0.25">
      <c r="B57" s="103" t="str">
        <f t="shared" si="11"/>
        <v>FY-30-31</v>
      </c>
      <c r="C57" s="192">
        <v>6</v>
      </c>
      <c r="D57" s="192">
        <f t="shared" si="13"/>
        <v>22.523248385280002</v>
      </c>
      <c r="E57" s="192">
        <f t="shared" si="12"/>
        <v>135.13949031168002</v>
      </c>
      <c r="F57" s="192">
        <v>25</v>
      </c>
      <c r="G57" s="192">
        <f t="shared" si="14"/>
        <v>40541.84709350401</v>
      </c>
      <c r="H57" s="126"/>
    </row>
    <row r="58" spans="2:8" x14ac:dyDescent="0.25">
      <c r="B58" s="103" t="str">
        <f t="shared" si="11"/>
        <v>FY-31-32</v>
      </c>
      <c r="C58" s="192">
        <v>6</v>
      </c>
      <c r="D58" s="192">
        <f t="shared" si="13"/>
        <v>22.973713352985602</v>
      </c>
      <c r="E58" s="192">
        <f t="shared" si="12"/>
        <v>137.84228011791362</v>
      </c>
      <c r="F58" s="192">
        <v>25</v>
      </c>
      <c r="G58" s="192">
        <f t="shared" si="14"/>
        <v>41352.684035374084</v>
      </c>
      <c r="H58" s="126"/>
    </row>
    <row r="59" spans="2:8" x14ac:dyDescent="0.25">
      <c r="C59" s="192"/>
      <c r="D59" s="192"/>
      <c r="E59" s="192"/>
      <c r="F59" s="192"/>
      <c r="G59" s="192"/>
      <c r="H59" s="126"/>
    </row>
    <row r="60" spans="2:8" x14ac:dyDescent="0.25">
      <c r="B60" s="103" t="s">
        <v>283</v>
      </c>
      <c r="C60" s="192"/>
      <c r="D60" s="192"/>
      <c r="E60" s="192"/>
      <c r="F60" s="192"/>
      <c r="G60" s="192"/>
      <c r="H60" s="126"/>
    </row>
    <row r="61" spans="2:8" x14ac:dyDescent="0.25">
      <c r="C61" s="192"/>
      <c r="D61" s="192"/>
      <c r="E61" s="192"/>
      <c r="F61" s="192"/>
      <c r="G61" s="192"/>
      <c r="H61" s="126"/>
    </row>
    <row r="62" spans="2:8" x14ac:dyDescent="0.25">
      <c r="H62" s="126"/>
    </row>
    <row r="63" spans="2:8" x14ac:dyDescent="0.25">
      <c r="H63" s="126"/>
    </row>
    <row r="64" spans="2:8" x14ac:dyDescent="0.25">
      <c r="H64" s="126"/>
    </row>
    <row r="65" spans="3:8" x14ac:dyDescent="0.25">
      <c r="H65" s="126"/>
    </row>
    <row r="66" spans="3:8" x14ac:dyDescent="0.25">
      <c r="H66" s="126"/>
    </row>
    <row r="67" spans="3:8" x14ac:dyDescent="0.25">
      <c r="H67" s="126"/>
    </row>
    <row r="68" spans="3:8" x14ac:dyDescent="0.25">
      <c r="H68" s="126"/>
    </row>
    <row r="69" spans="3:8" x14ac:dyDescent="0.25">
      <c r="H69" s="126"/>
    </row>
    <row r="70" spans="3:8" x14ac:dyDescent="0.25">
      <c r="H70" s="126"/>
    </row>
    <row r="71" spans="3:8" x14ac:dyDescent="0.25">
      <c r="H71" s="126"/>
    </row>
    <row r="72" spans="3:8" x14ac:dyDescent="0.25">
      <c r="H72" s="126"/>
    </row>
    <row r="73" spans="3:8" x14ac:dyDescent="0.25">
      <c r="H73" s="126"/>
    </row>
    <row r="74" spans="3:8" x14ac:dyDescent="0.25">
      <c r="H74" s="126"/>
    </row>
    <row r="75" spans="3:8" x14ac:dyDescent="0.25">
      <c r="H75" s="126"/>
    </row>
    <row r="76" spans="3:8" x14ac:dyDescent="0.25">
      <c r="C76" s="192"/>
      <c r="D76" s="192"/>
      <c r="E76" s="192"/>
      <c r="F76" s="192"/>
      <c r="G76" s="192"/>
      <c r="H76" s="126"/>
    </row>
    <row r="77" spans="3:8" x14ac:dyDescent="0.25">
      <c r="C77" s="192"/>
      <c r="D77" s="192"/>
      <c r="E77" s="192"/>
      <c r="F77" s="192"/>
      <c r="G77" s="192"/>
      <c r="H77" s="126"/>
    </row>
  </sheetData>
  <mergeCells count="2">
    <mergeCell ref="B1:G1"/>
    <mergeCell ref="B2:G2"/>
  </mergeCells>
  <pageMargins left="1.35" right="0.70866141732283472" top="0.27559055118110237" bottom="0.31496062992125984" header="0.15748031496062992" footer="0.31496062992125984"/>
  <pageSetup scale="3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I144"/>
  <sheetViews>
    <sheetView showGridLines="0" topLeftCell="A106" zoomScaleNormal="100" zoomScaleSheetLayoutView="100" workbookViewId="0">
      <selection activeCell="C116" sqref="C116"/>
    </sheetView>
  </sheetViews>
  <sheetFormatPr defaultColWidth="29.85546875" defaultRowHeight="15" x14ac:dyDescent="0.25"/>
  <cols>
    <col min="1" max="1" width="4.7109375" style="78" customWidth="1"/>
    <col min="2" max="2" width="29.85546875" style="98"/>
    <col min="3" max="6" width="29.85546875" style="81"/>
    <col min="7" max="16384" width="29.85546875" style="78"/>
  </cols>
  <sheetData>
    <row r="1" spans="2:8" x14ac:dyDescent="0.25">
      <c r="B1" s="369"/>
      <c r="C1" s="369"/>
      <c r="D1" s="369"/>
      <c r="E1" s="369"/>
      <c r="F1" s="369"/>
    </row>
    <row r="2" spans="2:8" ht="18" customHeight="1" x14ac:dyDescent="0.25">
      <c r="B2" s="378" t="str">
        <f>'Investment in project'!B2:E2</f>
        <v xml:space="preserve">ORENSE INDUSTRIES PRIVATE LIMITED, CIN: U23209OR2022PTC041057,  Andhapasra Road, Near Hanuman Temple, Berhampur Ganjam Pin- 760002 </v>
      </c>
      <c r="C2" s="378"/>
      <c r="D2" s="378"/>
      <c r="E2" s="378"/>
      <c r="F2" s="378"/>
    </row>
    <row r="3" spans="2:8" ht="11.25" customHeight="1" x14ac:dyDescent="0.25"/>
    <row r="4" spans="2:8" ht="17.25" customHeight="1" x14ac:dyDescent="0.25">
      <c r="B4" s="107" t="s">
        <v>206</v>
      </c>
      <c r="C4" s="193"/>
      <c r="D4" s="193"/>
      <c r="E4" s="193"/>
      <c r="F4" s="193"/>
      <c r="G4" s="126"/>
      <c r="H4" s="126"/>
    </row>
    <row r="5" spans="2:8" x14ac:dyDescent="0.25">
      <c r="C5" s="192"/>
      <c r="D5" s="192"/>
      <c r="E5" s="192"/>
      <c r="F5" s="192"/>
      <c r="G5" s="126"/>
      <c r="H5" s="126"/>
    </row>
    <row r="6" spans="2:8" ht="18" customHeight="1" x14ac:dyDescent="0.25">
      <c r="B6" s="188" t="s">
        <v>254</v>
      </c>
      <c r="C6" s="194"/>
      <c r="D6" s="194"/>
      <c r="E6" s="194"/>
      <c r="F6" s="194"/>
      <c r="G6" s="126"/>
      <c r="H6" s="126"/>
    </row>
    <row r="7" spans="2:8" ht="18" customHeight="1" x14ac:dyDescent="0.25">
      <c r="B7" s="188" t="s">
        <v>21</v>
      </c>
      <c r="C7" s="198" t="s">
        <v>202</v>
      </c>
      <c r="D7" s="198" t="s">
        <v>203</v>
      </c>
      <c r="E7" s="198" t="s">
        <v>204</v>
      </c>
      <c r="F7" s="198" t="s">
        <v>205</v>
      </c>
      <c r="G7" s="126"/>
      <c r="H7" s="126"/>
    </row>
    <row r="8" spans="2:8" ht="18" customHeight="1" x14ac:dyDescent="0.25">
      <c r="B8" s="98" t="str">
        <f>+RM!B8</f>
        <v>FY-24-25 (1st 5 month)</v>
      </c>
      <c r="C8" s="192">
        <v>240</v>
      </c>
      <c r="D8" s="192">
        <v>25</v>
      </c>
      <c r="E8" s="192">
        <f t="shared" ref="E8:E16" si="0">+C8*D8</f>
        <v>6000</v>
      </c>
      <c r="F8" s="192">
        <f>+E8*5</f>
        <v>30000</v>
      </c>
      <c r="G8" s="126"/>
      <c r="H8" s="126"/>
    </row>
    <row r="9" spans="2:8" ht="18" customHeight="1" x14ac:dyDescent="0.25">
      <c r="B9" s="98" t="str">
        <f>+RM!B9</f>
        <v>FY-24-25 (next six month)</v>
      </c>
      <c r="C9" s="192">
        <v>480</v>
      </c>
      <c r="D9" s="192">
        <v>25</v>
      </c>
      <c r="E9" s="192">
        <f t="shared" si="0"/>
        <v>12000</v>
      </c>
      <c r="F9" s="192">
        <f>+E9*6</f>
        <v>72000</v>
      </c>
      <c r="G9" s="126"/>
      <c r="H9" s="126"/>
    </row>
    <row r="10" spans="2:8" ht="18" customHeight="1" x14ac:dyDescent="0.25">
      <c r="B10" s="98" t="str">
        <f>+RM!B10</f>
        <v>FY-25-26</v>
      </c>
      <c r="C10" s="192">
        <f t="shared" ref="C10:C16" si="1">+C9*102%</f>
        <v>489.6</v>
      </c>
      <c r="D10" s="192">
        <v>25</v>
      </c>
      <c r="E10" s="192">
        <f t="shared" si="0"/>
        <v>12240</v>
      </c>
      <c r="F10" s="192">
        <f t="shared" ref="F10:F16" si="2">+E10*12</f>
        <v>146880</v>
      </c>
      <c r="G10" s="126"/>
      <c r="H10" s="126"/>
    </row>
    <row r="11" spans="2:8" ht="18" customHeight="1" x14ac:dyDescent="0.25">
      <c r="B11" s="98" t="str">
        <f>+RM!B11</f>
        <v>FY-26-27</v>
      </c>
      <c r="C11" s="192">
        <f t="shared" si="1"/>
        <v>499.39200000000005</v>
      </c>
      <c r="D11" s="192">
        <v>25</v>
      </c>
      <c r="E11" s="192">
        <f t="shared" si="0"/>
        <v>12484.800000000001</v>
      </c>
      <c r="F11" s="192">
        <f t="shared" si="2"/>
        <v>149817.60000000001</v>
      </c>
      <c r="G11" s="126"/>
      <c r="H11" s="126"/>
    </row>
    <row r="12" spans="2:8" ht="18" customHeight="1" x14ac:dyDescent="0.25">
      <c r="B12" s="98" t="str">
        <f>+RM!B12</f>
        <v>FY-27-28</v>
      </c>
      <c r="C12" s="192">
        <f t="shared" si="1"/>
        <v>509.37984000000006</v>
      </c>
      <c r="D12" s="192">
        <v>25</v>
      </c>
      <c r="E12" s="192">
        <f t="shared" si="0"/>
        <v>12734.496000000001</v>
      </c>
      <c r="F12" s="192">
        <f t="shared" si="2"/>
        <v>152813.95200000002</v>
      </c>
      <c r="G12" s="126"/>
      <c r="H12" s="126"/>
    </row>
    <row r="13" spans="2:8" ht="18" customHeight="1" x14ac:dyDescent="0.25">
      <c r="B13" s="98" t="str">
        <f>+RM!B13</f>
        <v>FY-28-29</v>
      </c>
      <c r="C13" s="192">
        <f t="shared" si="1"/>
        <v>519.56743680000011</v>
      </c>
      <c r="D13" s="192">
        <v>25</v>
      </c>
      <c r="E13" s="192">
        <f t="shared" si="0"/>
        <v>12989.185920000004</v>
      </c>
      <c r="F13" s="192">
        <f t="shared" si="2"/>
        <v>155870.23104000004</v>
      </c>
      <c r="G13" s="126"/>
      <c r="H13" s="126"/>
    </row>
    <row r="14" spans="2:8" ht="18" customHeight="1" x14ac:dyDescent="0.25">
      <c r="B14" s="98" t="str">
        <f>+RM!B14</f>
        <v>FY-29-30</v>
      </c>
      <c r="C14" s="192">
        <f t="shared" si="1"/>
        <v>529.95878553600016</v>
      </c>
      <c r="D14" s="192">
        <v>25</v>
      </c>
      <c r="E14" s="192">
        <f t="shared" si="0"/>
        <v>13248.969638400004</v>
      </c>
      <c r="F14" s="192">
        <f t="shared" si="2"/>
        <v>158987.63566080004</v>
      </c>
      <c r="G14" s="126"/>
      <c r="H14" s="126"/>
    </row>
    <row r="15" spans="2:8" ht="18" customHeight="1" x14ac:dyDescent="0.25">
      <c r="B15" s="98" t="str">
        <f>+RM!B15</f>
        <v>FY-30-31</v>
      </c>
      <c r="C15" s="192">
        <f t="shared" si="1"/>
        <v>540.5579612467202</v>
      </c>
      <c r="D15" s="192">
        <v>25</v>
      </c>
      <c r="E15" s="192">
        <f t="shared" si="0"/>
        <v>13513.949031168006</v>
      </c>
      <c r="F15" s="192">
        <f t="shared" si="2"/>
        <v>162167.38837401607</v>
      </c>
      <c r="G15" s="126"/>
      <c r="H15" s="126"/>
    </row>
    <row r="16" spans="2:8" ht="18" customHeight="1" x14ac:dyDescent="0.25">
      <c r="B16" s="98" t="str">
        <f>+RM!B16</f>
        <v>FY-31-32</v>
      </c>
      <c r="C16" s="192">
        <f t="shared" si="1"/>
        <v>551.36912047165458</v>
      </c>
      <c r="D16" s="192">
        <v>25</v>
      </c>
      <c r="E16" s="192">
        <f t="shared" si="0"/>
        <v>13784.228011791365</v>
      </c>
      <c r="F16" s="192">
        <f t="shared" si="2"/>
        <v>165410.7361414964</v>
      </c>
      <c r="G16" s="126"/>
      <c r="H16" s="126"/>
    </row>
    <row r="17" spans="2:8" ht="18" customHeight="1" x14ac:dyDescent="0.25">
      <c r="C17" s="192"/>
      <c r="D17" s="192"/>
      <c r="E17" s="192"/>
      <c r="F17" s="192"/>
      <c r="G17" s="126"/>
      <c r="H17" s="126"/>
    </row>
    <row r="18" spans="2:8" ht="18" customHeight="1" x14ac:dyDescent="0.25">
      <c r="B18" s="98" t="s">
        <v>255</v>
      </c>
      <c r="C18" s="192"/>
      <c r="D18" s="192"/>
      <c r="E18" s="192"/>
      <c r="F18" s="192"/>
      <c r="G18" s="126"/>
      <c r="H18" s="126"/>
    </row>
    <row r="19" spans="2:8" ht="18" customHeight="1" x14ac:dyDescent="0.25">
      <c r="C19" s="192"/>
      <c r="D19" s="192"/>
      <c r="E19" s="192"/>
      <c r="F19" s="192"/>
      <c r="G19" s="126"/>
      <c r="H19" s="126"/>
    </row>
    <row r="20" spans="2:8" ht="18" customHeight="1" x14ac:dyDescent="0.25">
      <c r="B20" s="188" t="s">
        <v>263</v>
      </c>
      <c r="C20" s="194"/>
      <c r="D20" s="194"/>
      <c r="E20" s="194"/>
      <c r="F20" s="194"/>
      <c r="G20" s="126"/>
      <c r="H20" s="126"/>
    </row>
    <row r="21" spans="2:8" ht="18" customHeight="1" x14ac:dyDescent="0.25">
      <c r="B21" s="188" t="s">
        <v>21</v>
      </c>
      <c r="C21" s="198" t="s">
        <v>202</v>
      </c>
      <c r="D21" s="198" t="s">
        <v>203</v>
      </c>
      <c r="E21" s="198" t="s">
        <v>204</v>
      </c>
      <c r="F21" s="198" t="s">
        <v>205</v>
      </c>
      <c r="G21" s="126"/>
      <c r="H21" s="126"/>
    </row>
    <row r="22" spans="2:8" ht="18" customHeight="1" x14ac:dyDescent="0.25">
      <c r="B22" s="98" t="str">
        <f>+PL!C6</f>
        <v>FY-24-25</v>
      </c>
      <c r="C22" s="192">
        <v>1000</v>
      </c>
      <c r="D22" s="192">
        <v>30</v>
      </c>
      <c r="E22" s="192">
        <f t="shared" ref="E22:E29" si="3">+C22*D22</f>
        <v>30000</v>
      </c>
      <c r="F22" s="192">
        <f>+E22*11</f>
        <v>330000</v>
      </c>
      <c r="G22" s="126"/>
      <c r="H22" s="126"/>
    </row>
    <row r="23" spans="2:8" ht="18" customHeight="1" x14ac:dyDescent="0.25">
      <c r="B23" s="98" t="str">
        <f>+PL!D6</f>
        <v>FY-25-26</v>
      </c>
      <c r="C23" s="192">
        <f t="shared" ref="C23:C29" si="4">+C22*110%</f>
        <v>1100</v>
      </c>
      <c r="D23" s="192">
        <v>30</v>
      </c>
      <c r="E23" s="192">
        <f t="shared" si="3"/>
        <v>33000</v>
      </c>
      <c r="F23" s="192">
        <f t="shared" ref="F23:F29" si="5">+E23*12</f>
        <v>396000</v>
      </c>
      <c r="G23" s="126"/>
      <c r="H23" s="126"/>
    </row>
    <row r="24" spans="2:8" ht="18" customHeight="1" x14ac:dyDescent="0.25">
      <c r="B24" s="98" t="str">
        <f>+PL!E6</f>
        <v>FY-26-27</v>
      </c>
      <c r="C24" s="192">
        <f t="shared" si="4"/>
        <v>1210</v>
      </c>
      <c r="D24" s="192">
        <v>30</v>
      </c>
      <c r="E24" s="192">
        <f t="shared" si="3"/>
        <v>36300</v>
      </c>
      <c r="F24" s="192">
        <f t="shared" si="5"/>
        <v>435600</v>
      </c>
      <c r="G24" s="126"/>
      <c r="H24" s="126"/>
    </row>
    <row r="25" spans="2:8" ht="18" customHeight="1" x14ac:dyDescent="0.25">
      <c r="B25" s="98" t="str">
        <f>+PL!F6</f>
        <v>FY-27-28</v>
      </c>
      <c r="C25" s="192">
        <f t="shared" si="4"/>
        <v>1331</v>
      </c>
      <c r="D25" s="192">
        <v>30</v>
      </c>
      <c r="E25" s="192">
        <f t="shared" si="3"/>
        <v>39930</v>
      </c>
      <c r="F25" s="192">
        <f t="shared" si="5"/>
        <v>479160</v>
      </c>
      <c r="G25" s="126"/>
      <c r="H25" s="126"/>
    </row>
    <row r="26" spans="2:8" ht="18" customHeight="1" x14ac:dyDescent="0.25">
      <c r="B26" s="98" t="str">
        <f>+PL!G6</f>
        <v>FY-28-29</v>
      </c>
      <c r="C26" s="192">
        <f t="shared" si="4"/>
        <v>1464.1000000000001</v>
      </c>
      <c r="D26" s="192">
        <v>30</v>
      </c>
      <c r="E26" s="192">
        <f t="shared" si="3"/>
        <v>43923.000000000007</v>
      </c>
      <c r="F26" s="192">
        <f t="shared" si="5"/>
        <v>527076.00000000012</v>
      </c>
      <c r="G26" s="126"/>
      <c r="H26" s="126"/>
    </row>
    <row r="27" spans="2:8" ht="18" customHeight="1" x14ac:dyDescent="0.25">
      <c r="B27" s="98" t="str">
        <f>+PL!H6</f>
        <v>FY-29-30</v>
      </c>
      <c r="C27" s="192">
        <f t="shared" si="4"/>
        <v>1610.5100000000002</v>
      </c>
      <c r="D27" s="192">
        <v>30</v>
      </c>
      <c r="E27" s="192">
        <f t="shared" si="3"/>
        <v>48315.3</v>
      </c>
      <c r="F27" s="192">
        <f t="shared" si="5"/>
        <v>579783.60000000009</v>
      </c>
      <c r="G27" s="126"/>
      <c r="H27" s="126"/>
    </row>
    <row r="28" spans="2:8" ht="18" customHeight="1" x14ac:dyDescent="0.25">
      <c r="B28" s="98" t="str">
        <f>+PL!I6</f>
        <v>FY-30-31</v>
      </c>
      <c r="C28" s="192">
        <f t="shared" si="4"/>
        <v>1771.5610000000004</v>
      </c>
      <c r="D28" s="192">
        <v>30</v>
      </c>
      <c r="E28" s="192">
        <f t="shared" si="3"/>
        <v>53146.830000000009</v>
      </c>
      <c r="F28" s="192">
        <f t="shared" si="5"/>
        <v>637761.96000000008</v>
      </c>
      <c r="G28" s="126"/>
      <c r="H28" s="126"/>
    </row>
    <row r="29" spans="2:8" ht="18" customHeight="1" x14ac:dyDescent="0.25">
      <c r="B29" s="98" t="str">
        <f>+PL!J6</f>
        <v>FY-31-32</v>
      </c>
      <c r="C29" s="192">
        <f t="shared" si="4"/>
        <v>1948.7171000000005</v>
      </c>
      <c r="D29" s="192">
        <v>30</v>
      </c>
      <c r="E29" s="192">
        <f t="shared" si="3"/>
        <v>58461.513000000014</v>
      </c>
      <c r="F29" s="192">
        <f t="shared" si="5"/>
        <v>701538.15600000019</v>
      </c>
      <c r="G29" s="126"/>
      <c r="H29" s="126"/>
    </row>
    <row r="30" spans="2:8" ht="18" customHeight="1" x14ac:dyDescent="0.25">
      <c r="C30" s="192"/>
      <c r="D30" s="192"/>
      <c r="E30" s="192"/>
      <c r="F30" s="192"/>
      <c r="G30" s="126"/>
      <c r="H30" s="126"/>
    </row>
    <row r="31" spans="2:8" ht="18" customHeight="1" x14ac:dyDescent="0.25">
      <c r="B31" s="98" t="s">
        <v>257</v>
      </c>
      <c r="C31" s="192"/>
      <c r="D31" s="192"/>
      <c r="E31" s="192"/>
      <c r="F31" s="192"/>
      <c r="G31" s="126"/>
      <c r="H31" s="126"/>
    </row>
    <row r="32" spans="2:8" ht="18" customHeight="1" x14ac:dyDescent="0.25">
      <c r="C32" s="192"/>
      <c r="D32" s="192"/>
      <c r="E32" s="192"/>
      <c r="F32" s="192"/>
      <c r="G32" s="126"/>
      <c r="H32" s="126"/>
    </row>
    <row r="33" spans="2:8" ht="18" customHeight="1" x14ac:dyDescent="0.25">
      <c r="B33" s="188" t="s">
        <v>258</v>
      </c>
      <c r="C33" s="194"/>
      <c r="D33" s="194"/>
      <c r="E33" s="194"/>
      <c r="F33" s="194"/>
      <c r="G33" s="126"/>
      <c r="H33" s="126"/>
    </row>
    <row r="34" spans="2:8" ht="18" customHeight="1" x14ac:dyDescent="0.25">
      <c r="B34" s="188" t="s">
        <v>21</v>
      </c>
      <c r="C34" s="198" t="s">
        <v>202</v>
      </c>
      <c r="D34" s="198" t="s">
        <v>203</v>
      </c>
      <c r="E34" s="198" t="s">
        <v>204</v>
      </c>
      <c r="F34" s="198" t="s">
        <v>205</v>
      </c>
      <c r="G34" s="126"/>
      <c r="H34" s="126"/>
    </row>
    <row r="35" spans="2:8" ht="18" customHeight="1" x14ac:dyDescent="0.25">
      <c r="B35" s="98" t="str">
        <f t="shared" ref="B35:B43" si="6">+B8</f>
        <v>FY-24-25 (1st 5 month)</v>
      </c>
      <c r="C35" s="192">
        <v>1800</v>
      </c>
      <c r="D35" s="192">
        <v>25</v>
      </c>
      <c r="E35" s="192">
        <f t="shared" ref="E35:E43" si="7">+C35*D35</f>
        <v>45000</v>
      </c>
      <c r="F35" s="192">
        <f>+E35*5</f>
        <v>225000</v>
      </c>
      <c r="G35" s="126"/>
      <c r="H35" s="126"/>
    </row>
    <row r="36" spans="2:8" ht="18" customHeight="1" x14ac:dyDescent="0.25">
      <c r="B36" s="98" t="str">
        <f t="shared" si="6"/>
        <v>FY-24-25 (next six month)</v>
      </c>
      <c r="C36" s="192">
        <v>3600</v>
      </c>
      <c r="D36" s="192">
        <v>25</v>
      </c>
      <c r="E36" s="192">
        <f t="shared" si="7"/>
        <v>90000</v>
      </c>
      <c r="F36" s="192">
        <f>+E36*6</f>
        <v>540000</v>
      </c>
      <c r="G36" s="126"/>
      <c r="H36" s="126"/>
    </row>
    <row r="37" spans="2:8" ht="18" customHeight="1" x14ac:dyDescent="0.25">
      <c r="B37" s="98" t="str">
        <f t="shared" si="6"/>
        <v>FY-25-26</v>
      </c>
      <c r="C37" s="192">
        <f t="shared" ref="C37:C43" si="8">+C36*110%</f>
        <v>3960.0000000000005</v>
      </c>
      <c r="D37" s="192">
        <v>25</v>
      </c>
      <c r="E37" s="192">
        <f t="shared" si="7"/>
        <v>99000.000000000015</v>
      </c>
      <c r="F37" s="192">
        <f t="shared" ref="F37:F43" si="9">+E37*12</f>
        <v>1188000.0000000002</v>
      </c>
      <c r="G37" s="126"/>
      <c r="H37" s="126"/>
    </row>
    <row r="38" spans="2:8" ht="18" customHeight="1" x14ac:dyDescent="0.25">
      <c r="B38" s="98" t="str">
        <f t="shared" si="6"/>
        <v>FY-26-27</v>
      </c>
      <c r="C38" s="192">
        <f t="shared" si="8"/>
        <v>4356.0000000000009</v>
      </c>
      <c r="D38" s="192">
        <v>25</v>
      </c>
      <c r="E38" s="192">
        <f t="shared" si="7"/>
        <v>108900.00000000003</v>
      </c>
      <c r="F38" s="192">
        <f t="shared" si="9"/>
        <v>1306800.0000000005</v>
      </c>
      <c r="G38" s="126"/>
      <c r="H38" s="126"/>
    </row>
    <row r="39" spans="2:8" ht="18" customHeight="1" x14ac:dyDescent="0.25">
      <c r="B39" s="98" t="str">
        <f t="shared" si="6"/>
        <v>FY-27-28</v>
      </c>
      <c r="C39" s="192">
        <f t="shared" si="8"/>
        <v>4791.6000000000013</v>
      </c>
      <c r="D39" s="192">
        <v>25</v>
      </c>
      <c r="E39" s="192">
        <f t="shared" si="7"/>
        <v>119790.00000000003</v>
      </c>
      <c r="F39" s="192">
        <f t="shared" si="9"/>
        <v>1437480.0000000005</v>
      </c>
      <c r="G39" s="126"/>
      <c r="H39" s="126"/>
    </row>
    <row r="40" spans="2:8" ht="18" customHeight="1" x14ac:dyDescent="0.25">
      <c r="B40" s="98" t="str">
        <f t="shared" si="6"/>
        <v>FY-28-29</v>
      </c>
      <c r="C40" s="192">
        <f t="shared" si="8"/>
        <v>5270.760000000002</v>
      </c>
      <c r="D40" s="192">
        <v>25</v>
      </c>
      <c r="E40" s="192">
        <f t="shared" si="7"/>
        <v>131769.00000000006</v>
      </c>
      <c r="F40" s="192">
        <f t="shared" si="9"/>
        <v>1581228.0000000007</v>
      </c>
      <c r="G40" s="126"/>
      <c r="H40" s="126"/>
    </row>
    <row r="41" spans="2:8" ht="18" customHeight="1" x14ac:dyDescent="0.25">
      <c r="B41" s="98" t="str">
        <f t="shared" si="6"/>
        <v>FY-29-30</v>
      </c>
      <c r="C41" s="192">
        <f t="shared" si="8"/>
        <v>5797.836000000003</v>
      </c>
      <c r="D41" s="192">
        <v>25</v>
      </c>
      <c r="E41" s="192">
        <f t="shared" si="7"/>
        <v>144945.90000000008</v>
      </c>
      <c r="F41" s="192">
        <f t="shared" si="9"/>
        <v>1739350.800000001</v>
      </c>
      <c r="G41" s="126"/>
      <c r="H41" s="126"/>
    </row>
    <row r="42" spans="2:8" ht="18" customHeight="1" x14ac:dyDescent="0.25">
      <c r="B42" s="98" t="str">
        <f t="shared" si="6"/>
        <v>FY-30-31</v>
      </c>
      <c r="C42" s="192">
        <f t="shared" si="8"/>
        <v>6377.6196000000036</v>
      </c>
      <c r="D42" s="192">
        <v>25</v>
      </c>
      <c r="E42" s="192">
        <f t="shared" si="7"/>
        <v>159440.49000000008</v>
      </c>
      <c r="F42" s="192">
        <f t="shared" si="9"/>
        <v>1913285.8800000008</v>
      </c>
      <c r="G42" s="126"/>
      <c r="H42" s="126"/>
    </row>
    <row r="43" spans="2:8" ht="18" customHeight="1" x14ac:dyDescent="0.25">
      <c r="B43" s="98" t="str">
        <f t="shared" si="6"/>
        <v>FY-31-32</v>
      </c>
      <c r="C43" s="192">
        <f t="shared" si="8"/>
        <v>7015.3815600000044</v>
      </c>
      <c r="D43" s="192">
        <v>25</v>
      </c>
      <c r="E43" s="192">
        <f t="shared" si="7"/>
        <v>175384.53900000011</v>
      </c>
      <c r="F43" s="192">
        <f t="shared" si="9"/>
        <v>2104614.4680000013</v>
      </c>
      <c r="G43" s="126"/>
      <c r="H43" s="126"/>
    </row>
    <row r="44" spans="2:8" ht="18" customHeight="1" x14ac:dyDescent="0.25">
      <c r="C44" s="192"/>
      <c r="D44" s="192"/>
      <c r="E44" s="192"/>
      <c r="F44" s="192"/>
      <c r="G44" s="126"/>
      <c r="H44" s="126"/>
    </row>
    <row r="45" spans="2:8" ht="18" customHeight="1" x14ac:dyDescent="0.25">
      <c r="B45" s="98" t="s">
        <v>259</v>
      </c>
      <c r="C45" s="192"/>
      <c r="D45" s="192"/>
      <c r="E45" s="192"/>
      <c r="F45" s="192"/>
      <c r="G45" s="126"/>
      <c r="H45" s="126"/>
    </row>
    <row r="46" spans="2:8" ht="18" customHeight="1" x14ac:dyDescent="0.25">
      <c r="C46" s="192"/>
      <c r="D46" s="192"/>
      <c r="E46" s="192"/>
      <c r="F46" s="192"/>
      <c r="G46" s="126"/>
      <c r="H46" s="126"/>
    </row>
    <row r="47" spans="2:8" ht="18" customHeight="1" x14ac:dyDescent="0.25">
      <c r="B47" s="188" t="s">
        <v>264</v>
      </c>
      <c r="C47" s="194"/>
      <c r="D47" s="194"/>
      <c r="E47" s="194"/>
      <c r="F47" s="194"/>
      <c r="G47" s="126"/>
      <c r="H47" s="126"/>
    </row>
    <row r="48" spans="2:8" ht="18" customHeight="1" x14ac:dyDescent="0.25">
      <c r="B48" s="188" t="s">
        <v>21</v>
      </c>
      <c r="C48" s="198" t="s">
        <v>202</v>
      </c>
      <c r="D48" s="198" t="s">
        <v>203</v>
      </c>
      <c r="E48" s="198" t="s">
        <v>204</v>
      </c>
      <c r="F48" s="198" t="s">
        <v>205</v>
      </c>
      <c r="G48" s="126"/>
      <c r="H48" s="126"/>
    </row>
    <row r="49" spans="2:8" ht="18" customHeight="1" x14ac:dyDescent="0.25">
      <c r="B49" s="98" t="str">
        <f t="shared" ref="B49:B56" si="10">+B22</f>
        <v>FY-24-25</v>
      </c>
      <c r="C49" s="192">
        <v>1000</v>
      </c>
      <c r="D49" s="192">
        <v>30</v>
      </c>
      <c r="E49" s="192">
        <f t="shared" ref="E49:E56" si="11">+C49*D49</f>
        <v>30000</v>
      </c>
      <c r="F49" s="192">
        <f>+E49*11</f>
        <v>330000</v>
      </c>
      <c r="G49" s="126"/>
      <c r="H49" s="126"/>
    </row>
    <row r="50" spans="2:8" ht="18" customHeight="1" x14ac:dyDescent="0.25">
      <c r="B50" s="98" t="str">
        <f t="shared" si="10"/>
        <v>FY-25-26</v>
      </c>
      <c r="C50" s="192">
        <f t="shared" ref="C50:C56" si="12">+C49*110%</f>
        <v>1100</v>
      </c>
      <c r="D50" s="192">
        <v>30</v>
      </c>
      <c r="E50" s="192">
        <f t="shared" si="11"/>
        <v>33000</v>
      </c>
      <c r="F50" s="192">
        <f t="shared" ref="F50:F56" si="13">+E50*12</f>
        <v>396000</v>
      </c>
      <c r="G50" s="126"/>
      <c r="H50" s="126"/>
    </row>
    <row r="51" spans="2:8" ht="18" customHeight="1" x14ac:dyDescent="0.25">
      <c r="B51" s="98" t="str">
        <f t="shared" si="10"/>
        <v>FY-26-27</v>
      </c>
      <c r="C51" s="192">
        <f t="shared" si="12"/>
        <v>1210</v>
      </c>
      <c r="D51" s="192">
        <v>30</v>
      </c>
      <c r="E51" s="192">
        <f t="shared" si="11"/>
        <v>36300</v>
      </c>
      <c r="F51" s="192">
        <f t="shared" si="13"/>
        <v>435600</v>
      </c>
      <c r="G51" s="126"/>
      <c r="H51" s="126"/>
    </row>
    <row r="52" spans="2:8" ht="18" customHeight="1" x14ac:dyDescent="0.25">
      <c r="B52" s="98" t="str">
        <f t="shared" si="10"/>
        <v>FY-27-28</v>
      </c>
      <c r="C52" s="192">
        <f t="shared" si="12"/>
        <v>1331</v>
      </c>
      <c r="D52" s="192">
        <v>30</v>
      </c>
      <c r="E52" s="192">
        <f t="shared" si="11"/>
        <v>39930</v>
      </c>
      <c r="F52" s="192">
        <f t="shared" si="13"/>
        <v>479160</v>
      </c>
      <c r="G52" s="126"/>
      <c r="H52" s="126"/>
    </row>
    <row r="53" spans="2:8" ht="18" customHeight="1" x14ac:dyDescent="0.25">
      <c r="B53" s="98" t="str">
        <f t="shared" si="10"/>
        <v>FY-28-29</v>
      </c>
      <c r="C53" s="192">
        <f t="shared" si="12"/>
        <v>1464.1000000000001</v>
      </c>
      <c r="D53" s="192">
        <v>30</v>
      </c>
      <c r="E53" s="192">
        <f t="shared" si="11"/>
        <v>43923.000000000007</v>
      </c>
      <c r="F53" s="192">
        <f t="shared" si="13"/>
        <v>527076.00000000012</v>
      </c>
      <c r="G53" s="126"/>
      <c r="H53" s="126"/>
    </row>
    <row r="54" spans="2:8" ht="18" customHeight="1" x14ac:dyDescent="0.25">
      <c r="B54" s="98" t="str">
        <f t="shared" si="10"/>
        <v>FY-29-30</v>
      </c>
      <c r="C54" s="192">
        <f t="shared" si="12"/>
        <v>1610.5100000000002</v>
      </c>
      <c r="D54" s="192">
        <v>30</v>
      </c>
      <c r="E54" s="192">
        <f t="shared" si="11"/>
        <v>48315.3</v>
      </c>
      <c r="F54" s="192">
        <f t="shared" si="13"/>
        <v>579783.60000000009</v>
      </c>
      <c r="G54" s="126"/>
      <c r="H54" s="126"/>
    </row>
    <row r="55" spans="2:8" ht="18" customHeight="1" x14ac:dyDescent="0.25">
      <c r="B55" s="98" t="str">
        <f t="shared" si="10"/>
        <v>FY-30-31</v>
      </c>
      <c r="C55" s="192">
        <f t="shared" si="12"/>
        <v>1771.5610000000004</v>
      </c>
      <c r="D55" s="192">
        <v>30</v>
      </c>
      <c r="E55" s="192">
        <f t="shared" si="11"/>
        <v>53146.830000000009</v>
      </c>
      <c r="F55" s="192">
        <f t="shared" si="13"/>
        <v>637761.96000000008</v>
      </c>
      <c r="G55" s="126"/>
      <c r="H55" s="126"/>
    </row>
    <row r="56" spans="2:8" ht="18" customHeight="1" x14ac:dyDescent="0.25">
      <c r="B56" s="98" t="str">
        <f t="shared" si="10"/>
        <v>FY-31-32</v>
      </c>
      <c r="C56" s="192">
        <f t="shared" si="12"/>
        <v>1948.7171000000005</v>
      </c>
      <c r="D56" s="192">
        <v>30</v>
      </c>
      <c r="E56" s="192">
        <f t="shared" si="11"/>
        <v>58461.513000000014</v>
      </c>
      <c r="F56" s="192">
        <f t="shared" si="13"/>
        <v>701538.15600000019</v>
      </c>
      <c r="G56" s="126"/>
      <c r="H56" s="126"/>
    </row>
    <row r="57" spans="2:8" ht="18" customHeight="1" x14ac:dyDescent="0.25">
      <c r="C57" s="192"/>
      <c r="D57" s="192"/>
      <c r="E57" s="192"/>
      <c r="F57" s="192"/>
      <c r="G57" s="126"/>
      <c r="H57" s="126"/>
    </row>
    <row r="58" spans="2:8" ht="18" customHeight="1" x14ac:dyDescent="0.25">
      <c r="B58" s="98" t="s">
        <v>265</v>
      </c>
      <c r="C58" s="192"/>
      <c r="D58" s="192"/>
      <c r="E58" s="192"/>
      <c r="F58" s="192"/>
      <c r="G58" s="126"/>
      <c r="H58" s="126"/>
    </row>
    <row r="59" spans="2:8" ht="18" customHeight="1" x14ac:dyDescent="0.25">
      <c r="C59" s="192"/>
      <c r="D59" s="192"/>
      <c r="E59" s="192"/>
      <c r="F59" s="192"/>
      <c r="G59" s="126"/>
      <c r="H59" s="126"/>
    </row>
    <row r="60" spans="2:8" ht="18" customHeight="1" x14ac:dyDescent="0.25">
      <c r="B60" s="188" t="s">
        <v>267</v>
      </c>
      <c r="C60" s="194"/>
      <c r="D60" s="194"/>
      <c r="E60" s="194"/>
      <c r="F60" s="194"/>
      <c r="G60" s="126"/>
      <c r="H60" s="126"/>
    </row>
    <row r="61" spans="2:8" ht="18" customHeight="1" x14ac:dyDescent="0.25">
      <c r="B61" s="188" t="s">
        <v>21</v>
      </c>
      <c r="C61" s="198" t="s">
        <v>202</v>
      </c>
      <c r="D61" s="198" t="s">
        <v>203</v>
      </c>
      <c r="E61" s="198" t="s">
        <v>204</v>
      </c>
      <c r="F61" s="198" t="s">
        <v>205</v>
      </c>
      <c r="G61" s="126"/>
      <c r="H61" s="126"/>
    </row>
    <row r="62" spans="2:8" ht="18" customHeight="1" x14ac:dyDescent="0.25">
      <c r="B62" s="98" t="str">
        <f t="shared" ref="B62:B69" si="14">+B49</f>
        <v>FY-24-25</v>
      </c>
      <c r="C62" s="192">
        <v>500</v>
      </c>
      <c r="D62" s="192">
        <v>30</v>
      </c>
      <c r="E62" s="192">
        <f t="shared" ref="E62:E69" si="15">+C62*D62</f>
        <v>15000</v>
      </c>
      <c r="F62" s="192">
        <f>+E62*11</f>
        <v>165000</v>
      </c>
      <c r="G62" s="126"/>
      <c r="H62" s="126"/>
    </row>
    <row r="63" spans="2:8" ht="18" customHeight="1" x14ac:dyDescent="0.25">
      <c r="B63" s="98" t="str">
        <f t="shared" si="14"/>
        <v>FY-25-26</v>
      </c>
      <c r="C63" s="192">
        <f t="shared" ref="C63:C69" si="16">+C62*110%</f>
        <v>550</v>
      </c>
      <c r="D63" s="192">
        <v>30</v>
      </c>
      <c r="E63" s="192">
        <f t="shared" si="15"/>
        <v>16500</v>
      </c>
      <c r="F63" s="192">
        <f t="shared" ref="F63:F69" si="17">+E63*12</f>
        <v>198000</v>
      </c>
      <c r="G63" s="126"/>
      <c r="H63" s="126"/>
    </row>
    <row r="64" spans="2:8" ht="18" customHeight="1" x14ac:dyDescent="0.25">
      <c r="B64" s="98" t="str">
        <f t="shared" si="14"/>
        <v>FY-26-27</v>
      </c>
      <c r="C64" s="192">
        <f t="shared" si="16"/>
        <v>605</v>
      </c>
      <c r="D64" s="192">
        <v>30</v>
      </c>
      <c r="E64" s="192">
        <f t="shared" si="15"/>
        <v>18150</v>
      </c>
      <c r="F64" s="192">
        <f t="shared" si="17"/>
        <v>217800</v>
      </c>
      <c r="G64" s="126"/>
      <c r="H64" s="126"/>
    </row>
    <row r="65" spans="2:8" ht="18" customHeight="1" x14ac:dyDescent="0.25">
      <c r="B65" s="98" t="str">
        <f t="shared" si="14"/>
        <v>FY-27-28</v>
      </c>
      <c r="C65" s="192">
        <f t="shared" si="16"/>
        <v>665.5</v>
      </c>
      <c r="D65" s="192">
        <v>30</v>
      </c>
      <c r="E65" s="192">
        <f t="shared" si="15"/>
        <v>19965</v>
      </c>
      <c r="F65" s="192">
        <f t="shared" si="17"/>
        <v>239580</v>
      </c>
      <c r="G65" s="126"/>
      <c r="H65" s="126"/>
    </row>
    <row r="66" spans="2:8" ht="18" customHeight="1" x14ac:dyDescent="0.25">
      <c r="B66" s="98" t="str">
        <f t="shared" si="14"/>
        <v>FY-28-29</v>
      </c>
      <c r="C66" s="192">
        <f t="shared" si="16"/>
        <v>732.05000000000007</v>
      </c>
      <c r="D66" s="192">
        <v>30</v>
      </c>
      <c r="E66" s="192">
        <f t="shared" si="15"/>
        <v>21961.500000000004</v>
      </c>
      <c r="F66" s="192">
        <f t="shared" si="17"/>
        <v>263538.00000000006</v>
      </c>
      <c r="G66" s="126"/>
      <c r="H66" s="126"/>
    </row>
    <row r="67" spans="2:8" ht="18" customHeight="1" x14ac:dyDescent="0.25">
      <c r="B67" s="98" t="str">
        <f t="shared" si="14"/>
        <v>FY-29-30</v>
      </c>
      <c r="C67" s="192">
        <f t="shared" si="16"/>
        <v>805.25500000000011</v>
      </c>
      <c r="D67" s="192">
        <v>30</v>
      </c>
      <c r="E67" s="192">
        <f t="shared" si="15"/>
        <v>24157.65</v>
      </c>
      <c r="F67" s="192">
        <f t="shared" si="17"/>
        <v>289891.80000000005</v>
      </c>
      <c r="G67" s="126"/>
      <c r="H67" s="126"/>
    </row>
    <row r="68" spans="2:8" ht="18" customHeight="1" x14ac:dyDescent="0.25">
      <c r="B68" s="98" t="str">
        <f t="shared" si="14"/>
        <v>FY-30-31</v>
      </c>
      <c r="C68" s="192">
        <f t="shared" si="16"/>
        <v>885.78050000000019</v>
      </c>
      <c r="D68" s="192">
        <v>30</v>
      </c>
      <c r="E68" s="192">
        <f t="shared" si="15"/>
        <v>26573.415000000005</v>
      </c>
      <c r="F68" s="192">
        <f t="shared" si="17"/>
        <v>318880.98000000004</v>
      </c>
      <c r="G68" s="126"/>
      <c r="H68" s="126"/>
    </row>
    <row r="69" spans="2:8" ht="18" customHeight="1" x14ac:dyDescent="0.25">
      <c r="B69" s="98" t="str">
        <f t="shared" si="14"/>
        <v>FY-31-32</v>
      </c>
      <c r="C69" s="192">
        <f t="shared" si="16"/>
        <v>974.35855000000026</v>
      </c>
      <c r="D69" s="192">
        <v>30</v>
      </c>
      <c r="E69" s="192">
        <f t="shared" si="15"/>
        <v>29230.756500000007</v>
      </c>
      <c r="F69" s="192">
        <f t="shared" si="17"/>
        <v>350769.0780000001</v>
      </c>
      <c r="G69" s="126"/>
      <c r="H69" s="126"/>
    </row>
    <row r="70" spans="2:8" ht="18" customHeight="1" x14ac:dyDescent="0.25">
      <c r="C70" s="192"/>
      <c r="D70" s="192"/>
      <c r="E70" s="192"/>
      <c r="F70" s="192"/>
      <c r="G70" s="126"/>
      <c r="H70" s="126"/>
    </row>
    <row r="71" spans="2:8" ht="18" customHeight="1" x14ac:dyDescent="0.25">
      <c r="B71" s="98" t="s">
        <v>268</v>
      </c>
      <c r="C71" s="192"/>
      <c r="D71" s="192"/>
      <c r="E71" s="192"/>
      <c r="F71" s="192"/>
      <c r="G71" s="126"/>
      <c r="H71" s="126"/>
    </row>
    <row r="72" spans="2:8" ht="18" customHeight="1" x14ac:dyDescent="0.25">
      <c r="C72" s="192"/>
      <c r="D72" s="192"/>
      <c r="E72" s="192"/>
      <c r="F72" s="192"/>
      <c r="G72" s="126"/>
      <c r="H72" s="126"/>
    </row>
    <row r="73" spans="2:8" ht="18" customHeight="1" x14ac:dyDescent="0.25">
      <c r="B73" s="188" t="s">
        <v>270</v>
      </c>
      <c r="C73" s="194"/>
      <c r="D73" s="194"/>
      <c r="E73" s="194"/>
      <c r="F73" s="194"/>
      <c r="G73" s="126"/>
      <c r="H73" s="126"/>
    </row>
    <row r="74" spans="2:8" ht="18" customHeight="1" x14ac:dyDescent="0.25">
      <c r="B74" s="188" t="s">
        <v>21</v>
      </c>
      <c r="C74" s="198" t="s">
        <v>202</v>
      </c>
      <c r="D74" s="198" t="s">
        <v>203</v>
      </c>
      <c r="E74" s="198" t="s">
        <v>204</v>
      </c>
      <c r="F74" s="198" t="s">
        <v>205</v>
      </c>
      <c r="G74" s="126"/>
      <c r="H74" s="126"/>
    </row>
    <row r="75" spans="2:8" ht="18" customHeight="1" x14ac:dyDescent="0.25">
      <c r="B75" s="98" t="str">
        <f t="shared" ref="B75:B82" si="18">+B62</f>
        <v>FY-24-25</v>
      </c>
      <c r="C75" s="192">
        <v>500</v>
      </c>
      <c r="D75" s="192">
        <v>30</v>
      </c>
      <c r="E75" s="192">
        <f t="shared" ref="E75:E82" si="19">+C75*D75</f>
        <v>15000</v>
      </c>
      <c r="F75" s="192">
        <f>+E75*11</f>
        <v>165000</v>
      </c>
      <c r="G75" s="126"/>
      <c r="H75" s="126"/>
    </row>
    <row r="76" spans="2:8" ht="18" customHeight="1" x14ac:dyDescent="0.25">
      <c r="B76" s="98" t="str">
        <f t="shared" si="18"/>
        <v>FY-25-26</v>
      </c>
      <c r="C76" s="192">
        <f t="shared" ref="C76:C82" si="20">+C75*110%</f>
        <v>550</v>
      </c>
      <c r="D76" s="192">
        <v>30</v>
      </c>
      <c r="E76" s="192">
        <f t="shared" si="19"/>
        <v>16500</v>
      </c>
      <c r="F76" s="192">
        <f t="shared" ref="F76:F82" si="21">+E76*12</f>
        <v>198000</v>
      </c>
      <c r="G76" s="126"/>
      <c r="H76" s="126"/>
    </row>
    <row r="77" spans="2:8" ht="18" customHeight="1" x14ac:dyDescent="0.25">
      <c r="B77" s="98" t="str">
        <f t="shared" si="18"/>
        <v>FY-26-27</v>
      </c>
      <c r="C77" s="192">
        <f t="shared" si="20"/>
        <v>605</v>
      </c>
      <c r="D77" s="192">
        <v>30</v>
      </c>
      <c r="E77" s="192">
        <f t="shared" si="19"/>
        <v>18150</v>
      </c>
      <c r="F77" s="192">
        <f t="shared" si="21"/>
        <v>217800</v>
      </c>
      <c r="G77" s="126"/>
      <c r="H77" s="126"/>
    </row>
    <row r="78" spans="2:8" ht="18" customHeight="1" x14ac:dyDescent="0.25">
      <c r="B78" s="98" t="str">
        <f t="shared" si="18"/>
        <v>FY-27-28</v>
      </c>
      <c r="C78" s="192">
        <f t="shared" si="20"/>
        <v>665.5</v>
      </c>
      <c r="D78" s="192">
        <v>30</v>
      </c>
      <c r="E78" s="192">
        <f t="shared" si="19"/>
        <v>19965</v>
      </c>
      <c r="F78" s="192">
        <f t="shared" si="21"/>
        <v>239580</v>
      </c>
      <c r="G78" s="126"/>
      <c r="H78" s="126"/>
    </row>
    <row r="79" spans="2:8" ht="18" customHeight="1" x14ac:dyDescent="0.25">
      <c r="B79" s="98" t="str">
        <f t="shared" si="18"/>
        <v>FY-28-29</v>
      </c>
      <c r="C79" s="192">
        <f t="shared" si="20"/>
        <v>732.05000000000007</v>
      </c>
      <c r="D79" s="192">
        <v>30</v>
      </c>
      <c r="E79" s="192">
        <f t="shared" si="19"/>
        <v>21961.500000000004</v>
      </c>
      <c r="F79" s="192">
        <f t="shared" si="21"/>
        <v>263538.00000000006</v>
      </c>
      <c r="G79" s="126"/>
      <c r="H79" s="126"/>
    </row>
    <row r="80" spans="2:8" ht="18" customHeight="1" x14ac:dyDescent="0.25">
      <c r="B80" s="98" t="str">
        <f t="shared" si="18"/>
        <v>FY-29-30</v>
      </c>
      <c r="C80" s="192">
        <f t="shared" si="20"/>
        <v>805.25500000000011</v>
      </c>
      <c r="D80" s="192">
        <v>30</v>
      </c>
      <c r="E80" s="192">
        <f t="shared" si="19"/>
        <v>24157.65</v>
      </c>
      <c r="F80" s="192">
        <f t="shared" si="21"/>
        <v>289891.80000000005</v>
      </c>
      <c r="G80" s="126"/>
      <c r="H80" s="126"/>
    </row>
    <row r="81" spans="2:8" ht="18" customHeight="1" x14ac:dyDescent="0.25">
      <c r="B81" s="98" t="str">
        <f t="shared" si="18"/>
        <v>FY-30-31</v>
      </c>
      <c r="C81" s="192">
        <f t="shared" si="20"/>
        <v>885.78050000000019</v>
      </c>
      <c r="D81" s="192">
        <v>30</v>
      </c>
      <c r="E81" s="192">
        <f t="shared" si="19"/>
        <v>26573.415000000005</v>
      </c>
      <c r="F81" s="192">
        <f t="shared" si="21"/>
        <v>318880.98000000004</v>
      </c>
      <c r="G81" s="126"/>
      <c r="H81" s="126"/>
    </row>
    <row r="82" spans="2:8" ht="18" customHeight="1" x14ac:dyDescent="0.25">
      <c r="B82" s="98" t="str">
        <f t="shared" si="18"/>
        <v>FY-31-32</v>
      </c>
      <c r="C82" s="192">
        <f t="shared" si="20"/>
        <v>974.35855000000026</v>
      </c>
      <c r="D82" s="192">
        <v>30</v>
      </c>
      <c r="E82" s="192">
        <f t="shared" si="19"/>
        <v>29230.756500000007</v>
      </c>
      <c r="F82" s="192">
        <f t="shared" si="21"/>
        <v>350769.0780000001</v>
      </c>
      <c r="G82" s="126"/>
      <c r="H82" s="126"/>
    </row>
    <row r="83" spans="2:8" ht="18" customHeight="1" x14ac:dyDescent="0.25">
      <c r="C83" s="192"/>
      <c r="D83" s="192"/>
      <c r="E83" s="192"/>
      <c r="F83" s="192"/>
      <c r="G83" s="126"/>
      <c r="H83" s="126"/>
    </row>
    <row r="84" spans="2:8" ht="18" customHeight="1" x14ac:dyDescent="0.25">
      <c r="B84" s="98" t="s">
        <v>271</v>
      </c>
      <c r="C84" s="192"/>
      <c r="D84" s="192"/>
      <c r="E84" s="192"/>
      <c r="F84" s="192"/>
      <c r="G84" s="126"/>
      <c r="H84" s="126"/>
    </row>
    <row r="85" spans="2:8" ht="18" customHeight="1" x14ac:dyDescent="0.25">
      <c r="C85" s="192"/>
      <c r="D85" s="192"/>
      <c r="E85" s="192"/>
      <c r="F85" s="192"/>
      <c r="G85" s="126"/>
      <c r="H85" s="126"/>
    </row>
    <row r="86" spans="2:8" ht="18" customHeight="1" x14ac:dyDescent="0.25">
      <c r="B86" s="188" t="s">
        <v>274</v>
      </c>
      <c r="C86" s="194"/>
      <c r="D86" s="194"/>
      <c r="E86" s="194"/>
      <c r="F86" s="194"/>
      <c r="G86" s="126"/>
      <c r="H86" s="126"/>
    </row>
    <row r="87" spans="2:8" ht="18" customHeight="1" x14ac:dyDescent="0.25">
      <c r="B87" s="188" t="s">
        <v>21</v>
      </c>
      <c r="C87" s="198" t="s">
        <v>202</v>
      </c>
      <c r="D87" s="198" t="s">
        <v>203</v>
      </c>
      <c r="E87" s="198" t="s">
        <v>204</v>
      </c>
      <c r="F87" s="198" t="s">
        <v>205</v>
      </c>
      <c r="G87" s="126"/>
      <c r="H87" s="126"/>
    </row>
    <row r="88" spans="2:8" ht="18" customHeight="1" x14ac:dyDescent="0.25">
      <c r="B88" s="98" t="str">
        <f t="shared" ref="B88:B95" si="22">+B75</f>
        <v>FY-24-25</v>
      </c>
      <c r="C88" s="192">
        <v>1500</v>
      </c>
      <c r="D88" s="192">
        <v>30</v>
      </c>
      <c r="E88" s="192">
        <f t="shared" ref="E88:E95" si="23">+C88*D88</f>
        <v>45000</v>
      </c>
      <c r="F88" s="192">
        <f>+E88*11</f>
        <v>495000</v>
      </c>
      <c r="G88" s="126"/>
      <c r="H88" s="126"/>
    </row>
    <row r="89" spans="2:8" ht="18" customHeight="1" x14ac:dyDescent="0.25">
      <c r="B89" s="98" t="str">
        <f t="shared" si="22"/>
        <v>FY-25-26</v>
      </c>
      <c r="C89" s="192">
        <f t="shared" ref="C89:C95" si="24">+C88*110%</f>
        <v>1650.0000000000002</v>
      </c>
      <c r="D89" s="192">
        <v>30</v>
      </c>
      <c r="E89" s="192">
        <f t="shared" si="23"/>
        <v>49500.000000000007</v>
      </c>
      <c r="F89" s="192">
        <f t="shared" ref="F89:F95" si="25">+E89*12</f>
        <v>594000.00000000012</v>
      </c>
      <c r="G89" s="126"/>
      <c r="H89" s="126"/>
    </row>
    <row r="90" spans="2:8" ht="18" customHeight="1" x14ac:dyDescent="0.25">
      <c r="B90" s="98" t="str">
        <f t="shared" si="22"/>
        <v>FY-26-27</v>
      </c>
      <c r="C90" s="192">
        <f t="shared" si="24"/>
        <v>1815.0000000000005</v>
      </c>
      <c r="D90" s="192">
        <v>30</v>
      </c>
      <c r="E90" s="192">
        <f t="shared" si="23"/>
        <v>54450.000000000015</v>
      </c>
      <c r="F90" s="192">
        <f t="shared" si="25"/>
        <v>653400.00000000023</v>
      </c>
      <c r="G90" s="126"/>
      <c r="H90" s="126"/>
    </row>
    <row r="91" spans="2:8" ht="18" customHeight="1" x14ac:dyDescent="0.25">
      <c r="B91" s="98" t="str">
        <f t="shared" si="22"/>
        <v>FY-27-28</v>
      </c>
      <c r="C91" s="192">
        <f t="shared" si="24"/>
        <v>1996.5000000000007</v>
      </c>
      <c r="D91" s="192">
        <v>30</v>
      </c>
      <c r="E91" s="192">
        <f t="shared" si="23"/>
        <v>59895.000000000022</v>
      </c>
      <c r="F91" s="192">
        <f t="shared" si="25"/>
        <v>718740.00000000023</v>
      </c>
      <c r="G91" s="126"/>
      <c r="H91" s="126"/>
    </row>
    <row r="92" spans="2:8" ht="18" customHeight="1" x14ac:dyDescent="0.25">
      <c r="B92" s="98" t="str">
        <f t="shared" si="22"/>
        <v>FY-28-29</v>
      </c>
      <c r="C92" s="192">
        <f t="shared" si="24"/>
        <v>2196.150000000001</v>
      </c>
      <c r="D92" s="192">
        <v>30</v>
      </c>
      <c r="E92" s="192">
        <f t="shared" si="23"/>
        <v>65884.500000000029</v>
      </c>
      <c r="F92" s="192">
        <f t="shared" si="25"/>
        <v>790614.00000000035</v>
      </c>
      <c r="G92" s="126"/>
      <c r="H92" s="126"/>
    </row>
    <row r="93" spans="2:8" ht="18" customHeight="1" x14ac:dyDescent="0.25">
      <c r="B93" s="98" t="str">
        <f t="shared" si="22"/>
        <v>FY-29-30</v>
      </c>
      <c r="C93" s="192">
        <f t="shared" si="24"/>
        <v>2415.7650000000012</v>
      </c>
      <c r="D93" s="192">
        <v>30</v>
      </c>
      <c r="E93" s="192">
        <f t="shared" si="23"/>
        <v>72472.950000000041</v>
      </c>
      <c r="F93" s="192">
        <f t="shared" si="25"/>
        <v>869675.40000000049</v>
      </c>
      <c r="G93" s="126"/>
      <c r="H93" s="126"/>
    </row>
    <row r="94" spans="2:8" ht="18" customHeight="1" x14ac:dyDescent="0.25">
      <c r="B94" s="98" t="str">
        <f t="shared" si="22"/>
        <v>FY-30-31</v>
      </c>
      <c r="C94" s="192">
        <f t="shared" si="24"/>
        <v>2657.3415000000014</v>
      </c>
      <c r="D94" s="192">
        <v>30</v>
      </c>
      <c r="E94" s="192">
        <f t="shared" si="23"/>
        <v>79720.245000000039</v>
      </c>
      <c r="F94" s="192">
        <f t="shared" si="25"/>
        <v>956642.94000000041</v>
      </c>
      <c r="G94" s="126"/>
      <c r="H94" s="126"/>
    </row>
    <row r="95" spans="2:8" ht="18" customHeight="1" x14ac:dyDescent="0.25">
      <c r="B95" s="98" t="str">
        <f t="shared" si="22"/>
        <v>FY-31-32</v>
      </c>
      <c r="C95" s="192">
        <f t="shared" si="24"/>
        <v>2923.0756500000016</v>
      </c>
      <c r="D95" s="192">
        <v>30</v>
      </c>
      <c r="E95" s="192">
        <f t="shared" si="23"/>
        <v>87692.269500000053</v>
      </c>
      <c r="F95" s="192">
        <f t="shared" si="25"/>
        <v>1052307.2340000006</v>
      </c>
      <c r="G95" s="126"/>
      <c r="H95" s="126"/>
    </row>
    <row r="96" spans="2:8" ht="18" customHeight="1" x14ac:dyDescent="0.25">
      <c r="C96" s="192"/>
      <c r="D96" s="192"/>
      <c r="E96" s="192"/>
      <c r="F96" s="192"/>
      <c r="G96" s="126"/>
      <c r="H96" s="126"/>
    </row>
    <row r="97" spans="2:9" ht="18" customHeight="1" x14ac:dyDescent="0.25">
      <c r="B97" s="98" t="s">
        <v>275</v>
      </c>
      <c r="C97" s="192"/>
      <c r="D97" s="192"/>
      <c r="E97" s="192"/>
      <c r="F97" s="192"/>
      <c r="G97" s="126"/>
      <c r="H97" s="126"/>
    </row>
    <row r="98" spans="2:9" ht="18" customHeight="1" x14ac:dyDescent="0.25">
      <c r="C98" s="192"/>
      <c r="D98" s="192"/>
      <c r="E98" s="192"/>
      <c r="F98" s="192"/>
      <c r="G98" s="126"/>
      <c r="H98" s="126"/>
    </row>
    <row r="99" spans="2:9" ht="18" customHeight="1" x14ac:dyDescent="0.25">
      <c r="B99" s="188" t="s">
        <v>276</v>
      </c>
      <c r="C99" s="194"/>
      <c r="D99" s="194"/>
      <c r="E99" s="194"/>
      <c r="F99" s="194"/>
      <c r="G99" s="126"/>
      <c r="H99" s="126"/>
    </row>
    <row r="100" spans="2:9" ht="18" customHeight="1" x14ac:dyDescent="0.25">
      <c r="B100" s="188" t="s">
        <v>21</v>
      </c>
      <c r="C100" s="198" t="s">
        <v>202</v>
      </c>
      <c r="D100" s="198" t="s">
        <v>203</v>
      </c>
      <c r="E100" s="198" t="s">
        <v>204</v>
      </c>
      <c r="F100" s="198" t="s">
        <v>205</v>
      </c>
      <c r="G100" s="126"/>
      <c r="H100" s="126"/>
    </row>
    <row r="101" spans="2:9" ht="18" customHeight="1" x14ac:dyDescent="0.25">
      <c r="B101" s="98" t="str">
        <f t="shared" ref="B101:B108" si="26">+B88</f>
        <v>FY-24-25</v>
      </c>
      <c r="C101" s="192">
        <v>2400</v>
      </c>
      <c r="D101" s="192">
        <v>30</v>
      </c>
      <c r="E101" s="192">
        <f t="shared" ref="E101:E108" si="27">+C101*D101</f>
        <v>72000</v>
      </c>
      <c r="F101" s="192">
        <f>+E101*11</f>
        <v>792000</v>
      </c>
      <c r="G101" s="126"/>
      <c r="H101" s="126"/>
    </row>
    <row r="102" spans="2:9" ht="18" customHeight="1" x14ac:dyDescent="0.25">
      <c r="B102" s="98" t="str">
        <f t="shared" si="26"/>
        <v>FY-25-26</v>
      </c>
      <c r="C102" s="192">
        <f t="shared" ref="C102:C108" si="28">+C101*110%</f>
        <v>2640</v>
      </c>
      <c r="D102" s="192">
        <v>30</v>
      </c>
      <c r="E102" s="192">
        <f t="shared" si="27"/>
        <v>79200</v>
      </c>
      <c r="F102" s="192">
        <f t="shared" ref="F102:F108" si="29">+E102*12</f>
        <v>950400</v>
      </c>
      <c r="G102" s="126"/>
      <c r="H102" s="126"/>
    </row>
    <row r="103" spans="2:9" ht="18" customHeight="1" x14ac:dyDescent="0.25">
      <c r="B103" s="98" t="str">
        <f t="shared" si="26"/>
        <v>FY-26-27</v>
      </c>
      <c r="C103" s="192">
        <f t="shared" si="28"/>
        <v>2904.0000000000005</v>
      </c>
      <c r="D103" s="192">
        <v>30</v>
      </c>
      <c r="E103" s="192">
        <f t="shared" si="27"/>
        <v>87120.000000000015</v>
      </c>
      <c r="F103" s="192">
        <f t="shared" si="29"/>
        <v>1045440.0000000002</v>
      </c>
      <c r="G103" s="176"/>
      <c r="H103" s="126"/>
    </row>
    <row r="104" spans="2:9" ht="18" customHeight="1" x14ac:dyDescent="0.25">
      <c r="B104" s="98" t="str">
        <f t="shared" si="26"/>
        <v>FY-27-28</v>
      </c>
      <c r="C104" s="192">
        <f t="shared" si="28"/>
        <v>3194.4000000000005</v>
      </c>
      <c r="D104" s="192">
        <v>30</v>
      </c>
      <c r="E104" s="192">
        <f t="shared" si="27"/>
        <v>95832.000000000015</v>
      </c>
      <c r="F104" s="192">
        <f t="shared" si="29"/>
        <v>1149984.0000000002</v>
      </c>
      <c r="G104" s="176"/>
      <c r="H104" s="126"/>
      <c r="I104" s="102"/>
    </row>
    <row r="105" spans="2:9" ht="18" customHeight="1" x14ac:dyDescent="0.25">
      <c r="B105" s="98" t="str">
        <f t="shared" si="26"/>
        <v>FY-28-29</v>
      </c>
      <c r="C105" s="192">
        <f t="shared" si="28"/>
        <v>3513.8400000000011</v>
      </c>
      <c r="D105" s="192">
        <v>30</v>
      </c>
      <c r="E105" s="192">
        <f t="shared" si="27"/>
        <v>105415.20000000003</v>
      </c>
      <c r="F105" s="192">
        <f t="shared" si="29"/>
        <v>1264982.4000000004</v>
      </c>
      <c r="G105" s="176"/>
      <c r="H105" s="126"/>
    </row>
    <row r="106" spans="2:9" ht="18" customHeight="1" x14ac:dyDescent="0.25">
      <c r="B106" s="98" t="str">
        <f t="shared" si="26"/>
        <v>FY-29-30</v>
      </c>
      <c r="C106" s="192">
        <f t="shared" si="28"/>
        <v>3865.2240000000015</v>
      </c>
      <c r="D106" s="192">
        <v>30</v>
      </c>
      <c r="E106" s="192">
        <f t="shared" si="27"/>
        <v>115956.72000000004</v>
      </c>
      <c r="F106" s="192">
        <f t="shared" si="29"/>
        <v>1391480.6400000006</v>
      </c>
      <c r="G106" s="176"/>
      <c r="H106" s="126"/>
    </row>
    <row r="107" spans="2:9" ht="18" customHeight="1" x14ac:dyDescent="0.25">
      <c r="B107" s="98" t="str">
        <f t="shared" si="26"/>
        <v>FY-30-31</v>
      </c>
      <c r="C107" s="192">
        <f t="shared" si="28"/>
        <v>4251.7464000000018</v>
      </c>
      <c r="D107" s="192">
        <v>30</v>
      </c>
      <c r="E107" s="192">
        <f t="shared" si="27"/>
        <v>127552.39200000005</v>
      </c>
      <c r="F107" s="192">
        <f t="shared" si="29"/>
        <v>1530628.7040000006</v>
      </c>
      <c r="G107" s="176"/>
      <c r="H107" s="126"/>
    </row>
    <row r="108" spans="2:9" ht="18" customHeight="1" x14ac:dyDescent="0.25">
      <c r="B108" s="98" t="str">
        <f t="shared" si="26"/>
        <v>FY-31-32</v>
      </c>
      <c r="C108" s="192">
        <f t="shared" si="28"/>
        <v>4676.921040000002</v>
      </c>
      <c r="D108" s="192">
        <v>30</v>
      </c>
      <c r="E108" s="192">
        <f t="shared" si="27"/>
        <v>140307.63120000006</v>
      </c>
      <c r="F108" s="192">
        <f t="shared" si="29"/>
        <v>1683691.5744000007</v>
      </c>
      <c r="G108" s="176"/>
      <c r="H108" s="126"/>
    </row>
    <row r="109" spans="2:9" ht="18" customHeight="1" x14ac:dyDescent="0.25">
      <c r="C109" s="192"/>
      <c r="D109" s="192"/>
      <c r="E109" s="192"/>
      <c r="F109" s="192"/>
      <c r="G109" s="176"/>
      <c r="H109" s="126"/>
    </row>
    <row r="110" spans="2:9" ht="18" customHeight="1" x14ac:dyDescent="0.25">
      <c r="B110" s="98" t="s">
        <v>277</v>
      </c>
      <c r="C110" s="192"/>
      <c r="D110" s="192"/>
      <c r="E110" s="192"/>
      <c r="F110" s="192"/>
      <c r="G110" s="176"/>
      <c r="H110" s="126"/>
    </row>
    <row r="111" spans="2:9" ht="18" customHeight="1" x14ac:dyDescent="0.25">
      <c r="C111" s="192"/>
      <c r="D111" s="192"/>
      <c r="E111" s="192"/>
      <c r="F111" s="192"/>
      <c r="G111" s="176"/>
      <c r="H111" s="126"/>
    </row>
    <row r="112" spans="2:9" ht="18" customHeight="1" x14ac:dyDescent="0.25">
      <c r="B112" s="188" t="s">
        <v>334</v>
      </c>
      <c r="C112" s="194"/>
      <c r="D112" s="194"/>
      <c r="E112" s="194"/>
      <c r="F112" s="194"/>
      <c r="G112" s="176"/>
      <c r="H112" s="126"/>
    </row>
    <row r="113" spans="2:8" ht="18" customHeight="1" x14ac:dyDescent="0.25">
      <c r="B113" s="188" t="s">
        <v>21</v>
      </c>
      <c r="C113" s="198" t="s">
        <v>202</v>
      </c>
      <c r="D113" s="198" t="s">
        <v>203</v>
      </c>
      <c r="E113" s="198" t="s">
        <v>204</v>
      </c>
      <c r="F113" s="198" t="s">
        <v>205</v>
      </c>
      <c r="G113" s="176"/>
      <c r="H113" s="126"/>
    </row>
    <row r="114" spans="2:8" ht="18" customHeight="1" x14ac:dyDescent="0.25">
      <c r="B114" s="98" t="str">
        <f t="shared" ref="B114:B122" si="30">+B35</f>
        <v>FY-24-25 (1st 5 month)</v>
      </c>
      <c r="C114" s="192">
        <v>4500</v>
      </c>
      <c r="D114" s="192">
        <v>25</v>
      </c>
      <c r="E114" s="192">
        <f t="shared" ref="E114:E122" si="31">+C114*D114</f>
        <v>112500</v>
      </c>
      <c r="F114" s="192">
        <f>+E114*5</f>
        <v>562500</v>
      </c>
      <c r="G114" s="126"/>
      <c r="H114" s="126"/>
    </row>
    <row r="115" spans="2:8" ht="18" customHeight="1" x14ac:dyDescent="0.25">
      <c r="B115" s="98" t="str">
        <f t="shared" si="30"/>
        <v>FY-24-25 (next six month)</v>
      </c>
      <c r="C115" s="192">
        <v>9000</v>
      </c>
      <c r="D115" s="192">
        <v>25</v>
      </c>
      <c r="E115" s="192">
        <f t="shared" si="31"/>
        <v>225000</v>
      </c>
      <c r="F115" s="192">
        <f>+E115*6</f>
        <v>1350000</v>
      </c>
      <c r="G115" s="126"/>
      <c r="H115" s="126"/>
    </row>
    <row r="116" spans="2:8" ht="18" customHeight="1" x14ac:dyDescent="0.25">
      <c r="B116" s="98" t="str">
        <f t="shared" si="30"/>
        <v>FY-25-26</v>
      </c>
      <c r="C116" s="192">
        <f t="shared" ref="C116:C122" si="32">+C115*110%</f>
        <v>9900</v>
      </c>
      <c r="D116" s="192">
        <v>25</v>
      </c>
      <c r="E116" s="192">
        <f t="shared" si="31"/>
        <v>247500</v>
      </c>
      <c r="F116" s="192">
        <f t="shared" ref="F116:F122" si="33">+E116*12</f>
        <v>2970000</v>
      </c>
      <c r="G116" s="126"/>
      <c r="H116" s="126"/>
    </row>
    <row r="117" spans="2:8" ht="18" customHeight="1" x14ac:dyDescent="0.25">
      <c r="B117" s="98" t="str">
        <f t="shared" si="30"/>
        <v>FY-26-27</v>
      </c>
      <c r="C117" s="192">
        <f t="shared" si="32"/>
        <v>10890</v>
      </c>
      <c r="D117" s="192">
        <v>25</v>
      </c>
      <c r="E117" s="192">
        <f t="shared" si="31"/>
        <v>272250</v>
      </c>
      <c r="F117" s="192">
        <f t="shared" si="33"/>
        <v>3267000</v>
      </c>
      <c r="G117" s="126"/>
      <c r="H117" s="126"/>
    </row>
    <row r="118" spans="2:8" ht="18" customHeight="1" x14ac:dyDescent="0.25">
      <c r="B118" s="98" t="str">
        <f t="shared" si="30"/>
        <v>FY-27-28</v>
      </c>
      <c r="C118" s="192">
        <f t="shared" si="32"/>
        <v>11979.000000000002</v>
      </c>
      <c r="D118" s="192">
        <v>25</v>
      </c>
      <c r="E118" s="192">
        <f t="shared" si="31"/>
        <v>299475.00000000006</v>
      </c>
      <c r="F118" s="192">
        <f t="shared" si="33"/>
        <v>3593700.0000000009</v>
      </c>
      <c r="G118" s="126"/>
      <c r="H118" s="126"/>
    </row>
    <row r="119" spans="2:8" ht="18" customHeight="1" x14ac:dyDescent="0.25">
      <c r="B119" s="98" t="str">
        <f t="shared" si="30"/>
        <v>FY-28-29</v>
      </c>
      <c r="C119" s="192">
        <f t="shared" si="32"/>
        <v>13176.900000000003</v>
      </c>
      <c r="D119" s="192">
        <v>25</v>
      </c>
      <c r="E119" s="192">
        <f t="shared" si="31"/>
        <v>329422.50000000006</v>
      </c>
      <c r="F119" s="192">
        <f t="shared" si="33"/>
        <v>3953070.0000000009</v>
      </c>
      <c r="G119" s="126"/>
      <c r="H119" s="126"/>
    </row>
    <row r="120" spans="2:8" ht="18" customHeight="1" x14ac:dyDescent="0.25">
      <c r="B120" s="98" t="str">
        <f t="shared" si="30"/>
        <v>FY-29-30</v>
      </c>
      <c r="C120" s="192">
        <f t="shared" si="32"/>
        <v>14494.590000000006</v>
      </c>
      <c r="D120" s="192">
        <v>25</v>
      </c>
      <c r="E120" s="192">
        <f t="shared" si="31"/>
        <v>362364.75000000012</v>
      </c>
      <c r="F120" s="192">
        <f t="shared" si="33"/>
        <v>4348377.0000000019</v>
      </c>
      <c r="G120" s="126"/>
      <c r="H120" s="126"/>
    </row>
    <row r="121" spans="2:8" ht="18" customHeight="1" x14ac:dyDescent="0.25">
      <c r="B121" s="98" t="str">
        <f t="shared" si="30"/>
        <v>FY-30-31</v>
      </c>
      <c r="C121" s="192">
        <f t="shared" si="32"/>
        <v>15944.049000000008</v>
      </c>
      <c r="D121" s="192">
        <v>25</v>
      </c>
      <c r="E121" s="192">
        <f t="shared" si="31"/>
        <v>398601.22500000021</v>
      </c>
      <c r="F121" s="192">
        <f t="shared" si="33"/>
        <v>4783214.700000003</v>
      </c>
      <c r="G121" s="126"/>
      <c r="H121" s="126"/>
    </row>
    <row r="122" spans="2:8" ht="18" customHeight="1" x14ac:dyDescent="0.25">
      <c r="B122" s="98" t="str">
        <f t="shared" si="30"/>
        <v>FY-31-32</v>
      </c>
      <c r="C122" s="192">
        <f t="shared" si="32"/>
        <v>17538.453900000011</v>
      </c>
      <c r="D122" s="192">
        <v>25</v>
      </c>
      <c r="E122" s="192">
        <f t="shared" si="31"/>
        <v>438461.34750000027</v>
      </c>
      <c r="F122" s="192">
        <f t="shared" si="33"/>
        <v>5261536.1700000037</v>
      </c>
      <c r="G122" s="126"/>
      <c r="H122" s="126"/>
    </row>
    <row r="123" spans="2:8" ht="18" customHeight="1" x14ac:dyDescent="0.25">
      <c r="B123" s="108"/>
      <c r="C123" s="192"/>
      <c r="D123" s="192"/>
      <c r="E123" s="192"/>
      <c r="F123" s="192"/>
      <c r="G123" s="126"/>
      <c r="H123" s="126"/>
    </row>
    <row r="124" spans="2:8" ht="18" customHeight="1" x14ac:dyDescent="0.25">
      <c r="B124" s="108"/>
      <c r="C124" s="192"/>
      <c r="D124" s="192"/>
      <c r="E124" s="192"/>
      <c r="F124" s="192"/>
      <c r="G124" s="126"/>
      <c r="H124" s="126"/>
    </row>
    <row r="125" spans="2:8" ht="18" customHeight="1" x14ac:dyDescent="0.25">
      <c r="B125" s="98" t="s">
        <v>405</v>
      </c>
      <c r="C125" s="192"/>
      <c r="D125" s="192"/>
      <c r="E125" s="192"/>
      <c r="F125" s="192"/>
      <c r="G125" s="126"/>
      <c r="H125" s="126"/>
    </row>
    <row r="126" spans="2:8" ht="18" customHeight="1" x14ac:dyDescent="0.25">
      <c r="B126" s="108"/>
      <c r="C126" s="192"/>
      <c r="D126" s="192"/>
      <c r="E126" s="192"/>
      <c r="F126" s="192"/>
      <c r="G126" s="126"/>
      <c r="H126" s="126"/>
    </row>
    <row r="127" spans="2:8" ht="18" customHeight="1" x14ac:dyDescent="0.25">
      <c r="B127" s="98" t="s">
        <v>406</v>
      </c>
      <c r="C127" s="192"/>
      <c r="D127" s="192"/>
      <c r="E127" s="192"/>
      <c r="F127" s="192"/>
      <c r="G127" s="126"/>
      <c r="H127" s="126"/>
    </row>
    <row r="128" spans="2:8" ht="18" customHeight="1" x14ac:dyDescent="0.25"/>
    <row r="129" spans="2:3" ht="18" customHeight="1" x14ac:dyDescent="0.25">
      <c r="B129" s="98" t="s">
        <v>407</v>
      </c>
    </row>
    <row r="130" spans="2:3" ht="18" customHeight="1" x14ac:dyDescent="0.25"/>
    <row r="131" spans="2:3" ht="18" customHeight="1" x14ac:dyDescent="0.25">
      <c r="B131" s="98" t="s">
        <v>408</v>
      </c>
    </row>
    <row r="132" spans="2:3" ht="18" customHeight="1" x14ac:dyDescent="0.25"/>
    <row r="133" spans="2:3" ht="18" customHeight="1" x14ac:dyDescent="0.25">
      <c r="B133" s="98" t="s">
        <v>409</v>
      </c>
    </row>
    <row r="134" spans="2:3" ht="18" customHeight="1" x14ac:dyDescent="0.25"/>
    <row r="135" spans="2:3" ht="18" customHeight="1" x14ac:dyDescent="0.25">
      <c r="B135" s="98" t="s">
        <v>410</v>
      </c>
    </row>
    <row r="136" spans="2:3" ht="18" customHeight="1" x14ac:dyDescent="0.25"/>
    <row r="137" spans="2:3" ht="18" customHeight="1" x14ac:dyDescent="0.25">
      <c r="B137" s="108" t="s">
        <v>357</v>
      </c>
    </row>
    <row r="138" spans="2:3" ht="18" customHeight="1" x14ac:dyDescent="0.25">
      <c r="B138" s="108"/>
    </row>
    <row r="139" spans="2:3" ht="18" customHeight="1" x14ac:dyDescent="0.25">
      <c r="B139" s="107" t="s">
        <v>350</v>
      </c>
      <c r="C139" s="74" t="s">
        <v>22</v>
      </c>
    </row>
    <row r="140" spans="2:3" ht="18" customHeight="1" x14ac:dyDescent="0.25">
      <c r="B140" s="121" t="s">
        <v>351</v>
      </c>
      <c r="C140" s="185" t="s">
        <v>352</v>
      </c>
    </row>
    <row r="141" spans="2:3" ht="18" customHeight="1" x14ac:dyDescent="0.25">
      <c r="B141" s="103" t="s">
        <v>353</v>
      </c>
      <c r="C141" s="197">
        <v>0.25</v>
      </c>
    </row>
    <row r="142" spans="2:3" ht="18" customHeight="1" x14ac:dyDescent="0.25">
      <c r="B142" s="103" t="s">
        <v>354</v>
      </c>
      <c r="C142" s="197">
        <v>0.04</v>
      </c>
    </row>
    <row r="143" spans="2:3" ht="18" customHeight="1" x14ac:dyDescent="0.25">
      <c r="B143" s="103" t="s">
        <v>355</v>
      </c>
      <c r="C143" s="197">
        <v>7.0000000000000007E-2</v>
      </c>
    </row>
    <row r="144" spans="2:3" ht="18" customHeight="1" x14ac:dyDescent="0.25">
      <c r="B144" s="107" t="s">
        <v>356</v>
      </c>
      <c r="C144" s="199">
        <f>C141*(1+C142)*(1+C143)</f>
        <v>0.2782</v>
      </c>
    </row>
  </sheetData>
  <mergeCells count="2">
    <mergeCell ref="B1:F1"/>
    <mergeCell ref="B2:F2"/>
  </mergeCells>
  <pageMargins left="0.85" right="0.23" top="0.74803149606299213" bottom="0.74803149606299213" header="0.31496062992125984" footer="0.31496062992125984"/>
  <pageSetup scale="1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5"/>
  <sheetViews>
    <sheetView showGridLines="0" topLeftCell="A10" zoomScaleNormal="100" zoomScaleSheetLayoutView="100" workbookViewId="0">
      <selection activeCell="B2" sqref="B2"/>
    </sheetView>
  </sheetViews>
  <sheetFormatPr defaultRowHeight="15" x14ac:dyDescent="0.25"/>
  <cols>
    <col min="1" max="1" width="4.85546875" style="81" customWidth="1"/>
    <col min="2" max="2" width="53.5703125" style="98" customWidth="1"/>
    <col min="3" max="10" width="14.85546875" style="81" customWidth="1"/>
    <col min="11" max="11" width="9.140625" style="78"/>
    <col min="12" max="12" width="16.7109375" style="78" bestFit="1" customWidth="1"/>
    <col min="13" max="16384" width="9.140625" style="78"/>
  </cols>
  <sheetData>
    <row r="1" spans="1:12" ht="28.5" customHeight="1" x14ac:dyDescent="0.25">
      <c r="A1" s="369"/>
      <c r="B1" s="369"/>
      <c r="C1" s="369"/>
      <c r="D1" s="369"/>
      <c r="E1" s="369"/>
      <c r="F1" s="369"/>
      <c r="G1" s="369"/>
      <c r="H1" s="369"/>
      <c r="I1" s="369"/>
      <c r="J1" s="369"/>
    </row>
    <row r="2" spans="1:12" ht="22.5" customHeight="1" x14ac:dyDescent="0.25">
      <c r="B2" s="177" t="str">
        <f>'Investment in project'!B2:E2</f>
        <v xml:space="preserve">ORENSE INDUSTRIES PRIVATE LIMITED, CIN: U23209OR2022PTC041057,  Andhapasra Road, Near Hanuman Temple, Berhampur Ganjam Pin- 760002 </v>
      </c>
      <c r="C2" s="177"/>
      <c r="D2" s="177"/>
      <c r="E2" s="177"/>
      <c r="F2" s="177"/>
      <c r="G2" s="202"/>
      <c r="H2" s="202"/>
      <c r="I2" s="202"/>
      <c r="J2" s="202"/>
    </row>
    <row r="4" spans="1:12" ht="18" customHeight="1" x14ac:dyDescent="0.25">
      <c r="A4" s="76">
        <v>10</v>
      </c>
      <c r="B4" s="107" t="s">
        <v>234</v>
      </c>
      <c r="C4" s="74"/>
      <c r="D4" s="74"/>
      <c r="E4" s="74"/>
      <c r="F4" s="74"/>
      <c r="G4" s="164"/>
      <c r="H4" s="164"/>
      <c r="I4" s="164"/>
      <c r="J4" s="164"/>
    </row>
    <row r="6" spans="1:12" x14ac:dyDescent="0.25">
      <c r="B6" s="188" t="s">
        <v>85</v>
      </c>
      <c r="C6" s="170"/>
      <c r="D6" s="170"/>
      <c r="E6" s="170"/>
      <c r="F6" s="170"/>
      <c r="G6" s="170"/>
      <c r="H6" s="170"/>
      <c r="I6" s="170"/>
      <c r="J6" s="170"/>
      <c r="L6" s="78" t="s">
        <v>230</v>
      </c>
    </row>
    <row r="7" spans="1:12" x14ac:dyDescent="0.25">
      <c r="B7" s="188" t="s">
        <v>21</v>
      </c>
      <c r="C7" s="122" t="str">
        <f>+PL!C6</f>
        <v>FY-24-25</v>
      </c>
      <c r="D7" s="122" t="str">
        <f>+PL!D6</f>
        <v>FY-25-26</v>
      </c>
      <c r="E7" s="122" t="str">
        <f>+PL!E6</f>
        <v>FY-26-27</v>
      </c>
      <c r="F7" s="122" t="str">
        <f>+PL!F6</f>
        <v>FY-27-28</v>
      </c>
      <c r="G7" s="122" t="str">
        <f>+PL!G6</f>
        <v>FY-28-29</v>
      </c>
      <c r="H7" s="122" t="str">
        <f>+PL!H6</f>
        <v>FY-29-30</v>
      </c>
      <c r="I7" s="122" t="str">
        <f>+PL!I6</f>
        <v>FY-30-31</v>
      </c>
      <c r="J7" s="122" t="str">
        <f>+PL!J6</f>
        <v>FY-31-32</v>
      </c>
      <c r="L7" s="159"/>
    </row>
    <row r="8" spans="1:12" x14ac:dyDescent="0.25">
      <c r="B8" s="98" t="s">
        <v>14</v>
      </c>
      <c r="C8" s="203"/>
      <c r="D8" s="203">
        <f>+C14</f>
        <v>41347500</v>
      </c>
      <c r="E8" s="203">
        <f t="shared" ref="E8:J8" si="0">+D14</f>
        <v>35145375</v>
      </c>
      <c r="F8" s="203">
        <f t="shared" si="0"/>
        <v>29873568.75</v>
      </c>
      <c r="G8" s="203">
        <f t="shared" si="0"/>
        <v>25392533.4375</v>
      </c>
      <c r="H8" s="203">
        <f t="shared" si="0"/>
        <v>21583653.421875</v>
      </c>
      <c r="I8" s="203">
        <f t="shared" si="0"/>
        <v>18346105.408593751</v>
      </c>
      <c r="J8" s="203">
        <f t="shared" si="0"/>
        <v>15594189.597304689</v>
      </c>
      <c r="L8" s="159"/>
    </row>
    <row r="9" spans="1:12" x14ac:dyDescent="0.25">
      <c r="B9" s="98" t="s">
        <v>32</v>
      </c>
      <c r="C9" s="203"/>
      <c r="D9" s="203"/>
      <c r="E9" s="203"/>
      <c r="F9" s="203"/>
      <c r="G9" s="203"/>
      <c r="H9" s="203"/>
      <c r="I9" s="203"/>
      <c r="L9" s="159"/>
    </row>
    <row r="10" spans="1:12" x14ac:dyDescent="0.25">
      <c r="B10" s="98" t="s">
        <v>59</v>
      </c>
      <c r="C10" s="203"/>
      <c r="D10" s="203"/>
      <c r="E10" s="203"/>
      <c r="F10" s="203"/>
      <c r="G10" s="203"/>
      <c r="H10" s="203">
        <v>0</v>
      </c>
      <c r="I10" s="203">
        <v>0</v>
      </c>
      <c r="L10" s="159"/>
    </row>
    <row r="11" spans="1:12" x14ac:dyDescent="0.25">
      <c r="B11" s="98" t="s">
        <v>60</v>
      </c>
      <c r="C11" s="203">
        <f>+'Investment in project'!E14</f>
        <v>44700000</v>
      </c>
      <c r="D11" s="203">
        <v>0</v>
      </c>
      <c r="E11" s="203">
        <v>0</v>
      </c>
      <c r="F11" s="203">
        <v>0</v>
      </c>
      <c r="G11" s="203">
        <v>0</v>
      </c>
      <c r="H11" s="203">
        <v>0</v>
      </c>
      <c r="I11" s="203">
        <v>0</v>
      </c>
      <c r="J11" s="203">
        <v>0</v>
      </c>
      <c r="L11" s="159"/>
    </row>
    <row r="12" spans="1:12" x14ac:dyDescent="0.25">
      <c r="B12" s="98" t="s">
        <v>33</v>
      </c>
      <c r="C12" s="203">
        <f t="shared" ref="C12:D12" si="1">+C8+C10+C11</f>
        <v>44700000</v>
      </c>
      <c r="D12" s="203">
        <f t="shared" si="1"/>
        <v>41347500</v>
      </c>
      <c r="E12" s="203">
        <f t="shared" ref="E12:J12" si="2">+E8+E10+E11</f>
        <v>35145375</v>
      </c>
      <c r="F12" s="203">
        <f t="shared" si="2"/>
        <v>29873568.75</v>
      </c>
      <c r="G12" s="203">
        <f t="shared" si="2"/>
        <v>25392533.4375</v>
      </c>
      <c r="H12" s="203">
        <f t="shared" si="2"/>
        <v>21583653.421875</v>
      </c>
      <c r="I12" s="203">
        <f t="shared" si="2"/>
        <v>18346105.408593751</v>
      </c>
      <c r="J12" s="203">
        <f t="shared" si="2"/>
        <v>15594189.597304689</v>
      </c>
      <c r="L12" s="159"/>
    </row>
    <row r="13" spans="1:12" x14ac:dyDescent="0.25">
      <c r="B13" s="98" t="s">
        <v>55</v>
      </c>
      <c r="C13" s="203">
        <f t="shared" ref="C13:D13" si="3">+C8*15%+C10*15%+C11*7.5%</f>
        <v>3352500</v>
      </c>
      <c r="D13" s="203">
        <f t="shared" si="3"/>
        <v>6202125</v>
      </c>
      <c r="E13" s="203">
        <f t="shared" ref="E13:J13" si="4">+E8*15%+E10*15%+E11*7.5%</f>
        <v>5271806.25</v>
      </c>
      <c r="F13" s="203">
        <f t="shared" si="4"/>
        <v>4481035.3125</v>
      </c>
      <c r="G13" s="203">
        <f t="shared" si="4"/>
        <v>3808880.015625</v>
      </c>
      <c r="H13" s="203">
        <f t="shared" si="4"/>
        <v>3237548.0132812499</v>
      </c>
      <c r="I13" s="203">
        <f t="shared" si="4"/>
        <v>2751915.8112890627</v>
      </c>
      <c r="J13" s="203">
        <f t="shared" si="4"/>
        <v>2339128.439595703</v>
      </c>
      <c r="L13" s="159"/>
    </row>
    <row r="14" spans="1:12" x14ac:dyDescent="0.25">
      <c r="B14" s="98" t="s">
        <v>23</v>
      </c>
      <c r="C14" s="203">
        <f>+C12-C13</f>
        <v>41347500</v>
      </c>
      <c r="D14" s="203">
        <f>+D12-D13</f>
        <v>35145375</v>
      </c>
      <c r="E14" s="203">
        <f>+E12-E13</f>
        <v>29873568.75</v>
      </c>
      <c r="F14" s="203">
        <f>+F12-F13</f>
        <v>25392533.4375</v>
      </c>
      <c r="G14" s="203">
        <f t="shared" ref="G14:J14" si="5">+G12-G13</f>
        <v>21583653.421875</v>
      </c>
      <c r="H14" s="203">
        <f t="shared" si="5"/>
        <v>18346105.408593751</v>
      </c>
      <c r="I14" s="203">
        <f t="shared" si="5"/>
        <v>15594189.597304689</v>
      </c>
      <c r="J14" s="203">
        <f t="shared" si="5"/>
        <v>13255061.157708986</v>
      </c>
      <c r="K14" s="75"/>
      <c r="L14" s="201"/>
    </row>
    <row r="15" spans="1:12" x14ac:dyDescent="0.25">
      <c r="C15" s="203"/>
      <c r="D15" s="203"/>
      <c r="E15" s="203"/>
      <c r="F15" s="203"/>
      <c r="G15" s="203"/>
      <c r="H15" s="203"/>
      <c r="I15" s="203"/>
      <c r="J15" s="203"/>
      <c r="K15" s="75"/>
      <c r="L15" s="201"/>
    </row>
    <row r="16" spans="1:12" x14ac:dyDescent="0.25">
      <c r="L16" s="159"/>
    </row>
    <row r="17" spans="2:10" x14ac:dyDescent="0.25">
      <c r="B17" s="188" t="s">
        <v>31</v>
      </c>
      <c r="C17" s="170"/>
      <c r="D17" s="170"/>
      <c r="E17" s="170"/>
      <c r="F17" s="170"/>
      <c r="G17" s="170"/>
      <c r="H17" s="170"/>
      <c r="I17" s="170"/>
      <c r="J17" s="170"/>
    </row>
    <row r="18" spans="2:10" x14ac:dyDescent="0.25">
      <c r="B18" s="188" t="s">
        <v>21</v>
      </c>
      <c r="C18" s="122" t="str">
        <f t="shared" ref="C18:J18" si="6">+C7</f>
        <v>FY-24-25</v>
      </c>
      <c r="D18" s="122" t="str">
        <f t="shared" si="6"/>
        <v>FY-25-26</v>
      </c>
      <c r="E18" s="122" t="str">
        <f t="shared" si="6"/>
        <v>FY-26-27</v>
      </c>
      <c r="F18" s="122" t="str">
        <f t="shared" si="6"/>
        <v>FY-27-28</v>
      </c>
      <c r="G18" s="122" t="str">
        <f t="shared" si="6"/>
        <v>FY-28-29</v>
      </c>
      <c r="H18" s="122" t="str">
        <f t="shared" si="6"/>
        <v>FY-29-30</v>
      </c>
      <c r="I18" s="122" t="str">
        <f t="shared" si="6"/>
        <v>FY-30-31</v>
      </c>
      <c r="J18" s="122" t="str">
        <f t="shared" si="6"/>
        <v>FY-31-32</v>
      </c>
    </row>
    <row r="19" spans="2:10" x14ac:dyDescent="0.25">
      <c r="B19" s="98" t="s">
        <v>14</v>
      </c>
      <c r="C19" s="203"/>
      <c r="D19" s="203">
        <f>+C25</f>
        <v>4777500</v>
      </c>
      <c r="E19" s="203">
        <f t="shared" ref="E19:J19" si="7">+D25</f>
        <v>4299750</v>
      </c>
      <c r="F19" s="203">
        <f t="shared" si="7"/>
        <v>3869775</v>
      </c>
      <c r="G19" s="203">
        <f t="shared" si="7"/>
        <v>3482797.5</v>
      </c>
      <c r="H19" s="203">
        <f t="shared" si="7"/>
        <v>3134517.75</v>
      </c>
      <c r="I19" s="203">
        <f t="shared" si="7"/>
        <v>2821065.9750000001</v>
      </c>
      <c r="J19" s="203">
        <f t="shared" si="7"/>
        <v>2538959.3774999999</v>
      </c>
    </row>
    <row r="20" spans="2:10" x14ac:dyDescent="0.25">
      <c r="B20" s="98" t="s">
        <v>32</v>
      </c>
      <c r="C20" s="203"/>
      <c r="D20" s="203"/>
      <c r="E20" s="203"/>
      <c r="F20" s="203"/>
      <c r="G20" s="203"/>
      <c r="H20" s="203"/>
      <c r="I20" s="203"/>
    </row>
    <row r="21" spans="2:10" x14ac:dyDescent="0.25">
      <c r="B21" s="98" t="s">
        <v>349</v>
      </c>
      <c r="C21" s="203"/>
      <c r="D21" s="203">
        <v>0</v>
      </c>
      <c r="E21" s="203">
        <v>0</v>
      </c>
      <c r="F21" s="203">
        <v>0</v>
      </c>
      <c r="G21" s="203"/>
      <c r="H21" s="203"/>
      <c r="I21" s="203">
        <v>0</v>
      </c>
      <c r="J21" s="203">
        <v>0</v>
      </c>
    </row>
    <row r="22" spans="2:10" x14ac:dyDescent="0.25">
      <c r="B22" s="98" t="s">
        <v>348</v>
      </c>
      <c r="C22" s="203">
        <f>+'Investment in project'!E8</f>
        <v>4900000</v>
      </c>
      <c r="D22" s="203">
        <v>0</v>
      </c>
      <c r="E22" s="203">
        <v>0</v>
      </c>
      <c r="F22" s="203">
        <v>0</v>
      </c>
      <c r="G22" s="203">
        <v>0</v>
      </c>
      <c r="H22" s="203">
        <v>0</v>
      </c>
      <c r="I22" s="203">
        <v>0</v>
      </c>
      <c r="J22" s="203">
        <v>0</v>
      </c>
    </row>
    <row r="23" spans="2:10" x14ac:dyDescent="0.25">
      <c r="B23" s="98" t="s">
        <v>33</v>
      </c>
      <c r="C23" s="203">
        <f t="shared" ref="C23:D23" si="8">+C19+C21+C22</f>
        <v>4900000</v>
      </c>
      <c r="D23" s="203">
        <f t="shared" si="8"/>
        <v>4777500</v>
      </c>
      <c r="E23" s="203">
        <f t="shared" ref="E23:J23" si="9">+E19+E21+E22</f>
        <v>4299750</v>
      </c>
      <c r="F23" s="203">
        <f t="shared" si="9"/>
        <v>3869775</v>
      </c>
      <c r="G23" s="203">
        <f t="shared" si="9"/>
        <v>3482797.5</v>
      </c>
      <c r="H23" s="203">
        <f t="shared" si="9"/>
        <v>3134517.75</v>
      </c>
      <c r="I23" s="203">
        <f t="shared" si="9"/>
        <v>2821065.9750000001</v>
      </c>
      <c r="J23" s="203">
        <f t="shared" si="9"/>
        <v>2538959.3774999999</v>
      </c>
    </row>
    <row r="24" spans="2:10" x14ac:dyDescent="0.25">
      <c r="B24" s="98" t="s">
        <v>231</v>
      </c>
      <c r="C24" s="203">
        <f>+C19*10%+C21*10%+C22*2.5%</f>
        <v>122500</v>
      </c>
      <c r="D24" s="203">
        <f t="shared" ref="D24:J24" si="10">+D19*10%+D21*10%+D22*2.5%</f>
        <v>477750</v>
      </c>
      <c r="E24" s="203">
        <f t="shared" si="10"/>
        <v>429975</v>
      </c>
      <c r="F24" s="203">
        <f t="shared" si="10"/>
        <v>386977.5</v>
      </c>
      <c r="G24" s="203">
        <f t="shared" si="10"/>
        <v>348279.75</v>
      </c>
      <c r="H24" s="203">
        <f t="shared" si="10"/>
        <v>313451.77500000002</v>
      </c>
      <c r="I24" s="203">
        <f t="shared" si="10"/>
        <v>282106.59750000003</v>
      </c>
      <c r="J24" s="203">
        <f t="shared" si="10"/>
        <v>253895.93775000001</v>
      </c>
    </row>
    <row r="25" spans="2:10" x14ac:dyDescent="0.25">
      <c r="B25" s="98" t="s">
        <v>23</v>
      </c>
      <c r="C25" s="203">
        <f>+C23-C24</f>
        <v>4777500</v>
      </c>
      <c r="D25" s="203">
        <f>+D23-D24</f>
        <v>4299750</v>
      </c>
      <c r="E25" s="203">
        <f t="shared" ref="E25:J25" si="11">+E23-E24</f>
        <v>3869775</v>
      </c>
      <c r="F25" s="203">
        <f t="shared" si="11"/>
        <v>3482797.5</v>
      </c>
      <c r="G25" s="203">
        <f t="shared" si="11"/>
        <v>3134517.75</v>
      </c>
      <c r="H25" s="203">
        <f t="shared" si="11"/>
        <v>2821065.9750000001</v>
      </c>
      <c r="I25" s="203">
        <f t="shared" si="11"/>
        <v>2538959.3774999999</v>
      </c>
      <c r="J25" s="203">
        <f t="shared" si="11"/>
        <v>2285063.4397499999</v>
      </c>
    </row>
  </sheetData>
  <mergeCells count="1">
    <mergeCell ref="A1:J1"/>
  </mergeCells>
  <pageMargins left="0.31496062992125984" right="0.23622047244094491" top="0.74803149606299213" bottom="0.74803149606299213" header="0.31496062992125984" footer="0.31496062992125984"/>
  <pageSetup scale="3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05"/>
  <sheetViews>
    <sheetView showGridLines="0" topLeftCell="A88" zoomScaleNormal="100" zoomScaleSheetLayoutView="100" workbookViewId="0">
      <selection activeCell="B95" sqref="B95:E103"/>
    </sheetView>
  </sheetViews>
  <sheetFormatPr defaultRowHeight="15" x14ac:dyDescent="0.25"/>
  <cols>
    <col min="1" max="1" width="5.140625" style="81" customWidth="1"/>
    <col min="2" max="2" width="30.140625" style="78" customWidth="1"/>
    <col min="3" max="7" width="22.42578125" style="192" customWidth="1"/>
    <col min="8" max="9" width="12.5703125" style="78" bestFit="1" customWidth="1"/>
    <col min="10" max="10" width="11.140625" style="78" bestFit="1" customWidth="1"/>
    <col min="11" max="16384" width="9.140625" style="78"/>
  </cols>
  <sheetData>
    <row r="1" spans="1:10" ht="18.75" customHeight="1" x14ac:dyDescent="0.25">
      <c r="A1" s="369"/>
      <c r="B1" s="369"/>
      <c r="C1" s="369"/>
      <c r="D1" s="369"/>
      <c r="E1" s="369"/>
      <c r="F1" s="369"/>
      <c r="G1" s="369"/>
      <c r="H1" s="75"/>
      <c r="I1" s="75"/>
      <c r="J1" s="75"/>
    </row>
    <row r="2" spans="1:10" ht="21" customHeight="1" x14ac:dyDescent="0.25">
      <c r="A2" s="76"/>
      <c r="B2" s="389" t="str">
        <f>'Investment in project'!B2:E2</f>
        <v xml:space="preserve">ORENSE INDUSTRIES PRIVATE LIMITED, CIN: U23209OR2022PTC041057,  Andhapasra Road, Near Hanuman Temple, Berhampur Ganjam Pin- 760002 </v>
      </c>
      <c r="C2" s="389"/>
      <c r="D2" s="389"/>
      <c r="E2" s="389"/>
      <c r="F2" s="389"/>
      <c r="G2" s="389"/>
      <c r="H2" s="75"/>
      <c r="I2" s="75"/>
      <c r="J2" s="75"/>
    </row>
    <row r="3" spans="1:10" x14ac:dyDescent="0.25">
      <c r="I3" s="78" t="s">
        <v>229</v>
      </c>
    </row>
    <row r="4" spans="1:10" ht="19.5" customHeight="1" x14ac:dyDescent="0.25">
      <c r="A4" s="76">
        <v>11</v>
      </c>
      <c r="B4" s="73" t="s">
        <v>61</v>
      </c>
      <c r="C4" s="193"/>
      <c r="D4" s="193"/>
      <c r="E4" s="193"/>
      <c r="F4" s="193"/>
      <c r="G4" s="193"/>
    </row>
    <row r="6" spans="1:10" ht="18.75" customHeight="1" x14ac:dyDescent="0.25">
      <c r="B6" s="381" t="s">
        <v>62</v>
      </c>
      <c r="C6" s="381"/>
      <c r="D6" s="381"/>
      <c r="E6" s="381"/>
      <c r="F6" s="381"/>
      <c r="G6" s="381"/>
    </row>
    <row r="7" spans="1:10" x14ac:dyDescent="0.25">
      <c r="B7" s="382" t="s">
        <v>63</v>
      </c>
      <c r="C7" s="383" t="s">
        <v>64</v>
      </c>
      <c r="D7" s="205" t="s">
        <v>65</v>
      </c>
      <c r="E7" s="205" t="s">
        <v>66</v>
      </c>
      <c r="F7" s="206" t="s">
        <v>67</v>
      </c>
      <c r="G7" s="384" t="s">
        <v>68</v>
      </c>
    </row>
    <row r="8" spans="1:10" x14ac:dyDescent="0.25">
      <c r="B8" s="382"/>
      <c r="C8" s="383"/>
      <c r="D8" s="205" t="s">
        <v>69</v>
      </c>
      <c r="E8" s="205" t="s">
        <v>70</v>
      </c>
      <c r="F8" s="206" t="s">
        <v>71</v>
      </c>
      <c r="G8" s="384"/>
    </row>
    <row r="9" spans="1:10" x14ac:dyDescent="0.25">
      <c r="B9" s="385" t="str">
        <f>+depreciation!C7</f>
        <v>FY-24-25</v>
      </c>
      <c r="C9" s="211" t="s">
        <v>197</v>
      </c>
      <c r="D9" s="212"/>
      <c r="E9" s="212">
        <v>418500</v>
      </c>
      <c r="F9" s="213">
        <f>+D9+E9</f>
        <v>418500</v>
      </c>
      <c r="G9" s="212">
        <f>37200000-D9</f>
        <v>37200000</v>
      </c>
      <c r="H9" s="336">
        <f>E9/G9</f>
        <v>1.125E-2</v>
      </c>
    </row>
    <row r="10" spans="1:10" x14ac:dyDescent="0.25">
      <c r="B10" s="385"/>
      <c r="C10" s="211" t="s">
        <v>188</v>
      </c>
      <c r="D10" s="212"/>
      <c r="E10" s="212">
        <v>418500</v>
      </c>
      <c r="F10" s="213">
        <f t="shared" ref="F10:F20" si="0">+D10+E10</f>
        <v>418500</v>
      </c>
      <c r="G10" s="212">
        <f t="shared" ref="G10:G73" si="1">+G9-D10</f>
        <v>37200000</v>
      </c>
      <c r="H10" s="336">
        <f t="shared" ref="H10:H20" si="2">E10/G10</f>
        <v>1.125E-2</v>
      </c>
    </row>
    <row r="11" spans="1:10" x14ac:dyDescent="0.25">
      <c r="B11" s="385"/>
      <c r="C11" s="211" t="s">
        <v>189</v>
      </c>
      <c r="D11" s="212"/>
      <c r="E11" s="212">
        <v>418500</v>
      </c>
      <c r="F11" s="213">
        <f t="shared" si="0"/>
        <v>418500</v>
      </c>
      <c r="G11" s="212">
        <f t="shared" si="1"/>
        <v>37200000</v>
      </c>
      <c r="H11" s="336">
        <f t="shared" si="2"/>
        <v>1.125E-2</v>
      </c>
    </row>
    <row r="12" spans="1:10" x14ac:dyDescent="0.25">
      <c r="B12" s="385"/>
      <c r="C12" s="211" t="s">
        <v>190</v>
      </c>
      <c r="D12" s="212"/>
      <c r="E12" s="212">
        <v>418500</v>
      </c>
      <c r="F12" s="213">
        <f t="shared" si="0"/>
        <v>418500</v>
      </c>
      <c r="G12" s="212">
        <f t="shared" si="1"/>
        <v>37200000</v>
      </c>
      <c r="H12" s="336">
        <f t="shared" si="2"/>
        <v>1.125E-2</v>
      </c>
    </row>
    <row r="13" spans="1:10" x14ac:dyDescent="0.25">
      <c r="B13" s="385"/>
      <c r="C13" s="211" t="s">
        <v>198</v>
      </c>
      <c r="D13" s="212"/>
      <c r="E13" s="212">
        <v>418500</v>
      </c>
      <c r="F13" s="213">
        <f t="shared" si="0"/>
        <v>418500</v>
      </c>
      <c r="G13" s="212">
        <f t="shared" si="1"/>
        <v>37200000</v>
      </c>
      <c r="H13" s="336">
        <f t="shared" si="2"/>
        <v>1.125E-2</v>
      </c>
    </row>
    <row r="14" spans="1:10" x14ac:dyDescent="0.25">
      <c r="B14" s="385"/>
      <c r="C14" s="211" t="s">
        <v>191</v>
      </c>
      <c r="D14" s="212"/>
      <c r="E14" s="212">
        <v>418500</v>
      </c>
      <c r="F14" s="213">
        <f t="shared" si="0"/>
        <v>418500</v>
      </c>
      <c r="G14" s="212">
        <f t="shared" si="1"/>
        <v>37200000</v>
      </c>
      <c r="H14" s="336">
        <f t="shared" si="2"/>
        <v>1.125E-2</v>
      </c>
    </row>
    <row r="15" spans="1:10" x14ac:dyDescent="0.25">
      <c r="B15" s="385"/>
      <c r="C15" s="211" t="s">
        <v>192</v>
      </c>
      <c r="D15" s="212"/>
      <c r="E15" s="212">
        <v>418500</v>
      </c>
      <c r="F15" s="213">
        <f t="shared" si="0"/>
        <v>418500</v>
      </c>
      <c r="G15" s="212">
        <f t="shared" si="1"/>
        <v>37200000</v>
      </c>
      <c r="H15" s="336">
        <f t="shared" si="2"/>
        <v>1.125E-2</v>
      </c>
    </row>
    <row r="16" spans="1:10" x14ac:dyDescent="0.25">
      <c r="B16" s="385"/>
      <c r="C16" s="211" t="s">
        <v>193</v>
      </c>
      <c r="D16" s="212"/>
      <c r="E16" s="212">
        <v>418500</v>
      </c>
      <c r="F16" s="213">
        <f t="shared" si="0"/>
        <v>418500</v>
      </c>
      <c r="G16" s="212">
        <f t="shared" si="1"/>
        <v>37200000</v>
      </c>
      <c r="H16" s="336">
        <f t="shared" si="2"/>
        <v>1.125E-2</v>
      </c>
    </row>
    <row r="17" spans="2:9" x14ac:dyDescent="0.25">
      <c r="B17" s="385"/>
      <c r="C17" s="211" t="s">
        <v>194</v>
      </c>
      <c r="D17" s="212"/>
      <c r="E17" s="212">
        <v>418500</v>
      </c>
      <c r="F17" s="213">
        <f t="shared" si="0"/>
        <v>418500</v>
      </c>
      <c r="G17" s="212">
        <f t="shared" si="1"/>
        <v>37200000</v>
      </c>
      <c r="H17" s="336">
        <f t="shared" si="2"/>
        <v>1.125E-2</v>
      </c>
    </row>
    <row r="18" spans="2:9" x14ac:dyDescent="0.25">
      <c r="B18" s="385"/>
      <c r="C18" s="211" t="s">
        <v>195</v>
      </c>
      <c r="D18" s="212"/>
      <c r="E18" s="212">
        <v>418500</v>
      </c>
      <c r="F18" s="213">
        <f t="shared" si="0"/>
        <v>418500</v>
      </c>
      <c r="G18" s="212">
        <f t="shared" si="1"/>
        <v>37200000</v>
      </c>
      <c r="H18" s="336">
        <f t="shared" si="2"/>
        <v>1.125E-2</v>
      </c>
    </row>
    <row r="19" spans="2:9" x14ac:dyDescent="0.25">
      <c r="B19" s="385"/>
      <c r="C19" s="211" t="s">
        <v>196</v>
      </c>
      <c r="D19" s="212"/>
      <c r="E19" s="212">
        <v>418500</v>
      </c>
      <c r="F19" s="213">
        <f t="shared" si="0"/>
        <v>418500</v>
      </c>
      <c r="G19" s="212">
        <f t="shared" si="1"/>
        <v>37200000</v>
      </c>
      <c r="H19" s="336">
        <f t="shared" si="2"/>
        <v>1.125E-2</v>
      </c>
    </row>
    <row r="20" spans="2:9" x14ac:dyDescent="0.25">
      <c r="B20" s="385"/>
      <c r="C20" s="211" t="s">
        <v>187</v>
      </c>
      <c r="D20" s="212"/>
      <c r="E20" s="212">
        <v>418500</v>
      </c>
      <c r="F20" s="213">
        <f t="shared" si="0"/>
        <v>418500</v>
      </c>
      <c r="G20" s="212">
        <f t="shared" si="1"/>
        <v>37200000</v>
      </c>
      <c r="H20" s="336">
        <f t="shared" si="2"/>
        <v>1.125E-2</v>
      </c>
    </row>
    <row r="21" spans="2:9" x14ac:dyDescent="0.25">
      <c r="B21" s="386" t="str">
        <f>+depreciation!D7</f>
        <v>FY-25-26</v>
      </c>
      <c r="C21" s="214" t="s">
        <v>197</v>
      </c>
      <c r="D21" s="215">
        <v>338109</v>
      </c>
      <c r="E21" s="215">
        <f t="shared" ref="E21:E73" si="3">+F21-D21</f>
        <v>418500</v>
      </c>
      <c r="F21" s="216">
        <v>756609</v>
      </c>
      <c r="G21" s="215">
        <f t="shared" si="1"/>
        <v>36861891</v>
      </c>
      <c r="I21" s="204"/>
    </row>
    <row r="22" spans="2:9" x14ac:dyDescent="0.25">
      <c r="B22" s="386"/>
      <c r="C22" s="214" t="s">
        <v>188</v>
      </c>
      <c r="D22" s="215">
        <v>341913</v>
      </c>
      <c r="E22" s="215">
        <f t="shared" si="3"/>
        <v>414696</v>
      </c>
      <c r="F22" s="216">
        <v>756609</v>
      </c>
      <c r="G22" s="215">
        <f t="shared" si="1"/>
        <v>36519978</v>
      </c>
      <c r="I22" s="204"/>
    </row>
    <row r="23" spans="2:9" x14ac:dyDescent="0.25">
      <c r="B23" s="386"/>
      <c r="C23" s="214" t="s">
        <v>189</v>
      </c>
      <c r="D23" s="215">
        <v>345760</v>
      </c>
      <c r="E23" s="215">
        <f t="shared" si="3"/>
        <v>410849</v>
      </c>
      <c r="F23" s="216">
        <v>756609</v>
      </c>
      <c r="G23" s="215">
        <f t="shared" si="1"/>
        <v>36174218</v>
      </c>
      <c r="I23" s="204"/>
    </row>
    <row r="24" spans="2:9" x14ac:dyDescent="0.25">
      <c r="B24" s="386"/>
      <c r="C24" s="214" t="s">
        <v>190</v>
      </c>
      <c r="D24" s="215">
        <v>349649</v>
      </c>
      <c r="E24" s="215">
        <f t="shared" si="3"/>
        <v>406960</v>
      </c>
      <c r="F24" s="216">
        <v>756609</v>
      </c>
      <c r="G24" s="215">
        <f t="shared" si="1"/>
        <v>35824569</v>
      </c>
      <c r="I24" s="204"/>
    </row>
    <row r="25" spans="2:9" x14ac:dyDescent="0.25">
      <c r="B25" s="386"/>
      <c r="C25" s="214" t="s">
        <v>198</v>
      </c>
      <c r="D25" s="215">
        <v>353583</v>
      </c>
      <c r="E25" s="215">
        <f t="shared" si="3"/>
        <v>403026</v>
      </c>
      <c r="F25" s="216">
        <v>756609</v>
      </c>
      <c r="G25" s="215">
        <f t="shared" si="1"/>
        <v>35470986</v>
      </c>
      <c r="I25" s="204"/>
    </row>
    <row r="26" spans="2:9" x14ac:dyDescent="0.25">
      <c r="B26" s="386"/>
      <c r="C26" s="214" t="s">
        <v>191</v>
      </c>
      <c r="D26" s="215">
        <v>357561</v>
      </c>
      <c r="E26" s="215">
        <f t="shared" si="3"/>
        <v>399048</v>
      </c>
      <c r="F26" s="216">
        <v>756609</v>
      </c>
      <c r="G26" s="215">
        <f t="shared" si="1"/>
        <v>35113425</v>
      </c>
      <c r="I26" s="204"/>
    </row>
    <row r="27" spans="2:9" x14ac:dyDescent="0.25">
      <c r="B27" s="386"/>
      <c r="C27" s="214" t="s">
        <v>192</v>
      </c>
      <c r="D27" s="215">
        <v>361583</v>
      </c>
      <c r="E27" s="215">
        <f t="shared" si="3"/>
        <v>395026</v>
      </c>
      <c r="F27" s="216">
        <v>756609</v>
      </c>
      <c r="G27" s="215">
        <f t="shared" si="1"/>
        <v>34751842</v>
      </c>
      <c r="I27" s="204"/>
    </row>
    <row r="28" spans="2:9" x14ac:dyDescent="0.25">
      <c r="B28" s="386"/>
      <c r="C28" s="214" t="s">
        <v>193</v>
      </c>
      <c r="D28" s="215">
        <v>365651</v>
      </c>
      <c r="E28" s="215">
        <f t="shared" si="3"/>
        <v>390958</v>
      </c>
      <c r="F28" s="216">
        <v>756609</v>
      </c>
      <c r="G28" s="215">
        <f t="shared" si="1"/>
        <v>34386191</v>
      </c>
      <c r="I28" s="204"/>
    </row>
    <row r="29" spans="2:9" x14ac:dyDescent="0.25">
      <c r="B29" s="386"/>
      <c r="C29" s="214" t="s">
        <v>194</v>
      </c>
      <c r="D29" s="215">
        <v>369765</v>
      </c>
      <c r="E29" s="215">
        <f t="shared" si="3"/>
        <v>386844</v>
      </c>
      <c r="F29" s="216">
        <v>756609</v>
      </c>
      <c r="G29" s="215">
        <f t="shared" si="1"/>
        <v>34016426</v>
      </c>
      <c r="I29" s="204"/>
    </row>
    <row r="30" spans="2:9" x14ac:dyDescent="0.25">
      <c r="B30" s="386"/>
      <c r="C30" s="214" t="s">
        <v>195</v>
      </c>
      <c r="D30" s="215">
        <v>373925</v>
      </c>
      <c r="E30" s="215">
        <f t="shared" si="3"/>
        <v>382684</v>
      </c>
      <c r="F30" s="216">
        <v>756609</v>
      </c>
      <c r="G30" s="215">
        <f t="shared" si="1"/>
        <v>33642501</v>
      </c>
      <c r="I30" s="204"/>
    </row>
    <row r="31" spans="2:9" x14ac:dyDescent="0.25">
      <c r="B31" s="386"/>
      <c r="C31" s="214" t="s">
        <v>196</v>
      </c>
      <c r="D31" s="215">
        <v>378131</v>
      </c>
      <c r="E31" s="215">
        <f t="shared" si="3"/>
        <v>378478</v>
      </c>
      <c r="F31" s="216">
        <v>756609</v>
      </c>
      <c r="G31" s="215">
        <f t="shared" si="1"/>
        <v>33264370</v>
      </c>
      <c r="I31" s="204"/>
    </row>
    <row r="32" spans="2:9" x14ac:dyDescent="0.25">
      <c r="B32" s="386"/>
      <c r="C32" s="214" t="s">
        <v>187</v>
      </c>
      <c r="D32" s="215">
        <v>382385</v>
      </c>
      <c r="E32" s="215">
        <f t="shared" si="3"/>
        <v>374224</v>
      </c>
      <c r="F32" s="216">
        <v>756609</v>
      </c>
      <c r="G32" s="215">
        <f t="shared" si="1"/>
        <v>32881985</v>
      </c>
      <c r="I32" s="204"/>
    </row>
    <row r="33" spans="2:9" x14ac:dyDescent="0.25">
      <c r="B33" s="387" t="str">
        <f>+depreciation!E7</f>
        <v>FY-26-27</v>
      </c>
      <c r="C33" s="223" t="s">
        <v>197</v>
      </c>
      <c r="D33" s="224">
        <v>386687</v>
      </c>
      <c r="E33" s="224">
        <f t="shared" si="3"/>
        <v>369922</v>
      </c>
      <c r="F33" s="225">
        <v>756609</v>
      </c>
      <c r="G33" s="224">
        <f t="shared" si="1"/>
        <v>32495298</v>
      </c>
      <c r="I33" s="204"/>
    </row>
    <row r="34" spans="2:9" x14ac:dyDescent="0.25">
      <c r="B34" s="387"/>
      <c r="C34" s="223" t="s">
        <v>188</v>
      </c>
      <c r="D34" s="224">
        <v>391037</v>
      </c>
      <c r="E34" s="224">
        <f t="shared" si="3"/>
        <v>365572</v>
      </c>
      <c r="F34" s="225">
        <v>756609</v>
      </c>
      <c r="G34" s="224">
        <f t="shared" si="1"/>
        <v>32104261</v>
      </c>
      <c r="I34" s="204"/>
    </row>
    <row r="35" spans="2:9" x14ac:dyDescent="0.25">
      <c r="B35" s="387"/>
      <c r="C35" s="223" t="s">
        <v>189</v>
      </c>
      <c r="D35" s="224">
        <v>395436</v>
      </c>
      <c r="E35" s="224">
        <f t="shared" si="3"/>
        <v>361173</v>
      </c>
      <c r="F35" s="225">
        <v>756609</v>
      </c>
      <c r="G35" s="224">
        <f t="shared" si="1"/>
        <v>31708825</v>
      </c>
      <c r="I35" s="204"/>
    </row>
    <row r="36" spans="2:9" x14ac:dyDescent="0.25">
      <c r="B36" s="387"/>
      <c r="C36" s="223" t="s">
        <v>190</v>
      </c>
      <c r="D36" s="224">
        <v>399885</v>
      </c>
      <c r="E36" s="224">
        <f t="shared" si="3"/>
        <v>356724</v>
      </c>
      <c r="F36" s="225">
        <v>756609</v>
      </c>
      <c r="G36" s="224">
        <f t="shared" si="1"/>
        <v>31308940</v>
      </c>
      <c r="I36" s="204"/>
    </row>
    <row r="37" spans="2:9" x14ac:dyDescent="0.25">
      <c r="B37" s="387"/>
      <c r="C37" s="223" t="s">
        <v>198</v>
      </c>
      <c r="D37" s="224">
        <v>404384</v>
      </c>
      <c r="E37" s="224">
        <f t="shared" si="3"/>
        <v>352225</v>
      </c>
      <c r="F37" s="225">
        <v>756609</v>
      </c>
      <c r="G37" s="224">
        <f t="shared" si="1"/>
        <v>30904556</v>
      </c>
      <c r="I37" s="204"/>
    </row>
    <row r="38" spans="2:9" x14ac:dyDescent="0.25">
      <c r="B38" s="387"/>
      <c r="C38" s="223" t="s">
        <v>191</v>
      </c>
      <c r="D38" s="224">
        <v>408933</v>
      </c>
      <c r="E38" s="224">
        <f t="shared" si="3"/>
        <v>347676</v>
      </c>
      <c r="F38" s="225">
        <v>756609</v>
      </c>
      <c r="G38" s="224">
        <f t="shared" si="1"/>
        <v>30495623</v>
      </c>
      <c r="I38" s="204"/>
    </row>
    <row r="39" spans="2:9" x14ac:dyDescent="0.25">
      <c r="B39" s="387"/>
      <c r="C39" s="223" t="s">
        <v>192</v>
      </c>
      <c r="D39" s="224">
        <v>413534</v>
      </c>
      <c r="E39" s="224">
        <f t="shared" si="3"/>
        <v>343075</v>
      </c>
      <c r="F39" s="225">
        <v>756609</v>
      </c>
      <c r="G39" s="224">
        <f t="shared" si="1"/>
        <v>30082089</v>
      </c>
      <c r="I39" s="204"/>
    </row>
    <row r="40" spans="2:9" x14ac:dyDescent="0.25">
      <c r="B40" s="387"/>
      <c r="C40" s="223" t="s">
        <v>193</v>
      </c>
      <c r="D40" s="224">
        <v>418186</v>
      </c>
      <c r="E40" s="224">
        <f t="shared" si="3"/>
        <v>338423</v>
      </c>
      <c r="F40" s="225">
        <v>756609</v>
      </c>
      <c r="G40" s="224">
        <f t="shared" si="1"/>
        <v>29663903</v>
      </c>
      <c r="I40" s="204"/>
    </row>
    <row r="41" spans="2:9" x14ac:dyDescent="0.25">
      <c r="B41" s="387"/>
      <c r="C41" s="223" t="s">
        <v>194</v>
      </c>
      <c r="D41" s="224">
        <v>422890</v>
      </c>
      <c r="E41" s="224">
        <f t="shared" si="3"/>
        <v>333719</v>
      </c>
      <c r="F41" s="225">
        <v>756609</v>
      </c>
      <c r="G41" s="224">
        <f t="shared" si="1"/>
        <v>29241013</v>
      </c>
      <c r="I41" s="204"/>
    </row>
    <row r="42" spans="2:9" x14ac:dyDescent="0.25">
      <c r="B42" s="387"/>
      <c r="C42" s="223" t="s">
        <v>195</v>
      </c>
      <c r="D42" s="224">
        <v>427648</v>
      </c>
      <c r="E42" s="224">
        <f t="shared" si="3"/>
        <v>328961</v>
      </c>
      <c r="F42" s="225">
        <v>756609</v>
      </c>
      <c r="G42" s="224">
        <f t="shared" si="1"/>
        <v>28813365</v>
      </c>
      <c r="I42" s="204"/>
    </row>
    <row r="43" spans="2:9" x14ac:dyDescent="0.25">
      <c r="B43" s="387"/>
      <c r="C43" s="223" t="s">
        <v>196</v>
      </c>
      <c r="D43" s="224">
        <v>432459</v>
      </c>
      <c r="E43" s="224">
        <f t="shared" si="3"/>
        <v>324150</v>
      </c>
      <c r="F43" s="225">
        <v>756609</v>
      </c>
      <c r="G43" s="224">
        <f t="shared" si="1"/>
        <v>28380906</v>
      </c>
      <c r="I43" s="204"/>
    </row>
    <row r="44" spans="2:9" x14ac:dyDescent="0.25">
      <c r="B44" s="387"/>
      <c r="C44" s="223" t="s">
        <v>187</v>
      </c>
      <c r="D44" s="224">
        <v>437324</v>
      </c>
      <c r="E44" s="224">
        <f t="shared" si="3"/>
        <v>319285</v>
      </c>
      <c r="F44" s="225">
        <v>756609</v>
      </c>
      <c r="G44" s="224">
        <f t="shared" si="1"/>
        <v>27943582</v>
      </c>
      <c r="I44" s="204"/>
    </row>
    <row r="45" spans="2:9" x14ac:dyDescent="0.25">
      <c r="B45" s="379" t="str">
        <f>+depreciation!F7</f>
        <v>FY-27-28</v>
      </c>
      <c r="C45" s="217" t="s">
        <v>197</v>
      </c>
      <c r="D45" s="218">
        <v>442244</v>
      </c>
      <c r="E45" s="218">
        <f t="shared" si="3"/>
        <v>314365</v>
      </c>
      <c r="F45" s="219">
        <v>756609</v>
      </c>
      <c r="G45" s="218">
        <f t="shared" si="1"/>
        <v>27501338</v>
      </c>
      <c r="I45" s="204"/>
    </row>
    <row r="46" spans="2:9" x14ac:dyDescent="0.25">
      <c r="B46" s="379"/>
      <c r="C46" s="217" t="s">
        <v>188</v>
      </c>
      <c r="D46" s="218">
        <v>447219</v>
      </c>
      <c r="E46" s="218">
        <f t="shared" si="3"/>
        <v>309390</v>
      </c>
      <c r="F46" s="219">
        <v>756609</v>
      </c>
      <c r="G46" s="218">
        <f t="shared" si="1"/>
        <v>27054119</v>
      </c>
      <c r="I46" s="204"/>
    </row>
    <row r="47" spans="2:9" x14ac:dyDescent="0.25">
      <c r="B47" s="379"/>
      <c r="C47" s="217" t="s">
        <v>189</v>
      </c>
      <c r="D47" s="218">
        <v>452251</v>
      </c>
      <c r="E47" s="218">
        <f t="shared" si="3"/>
        <v>304358</v>
      </c>
      <c r="F47" s="219">
        <v>756609</v>
      </c>
      <c r="G47" s="218">
        <f t="shared" si="1"/>
        <v>26601868</v>
      </c>
      <c r="I47" s="204"/>
    </row>
    <row r="48" spans="2:9" x14ac:dyDescent="0.25">
      <c r="B48" s="379"/>
      <c r="C48" s="217" t="s">
        <v>190</v>
      </c>
      <c r="D48" s="218">
        <v>457338</v>
      </c>
      <c r="E48" s="218">
        <f t="shared" si="3"/>
        <v>299271</v>
      </c>
      <c r="F48" s="219">
        <v>756609</v>
      </c>
      <c r="G48" s="218">
        <f t="shared" si="1"/>
        <v>26144530</v>
      </c>
      <c r="I48" s="204"/>
    </row>
    <row r="49" spans="2:9" x14ac:dyDescent="0.25">
      <c r="B49" s="379"/>
      <c r="C49" s="217" t="s">
        <v>198</v>
      </c>
      <c r="D49" s="218">
        <v>462483</v>
      </c>
      <c r="E49" s="218">
        <f t="shared" si="3"/>
        <v>294126</v>
      </c>
      <c r="F49" s="219">
        <v>756609</v>
      </c>
      <c r="G49" s="218">
        <f t="shared" si="1"/>
        <v>25682047</v>
      </c>
      <c r="I49" s="204"/>
    </row>
    <row r="50" spans="2:9" x14ac:dyDescent="0.25">
      <c r="B50" s="379"/>
      <c r="C50" s="217" t="s">
        <v>191</v>
      </c>
      <c r="D50" s="218">
        <v>467686</v>
      </c>
      <c r="E50" s="218">
        <f t="shared" si="3"/>
        <v>288923</v>
      </c>
      <c r="F50" s="219">
        <v>756609</v>
      </c>
      <c r="G50" s="218">
        <f t="shared" si="1"/>
        <v>25214361</v>
      </c>
      <c r="I50" s="204"/>
    </row>
    <row r="51" spans="2:9" x14ac:dyDescent="0.25">
      <c r="B51" s="379"/>
      <c r="C51" s="217" t="s">
        <v>192</v>
      </c>
      <c r="D51" s="218">
        <v>472948</v>
      </c>
      <c r="E51" s="218">
        <f t="shared" si="3"/>
        <v>283661</v>
      </c>
      <c r="F51" s="219">
        <v>756609</v>
      </c>
      <c r="G51" s="218">
        <f t="shared" si="1"/>
        <v>24741413</v>
      </c>
      <c r="I51" s="204"/>
    </row>
    <row r="52" spans="2:9" x14ac:dyDescent="0.25">
      <c r="B52" s="379"/>
      <c r="C52" s="217" t="s">
        <v>193</v>
      </c>
      <c r="D52" s="218">
        <v>478269</v>
      </c>
      <c r="E52" s="218">
        <f t="shared" si="3"/>
        <v>278340</v>
      </c>
      <c r="F52" s="219">
        <v>756609</v>
      </c>
      <c r="G52" s="218">
        <f t="shared" si="1"/>
        <v>24263144</v>
      </c>
      <c r="I52" s="204"/>
    </row>
    <row r="53" spans="2:9" x14ac:dyDescent="0.25">
      <c r="B53" s="379"/>
      <c r="C53" s="217" t="s">
        <v>194</v>
      </c>
      <c r="D53" s="218">
        <v>483649</v>
      </c>
      <c r="E53" s="218">
        <f t="shared" si="3"/>
        <v>272960</v>
      </c>
      <c r="F53" s="219">
        <v>756609</v>
      </c>
      <c r="G53" s="218">
        <f t="shared" si="1"/>
        <v>23779495</v>
      </c>
      <c r="I53" s="204"/>
    </row>
    <row r="54" spans="2:9" x14ac:dyDescent="0.25">
      <c r="B54" s="379"/>
      <c r="C54" s="217" t="s">
        <v>195</v>
      </c>
      <c r="D54" s="218">
        <v>489090</v>
      </c>
      <c r="E54" s="218">
        <f t="shared" si="3"/>
        <v>267519</v>
      </c>
      <c r="F54" s="219">
        <v>756609</v>
      </c>
      <c r="G54" s="218">
        <f t="shared" si="1"/>
        <v>23290405</v>
      </c>
      <c r="I54" s="204"/>
    </row>
    <row r="55" spans="2:9" x14ac:dyDescent="0.25">
      <c r="B55" s="379"/>
      <c r="C55" s="217" t="s">
        <v>196</v>
      </c>
      <c r="D55" s="218">
        <v>494592</v>
      </c>
      <c r="E55" s="218">
        <f t="shared" si="3"/>
        <v>262017</v>
      </c>
      <c r="F55" s="219">
        <v>756609</v>
      </c>
      <c r="G55" s="218">
        <f t="shared" si="1"/>
        <v>22795813</v>
      </c>
      <c r="I55" s="204"/>
    </row>
    <row r="56" spans="2:9" x14ac:dyDescent="0.25">
      <c r="B56" s="379"/>
      <c r="C56" s="217" t="s">
        <v>187</v>
      </c>
      <c r="D56" s="218">
        <v>500157</v>
      </c>
      <c r="E56" s="218">
        <f t="shared" si="3"/>
        <v>256452</v>
      </c>
      <c r="F56" s="219">
        <v>756609</v>
      </c>
      <c r="G56" s="218">
        <f t="shared" si="1"/>
        <v>22295656</v>
      </c>
      <c r="I56" s="204"/>
    </row>
    <row r="57" spans="2:9" x14ac:dyDescent="0.25">
      <c r="B57" s="388" t="str">
        <f>+depreciation!G7</f>
        <v>FY-28-29</v>
      </c>
      <c r="C57" s="220" t="s">
        <v>197</v>
      </c>
      <c r="D57" s="221">
        <v>505783</v>
      </c>
      <c r="E57" s="221">
        <f t="shared" si="3"/>
        <v>250826</v>
      </c>
      <c r="F57" s="222">
        <v>756609</v>
      </c>
      <c r="G57" s="221">
        <f t="shared" si="1"/>
        <v>21789873</v>
      </c>
      <c r="I57" s="204"/>
    </row>
    <row r="58" spans="2:9" x14ac:dyDescent="0.25">
      <c r="B58" s="388"/>
      <c r="C58" s="220" t="s">
        <v>188</v>
      </c>
      <c r="D58" s="221">
        <v>511473</v>
      </c>
      <c r="E58" s="221">
        <f t="shared" si="3"/>
        <v>245136</v>
      </c>
      <c r="F58" s="222">
        <v>756609</v>
      </c>
      <c r="G58" s="221">
        <f t="shared" si="1"/>
        <v>21278400</v>
      </c>
      <c r="I58" s="204"/>
    </row>
    <row r="59" spans="2:9" x14ac:dyDescent="0.25">
      <c r="B59" s="388"/>
      <c r="C59" s="220" t="s">
        <v>189</v>
      </c>
      <c r="D59" s="221">
        <v>517227</v>
      </c>
      <c r="E59" s="221">
        <f t="shared" si="3"/>
        <v>239382</v>
      </c>
      <c r="F59" s="222">
        <v>756609</v>
      </c>
      <c r="G59" s="221">
        <f t="shared" si="1"/>
        <v>20761173</v>
      </c>
      <c r="I59" s="204"/>
    </row>
    <row r="60" spans="2:9" x14ac:dyDescent="0.25">
      <c r="B60" s="388"/>
      <c r="C60" s="220" t="s">
        <v>190</v>
      </c>
      <c r="D60" s="221">
        <v>523046</v>
      </c>
      <c r="E60" s="221">
        <f t="shared" si="3"/>
        <v>233563</v>
      </c>
      <c r="F60" s="222">
        <v>756609</v>
      </c>
      <c r="G60" s="221">
        <f t="shared" si="1"/>
        <v>20238127</v>
      </c>
      <c r="I60" s="204"/>
    </row>
    <row r="61" spans="2:9" x14ac:dyDescent="0.25">
      <c r="B61" s="388"/>
      <c r="C61" s="220" t="s">
        <v>198</v>
      </c>
      <c r="D61" s="221">
        <v>528931</v>
      </c>
      <c r="E61" s="221">
        <f t="shared" si="3"/>
        <v>227678</v>
      </c>
      <c r="F61" s="222">
        <v>756609</v>
      </c>
      <c r="G61" s="221">
        <f t="shared" si="1"/>
        <v>19709196</v>
      </c>
      <c r="I61" s="204"/>
    </row>
    <row r="62" spans="2:9" x14ac:dyDescent="0.25">
      <c r="B62" s="388"/>
      <c r="C62" s="220" t="s">
        <v>191</v>
      </c>
      <c r="D62" s="221">
        <v>534881</v>
      </c>
      <c r="E62" s="221">
        <f t="shared" si="3"/>
        <v>221728</v>
      </c>
      <c r="F62" s="222">
        <v>756609</v>
      </c>
      <c r="G62" s="221">
        <f t="shared" si="1"/>
        <v>19174315</v>
      </c>
      <c r="I62" s="204"/>
    </row>
    <row r="63" spans="2:9" x14ac:dyDescent="0.25">
      <c r="B63" s="388"/>
      <c r="C63" s="220" t="s">
        <v>192</v>
      </c>
      <c r="D63" s="221">
        <v>540898</v>
      </c>
      <c r="E63" s="221">
        <f t="shared" si="3"/>
        <v>215711</v>
      </c>
      <c r="F63" s="222">
        <v>756609</v>
      </c>
      <c r="G63" s="221">
        <f t="shared" si="1"/>
        <v>18633417</v>
      </c>
      <c r="I63" s="204"/>
    </row>
    <row r="64" spans="2:9" x14ac:dyDescent="0.25">
      <c r="B64" s="388"/>
      <c r="C64" s="220" t="s">
        <v>193</v>
      </c>
      <c r="D64" s="221">
        <v>546983</v>
      </c>
      <c r="E64" s="221">
        <f t="shared" si="3"/>
        <v>209626</v>
      </c>
      <c r="F64" s="222">
        <v>756609</v>
      </c>
      <c r="G64" s="221">
        <f t="shared" si="1"/>
        <v>18086434</v>
      </c>
      <c r="I64" s="204"/>
    </row>
    <row r="65" spans="2:9" x14ac:dyDescent="0.25">
      <c r="B65" s="388"/>
      <c r="C65" s="220" t="s">
        <v>194</v>
      </c>
      <c r="D65" s="221">
        <v>553137</v>
      </c>
      <c r="E65" s="221">
        <f t="shared" si="3"/>
        <v>203472</v>
      </c>
      <c r="F65" s="222">
        <v>756609</v>
      </c>
      <c r="G65" s="221">
        <f t="shared" si="1"/>
        <v>17533297</v>
      </c>
      <c r="I65" s="204"/>
    </row>
    <row r="66" spans="2:9" x14ac:dyDescent="0.25">
      <c r="B66" s="388"/>
      <c r="C66" s="220" t="s">
        <v>195</v>
      </c>
      <c r="D66" s="221">
        <v>559360</v>
      </c>
      <c r="E66" s="221">
        <f t="shared" si="3"/>
        <v>197249</v>
      </c>
      <c r="F66" s="222">
        <v>756609</v>
      </c>
      <c r="G66" s="221">
        <f t="shared" si="1"/>
        <v>16973937</v>
      </c>
      <c r="I66" s="204"/>
    </row>
    <row r="67" spans="2:9" x14ac:dyDescent="0.25">
      <c r="B67" s="388"/>
      <c r="C67" s="220" t="s">
        <v>196</v>
      </c>
      <c r="D67" s="221">
        <v>565653</v>
      </c>
      <c r="E67" s="221">
        <f t="shared" si="3"/>
        <v>190956</v>
      </c>
      <c r="F67" s="222">
        <v>756609</v>
      </c>
      <c r="G67" s="221">
        <f t="shared" si="1"/>
        <v>16408284</v>
      </c>
      <c r="I67" s="204"/>
    </row>
    <row r="68" spans="2:9" x14ac:dyDescent="0.25">
      <c r="B68" s="388"/>
      <c r="C68" s="220" t="s">
        <v>187</v>
      </c>
      <c r="D68" s="221">
        <v>572016</v>
      </c>
      <c r="E68" s="221">
        <f t="shared" si="3"/>
        <v>184593</v>
      </c>
      <c r="F68" s="222">
        <v>756609</v>
      </c>
      <c r="G68" s="221">
        <f t="shared" si="1"/>
        <v>15836268</v>
      </c>
      <c r="I68" s="204"/>
    </row>
    <row r="69" spans="2:9" x14ac:dyDescent="0.25">
      <c r="B69" s="379" t="str">
        <f>+depreciation!H7</f>
        <v>FY-29-30</v>
      </c>
      <c r="C69" s="217" t="s">
        <v>197</v>
      </c>
      <c r="D69" s="218">
        <v>578451</v>
      </c>
      <c r="E69" s="218">
        <f t="shared" si="3"/>
        <v>178158</v>
      </c>
      <c r="F69" s="219">
        <v>756609</v>
      </c>
      <c r="G69" s="218">
        <f t="shared" si="1"/>
        <v>15257817</v>
      </c>
      <c r="I69" s="204"/>
    </row>
    <row r="70" spans="2:9" x14ac:dyDescent="0.25">
      <c r="B70" s="379"/>
      <c r="C70" s="217" t="s">
        <v>188</v>
      </c>
      <c r="D70" s="218">
        <v>584959</v>
      </c>
      <c r="E70" s="218">
        <f t="shared" si="3"/>
        <v>171650</v>
      </c>
      <c r="F70" s="219">
        <v>756609</v>
      </c>
      <c r="G70" s="218">
        <f t="shared" si="1"/>
        <v>14672858</v>
      </c>
      <c r="I70" s="204"/>
    </row>
    <row r="71" spans="2:9" x14ac:dyDescent="0.25">
      <c r="B71" s="379"/>
      <c r="C71" s="217" t="s">
        <v>189</v>
      </c>
      <c r="D71" s="218">
        <v>591540</v>
      </c>
      <c r="E71" s="218">
        <f t="shared" si="3"/>
        <v>165069</v>
      </c>
      <c r="F71" s="219">
        <v>756609</v>
      </c>
      <c r="G71" s="218">
        <f t="shared" si="1"/>
        <v>14081318</v>
      </c>
      <c r="I71" s="204"/>
    </row>
    <row r="72" spans="2:9" x14ac:dyDescent="0.25">
      <c r="B72" s="379"/>
      <c r="C72" s="217" t="s">
        <v>190</v>
      </c>
      <c r="D72" s="218">
        <v>598195</v>
      </c>
      <c r="E72" s="218">
        <f t="shared" si="3"/>
        <v>158414</v>
      </c>
      <c r="F72" s="219">
        <v>756609</v>
      </c>
      <c r="G72" s="218">
        <f t="shared" si="1"/>
        <v>13483123</v>
      </c>
      <c r="I72" s="204"/>
    </row>
    <row r="73" spans="2:9" x14ac:dyDescent="0.25">
      <c r="B73" s="379"/>
      <c r="C73" s="217" t="s">
        <v>198</v>
      </c>
      <c r="D73" s="218">
        <v>604924</v>
      </c>
      <c r="E73" s="218">
        <f t="shared" si="3"/>
        <v>151685</v>
      </c>
      <c r="F73" s="219">
        <v>756609</v>
      </c>
      <c r="G73" s="218">
        <f t="shared" si="1"/>
        <v>12878199</v>
      </c>
      <c r="I73" s="204"/>
    </row>
    <row r="74" spans="2:9" x14ac:dyDescent="0.25">
      <c r="B74" s="379"/>
      <c r="C74" s="217" t="s">
        <v>191</v>
      </c>
      <c r="D74" s="218">
        <v>611730</v>
      </c>
      <c r="E74" s="218">
        <f t="shared" ref="E74:E92" si="4">+F74-D74</f>
        <v>144879</v>
      </c>
      <c r="F74" s="219">
        <v>756609</v>
      </c>
      <c r="G74" s="218">
        <f t="shared" ref="G74:G92" si="5">+G73-D74</f>
        <v>12266469</v>
      </c>
      <c r="I74" s="204"/>
    </row>
    <row r="75" spans="2:9" x14ac:dyDescent="0.25">
      <c r="B75" s="379"/>
      <c r="C75" s="217" t="s">
        <v>192</v>
      </c>
      <c r="D75" s="218">
        <v>618612</v>
      </c>
      <c r="E75" s="218">
        <f t="shared" si="4"/>
        <v>137997</v>
      </c>
      <c r="F75" s="219">
        <v>756609</v>
      </c>
      <c r="G75" s="218">
        <f t="shared" si="5"/>
        <v>11647857</v>
      </c>
      <c r="I75" s="204"/>
    </row>
    <row r="76" spans="2:9" x14ac:dyDescent="0.25">
      <c r="B76" s="379"/>
      <c r="C76" s="217" t="s">
        <v>193</v>
      </c>
      <c r="D76" s="218">
        <v>625571</v>
      </c>
      <c r="E76" s="218">
        <f t="shared" si="4"/>
        <v>131038</v>
      </c>
      <c r="F76" s="219">
        <v>756609</v>
      </c>
      <c r="G76" s="218">
        <f t="shared" si="5"/>
        <v>11022286</v>
      </c>
      <c r="I76" s="204"/>
    </row>
    <row r="77" spans="2:9" x14ac:dyDescent="0.25">
      <c r="B77" s="379"/>
      <c r="C77" s="217" t="s">
        <v>194</v>
      </c>
      <c r="D77" s="218">
        <v>632609</v>
      </c>
      <c r="E77" s="218">
        <f t="shared" si="4"/>
        <v>124000</v>
      </c>
      <c r="F77" s="219">
        <v>756609</v>
      </c>
      <c r="G77" s="218">
        <f t="shared" si="5"/>
        <v>10389677</v>
      </c>
      <c r="I77" s="204"/>
    </row>
    <row r="78" spans="2:9" x14ac:dyDescent="0.25">
      <c r="B78" s="379"/>
      <c r="C78" s="217" t="s">
        <v>195</v>
      </c>
      <c r="D78" s="218">
        <v>639726</v>
      </c>
      <c r="E78" s="218">
        <f t="shared" si="4"/>
        <v>116883</v>
      </c>
      <c r="F78" s="219">
        <v>756609</v>
      </c>
      <c r="G78" s="218">
        <f t="shared" si="5"/>
        <v>9749951</v>
      </c>
      <c r="I78" s="204"/>
    </row>
    <row r="79" spans="2:9" x14ac:dyDescent="0.25">
      <c r="B79" s="379"/>
      <c r="C79" s="217" t="s">
        <v>196</v>
      </c>
      <c r="D79" s="218">
        <v>646922</v>
      </c>
      <c r="E79" s="218">
        <f t="shared" si="4"/>
        <v>109687</v>
      </c>
      <c r="F79" s="219">
        <v>756609</v>
      </c>
      <c r="G79" s="218">
        <f t="shared" si="5"/>
        <v>9103029</v>
      </c>
      <c r="I79" s="204"/>
    </row>
    <row r="80" spans="2:9" x14ac:dyDescent="0.25">
      <c r="B80" s="379"/>
      <c r="C80" s="217" t="s">
        <v>187</v>
      </c>
      <c r="D80" s="218">
        <v>654200</v>
      </c>
      <c r="E80" s="218">
        <f t="shared" si="4"/>
        <v>102409</v>
      </c>
      <c r="F80" s="219">
        <v>756609</v>
      </c>
      <c r="G80" s="218">
        <f t="shared" si="5"/>
        <v>8448829</v>
      </c>
      <c r="I80" s="204"/>
    </row>
    <row r="81" spans="2:9" x14ac:dyDescent="0.25">
      <c r="B81" s="380" t="str">
        <f>+depreciation!I7</f>
        <v>FY-30-31</v>
      </c>
      <c r="C81" s="226" t="s">
        <v>197</v>
      </c>
      <c r="D81" s="227">
        <v>661560</v>
      </c>
      <c r="E81" s="227">
        <f t="shared" si="4"/>
        <v>95049</v>
      </c>
      <c r="F81" s="228">
        <v>756609</v>
      </c>
      <c r="G81" s="227">
        <f t="shared" si="5"/>
        <v>7787269</v>
      </c>
      <c r="I81" s="204"/>
    </row>
    <row r="82" spans="2:9" x14ac:dyDescent="0.25">
      <c r="B82" s="380"/>
      <c r="C82" s="226" t="s">
        <v>188</v>
      </c>
      <c r="D82" s="227">
        <v>669003</v>
      </c>
      <c r="E82" s="227">
        <f t="shared" si="4"/>
        <v>87606</v>
      </c>
      <c r="F82" s="228">
        <v>756609</v>
      </c>
      <c r="G82" s="227">
        <f t="shared" si="5"/>
        <v>7118266</v>
      </c>
      <c r="I82" s="204"/>
    </row>
    <row r="83" spans="2:9" x14ac:dyDescent="0.25">
      <c r="B83" s="380"/>
      <c r="C83" s="226" t="s">
        <v>189</v>
      </c>
      <c r="D83" s="227">
        <v>676529</v>
      </c>
      <c r="E83" s="227">
        <f t="shared" si="4"/>
        <v>80080</v>
      </c>
      <c r="F83" s="228">
        <v>756609</v>
      </c>
      <c r="G83" s="227">
        <f t="shared" si="5"/>
        <v>6441737</v>
      </c>
      <c r="I83" s="204"/>
    </row>
    <row r="84" spans="2:9" x14ac:dyDescent="0.25">
      <c r="B84" s="380"/>
      <c r="C84" s="226" t="s">
        <v>190</v>
      </c>
      <c r="D84" s="227">
        <v>684140</v>
      </c>
      <c r="E84" s="227">
        <f t="shared" si="4"/>
        <v>72469</v>
      </c>
      <c r="F84" s="228">
        <v>756609</v>
      </c>
      <c r="G84" s="227">
        <f t="shared" si="5"/>
        <v>5757597</v>
      </c>
      <c r="I84" s="204"/>
    </row>
    <row r="85" spans="2:9" x14ac:dyDescent="0.25">
      <c r="B85" s="380"/>
      <c r="C85" s="226" t="s">
        <v>198</v>
      </c>
      <c r="D85" s="227">
        <v>691836</v>
      </c>
      <c r="E85" s="227">
        <f t="shared" si="4"/>
        <v>64773</v>
      </c>
      <c r="F85" s="228">
        <v>756609</v>
      </c>
      <c r="G85" s="227">
        <f t="shared" si="5"/>
        <v>5065761</v>
      </c>
      <c r="I85" s="204"/>
    </row>
    <row r="86" spans="2:9" x14ac:dyDescent="0.25">
      <c r="B86" s="380"/>
      <c r="C86" s="226" t="s">
        <v>191</v>
      </c>
      <c r="D86" s="227">
        <v>699620</v>
      </c>
      <c r="E86" s="227">
        <f t="shared" si="4"/>
        <v>56989</v>
      </c>
      <c r="F86" s="228">
        <v>756609</v>
      </c>
      <c r="G86" s="227">
        <f t="shared" si="5"/>
        <v>4366141</v>
      </c>
      <c r="I86" s="204"/>
    </row>
    <row r="87" spans="2:9" x14ac:dyDescent="0.25">
      <c r="B87" s="380"/>
      <c r="C87" s="226" t="s">
        <v>192</v>
      </c>
      <c r="D87" s="227">
        <v>707490</v>
      </c>
      <c r="E87" s="227">
        <f t="shared" si="4"/>
        <v>49119</v>
      </c>
      <c r="F87" s="228">
        <v>756609</v>
      </c>
      <c r="G87" s="227">
        <f t="shared" si="5"/>
        <v>3658651</v>
      </c>
      <c r="I87" s="204"/>
    </row>
    <row r="88" spans="2:9" x14ac:dyDescent="0.25">
      <c r="B88" s="380"/>
      <c r="C88" s="226" t="s">
        <v>193</v>
      </c>
      <c r="D88" s="227">
        <v>715450</v>
      </c>
      <c r="E88" s="227">
        <f t="shared" si="4"/>
        <v>41159</v>
      </c>
      <c r="F88" s="228">
        <v>756609</v>
      </c>
      <c r="G88" s="227">
        <f t="shared" si="5"/>
        <v>2943201</v>
      </c>
      <c r="I88" s="204"/>
    </row>
    <row r="89" spans="2:9" x14ac:dyDescent="0.25">
      <c r="B89" s="380"/>
      <c r="C89" s="226" t="s">
        <v>194</v>
      </c>
      <c r="D89" s="227">
        <v>723498</v>
      </c>
      <c r="E89" s="227">
        <f t="shared" si="4"/>
        <v>33111</v>
      </c>
      <c r="F89" s="228">
        <v>756609</v>
      </c>
      <c r="G89" s="227">
        <f t="shared" si="5"/>
        <v>2219703</v>
      </c>
      <c r="I89" s="204"/>
    </row>
    <row r="90" spans="2:9" x14ac:dyDescent="0.25">
      <c r="B90" s="380"/>
      <c r="C90" s="226" t="s">
        <v>195</v>
      </c>
      <c r="D90" s="227">
        <v>731638</v>
      </c>
      <c r="E90" s="227">
        <f t="shared" si="4"/>
        <v>24971</v>
      </c>
      <c r="F90" s="228">
        <v>756609</v>
      </c>
      <c r="G90" s="227">
        <f t="shared" si="5"/>
        <v>1488065</v>
      </c>
      <c r="I90" s="204"/>
    </row>
    <row r="91" spans="2:9" x14ac:dyDescent="0.25">
      <c r="B91" s="380"/>
      <c r="C91" s="226" t="s">
        <v>196</v>
      </c>
      <c r="D91" s="227">
        <v>739869</v>
      </c>
      <c r="E91" s="227">
        <f t="shared" si="4"/>
        <v>16740</v>
      </c>
      <c r="F91" s="228">
        <v>756609</v>
      </c>
      <c r="G91" s="227">
        <f t="shared" si="5"/>
        <v>748196</v>
      </c>
      <c r="I91" s="204"/>
    </row>
    <row r="92" spans="2:9" x14ac:dyDescent="0.25">
      <c r="B92" s="380"/>
      <c r="C92" s="226" t="s">
        <v>187</v>
      </c>
      <c r="D92" s="227">
        <v>748196</v>
      </c>
      <c r="E92" s="227">
        <f t="shared" si="4"/>
        <v>8413</v>
      </c>
      <c r="F92" s="228">
        <v>756609</v>
      </c>
      <c r="G92" s="227">
        <f t="shared" si="5"/>
        <v>0</v>
      </c>
      <c r="I92" s="204"/>
    </row>
    <row r="93" spans="2:9" x14ac:dyDescent="0.25">
      <c r="B93" s="229"/>
      <c r="C93" s="226"/>
      <c r="D93" s="227"/>
      <c r="E93" s="227"/>
      <c r="F93" s="228"/>
      <c r="G93" s="227"/>
      <c r="I93" s="204"/>
    </row>
    <row r="95" spans="2:9" x14ac:dyDescent="0.25">
      <c r="B95" s="180" t="s">
        <v>21</v>
      </c>
      <c r="C95" s="209" t="s">
        <v>72</v>
      </c>
      <c r="D95" s="209" t="s">
        <v>73</v>
      </c>
      <c r="E95" s="209" t="s">
        <v>74</v>
      </c>
    </row>
    <row r="96" spans="2:9" x14ac:dyDescent="0.25">
      <c r="B96" s="210" t="str">
        <f>+B9</f>
        <v>FY-24-25</v>
      </c>
      <c r="C96" s="176">
        <f>+SUM(D9:D20)</f>
        <v>0</v>
      </c>
      <c r="D96" s="176">
        <f>+SUM(E9:E20)</f>
        <v>5022000</v>
      </c>
      <c r="E96" s="176">
        <f t="shared" ref="E96:E102" si="6">+C96+D96</f>
        <v>5022000</v>
      </c>
    </row>
    <row r="97" spans="2:9" x14ac:dyDescent="0.25">
      <c r="B97" s="210" t="str">
        <f>+B21</f>
        <v>FY-25-26</v>
      </c>
      <c r="C97" s="176">
        <f>+SUM(D21:D32)</f>
        <v>4318015</v>
      </c>
      <c r="D97" s="176">
        <f>+SUM(E21:E32)</f>
        <v>4761293</v>
      </c>
      <c r="E97" s="176">
        <f t="shared" si="6"/>
        <v>9079308</v>
      </c>
    </row>
    <row r="98" spans="2:9" x14ac:dyDescent="0.25">
      <c r="B98" s="210" t="str">
        <f>+B33</f>
        <v>FY-26-27</v>
      </c>
      <c r="C98" s="176">
        <f>+SUM(D33:D44)</f>
        <v>4938403</v>
      </c>
      <c r="D98" s="176">
        <f>+SUM(E33:E44)</f>
        <v>4140905</v>
      </c>
      <c r="E98" s="176">
        <f t="shared" si="6"/>
        <v>9079308</v>
      </c>
    </row>
    <row r="99" spans="2:9" x14ac:dyDescent="0.25">
      <c r="B99" s="210" t="str">
        <f>+B45</f>
        <v>FY-27-28</v>
      </c>
      <c r="C99" s="176">
        <f>+SUM(D45:D56)</f>
        <v>5647926</v>
      </c>
      <c r="D99" s="176">
        <f>+SUM(E45:E56)</f>
        <v>3431382</v>
      </c>
      <c r="E99" s="176">
        <f t="shared" si="6"/>
        <v>9079308</v>
      </c>
    </row>
    <row r="100" spans="2:9" x14ac:dyDescent="0.25">
      <c r="B100" s="210" t="str">
        <f>+B57</f>
        <v>FY-28-29</v>
      </c>
      <c r="C100" s="176">
        <f>+SUM(D57:D68)</f>
        <v>6459388</v>
      </c>
      <c r="D100" s="176">
        <f>+SUM(E57:E68)</f>
        <v>2619920</v>
      </c>
      <c r="E100" s="176">
        <f t="shared" si="6"/>
        <v>9079308</v>
      </c>
    </row>
    <row r="101" spans="2:9" x14ac:dyDescent="0.25">
      <c r="B101" s="210" t="str">
        <f>+B69</f>
        <v>FY-29-30</v>
      </c>
      <c r="C101" s="176">
        <f>+SUM(D69:D80)</f>
        <v>7387439</v>
      </c>
      <c r="D101" s="176">
        <f>+SUM(E69:E80)</f>
        <v>1691869</v>
      </c>
      <c r="E101" s="176">
        <f t="shared" si="6"/>
        <v>9079308</v>
      </c>
    </row>
    <row r="102" spans="2:9" x14ac:dyDescent="0.25">
      <c r="B102" s="210" t="str">
        <f>+B81</f>
        <v>FY-30-31</v>
      </c>
      <c r="C102" s="176">
        <f>+SUM(D81:D92)</f>
        <v>8448829</v>
      </c>
      <c r="D102" s="176">
        <f>+SUM(E81:E92)</f>
        <v>630479</v>
      </c>
      <c r="E102" s="176">
        <f t="shared" si="6"/>
        <v>9079308</v>
      </c>
    </row>
    <row r="103" spans="2:9" x14ac:dyDescent="0.25">
      <c r="B103" s="180" t="s">
        <v>6</v>
      </c>
      <c r="C103" s="209">
        <f>+SUM(C96:C102)</f>
        <v>37200000</v>
      </c>
      <c r="D103" s="209">
        <f>+SUM(D96:D102)</f>
        <v>22297848</v>
      </c>
      <c r="E103" s="209">
        <f>+C103+D103</f>
        <v>59497848</v>
      </c>
    </row>
    <row r="105" spans="2:9" x14ac:dyDescent="0.25">
      <c r="C105" s="192">
        <f>C96</f>
        <v>0</v>
      </c>
      <c r="D105" s="192">
        <f>C97</f>
        <v>4318015</v>
      </c>
      <c r="E105" s="192">
        <f>C98</f>
        <v>4938403</v>
      </c>
      <c r="F105" s="192">
        <f>C99</f>
        <v>5647926</v>
      </c>
      <c r="G105" s="192">
        <f>C100</f>
        <v>6459388</v>
      </c>
      <c r="H105" s="204">
        <f>C101</f>
        <v>7387439</v>
      </c>
      <c r="I105" s="204">
        <f>C102</f>
        <v>8448829</v>
      </c>
    </row>
  </sheetData>
  <mergeCells count="13">
    <mergeCell ref="B69:B80"/>
    <mergeCell ref="B81:B92"/>
    <mergeCell ref="A1:G1"/>
    <mergeCell ref="B6:G6"/>
    <mergeCell ref="B7:B8"/>
    <mergeCell ref="C7:C8"/>
    <mergeCell ref="G7:G8"/>
    <mergeCell ref="B9:B20"/>
    <mergeCell ref="B21:B32"/>
    <mergeCell ref="B33:B44"/>
    <mergeCell ref="B45:B56"/>
    <mergeCell ref="B57:B68"/>
    <mergeCell ref="B2:G2"/>
  </mergeCells>
  <pageMargins left="0.7" right="0.7" top="0.75" bottom="0.75" header="0.3" footer="0.3"/>
  <pageSetup scale="23" orientation="landscape" r:id="rId1"/>
  <ignoredErrors>
    <ignoredError sqref="C96:C10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topLeftCell="A4" zoomScaleNormal="100" zoomScaleSheetLayoutView="100" workbookViewId="0">
      <selection activeCell="G16" sqref="G16"/>
    </sheetView>
  </sheetViews>
  <sheetFormatPr defaultRowHeight="15" x14ac:dyDescent="0.25"/>
  <cols>
    <col min="1" max="1" width="53.42578125" bestFit="1" customWidth="1"/>
    <col min="2" max="2" width="22" style="51" bestFit="1" customWidth="1"/>
    <col min="3" max="3" width="21.42578125" style="51" customWidth="1"/>
    <col min="4" max="4" width="23.28515625" style="51" bestFit="1" customWidth="1"/>
    <col min="5" max="5" width="12.7109375" style="51" bestFit="1" customWidth="1"/>
    <col min="6" max="8" width="9.5703125" style="51" bestFit="1" customWidth="1"/>
    <col min="9" max="9" width="11.140625" bestFit="1" customWidth="1"/>
    <col min="10" max="10" width="10.28515625" bestFit="1" customWidth="1"/>
  </cols>
  <sheetData>
    <row r="1" spans="1:9" ht="18.75" x14ac:dyDescent="0.3">
      <c r="A1" s="362" t="str">
        <f>+Opg.!A34</f>
        <v>ORENSE INDUSTRIES PRIVATE LIMITED</v>
      </c>
      <c r="B1" s="362"/>
      <c r="C1" s="362"/>
      <c r="D1" s="362"/>
      <c r="E1" s="362"/>
      <c r="F1" s="362"/>
      <c r="G1" s="362"/>
      <c r="H1" s="362"/>
    </row>
    <row r="2" spans="1:9" ht="18.75" x14ac:dyDescent="0.3">
      <c r="A2" s="362" t="str">
        <f>+Opg.!A35</f>
        <v>CIN: U23209OR2022PTC041057</v>
      </c>
      <c r="B2" s="362"/>
      <c r="C2" s="362"/>
      <c r="D2" s="362"/>
      <c r="E2" s="362"/>
      <c r="F2" s="362"/>
      <c r="G2" s="362"/>
      <c r="H2" s="362"/>
    </row>
    <row r="3" spans="1:9" ht="18.75" x14ac:dyDescent="0.3">
      <c r="A3" s="362" t="str">
        <f>+Opg.!A36</f>
        <v xml:space="preserve"> Andhapasra Road, Near Hanuman Temple</v>
      </c>
      <c r="B3" s="362"/>
      <c r="C3" s="362"/>
      <c r="D3" s="362"/>
      <c r="E3" s="362"/>
      <c r="F3" s="362"/>
      <c r="G3" s="362"/>
      <c r="H3" s="362"/>
    </row>
    <row r="4" spans="1:9" ht="18.75" x14ac:dyDescent="0.3">
      <c r="A4" s="362" t="str">
        <f>+Opg.!A37</f>
        <v xml:space="preserve"> Berhampur Ganjam Pin- 760002 </v>
      </c>
      <c r="B4" s="362"/>
      <c r="C4" s="362"/>
      <c r="D4" s="362"/>
      <c r="E4" s="362"/>
      <c r="F4" s="362"/>
      <c r="G4" s="362"/>
      <c r="H4" s="362"/>
    </row>
    <row r="7" spans="1:9" ht="15.75" thickBot="1" x14ac:dyDescent="0.3">
      <c r="A7" s="53" t="s">
        <v>109</v>
      </c>
    </row>
    <row r="8" spans="1:9" x14ac:dyDescent="0.25">
      <c r="A8" s="61" t="s">
        <v>110</v>
      </c>
      <c r="B8" s="64" t="s">
        <v>104</v>
      </c>
      <c r="C8" s="62" t="s">
        <v>136</v>
      </c>
      <c r="D8" s="65"/>
    </row>
    <row r="9" spans="1:9" x14ac:dyDescent="0.25">
      <c r="A9" s="44"/>
      <c r="B9" s="54"/>
      <c r="C9" s="55"/>
      <c r="D9" s="66"/>
    </row>
    <row r="10" spans="1:9" x14ac:dyDescent="0.25">
      <c r="A10" s="44" t="s">
        <v>111</v>
      </c>
      <c r="B10" s="54" t="s">
        <v>104</v>
      </c>
      <c r="C10" s="55"/>
      <c r="D10" s="66"/>
    </row>
    <row r="11" spans="1:9" x14ac:dyDescent="0.25">
      <c r="A11" s="44" t="s">
        <v>112</v>
      </c>
      <c r="B11" s="54"/>
      <c r="C11" s="55">
        <v>10</v>
      </c>
      <c r="D11" s="66"/>
    </row>
    <row r="12" spans="1:9" x14ac:dyDescent="0.25">
      <c r="A12" s="44" t="s">
        <v>113</v>
      </c>
      <c r="B12" s="54"/>
      <c r="C12" s="55">
        <v>25</v>
      </c>
      <c r="D12" s="66"/>
    </row>
    <row r="13" spans="1:9" x14ac:dyDescent="0.25">
      <c r="A13" s="44" t="s">
        <v>114</v>
      </c>
      <c r="B13" s="54"/>
      <c r="C13" s="55">
        <v>300</v>
      </c>
      <c r="D13" s="66"/>
      <c r="I13" s="51" t="e">
        <f>+#REF!</f>
        <v>#REF!</v>
      </c>
    </row>
    <row r="14" spans="1:9" ht="15.75" thickBot="1" x14ac:dyDescent="0.3">
      <c r="A14" s="45" t="s">
        <v>137</v>
      </c>
      <c r="B14" s="63"/>
      <c r="C14" s="56">
        <f>2460*300</f>
        <v>738000</v>
      </c>
      <c r="D14" s="66"/>
    </row>
    <row r="15" spans="1:9" ht="15.75" thickBot="1" x14ac:dyDescent="0.3"/>
    <row r="16" spans="1:9" ht="27.6" customHeight="1" x14ac:dyDescent="0.25">
      <c r="A16" s="61" t="s">
        <v>21</v>
      </c>
      <c r="B16" s="64" t="s">
        <v>115</v>
      </c>
      <c r="C16" s="68" t="s">
        <v>138</v>
      </c>
    </row>
    <row r="17" spans="1:9" x14ac:dyDescent="0.25">
      <c r="A17" s="44" t="s">
        <v>116</v>
      </c>
      <c r="B17" s="67">
        <v>0.6</v>
      </c>
      <c r="C17" s="55">
        <f>+C14*B17</f>
        <v>442800</v>
      </c>
    </row>
    <row r="18" spans="1:9" x14ac:dyDescent="0.25">
      <c r="A18" s="44" t="s">
        <v>117</v>
      </c>
      <c r="B18" s="67">
        <v>0.6</v>
      </c>
      <c r="C18" s="55">
        <f>+C14*B18</f>
        <v>442800</v>
      </c>
    </row>
    <row r="19" spans="1:9" x14ac:dyDescent="0.25">
      <c r="A19" s="44" t="s">
        <v>118</v>
      </c>
      <c r="B19" s="67">
        <v>0.7</v>
      </c>
      <c r="C19" s="55">
        <f>+C14*B19</f>
        <v>516599.99999999994</v>
      </c>
    </row>
    <row r="20" spans="1:9" x14ac:dyDescent="0.25">
      <c r="A20" s="44" t="s">
        <v>119</v>
      </c>
      <c r="B20" s="67">
        <v>0.8</v>
      </c>
      <c r="C20" s="55">
        <f>+C14*B20</f>
        <v>590400</v>
      </c>
    </row>
    <row r="21" spans="1:9" x14ac:dyDescent="0.25">
      <c r="A21" s="44" t="s">
        <v>120</v>
      </c>
      <c r="B21" s="67">
        <v>0.9</v>
      </c>
      <c r="C21" s="55">
        <f>+C14*B21</f>
        <v>664200</v>
      </c>
    </row>
    <row r="22" spans="1:9" x14ac:dyDescent="0.25">
      <c r="A22" s="44" t="s">
        <v>121</v>
      </c>
      <c r="B22" s="67">
        <v>1</v>
      </c>
      <c r="C22" s="55">
        <f>+C14*B22</f>
        <v>738000</v>
      </c>
    </row>
    <row r="23" spans="1:9" ht="15.75" thickBot="1" x14ac:dyDescent="0.3">
      <c r="A23" s="45" t="s">
        <v>122</v>
      </c>
      <c r="B23" s="69">
        <v>1</v>
      </c>
      <c r="C23" s="56">
        <f>+C14*B23</f>
        <v>738000</v>
      </c>
    </row>
    <row r="26" spans="1:9" x14ac:dyDescent="0.25">
      <c r="A26" s="53" t="s">
        <v>123</v>
      </c>
    </row>
    <row r="27" spans="1:9" ht="15.75" thickBot="1" x14ac:dyDescent="0.3"/>
    <row r="28" spans="1:9" ht="30" x14ac:dyDescent="0.25">
      <c r="A28" s="61" t="s">
        <v>124</v>
      </c>
      <c r="B28" s="64" t="s">
        <v>115</v>
      </c>
      <c r="C28" s="64" t="s">
        <v>139</v>
      </c>
      <c r="D28" s="70" t="s">
        <v>138</v>
      </c>
      <c r="E28" s="62" t="s">
        <v>125</v>
      </c>
    </row>
    <row r="29" spans="1:9" x14ac:dyDescent="0.25">
      <c r="A29" s="44" t="s">
        <v>116</v>
      </c>
      <c r="B29" s="67">
        <f>+B17</f>
        <v>0.6</v>
      </c>
      <c r="C29" s="54">
        <v>40</v>
      </c>
      <c r="D29" s="54">
        <f>+C17</f>
        <v>442800</v>
      </c>
      <c r="E29" s="55">
        <f>+C29*D29</f>
        <v>17712000</v>
      </c>
      <c r="I29" s="51">
        <f>+B50/30*300</f>
        <v>17712000</v>
      </c>
    </row>
    <row r="30" spans="1:9" x14ac:dyDescent="0.25">
      <c r="A30" s="44" t="s">
        <v>117</v>
      </c>
      <c r="B30" s="67">
        <f t="shared" ref="B30:B35" si="0">+B18</f>
        <v>0.6</v>
      </c>
      <c r="C30" s="54">
        <v>40</v>
      </c>
      <c r="D30" s="54">
        <f t="shared" ref="D30:D35" si="1">+C18</f>
        <v>442800</v>
      </c>
      <c r="E30" s="55">
        <f t="shared" ref="E30:E35" si="2">+C30*D30</f>
        <v>17712000</v>
      </c>
    </row>
    <row r="31" spans="1:9" x14ac:dyDescent="0.25">
      <c r="A31" s="44" t="s">
        <v>118</v>
      </c>
      <c r="B31" s="67">
        <f t="shared" si="0"/>
        <v>0.7</v>
      </c>
      <c r="C31" s="54">
        <v>40</v>
      </c>
      <c r="D31" s="54">
        <f t="shared" si="1"/>
        <v>516599.99999999994</v>
      </c>
      <c r="E31" s="55">
        <f t="shared" si="2"/>
        <v>20663999.999999996</v>
      </c>
    </row>
    <row r="32" spans="1:9" x14ac:dyDescent="0.25">
      <c r="A32" s="44" t="s">
        <v>119</v>
      </c>
      <c r="B32" s="67">
        <f t="shared" si="0"/>
        <v>0.8</v>
      </c>
      <c r="C32" s="54">
        <v>40</v>
      </c>
      <c r="D32" s="54">
        <f t="shared" si="1"/>
        <v>590400</v>
      </c>
      <c r="E32" s="55">
        <f t="shared" si="2"/>
        <v>23616000</v>
      </c>
    </row>
    <row r="33" spans="1:8" x14ac:dyDescent="0.25">
      <c r="A33" s="44" t="s">
        <v>120</v>
      </c>
      <c r="B33" s="67">
        <f t="shared" si="0"/>
        <v>0.9</v>
      </c>
      <c r="C33" s="54">
        <v>40</v>
      </c>
      <c r="D33" s="54">
        <f t="shared" si="1"/>
        <v>664200</v>
      </c>
      <c r="E33" s="55">
        <f t="shared" si="2"/>
        <v>26568000</v>
      </c>
    </row>
    <row r="34" spans="1:8" x14ac:dyDescent="0.25">
      <c r="A34" s="44" t="s">
        <v>121</v>
      </c>
      <c r="B34" s="67">
        <f t="shared" si="0"/>
        <v>1</v>
      </c>
      <c r="C34" s="54">
        <v>40</v>
      </c>
      <c r="D34" s="54">
        <f t="shared" si="1"/>
        <v>738000</v>
      </c>
      <c r="E34" s="55">
        <f t="shared" si="2"/>
        <v>29520000</v>
      </c>
    </row>
    <row r="35" spans="1:8" ht="15.75" thickBot="1" x14ac:dyDescent="0.3">
      <c r="A35" s="45" t="s">
        <v>122</v>
      </c>
      <c r="B35" s="67">
        <f t="shared" si="0"/>
        <v>1</v>
      </c>
      <c r="C35" s="63">
        <v>40</v>
      </c>
      <c r="D35" s="63">
        <f t="shared" si="1"/>
        <v>738000</v>
      </c>
      <c r="E35" s="56">
        <f t="shared" si="2"/>
        <v>29520000</v>
      </c>
    </row>
    <row r="38" spans="1:8" x14ac:dyDescent="0.25">
      <c r="A38" s="53" t="s">
        <v>126</v>
      </c>
    </row>
    <row r="39" spans="1:8" x14ac:dyDescent="0.25">
      <c r="A39" t="s">
        <v>0</v>
      </c>
      <c r="B39" s="37" t="s">
        <v>97</v>
      </c>
      <c r="C39" s="37" t="s">
        <v>98</v>
      </c>
      <c r="D39" s="37" t="s">
        <v>99</v>
      </c>
      <c r="E39" s="37" t="s">
        <v>100</v>
      </c>
      <c r="F39" s="37" t="s">
        <v>101</v>
      </c>
      <c r="G39" s="37" t="s">
        <v>102</v>
      </c>
      <c r="H39" s="37" t="s">
        <v>103</v>
      </c>
    </row>
    <row r="40" spans="1:8" x14ac:dyDescent="0.25">
      <c r="A40" t="s">
        <v>140</v>
      </c>
      <c r="B40" s="51">
        <v>0</v>
      </c>
    </row>
    <row r="41" spans="1:8" x14ac:dyDescent="0.25">
      <c r="A41" t="s">
        <v>141</v>
      </c>
      <c r="B41" s="51">
        <f>+C17</f>
        <v>442800</v>
      </c>
      <c r="C41" s="51">
        <f>+C18</f>
        <v>442800</v>
      </c>
      <c r="D41" s="51">
        <f>+C19</f>
        <v>516599.99999999994</v>
      </c>
      <c r="E41" s="51">
        <f>+C20</f>
        <v>590400</v>
      </c>
      <c r="F41" s="51">
        <f>+C21</f>
        <v>664200</v>
      </c>
      <c r="G41" s="51">
        <f>+C22</f>
        <v>738000</v>
      </c>
      <c r="H41" s="51">
        <f>+C23</f>
        <v>738000</v>
      </c>
    </row>
    <row r="42" spans="1:8" x14ac:dyDescent="0.25">
      <c r="A42" t="s">
        <v>142</v>
      </c>
    </row>
    <row r="43" spans="1:8" x14ac:dyDescent="0.25">
      <c r="A43" t="s">
        <v>143</v>
      </c>
      <c r="B43" s="51">
        <v>420000</v>
      </c>
    </row>
    <row r="44" spans="1:8" x14ac:dyDescent="0.25">
      <c r="A44" t="s">
        <v>135</v>
      </c>
      <c r="B44" s="51">
        <v>72</v>
      </c>
      <c r="C44" s="51">
        <v>72</v>
      </c>
      <c r="D44" s="51">
        <v>72</v>
      </c>
      <c r="E44" s="51">
        <v>72</v>
      </c>
      <c r="F44" s="51">
        <v>72</v>
      </c>
      <c r="G44" s="51">
        <v>72</v>
      </c>
      <c r="H44" s="51">
        <v>72</v>
      </c>
    </row>
    <row r="45" spans="1:8" x14ac:dyDescent="0.25">
      <c r="A45" t="s">
        <v>127</v>
      </c>
      <c r="B45" s="51">
        <v>30200000</v>
      </c>
    </row>
    <row r="47" spans="1:8" ht="15.75" thickBot="1" x14ac:dyDescent="0.3">
      <c r="A47" s="53" t="s">
        <v>128</v>
      </c>
    </row>
    <row r="48" spans="1:8" s="52" customFormat="1" x14ac:dyDescent="0.25">
      <c r="A48" s="61" t="s">
        <v>0</v>
      </c>
      <c r="B48" s="38" t="s">
        <v>97</v>
      </c>
      <c r="C48" s="38" t="s">
        <v>98</v>
      </c>
      <c r="D48" s="38" t="s">
        <v>99</v>
      </c>
      <c r="E48" s="38" t="s">
        <v>100</v>
      </c>
      <c r="F48" s="38" t="s">
        <v>101</v>
      </c>
      <c r="G48" s="38" t="s">
        <v>102</v>
      </c>
      <c r="H48" s="48" t="s">
        <v>103</v>
      </c>
    </row>
    <row r="49" spans="1:10" x14ac:dyDescent="0.25">
      <c r="A49" s="44" t="s">
        <v>144</v>
      </c>
      <c r="B49" s="54">
        <f>2.92/4.72*3861294</f>
        <v>2388766.6271186443</v>
      </c>
      <c r="C49" s="54"/>
      <c r="D49" s="54"/>
      <c r="E49" s="54"/>
      <c r="F49" s="54"/>
      <c r="G49" s="54"/>
      <c r="H49" s="55"/>
    </row>
    <row r="50" spans="1:10" x14ac:dyDescent="0.25">
      <c r="A50" s="44" t="s">
        <v>145</v>
      </c>
      <c r="B50" s="54">
        <f>+E29/300*30</f>
        <v>1771200</v>
      </c>
      <c r="C50" s="54">
        <f>+E30/300*30</f>
        <v>1771200</v>
      </c>
      <c r="D50" s="54">
        <f>+E31/300*30</f>
        <v>2066399.9999999995</v>
      </c>
      <c r="E50" s="54">
        <f>+E32/300*30</f>
        <v>2361600</v>
      </c>
      <c r="F50" s="54">
        <f>+E33/300*30</f>
        <v>2656800</v>
      </c>
      <c r="G50" s="54">
        <f>+E34/300*30</f>
        <v>2952000</v>
      </c>
      <c r="H50" s="55">
        <f>+E35/300*30</f>
        <v>2952000</v>
      </c>
    </row>
    <row r="51" spans="1:10" ht="15.75" thickBot="1" x14ac:dyDescent="0.3">
      <c r="A51" s="45" t="s">
        <v>15</v>
      </c>
      <c r="B51" s="63">
        <f>+B49+B50</f>
        <v>4159966.6271186443</v>
      </c>
      <c r="C51" s="63">
        <f t="shared" ref="C51:H51" si="3">+C49+C50</f>
        <v>1771200</v>
      </c>
      <c r="D51" s="63">
        <f t="shared" si="3"/>
        <v>2066399.9999999995</v>
      </c>
      <c r="E51" s="63">
        <f t="shared" si="3"/>
        <v>2361600</v>
      </c>
      <c r="F51" s="63">
        <f t="shared" si="3"/>
        <v>2656800</v>
      </c>
      <c r="G51" s="63">
        <f t="shared" si="3"/>
        <v>2952000</v>
      </c>
      <c r="H51" s="63">
        <f t="shared" si="3"/>
        <v>2952000</v>
      </c>
    </row>
    <row r="52" spans="1:10" x14ac:dyDescent="0.25">
      <c r="B52" s="51">
        <f>+B55-B50</f>
        <v>7795588.7667887658</v>
      </c>
      <c r="C52" s="51">
        <f>+B52/15*4.16666666666667</f>
        <v>2165441.324107992</v>
      </c>
    </row>
    <row r="53" spans="1:10" ht="15.75" thickBot="1" x14ac:dyDescent="0.3">
      <c r="A53" s="53" t="s">
        <v>129</v>
      </c>
    </row>
    <row r="54" spans="1:10" x14ac:dyDescent="0.25">
      <c r="A54" s="61" t="s">
        <v>0</v>
      </c>
      <c r="B54" s="62" t="s">
        <v>130</v>
      </c>
    </row>
    <row r="55" spans="1:10" x14ac:dyDescent="0.25">
      <c r="A55" s="44" t="s">
        <v>131</v>
      </c>
      <c r="B55" s="55">
        <f>472000/819000*J58</f>
        <v>9566788.7667887658</v>
      </c>
    </row>
    <row r="56" spans="1:10" x14ac:dyDescent="0.25">
      <c r="A56" s="44" t="s">
        <v>5</v>
      </c>
      <c r="B56" s="55">
        <f>431000/819000*J58</f>
        <v>8735775.3357753363</v>
      </c>
    </row>
    <row r="57" spans="1:10" x14ac:dyDescent="0.25">
      <c r="A57" s="44" t="s">
        <v>1</v>
      </c>
      <c r="B57" s="55">
        <f>84000/819000*J58</f>
        <v>1702564.1025641025</v>
      </c>
    </row>
    <row r="58" spans="1:10" x14ac:dyDescent="0.25">
      <c r="A58" s="59" t="s">
        <v>132</v>
      </c>
      <c r="B58" s="60">
        <f>+B55+B56-B57</f>
        <v>16600000.000000002</v>
      </c>
      <c r="J58" s="51">
        <f>+'Investment in project'!E15</f>
        <v>16600000</v>
      </c>
    </row>
    <row r="59" spans="1:10" x14ac:dyDescent="0.25">
      <c r="A59" s="44" t="s">
        <v>133</v>
      </c>
      <c r="B59" s="55">
        <f>+B58*10%</f>
        <v>1660000.0000000002</v>
      </c>
    </row>
    <row r="60" spans="1:10" ht="15.75" thickBot="1" x14ac:dyDescent="0.3">
      <c r="A60" s="57" t="s">
        <v>134</v>
      </c>
      <c r="B60" s="58">
        <f>+B58-B59</f>
        <v>14940000.000000002</v>
      </c>
    </row>
    <row r="62" spans="1:10" x14ac:dyDescent="0.25">
      <c r="B62" s="51">
        <f>+B60/20%</f>
        <v>74700000</v>
      </c>
    </row>
  </sheetData>
  <mergeCells count="4">
    <mergeCell ref="A1:H1"/>
    <mergeCell ref="A2:H2"/>
    <mergeCell ref="A3:H3"/>
    <mergeCell ref="A4:H4"/>
  </mergeCells>
  <pageMargins left="0.7" right="0.7" top="0.75" bottom="0.75" header="0.3" footer="0.3"/>
  <pageSetup scale="7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1:M45"/>
  <sheetViews>
    <sheetView showGridLines="0" topLeftCell="A22" zoomScaleNormal="100" zoomScaleSheetLayoutView="100" workbookViewId="0">
      <selection activeCell="D41" sqref="D41:K41"/>
    </sheetView>
  </sheetViews>
  <sheetFormatPr defaultRowHeight="15" x14ac:dyDescent="0.25"/>
  <cols>
    <col min="1" max="1" width="5.28515625" style="78" customWidth="1"/>
    <col min="2" max="2" width="37.140625" style="249" customWidth="1"/>
    <col min="3" max="3" width="15.140625" style="235" hidden="1" customWidth="1"/>
    <col min="4" max="4" width="17" style="240" bestFit="1" customWidth="1"/>
    <col min="5" max="5" width="15.85546875" style="240" bestFit="1" customWidth="1"/>
    <col min="6" max="8" width="15.85546875" style="81" bestFit="1" customWidth="1"/>
    <col min="9" max="10" width="16.28515625" style="81" bestFit="1" customWidth="1"/>
    <col min="11" max="11" width="17" style="81" bestFit="1" customWidth="1"/>
    <col min="12" max="12" width="9.140625" style="78"/>
    <col min="13" max="13" width="16.85546875" style="78" bestFit="1" customWidth="1"/>
    <col min="14" max="16384" width="9.140625" style="78"/>
  </cols>
  <sheetData>
    <row r="1" spans="2:11" x14ac:dyDescent="0.25">
      <c r="B1" s="390"/>
      <c r="C1" s="390"/>
      <c r="D1" s="390"/>
      <c r="E1" s="390"/>
      <c r="F1" s="390"/>
      <c r="G1" s="390"/>
      <c r="H1" s="390"/>
      <c r="I1" s="390"/>
      <c r="J1" s="390"/>
      <c r="K1" s="390"/>
    </row>
    <row r="2" spans="2:11" ht="18" customHeight="1" x14ac:dyDescent="0.25">
      <c r="B2" s="300" t="str">
        <f>'Investment in project'!B2:E2</f>
        <v xml:space="preserve">ORENSE INDUSTRIES PRIVATE LIMITED, CIN: U23209OR2022PTC041057,  Andhapasra Road, Near Hanuman Temple, Berhampur Ganjam Pin- 760002 </v>
      </c>
      <c r="C2" s="302"/>
      <c r="D2" s="302"/>
      <c r="E2" s="302"/>
      <c r="F2" s="302"/>
      <c r="G2" s="302"/>
      <c r="H2" s="302"/>
      <c r="I2" s="302"/>
      <c r="J2" s="302"/>
      <c r="K2" s="300"/>
    </row>
    <row r="3" spans="2:11" ht="13.5" customHeight="1" x14ac:dyDescent="0.25">
      <c r="B3" s="80"/>
      <c r="C3" s="78"/>
      <c r="D3" s="78"/>
      <c r="E3" s="78"/>
      <c r="F3" s="78"/>
      <c r="G3" s="78"/>
      <c r="H3" s="78"/>
      <c r="I3" s="78"/>
      <c r="J3" s="78"/>
      <c r="K3" s="78"/>
    </row>
    <row r="4" spans="2:11" ht="18" customHeight="1" x14ac:dyDescent="0.25">
      <c r="B4" s="391" t="s">
        <v>58</v>
      </c>
      <c r="C4" s="391"/>
      <c r="D4" s="391"/>
      <c r="E4" s="391"/>
      <c r="F4" s="391"/>
      <c r="G4" s="391"/>
      <c r="H4" s="391"/>
      <c r="I4" s="391"/>
      <c r="J4" s="391"/>
      <c r="K4" s="391"/>
    </row>
    <row r="5" spans="2:11" x14ac:dyDescent="0.25">
      <c r="B5" s="239"/>
      <c r="C5" s="305"/>
      <c r="D5" s="239"/>
      <c r="E5" s="239"/>
      <c r="F5" s="239"/>
      <c r="G5" s="239"/>
      <c r="H5" s="239"/>
      <c r="I5" s="239"/>
      <c r="J5" s="239"/>
      <c r="K5" s="239"/>
    </row>
    <row r="6" spans="2:11" x14ac:dyDescent="0.25">
      <c r="B6" s="245" t="s">
        <v>38</v>
      </c>
      <c r="C6" s="184"/>
      <c r="D6" s="194"/>
      <c r="E6" s="194"/>
      <c r="F6" s="170"/>
      <c r="G6" s="170"/>
      <c r="H6" s="170"/>
      <c r="I6" s="170"/>
      <c r="J6" s="170"/>
      <c r="K6" s="170"/>
    </row>
    <row r="7" spans="2:11" ht="18" customHeight="1" x14ac:dyDescent="0.25">
      <c r="B7" s="245" t="s">
        <v>0</v>
      </c>
      <c r="C7" s="244" t="s">
        <v>76</v>
      </c>
      <c r="D7" s="392" t="s">
        <v>21</v>
      </c>
      <c r="E7" s="392"/>
      <c r="F7" s="392"/>
      <c r="G7" s="392"/>
      <c r="H7" s="392"/>
      <c r="I7" s="392"/>
      <c r="J7" s="392"/>
      <c r="K7" s="392"/>
    </row>
    <row r="8" spans="2:11" ht="21.75" customHeight="1" x14ac:dyDescent="0.25">
      <c r="B8" s="208" t="s">
        <v>34</v>
      </c>
      <c r="C8" s="251"/>
      <c r="D8" s="138" t="str">
        <f>+dscr!C6</f>
        <v>FY-24-25</v>
      </c>
      <c r="E8" s="138" t="str">
        <f>+dscr!D6</f>
        <v>FY-25-26</v>
      </c>
      <c r="F8" s="138" t="str">
        <f>+dscr!E6</f>
        <v>FY-26-27</v>
      </c>
      <c r="G8" s="138" t="str">
        <f>+dscr!F6</f>
        <v>FY-27-28</v>
      </c>
      <c r="H8" s="138" t="str">
        <f>+dscr!G6</f>
        <v>FY-28-29</v>
      </c>
      <c r="I8" s="138" t="str">
        <f>+dscr!H6</f>
        <v>FY-29-30</v>
      </c>
      <c r="J8" s="138" t="str">
        <f>+dscr!I6</f>
        <v>FY-30-31</v>
      </c>
      <c r="K8" s="138" t="str">
        <f>+dscr!J6</f>
        <v>FY-31-32</v>
      </c>
    </row>
    <row r="9" spans="2:11" ht="26.25" customHeight="1" x14ac:dyDescent="0.25">
      <c r="B9" s="246" t="s">
        <v>39</v>
      </c>
      <c r="D9" s="192">
        <f>+PL!C9</f>
        <v>374536807.55669999</v>
      </c>
      <c r="E9" s="192">
        <f>+PL!D9</f>
        <v>539333002.88164806</v>
      </c>
      <c r="F9" s="192">
        <f>+PL!E9</f>
        <v>550119662.93928099</v>
      </c>
      <c r="G9" s="192">
        <f>+PL!F9</f>
        <v>561122056.19806659</v>
      </c>
      <c r="H9" s="192">
        <f>+PL!G9</f>
        <v>572344497.32202804</v>
      </c>
      <c r="I9" s="192">
        <f>+PL!H9</f>
        <v>583791387.26846838</v>
      </c>
      <c r="J9" s="192">
        <f>+PL!I9</f>
        <v>595467215.01383781</v>
      </c>
      <c r="K9" s="192">
        <f>+PL!J9</f>
        <v>607376559.31411469</v>
      </c>
    </row>
    <row r="10" spans="2:11" ht="26.25" customHeight="1" x14ac:dyDescent="0.25">
      <c r="B10" s="246" t="s">
        <v>40</v>
      </c>
      <c r="D10" s="192">
        <f t="shared" ref="D10:K10" si="0">+D9*25%</f>
        <v>93634201.889174998</v>
      </c>
      <c r="E10" s="192">
        <f t="shared" si="0"/>
        <v>134833250.72041202</v>
      </c>
      <c r="F10" s="192">
        <f t="shared" si="0"/>
        <v>137529915.73482025</v>
      </c>
      <c r="G10" s="192">
        <f t="shared" si="0"/>
        <v>140280514.04951665</v>
      </c>
      <c r="H10" s="192">
        <f t="shared" si="0"/>
        <v>143086124.33050701</v>
      </c>
      <c r="I10" s="192">
        <f t="shared" si="0"/>
        <v>145947846.81711709</v>
      </c>
      <c r="J10" s="192">
        <f t="shared" si="0"/>
        <v>148866803.75345945</v>
      </c>
      <c r="K10" s="192">
        <f t="shared" si="0"/>
        <v>151844139.82852867</v>
      </c>
    </row>
    <row r="11" spans="2:11" ht="26.25" customHeight="1" x14ac:dyDescent="0.25">
      <c r="B11" s="246" t="s">
        <v>41</v>
      </c>
      <c r="D11" s="192">
        <f t="shared" ref="D11:K11" si="1">+D9*5%</f>
        <v>18726840.377835002</v>
      </c>
      <c r="E11" s="192">
        <f t="shared" si="1"/>
        <v>26966650.144082405</v>
      </c>
      <c r="F11" s="192">
        <f t="shared" si="1"/>
        <v>27505983.146964051</v>
      </c>
      <c r="G11" s="192">
        <f t="shared" si="1"/>
        <v>28056102.809903331</v>
      </c>
      <c r="H11" s="192">
        <f t="shared" si="1"/>
        <v>28617224.866101403</v>
      </c>
      <c r="I11" s="192">
        <f t="shared" si="1"/>
        <v>29189569.363423422</v>
      </c>
      <c r="J11" s="192">
        <f t="shared" si="1"/>
        <v>29773360.750691891</v>
      </c>
      <c r="K11" s="192">
        <f t="shared" si="1"/>
        <v>30368827.965705737</v>
      </c>
    </row>
    <row r="12" spans="2:11" ht="26.25" customHeight="1" x14ac:dyDescent="0.25">
      <c r="B12" s="246" t="s">
        <v>42</v>
      </c>
      <c r="D12" s="192">
        <f t="shared" ref="D12:K12" si="2">+D10-D11</f>
        <v>74907361.511339992</v>
      </c>
      <c r="E12" s="192">
        <f t="shared" si="2"/>
        <v>107866600.57632962</v>
      </c>
      <c r="F12" s="192">
        <f t="shared" si="2"/>
        <v>110023932.5878562</v>
      </c>
      <c r="G12" s="192">
        <f t="shared" si="2"/>
        <v>112224411.23961332</v>
      </c>
      <c r="H12" s="192">
        <f t="shared" si="2"/>
        <v>114468899.46440561</v>
      </c>
      <c r="I12" s="192">
        <f t="shared" si="2"/>
        <v>116758277.45369367</v>
      </c>
      <c r="J12" s="192">
        <f t="shared" si="2"/>
        <v>119093443.00276756</v>
      </c>
      <c r="K12" s="192">
        <f t="shared" si="2"/>
        <v>121475311.86282293</v>
      </c>
    </row>
    <row r="13" spans="2:11" ht="22.5" customHeight="1" x14ac:dyDescent="0.25">
      <c r="B13" s="252" t="s">
        <v>35</v>
      </c>
      <c r="C13" s="253"/>
      <c r="D13" s="233">
        <f>+BS!C29</f>
        <v>12450000</v>
      </c>
      <c r="E13" s="233">
        <f>+BS!D29</f>
        <v>12450000</v>
      </c>
      <c r="F13" s="233">
        <f>+BS!E29</f>
        <v>12450000</v>
      </c>
      <c r="G13" s="233">
        <f>+BS!F29</f>
        <v>12450000</v>
      </c>
      <c r="H13" s="233">
        <f>+BS!G29</f>
        <v>12450000</v>
      </c>
      <c r="I13" s="233">
        <f>+BS!H29</f>
        <v>12450000</v>
      </c>
      <c r="J13" s="233">
        <f>+BS!I29</f>
        <v>12450000</v>
      </c>
      <c r="K13" s="233">
        <f>+BS!J29</f>
        <v>12450000</v>
      </c>
    </row>
    <row r="14" spans="2:11" ht="24" customHeight="1" x14ac:dyDescent="0.25">
      <c r="B14" s="254" t="s">
        <v>36</v>
      </c>
      <c r="C14" s="255"/>
      <c r="D14" s="256" t="s">
        <v>37</v>
      </c>
      <c r="E14" s="256" t="s">
        <v>37</v>
      </c>
      <c r="F14" s="256" t="s">
        <v>37</v>
      </c>
      <c r="G14" s="256" t="s">
        <v>37</v>
      </c>
      <c r="H14" s="256" t="s">
        <v>37</v>
      </c>
      <c r="I14" s="256" t="s">
        <v>37</v>
      </c>
      <c r="J14" s="256" t="s">
        <v>37</v>
      </c>
      <c r="K14" s="256" t="s">
        <v>37</v>
      </c>
    </row>
    <row r="15" spans="2:11" x14ac:dyDescent="0.25">
      <c r="B15" s="132">
        <v>100000</v>
      </c>
      <c r="C15" s="126"/>
      <c r="D15" s="192"/>
      <c r="E15" s="192"/>
    </row>
    <row r="16" spans="2:11" x14ac:dyDescent="0.25">
      <c r="B16" s="245" t="s">
        <v>155</v>
      </c>
      <c r="C16" s="184"/>
      <c r="D16" s="194"/>
      <c r="E16" s="194"/>
      <c r="F16" s="170"/>
      <c r="G16" s="170"/>
      <c r="H16" s="170"/>
      <c r="I16" s="170"/>
      <c r="J16" s="170"/>
      <c r="K16" s="170"/>
    </row>
    <row r="17" spans="2:13" ht="20.25" customHeight="1" x14ac:dyDescent="0.25">
      <c r="B17" s="257" t="s">
        <v>0</v>
      </c>
      <c r="C17" s="184"/>
      <c r="D17" s="392" t="s">
        <v>21</v>
      </c>
      <c r="E17" s="392"/>
      <c r="F17" s="392"/>
      <c r="G17" s="392"/>
      <c r="H17" s="392"/>
      <c r="I17" s="392"/>
      <c r="J17" s="392"/>
      <c r="K17" s="392"/>
    </row>
    <row r="18" spans="2:13" ht="16.5" customHeight="1" x14ac:dyDescent="0.25">
      <c r="B18" s="118" t="s">
        <v>34</v>
      </c>
      <c r="C18" s="126"/>
      <c r="D18" s="92" t="str">
        <f t="shared" ref="D18:K18" si="3">+D8</f>
        <v>FY-24-25</v>
      </c>
      <c r="E18" s="92" t="str">
        <f t="shared" si="3"/>
        <v>FY-25-26</v>
      </c>
      <c r="F18" s="92" t="str">
        <f t="shared" si="3"/>
        <v>FY-26-27</v>
      </c>
      <c r="G18" s="92" t="str">
        <f t="shared" si="3"/>
        <v>FY-27-28</v>
      </c>
      <c r="H18" s="92" t="str">
        <f t="shared" si="3"/>
        <v>FY-28-29</v>
      </c>
      <c r="I18" s="92" t="str">
        <f t="shared" si="3"/>
        <v>FY-29-30</v>
      </c>
      <c r="J18" s="92" t="str">
        <f t="shared" si="3"/>
        <v>FY-30-31</v>
      </c>
      <c r="K18" s="92" t="str">
        <f t="shared" si="3"/>
        <v>FY-31-32</v>
      </c>
    </row>
    <row r="19" spans="2:13" x14ac:dyDescent="0.25">
      <c r="B19" s="80" t="s">
        <v>150</v>
      </c>
      <c r="C19" s="126"/>
      <c r="D19" s="313">
        <f>(+BS!C43+BS!C45+BS!C47+BS!C49)/100000</f>
        <v>447.75572872572155</v>
      </c>
      <c r="E19" s="313">
        <f>(+BS!D43+BS!D45+BS!D47+BS!D49)/100000</f>
        <v>513.39570793141309</v>
      </c>
      <c r="F19" s="313">
        <f>(+BS!E43+BS!E45+BS!E47+BS!E49)/100000</f>
        <v>629.64769394919779</v>
      </c>
      <c r="G19" s="313">
        <f>(+BS!F43+BS!F45+BS!F47+BS!F49)/100000</f>
        <v>749.02052663166228</v>
      </c>
      <c r="H19" s="313">
        <f>(+BS!G43+BS!G45+BS!G47+BS!G49)/100000</f>
        <v>871.28318078304301</v>
      </c>
      <c r="I19" s="313">
        <f>(+BS!H43+BS!H45+BS!H47+BS!H49)/100000</f>
        <v>996.06362606166442</v>
      </c>
      <c r="J19" s="313">
        <f>(+BS!I43+BS!I45+BS!I47+BS!I49)/100000</f>
        <v>1122.8451613862094</v>
      </c>
      <c r="K19" s="313">
        <f>(+BS!J43+BS!J45+BS!J47+BS!J49)/100000</f>
        <v>1243.3763428458115</v>
      </c>
    </row>
    <row r="20" spans="2:13" ht="30" x14ac:dyDescent="0.25">
      <c r="B20" s="248" t="s">
        <v>151</v>
      </c>
      <c r="C20" s="126"/>
      <c r="D20" s="313">
        <f>(+BS!C31)/100000</f>
        <v>30.6</v>
      </c>
      <c r="E20" s="313">
        <f>(+BS!D31)/100000</f>
        <v>44.064</v>
      </c>
      <c r="F20" s="313">
        <f>(+BS!E31)/100000</f>
        <v>44.945279999999997</v>
      </c>
      <c r="G20" s="313">
        <f>(+BS!F31)/100000</f>
        <v>45.844185600000003</v>
      </c>
      <c r="H20" s="313">
        <f>(+BS!G31)/100000</f>
        <v>46.761069311999997</v>
      </c>
      <c r="I20" s="313">
        <f>(+BS!H31)/100000</f>
        <v>47.696290698240006</v>
      </c>
      <c r="J20" s="313">
        <f>(+BS!I31)/100000</f>
        <v>48.6502165122048</v>
      </c>
      <c r="K20" s="313">
        <f>(+BS!J31)/100000</f>
        <v>49.623220842448902</v>
      </c>
    </row>
    <row r="21" spans="2:13" x14ac:dyDescent="0.25">
      <c r="B21" s="80" t="s">
        <v>152</v>
      </c>
      <c r="C21" s="126"/>
      <c r="D21" s="192">
        <f>+D19-D20</f>
        <v>417.15572872572153</v>
      </c>
      <c r="E21" s="192">
        <f t="shared" ref="E21:K21" si="4">+E19-E20</f>
        <v>469.33170793141306</v>
      </c>
      <c r="F21" s="192">
        <f t="shared" si="4"/>
        <v>584.70241394919776</v>
      </c>
      <c r="G21" s="192">
        <f t="shared" si="4"/>
        <v>703.17634103166233</v>
      </c>
      <c r="H21" s="192">
        <f t="shared" si="4"/>
        <v>824.52211147104299</v>
      </c>
      <c r="I21" s="192">
        <f t="shared" si="4"/>
        <v>948.36733536342444</v>
      </c>
      <c r="J21" s="192">
        <f t="shared" si="4"/>
        <v>1074.1949448740045</v>
      </c>
      <c r="K21" s="192">
        <f t="shared" si="4"/>
        <v>1193.7531220033625</v>
      </c>
      <c r="M21" s="126"/>
    </row>
    <row r="22" spans="2:13" x14ac:dyDescent="0.25">
      <c r="B22" s="80" t="s">
        <v>153</v>
      </c>
      <c r="C22" s="126"/>
      <c r="D22" s="192">
        <f>+D21*25%</f>
        <v>104.28893218143038</v>
      </c>
      <c r="E22" s="192">
        <f t="shared" ref="E22:K22" si="5">+E21*25%</f>
        <v>117.33292698285327</v>
      </c>
      <c r="F22" s="192">
        <f t="shared" si="5"/>
        <v>146.17560348729944</v>
      </c>
      <c r="G22" s="192">
        <f t="shared" si="5"/>
        <v>175.79408525791558</v>
      </c>
      <c r="H22" s="192">
        <f t="shared" si="5"/>
        <v>206.13052786776075</v>
      </c>
      <c r="I22" s="192">
        <f t="shared" si="5"/>
        <v>237.09183384085611</v>
      </c>
      <c r="J22" s="192">
        <f t="shared" si="5"/>
        <v>268.54873621850112</v>
      </c>
      <c r="K22" s="192">
        <f t="shared" si="5"/>
        <v>298.43828050084062</v>
      </c>
      <c r="M22" s="204"/>
    </row>
    <row r="23" spans="2:13" ht="30" x14ac:dyDescent="0.25">
      <c r="B23" s="248" t="s">
        <v>154</v>
      </c>
      <c r="C23" s="126"/>
      <c r="D23" s="192">
        <f>+D21-D22</f>
        <v>312.86679654429116</v>
      </c>
      <c r="E23" s="192">
        <f t="shared" ref="E23:K23" si="6">+E21-E22</f>
        <v>351.99878094855978</v>
      </c>
      <c r="F23" s="192">
        <f t="shared" si="6"/>
        <v>438.52681046189832</v>
      </c>
      <c r="G23" s="192">
        <f t="shared" si="6"/>
        <v>527.38225577374669</v>
      </c>
      <c r="H23" s="192">
        <f t="shared" si="6"/>
        <v>618.39158360328224</v>
      </c>
      <c r="I23" s="192">
        <f t="shared" si="6"/>
        <v>711.27550152256833</v>
      </c>
      <c r="J23" s="192">
        <f t="shared" si="6"/>
        <v>805.64620865550341</v>
      </c>
      <c r="K23" s="192">
        <f t="shared" si="6"/>
        <v>895.31484150252186</v>
      </c>
      <c r="M23" s="78">
        <v>12450000</v>
      </c>
    </row>
    <row r="24" spans="2:13" x14ac:dyDescent="0.25">
      <c r="B24" s="248" t="s">
        <v>35</v>
      </c>
      <c r="C24" s="126"/>
      <c r="D24" s="313">
        <f>(+BS!C29)/100000</f>
        <v>124.5</v>
      </c>
      <c r="E24" s="313">
        <f>(+BS!D29)/100000</f>
        <v>124.5</v>
      </c>
      <c r="F24" s="313">
        <f>(+BS!E29)/100000</f>
        <v>124.5</v>
      </c>
      <c r="G24" s="313">
        <f>(+BS!F29)/100000</f>
        <v>124.5</v>
      </c>
      <c r="H24" s="313">
        <f>(+BS!G29)/100000</f>
        <v>124.5</v>
      </c>
      <c r="I24" s="313">
        <f>(+BS!H29)/100000</f>
        <v>124.5</v>
      </c>
      <c r="J24" s="313">
        <f>(+BS!I29)/100000</f>
        <v>124.5</v>
      </c>
      <c r="K24" s="313">
        <f>(+BS!J29)/100000</f>
        <v>124.5</v>
      </c>
    </row>
    <row r="25" spans="2:13" ht="18.75" customHeight="1" x14ac:dyDescent="0.25">
      <c r="B25" s="258" t="s">
        <v>36</v>
      </c>
      <c r="C25" s="259"/>
      <c r="D25" s="233" t="s">
        <v>37</v>
      </c>
      <c r="E25" s="233" t="s">
        <v>37</v>
      </c>
      <c r="F25" s="233" t="s">
        <v>37</v>
      </c>
      <c r="G25" s="233" t="s">
        <v>37</v>
      </c>
      <c r="H25" s="233" t="s">
        <v>37</v>
      </c>
      <c r="I25" s="233" t="s">
        <v>37</v>
      </c>
      <c r="J25" s="233" t="s">
        <v>37</v>
      </c>
      <c r="K25" s="233" t="s">
        <v>37</v>
      </c>
      <c r="M25" s="196">
        <v>16600000</v>
      </c>
    </row>
    <row r="26" spans="2:13" x14ac:dyDescent="0.25">
      <c r="B26" s="137"/>
      <c r="C26" s="126"/>
      <c r="D26" s="192"/>
      <c r="E26" s="192"/>
      <c r="M26" s="204">
        <f>+M25*25%</f>
        <v>4150000</v>
      </c>
    </row>
    <row r="27" spans="2:13" x14ac:dyDescent="0.25">
      <c r="B27" s="137"/>
      <c r="C27" s="126"/>
      <c r="D27" s="192"/>
      <c r="E27" s="192"/>
      <c r="M27" s="235">
        <f>+M25-M26</f>
        <v>12450000</v>
      </c>
    </row>
    <row r="28" spans="2:13" x14ac:dyDescent="0.25">
      <c r="M28" s="235"/>
    </row>
    <row r="29" spans="2:13" ht="17.25" customHeight="1" x14ac:dyDescent="0.25">
      <c r="B29" s="208" t="s">
        <v>43</v>
      </c>
      <c r="C29" s="181"/>
      <c r="D29" s="193"/>
      <c r="E29" s="193"/>
      <c r="F29" s="164"/>
      <c r="G29" s="164"/>
      <c r="H29" s="164"/>
      <c r="I29" s="164"/>
      <c r="J29" s="164"/>
      <c r="K29" s="164"/>
      <c r="M29" s="235"/>
    </row>
    <row r="30" spans="2:13" x14ac:dyDescent="0.25">
      <c r="B30" s="208" t="s">
        <v>0</v>
      </c>
      <c r="C30" s="181"/>
      <c r="D30" s="391" t="s">
        <v>76</v>
      </c>
      <c r="E30" s="391"/>
      <c r="F30" s="391"/>
      <c r="G30" s="391"/>
      <c r="H30" s="391"/>
      <c r="I30" s="391"/>
      <c r="J30" s="391"/>
      <c r="K30" s="391"/>
      <c r="M30" s="204"/>
    </row>
    <row r="31" spans="2:13" x14ac:dyDescent="0.25">
      <c r="B31" s="245" t="s">
        <v>34</v>
      </c>
      <c r="C31" s="260" t="s">
        <v>22</v>
      </c>
      <c r="D31" s="122" t="str">
        <f>+D18</f>
        <v>FY-24-25</v>
      </c>
      <c r="E31" s="122" t="str">
        <f t="shared" ref="E31:K31" si="7">+E18</f>
        <v>FY-25-26</v>
      </c>
      <c r="F31" s="122" t="str">
        <f t="shared" si="7"/>
        <v>FY-26-27</v>
      </c>
      <c r="G31" s="122" t="str">
        <f t="shared" si="7"/>
        <v>FY-27-28</v>
      </c>
      <c r="H31" s="122" t="str">
        <f t="shared" si="7"/>
        <v>FY-28-29</v>
      </c>
      <c r="I31" s="122" t="str">
        <f t="shared" si="7"/>
        <v>FY-29-30</v>
      </c>
      <c r="J31" s="122" t="str">
        <f t="shared" si="7"/>
        <v>FY-30-31</v>
      </c>
      <c r="K31" s="122" t="str">
        <f t="shared" si="7"/>
        <v>FY-31-32</v>
      </c>
    </row>
    <row r="32" spans="2:13" ht="18" hidden="1" customHeight="1" x14ac:dyDescent="0.25">
      <c r="B32" s="249" t="s">
        <v>44</v>
      </c>
      <c r="C32" s="235">
        <f>+D9</f>
        <v>374536807.55669999</v>
      </c>
      <c r="D32" s="240">
        <f>+PL!C9</f>
        <v>374536807.55669999</v>
      </c>
      <c r="E32" s="240">
        <f>+PL!D9</f>
        <v>539333002.88164806</v>
      </c>
      <c r="F32" s="240">
        <f>+PL!E9</f>
        <v>550119662.93928099</v>
      </c>
      <c r="G32" s="240">
        <f>+PL!F9</f>
        <v>561122056.19806659</v>
      </c>
      <c r="H32" s="240">
        <f>+PL!G9</f>
        <v>572344497.32202804</v>
      </c>
      <c r="I32" s="240">
        <f>+PL!H9</f>
        <v>583791387.26846838</v>
      </c>
      <c r="J32" s="240">
        <f>+PL!I9</f>
        <v>595467215.01383781</v>
      </c>
      <c r="K32" s="240">
        <f>+PL!J9</f>
        <v>607376559.31411469</v>
      </c>
    </row>
    <row r="33" spans="2:11" ht="18" hidden="1" customHeight="1" x14ac:dyDescent="0.25">
      <c r="B33" s="249" t="s">
        <v>159</v>
      </c>
      <c r="C33" s="235" t="e">
        <f>+PL!#REF!</f>
        <v>#REF!</v>
      </c>
      <c r="D33" s="240">
        <f>+PL!C65</f>
        <v>41640572.872572161</v>
      </c>
      <c r="E33" s="240">
        <f>+PL!D65</f>
        <v>48855737.920569167</v>
      </c>
      <c r="F33" s="240">
        <f>+PL!E65</f>
        <v>50773692.35177847</v>
      </c>
      <c r="G33" s="240">
        <f>+PL!F65</f>
        <v>52627305.89574644</v>
      </c>
      <c r="H33" s="240">
        <f>+PL!G65</f>
        <v>54436805.278313093</v>
      </c>
      <c r="I33" s="240">
        <f>+PL!H65</f>
        <v>56220961.600956887</v>
      </c>
      <c r="J33" s="240">
        <f>+PL!I65</f>
        <v>57997567.542268969</v>
      </c>
      <c r="K33" s="240">
        <f>+PL!J65</f>
        <v>59362793.335590109</v>
      </c>
    </row>
    <row r="34" spans="2:11" ht="18" hidden="1" customHeight="1" x14ac:dyDescent="0.25">
      <c r="B34" s="249" t="s">
        <v>9</v>
      </c>
      <c r="C34" s="235" t="e">
        <f>+PL!#REF!+PL!#REF!+PL!#REF!</f>
        <v>#REF!</v>
      </c>
      <c r="D34" s="240">
        <f>+PL!C38+PL!C39</f>
        <v>3475000</v>
      </c>
      <c r="E34" s="240">
        <f>+PL!D38+PL!D39</f>
        <v>6679875</v>
      </c>
      <c r="F34" s="240">
        <f>+PL!E38+PL!E39</f>
        <v>5701781.25</v>
      </c>
      <c r="G34" s="240">
        <f>+PL!F38+PL!F39</f>
        <v>4868012.8125</v>
      </c>
      <c r="H34" s="240">
        <f>+PL!G38+PL!G39</f>
        <v>4157159.765625</v>
      </c>
      <c r="I34" s="240">
        <f>+PL!H38+PL!H39</f>
        <v>3550999.7882812498</v>
      </c>
      <c r="J34" s="240">
        <f>+PL!I38+PL!I39</f>
        <v>3034022.4087890629</v>
      </c>
      <c r="K34" s="240">
        <f>+PL!J38+PL!J39</f>
        <v>2593024.3773457031</v>
      </c>
    </row>
    <row r="35" spans="2:11" ht="18" hidden="1" customHeight="1" x14ac:dyDescent="0.25">
      <c r="B35" s="249" t="s">
        <v>45</v>
      </c>
      <c r="C35" s="235" t="e">
        <f>+BS!#REF!</f>
        <v>#REF!</v>
      </c>
      <c r="D35" s="240">
        <f>+BS!C13+BS!C21</f>
        <v>38190572.872572161</v>
      </c>
      <c r="E35" s="240">
        <f>+BS!D13+BS!D21</f>
        <v>41046310.793141335</v>
      </c>
      <c r="F35" s="240">
        <f>+BS!E13+BS!E21</f>
        <v>51820003.144919813</v>
      </c>
      <c r="G35" s="240">
        <f>+BS!F13+BS!F21</f>
        <v>64447309.040666252</v>
      </c>
      <c r="H35" s="240">
        <f>+BS!G13+BS!G21</f>
        <v>78884114.318979353</v>
      </c>
      <c r="I35" s="240">
        <f>+BS!H13+BS!H21</f>
        <v>95105075.91993624</v>
      </c>
      <c r="J35" s="240">
        <f>+BS!I13+BS!I21</f>
        <v>113102643.4622052</v>
      </c>
      <c r="K35" s="240">
        <f>+BS!J13+BS!J21</f>
        <v>122465436.7977953</v>
      </c>
    </row>
    <row r="36" spans="2:11" ht="18" hidden="1" customHeight="1" x14ac:dyDescent="0.25">
      <c r="B36" s="137" t="s">
        <v>25</v>
      </c>
      <c r="C36" s="126" t="e">
        <f>+ratio!C13</f>
        <v>#REF!</v>
      </c>
      <c r="D36" s="192">
        <f>+ratio!D13</f>
        <v>44775572.872572154</v>
      </c>
      <c r="E36" s="192">
        <f>+ratio!E13</f>
        <v>51339570.793141313</v>
      </c>
      <c r="F36" s="192">
        <f>+ratio!F13</f>
        <v>62964769.394919783</v>
      </c>
      <c r="G36" s="192">
        <f>+ratio!G13</f>
        <v>74902052.663166225</v>
      </c>
      <c r="H36" s="192">
        <f>+ratio!H13</f>
        <v>87128318.078304306</v>
      </c>
      <c r="I36" s="192">
        <f>+ratio!I13</f>
        <v>99606362.606166437</v>
      </c>
      <c r="J36" s="192">
        <f>+ratio!J13</f>
        <v>112284516.13862094</v>
      </c>
      <c r="K36" s="192">
        <f>+ratio!K13</f>
        <v>124337634.28458115</v>
      </c>
    </row>
    <row r="37" spans="2:11" ht="18" hidden="1" customHeight="1" x14ac:dyDescent="0.25">
      <c r="B37" s="137" t="s">
        <v>27</v>
      </c>
      <c r="C37" s="126" t="e">
        <f>+ratio!C18</f>
        <v>#REF!</v>
      </c>
      <c r="D37" s="192">
        <f>+ratio!D18</f>
        <v>15510000</v>
      </c>
      <c r="E37" s="192">
        <f>+ratio!E18</f>
        <v>16856400</v>
      </c>
      <c r="F37" s="192">
        <f>+ratio!F18</f>
        <v>16944528</v>
      </c>
      <c r="G37" s="192">
        <f>+ratio!G18</f>
        <v>17034418.560000002</v>
      </c>
      <c r="H37" s="192">
        <f>+ratio!H18</f>
        <v>17126106.931199998</v>
      </c>
      <c r="I37" s="192">
        <f>+ratio!I18</f>
        <v>17219629.069824003</v>
      </c>
      <c r="J37" s="192">
        <f>+ratio!J18</f>
        <v>17315021.651220478</v>
      </c>
      <c r="K37" s="192">
        <f>+ratio!K18</f>
        <v>17412322.084244892</v>
      </c>
    </row>
    <row r="38" spans="2:11" ht="18" hidden="1" customHeight="1" x14ac:dyDescent="0.25">
      <c r="B38" s="137" t="s">
        <v>46</v>
      </c>
      <c r="C38" s="126" t="e">
        <f t="shared" ref="C38" si="8">+C36-C37</f>
        <v>#REF!</v>
      </c>
      <c r="D38" s="192">
        <f>+ratio!D20</f>
        <v>29265572.872572154</v>
      </c>
      <c r="E38" s="192">
        <f>+ratio!E20</f>
        <v>34483170.793141313</v>
      </c>
      <c r="F38" s="192">
        <f>+ratio!F20</f>
        <v>46020241.394919783</v>
      </c>
      <c r="G38" s="192">
        <f>+ratio!G20</f>
        <v>57867634.103166223</v>
      </c>
      <c r="H38" s="192">
        <f>+ratio!H20</f>
        <v>70002211.147104308</v>
      </c>
      <c r="I38" s="192">
        <f>+ratio!I20</f>
        <v>82386733.536342442</v>
      </c>
      <c r="J38" s="192">
        <f>+ratio!J20</f>
        <v>94969494.487400472</v>
      </c>
      <c r="K38" s="192">
        <f>+ratio!K20</f>
        <v>106925312.20033626</v>
      </c>
    </row>
    <row r="39" spans="2:11" ht="18" hidden="1" customHeight="1" x14ac:dyDescent="0.25">
      <c r="B39" s="137" t="s">
        <v>47</v>
      </c>
      <c r="C39" s="126" t="e">
        <f>+BS!#REF!+BS!#REF!+BS!#REF!</f>
        <v>#REF!</v>
      </c>
      <c r="D39" s="192">
        <f>+BS!C38+BS!C39</f>
        <v>46125000</v>
      </c>
      <c r="E39" s="192">
        <f>+BS!D38+BS!D39</f>
        <v>39445125</v>
      </c>
      <c r="F39" s="192">
        <f>+BS!E38+BS!E39</f>
        <v>33743343.75</v>
      </c>
      <c r="G39" s="192">
        <f>+BS!F38+BS!F39</f>
        <v>28875330.9375</v>
      </c>
      <c r="H39" s="192">
        <f>+BS!G38+BS!G39</f>
        <v>24718171.171875</v>
      </c>
      <c r="I39" s="192">
        <f>+BS!H38+BS!H39</f>
        <v>21167171.383593753</v>
      </c>
      <c r="J39" s="192">
        <f>+BS!I38+BS!I39</f>
        <v>18133148.974804688</v>
      </c>
      <c r="K39" s="192">
        <f>+BS!J38+BS!J39</f>
        <v>15540124.597458985</v>
      </c>
    </row>
    <row r="40" spans="2:11" ht="18" customHeight="1" x14ac:dyDescent="0.25">
      <c r="B40" s="137" t="s">
        <v>29</v>
      </c>
      <c r="C40" s="126" t="e">
        <f>+ratio!C22</f>
        <v>#REF!</v>
      </c>
      <c r="D40" s="192">
        <f>+ratio!D22</f>
        <v>2.8868841310491393</v>
      </c>
      <c r="E40" s="192">
        <f>+ratio!E22</f>
        <v>3.0457019762903892</v>
      </c>
      <c r="F40" s="192">
        <f>+ratio!F22</f>
        <v>3.7159352798094925</v>
      </c>
      <c r="G40" s="192">
        <f>+ratio!G22</f>
        <v>4.3971006347730732</v>
      </c>
      <c r="H40" s="192">
        <f>+ratio!H22</f>
        <v>5.0874561526633757</v>
      </c>
      <c r="I40" s="192">
        <f>+ratio!I22</f>
        <v>5.7844662159836231</v>
      </c>
      <c r="J40" s="192">
        <f>+ratio!J22</f>
        <v>6.4848036808955642</v>
      </c>
      <c r="K40" s="192">
        <f>+ratio!K22</f>
        <v>7.1407841919651247</v>
      </c>
    </row>
    <row r="41" spans="2:11" ht="18" customHeight="1" x14ac:dyDescent="0.25">
      <c r="B41" s="137" t="s">
        <v>48</v>
      </c>
      <c r="C41" s="126" t="e">
        <f>+ratio!C33</f>
        <v>#REF!</v>
      </c>
      <c r="D41" s="192">
        <f>+ratio!D33</f>
        <v>1.300059052941251</v>
      </c>
      <c r="E41" s="192">
        <f>+ratio!E33</f>
        <v>1.1044107040083804</v>
      </c>
      <c r="F41" s="192">
        <f>+ratio!F33</f>
        <v>0.77949786855541703</v>
      </c>
      <c r="G41" s="192">
        <f>+ratio!G33</f>
        <v>0.53913276624281536</v>
      </c>
      <c r="H41" s="192">
        <f>+ratio!H33</f>
        <v>0.35858002899823876</v>
      </c>
      <c r="I41" s="192">
        <f>+ratio!I33</f>
        <v>0.21974462243838153</v>
      </c>
      <c r="J41" s="192">
        <f>+ratio!J33</f>
        <v>0.11007700279048153</v>
      </c>
      <c r="K41" s="192">
        <f>+ratio!K33</f>
        <v>0.1016613366639634</v>
      </c>
    </row>
    <row r="42" spans="2:11" ht="18" customHeight="1" x14ac:dyDescent="0.25">
      <c r="B42" s="137" t="s">
        <v>160</v>
      </c>
      <c r="C42" s="126" t="e">
        <f t="shared" ref="C42:K42" si="9">+C33/C32*100</f>
        <v>#REF!</v>
      </c>
      <c r="D42" s="192">
        <f t="shared" si="9"/>
        <v>11.117885353969735</v>
      </c>
      <c r="E42" s="192">
        <f t="shared" si="9"/>
        <v>9.0585478098936463</v>
      </c>
      <c r="F42" s="192">
        <f t="shared" si="9"/>
        <v>9.2295723589473972</v>
      </c>
      <c r="G42" s="192">
        <f t="shared" si="9"/>
        <v>9.3789408764872881</v>
      </c>
      <c r="H42" s="192">
        <f t="shared" si="9"/>
        <v>9.5111957104541478</v>
      </c>
      <c r="I42" s="192">
        <f t="shared" si="9"/>
        <v>9.6303170665144684</v>
      </c>
      <c r="J42" s="192">
        <f t="shared" si="9"/>
        <v>9.7398422750984182</v>
      </c>
      <c r="K42" s="192">
        <f t="shared" si="9"/>
        <v>9.7736391741271778</v>
      </c>
    </row>
    <row r="43" spans="2:11" ht="18" customHeight="1" x14ac:dyDescent="0.25">
      <c r="B43" s="137" t="s">
        <v>175</v>
      </c>
      <c r="C43" s="126"/>
      <c r="D43" s="192">
        <f>+ratio!D49</f>
        <v>20744139.51318825</v>
      </c>
      <c r="E43" s="192">
        <f>+ratio!E49</f>
        <v>32835739.558490645</v>
      </c>
      <c r="F43" s="192">
        <f>+ratio!F49</f>
        <v>40368950.136401467</v>
      </c>
      <c r="G43" s="192">
        <f>+ratio!G49</f>
        <v>48190354.841605328</v>
      </c>
      <c r="H43" s="192">
        <f>+ratio!H49</f>
        <v>56308468.154962793</v>
      </c>
      <c r="I43" s="192">
        <f>+ratio!I49</f>
        <v>64732029.858917892</v>
      </c>
      <c r="J43" s="192">
        <f>+ratio!J49</f>
        <v>73470010.64376922</v>
      </c>
      <c r="K43" s="192">
        <f>+ratio!K49</f>
        <v>82531617.848071054</v>
      </c>
    </row>
    <row r="44" spans="2:11" s="236" customFormat="1" ht="18" customHeight="1" x14ac:dyDescent="0.25">
      <c r="B44" s="250" t="s">
        <v>332</v>
      </c>
      <c r="D44" s="241">
        <f>+'Break even Analysis'!D24</f>
        <v>0.23231408169895459</v>
      </c>
      <c r="E44" s="241">
        <f>+'Break even Analysis'!E24</f>
        <v>0.21038240880206979</v>
      </c>
      <c r="F44" s="241">
        <f>+'Break even Analysis'!F24</f>
        <v>0.19233784771732557</v>
      </c>
      <c r="G44" s="241">
        <f>+'Break even Analysis'!G24</f>
        <v>0.17581474550068499</v>
      </c>
      <c r="H44" s="241">
        <f>+'Break even Analysis'!H24</f>
        <v>0.16039480966418934</v>
      </c>
      <c r="I44" s="241">
        <f>+'Break even Analysis'!I24</f>
        <v>0.14570152433379624</v>
      </c>
      <c r="J44" s="241">
        <f>+'Break even Analysis'!J24</f>
        <v>0.13138910022184966</v>
      </c>
      <c r="K44" s="241">
        <f>+'Break even Analysis'!K24</f>
        <v>0.12337142191659269</v>
      </c>
    </row>
    <row r="45" spans="2:11" s="236" customFormat="1" ht="18" customHeight="1" x14ac:dyDescent="0.25">
      <c r="B45" s="250" t="s">
        <v>333</v>
      </c>
      <c r="D45" s="241">
        <f>+'Break even Analysis'!D25</f>
        <v>0.17393702197355237</v>
      </c>
      <c r="E45" s="241">
        <f>+'Break even Analysis'!E25</f>
        <v>0.13217856954623708</v>
      </c>
      <c r="F45" s="241">
        <f>+'Break even Analysis'!F25</f>
        <v>0.12664298324238996</v>
      </c>
      <c r="G45" s="241">
        <f>+'Break even Analysis'!G25</f>
        <v>0.12059795466016762</v>
      </c>
      <c r="H45" s="241">
        <f>+'Break even Analysis'!H25</f>
        <v>0.11395780383421916</v>
      </c>
      <c r="I45" s="241">
        <f>+'Break even Analysis'!I25</f>
        <v>0.10662383936422251</v>
      </c>
      <c r="J45" s="241">
        <f>+'Break even Analysis'!J25</f>
        <v>9.8482367252932579E-2</v>
      </c>
      <c r="K45" s="241">
        <f>+'Break even Analysis'!K25</f>
        <v>9.564119537967368E-2</v>
      </c>
    </row>
  </sheetData>
  <mergeCells count="5">
    <mergeCell ref="B1:K1"/>
    <mergeCell ref="B4:K4"/>
    <mergeCell ref="D7:K7"/>
    <mergeCell ref="D17:K17"/>
    <mergeCell ref="D30:K30"/>
  </mergeCells>
  <pageMargins left="0.56999999999999995" right="0.34" top="0.67" bottom="0.33" header="0.31496062992125984" footer="0.31496062992125984"/>
  <pageSetup scale="2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1:M45"/>
  <sheetViews>
    <sheetView showGridLines="0" topLeftCell="A23" zoomScaleNormal="100" zoomScaleSheetLayoutView="100" workbookViewId="0">
      <selection activeCell="D40" sqref="D40:K41"/>
    </sheetView>
  </sheetViews>
  <sheetFormatPr defaultRowHeight="15" x14ac:dyDescent="0.25"/>
  <cols>
    <col min="1" max="1" width="5.28515625" style="78" customWidth="1"/>
    <col min="2" max="2" width="37.140625" style="249" customWidth="1"/>
    <col min="3" max="3" width="15.140625" style="235" hidden="1" customWidth="1"/>
    <col min="4" max="4" width="17" style="240" bestFit="1" customWidth="1"/>
    <col min="5" max="5" width="15.85546875" style="240" bestFit="1" customWidth="1"/>
    <col min="6" max="8" width="15.85546875" style="81" bestFit="1" customWidth="1"/>
    <col min="9" max="10" width="16.28515625" style="81" bestFit="1" customWidth="1"/>
    <col min="11" max="11" width="17" style="81" bestFit="1" customWidth="1"/>
    <col min="12" max="12" width="9.140625" style="78"/>
    <col min="13" max="13" width="16.85546875" style="78" bestFit="1" customWidth="1"/>
    <col min="14" max="16384" width="9.140625" style="78"/>
  </cols>
  <sheetData>
    <row r="1" spans="2:11" x14ac:dyDescent="0.25">
      <c r="B1" s="390"/>
      <c r="C1" s="390"/>
      <c r="D1" s="390"/>
      <c r="E1" s="390"/>
      <c r="F1" s="390"/>
      <c r="G1" s="390"/>
      <c r="H1" s="390"/>
      <c r="I1" s="390"/>
      <c r="J1" s="390"/>
      <c r="K1" s="390"/>
    </row>
    <row r="2" spans="2:11" ht="18" customHeight="1" x14ac:dyDescent="0.25">
      <c r="B2" s="187" t="str">
        <f>'Investment in project'!B2:E2</f>
        <v xml:space="preserve">ORENSE INDUSTRIES PRIVATE LIMITED, CIN: U23209OR2022PTC041057,  Andhapasra Road, Near Hanuman Temple, Berhampur Ganjam Pin- 760002 </v>
      </c>
      <c r="C2" s="146"/>
      <c r="D2" s="146"/>
      <c r="E2" s="146"/>
      <c r="F2" s="146"/>
      <c r="G2" s="146"/>
      <c r="H2" s="146"/>
      <c r="I2" s="146"/>
      <c r="J2" s="146"/>
      <c r="K2" s="187"/>
    </row>
    <row r="3" spans="2:11" ht="13.5" customHeight="1" x14ac:dyDescent="0.25">
      <c r="B3" s="80"/>
      <c r="C3" s="78"/>
      <c r="D3" s="78"/>
      <c r="E3" s="78"/>
      <c r="F3" s="78"/>
      <c r="G3" s="78"/>
      <c r="H3" s="78"/>
      <c r="I3" s="78"/>
      <c r="J3" s="78"/>
      <c r="K3" s="78"/>
    </row>
    <row r="4" spans="2:11" ht="18" customHeight="1" x14ac:dyDescent="0.25">
      <c r="B4" s="391" t="s">
        <v>58</v>
      </c>
      <c r="C4" s="391"/>
      <c r="D4" s="391"/>
      <c r="E4" s="391"/>
      <c r="F4" s="391"/>
      <c r="G4" s="391"/>
      <c r="H4" s="391"/>
      <c r="I4" s="391"/>
      <c r="J4" s="391"/>
      <c r="K4" s="391"/>
    </row>
    <row r="5" spans="2:11" x14ac:dyDescent="0.25">
      <c r="B5" s="239"/>
      <c r="C5" s="234"/>
      <c r="D5" s="239"/>
      <c r="E5" s="239"/>
      <c r="F5" s="239"/>
      <c r="G5" s="239"/>
      <c r="H5" s="239"/>
      <c r="I5" s="239"/>
      <c r="J5" s="239"/>
      <c r="K5" s="239"/>
    </row>
    <row r="6" spans="2:11" x14ac:dyDescent="0.25">
      <c r="B6" s="245" t="s">
        <v>38</v>
      </c>
      <c r="C6" s="184"/>
      <c r="D6" s="194"/>
      <c r="E6" s="194"/>
      <c r="F6" s="170"/>
      <c r="G6" s="170"/>
      <c r="H6" s="170"/>
      <c r="I6" s="170"/>
      <c r="J6" s="170"/>
      <c r="K6" s="170"/>
    </row>
    <row r="7" spans="2:11" ht="18" customHeight="1" x14ac:dyDescent="0.25">
      <c r="B7" s="245" t="s">
        <v>0</v>
      </c>
      <c r="C7" s="244" t="s">
        <v>76</v>
      </c>
      <c r="D7" s="392" t="s">
        <v>21</v>
      </c>
      <c r="E7" s="392"/>
      <c r="F7" s="392"/>
      <c r="G7" s="392"/>
      <c r="H7" s="392"/>
      <c r="I7" s="392"/>
      <c r="J7" s="392"/>
      <c r="K7" s="392"/>
    </row>
    <row r="8" spans="2:11" ht="21.75" customHeight="1" x14ac:dyDescent="0.25">
      <c r="B8" s="208" t="s">
        <v>34</v>
      </c>
      <c r="C8" s="251"/>
      <c r="D8" s="138" t="str">
        <f>+dscr!C6</f>
        <v>FY-24-25</v>
      </c>
      <c r="E8" s="138" t="str">
        <f>+dscr!D6</f>
        <v>FY-25-26</v>
      </c>
      <c r="F8" s="138" t="str">
        <f>+dscr!E6</f>
        <v>FY-26-27</v>
      </c>
      <c r="G8" s="138" t="str">
        <f>+dscr!F6</f>
        <v>FY-27-28</v>
      </c>
      <c r="H8" s="138" t="str">
        <f>+dscr!G6</f>
        <v>FY-28-29</v>
      </c>
      <c r="I8" s="138" t="str">
        <f>+dscr!H6</f>
        <v>FY-29-30</v>
      </c>
      <c r="J8" s="138" t="str">
        <f>+dscr!I6</f>
        <v>FY-30-31</v>
      </c>
      <c r="K8" s="138" t="str">
        <f>+dscr!J6</f>
        <v>FY-31-32</v>
      </c>
    </row>
    <row r="9" spans="2:11" ht="26.25" customHeight="1" x14ac:dyDescent="0.25">
      <c r="B9" s="246" t="s">
        <v>39</v>
      </c>
      <c r="D9" s="192">
        <f>+PL!C9</f>
        <v>374536807.55669999</v>
      </c>
      <c r="E9" s="192">
        <f>+PL!D9</f>
        <v>539333002.88164806</v>
      </c>
      <c r="F9" s="192">
        <f>+PL!E9</f>
        <v>550119662.93928099</v>
      </c>
      <c r="G9" s="192">
        <f>+PL!F9</f>
        <v>561122056.19806659</v>
      </c>
      <c r="H9" s="192">
        <f>+PL!G9</f>
        <v>572344497.32202804</v>
      </c>
      <c r="I9" s="192">
        <f>+PL!H9</f>
        <v>583791387.26846838</v>
      </c>
      <c r="J9" s="192">
        <f>+PL!I9</f>
        <v>595467215.01383781</v>
      </c>
      <c r="K9" s="192">
        <f>+PL!J9</f>
        <v>607376559.31411469</v>
      </c>
    </row>
    <row r="10" spans="2:11" ht="26.25" customHeight="1" x14ac:dyDescent="0.25">
      <c r="B10" s="246" t="s">
        <v>40</v>
      </c>
      <c r="D10" s="192">
        <f t="shared" ref="D10:K10" si="0">+D9*25%</f>
        <v>93634201.889174998</v>
      </c>
      <c r="E10" s="192">
        <f t="shared" si="0"/>
        <v>134833250.72041202</v>
      </c>
      <c r="F10" s="192">
        <f t="shared" si="0"/>
        <v>137529915.73482025</v>
      </c>
      <c r="G10" s="192">
        <f t="shared" si="0"/>
        <v>140280514.04951665</v>
      </c>
      <c r="H10" s="192">
        <f t="shared" si="0"/>
        <v>143086124.33050701</v>
      </c>
      <c r="I10" s="192">
        <f t="shared" si="0"/>
        <v>145947846.81711709</v>
      </c>
      <c r="J10" s="192">
        <f t="shared" si="0"/>
        <v>148866803.75345945</v>
      </c>
      <c r="K10" s="192">
        <f t="shared" si="0"/>
        <v>151844139.82852867</v>
      </c>
    </row>
    <row r="11" spans="2:11" ht="26.25" customHeight="1" x14ac:dyDescent="0.25">
      <c r="B11" s="246" t="s">
        <v>41</v>
      </c>
      <c r="D11" s="192">
        <f t="shared" ref="D11:K11" si="1">+D9*5%</f>
        <v>18726840.377835002</v>
      </c>
      <c r="E11" s="192">
        <f t="shared" si="1"/>
        <v>26966650.144082405</v>
      </c>
      <c r="F11" s="192">
        <f t="shared" si="1"/>
        <v>27505983.146964051</v>
      </c>
      <c r="G11" s="192">
        <f t="shared" si="1"/>
        <v>28056102.809903331</v>
      </c>
      <c r="H11" s="192">
        <f t="shared" si="1"/>
        <v>28617224.866101403</v>
      </c>
      <c r="I11" s="192">
        <f t="shared" si="1"/>
        <v>29189569.363423422</v>
      </c>
      <c r="J11" s="192">
        <f t="shared" si="1"/>
        <v>29773360.750691891</v>
      </c>
      <c r="K11" s="192">
        <f t="shared" si="1"/>
        <v>30368827.965705737</v>
      </c>
    </row>
    <row r="12" spans="2:11" ht="26.25" customHeight="1" x14ac:dyDescent="0.25">
      <c r="B12" s="246" t="s">
        <v>42</v>
      </c>
      <c r="D12" s="192">
        <f t="shared" ref="D12:K12" si="2">+D10-D11</f>
        <v>74907361.511339992</v>
      </c>
      <c r="E12" s="192">
        <f t="shared" si="2"/>
        <v>107866600.57632962</v>
      </c>
      <c r="F12" s="192">
        <f t="shared" si="2"/>
        <v>110023932.5878562</v>
      </c>
      <c r="G12" s="192">
        <f t="shared" si="2"/>
        <v>112224411.23961332</v>
      </c>
      <c r="H12" s="192">
        <f t="shared" si="2"/>
        <v>114468899.46440561</v>
      </c>
      <c r="I12" s="192">
        <f t="shared" si="2"/>
        <v>116758277.45369367</v>
      </c>
      <c r="J12" s="192">
        <f t="shared" si="2"/>
        <v>119093443.00276756</v>
      </c>
      <c r="K12" s="192">
        <f t="shared" si="2"/>
        <v>121475311.86282293</v>
      </c>
    </row>
    <row r="13" spans="2:11" ht="22.5" customHeight="1" x14ac:dyDescent="0.25">
      <c r="B13" s="252" t="s">
        <v>35</v>
      </c>
      <c r="C13" s="253"/>
      <c r="D13" s="233">
        <f>+BS!C29</f>
        <v>12450000</v>
      </c>
      <c r="E13" s="233">
        <f>+BS!D29</f>
        <v>12450000</v>
      </c>
      <c r="F13" s="233">
        <f>+BS!E29</f>
        <v>12450000</v>
      </c>
      <c r="G13" s="233">
        <f>+BS!F29</f>
        <v>12450000</v>
      </c>
      <c r="H13" s="233">
        <f>+BS!G29</f>
        <v>12450000</v>
      </c>
      <c r="I13" s="233">
        <f>+BS!H29</f>
        <v>12450000</v>
      </c>
      <c r="J13" s="233">
        <f>+BS!I29</f>
        <v>12450000</v>
      </c>
      <c r="K13" s="233">
        <f>+BS!J29</f>
        <v>12450000</v>
      </c>
    </row>
    <row r="14" spans="2:11" ht="24" customHeight="1" x14ac:dyDescent="0.25">
      <c r="B14" s="254" t="s">
        <v>36</v>
      </c>
      <c r="C14" s="255"/>
      <c r="D14" s="256" t="s">
        <v>37</v>
      </c>
      <c r="E14" s="256" t="s">
        <v>37</v>
      </c>
      <c r="F14" s="256" t="s">
        <v>37</v>
      </c>
      <c r="G14" s="256" t="s">
        <v>37</v>
      </c>
      <c r="H14" s="256" t="s">
        <v>37</v>
      </c>
      <c r="I14" s="256" t="s">
        <v>37</v>
      </c>
      <c r="J14" s="256" t="s">
        <v>37</v>
      </c>
      <c r="K14" s="256" t="s">
        <v>37</v>
      </c>
    </row>
    <row r="15" spans="2:11" x14ac:dyDescent="0.25">
      <c r="B15" s="137"/>
      <c r="C15" s="126"/>
      <c r="D15" s="192"/>
      <c r="E15" s="192"/>
    </row>
    <row r="16" spans="2:11" x14ac:dyDescent="0.25">
      <c r="B16" s="245" t="s">
        <v>155</v>
      </c>
      <c r="C16" s="184"/>
      <c r="D16" s="194"/>
      <c r="E16" s="194"/>
      <c r="F16" s="170"/>
      <c r="G16" s="170"/>
      <c r="H16" s="170"/>
      <c r="I16" s="170"/>
      <c r="J16" s="170"/>
      <c r="K16" s="170"/>
    </row>
    <row r="17" spans="2:13" ht="20.25" customHeight="1" x14ac:dyDescent="0.25">
      <c r="B17" s="257" t="s">
        <v>0</v>
      </c>
      <c r="C17" s="184"/>
      <c r="D17" s="392" t="s">
        <v>21</v>
      </c>
      <c r="E17" s="392"/>
      <c r="F17" s="392"/>
      <c r="G17" s="392"/>
      <c r="H17" s="392"/>
      <c r="I17" s="392"/>
      <c r="J17" s="392"/>
      <c r="K17" s="392"/>
    </row>
    <row r="18" spans="2:13" ht="16.5" customHeight="1" x14ac:dyDescent="0.25">
      <c r="B18" s="118" t="s">
        <v>34</v>
      </c>
      <c r="C18" s="126"/>
      <c r="D18" s="92" t="str">
        <f t="shared" ref="D18:K18" si="3">+D8</f>
        <v>FY-24-25</v>
      </c>
      <c r="E18" s="92" t="str">
        <f t="shared" si="3"/>
        <v>FY-25-26</v>
      </c>
      <c r="F18" s="92" t="str">
        <f t="shared" si="3"/>
        <v>FY-26-27</v>
      </c>
      <c r="G18" s="92" t="str">
        <f t="shared" si="3"/>
        <v>FY-27-28</v>
      </c>
      <c r="H18" s="92" t="str">
        <f t="shared" si="3"/>
        <v>FY-28-29</v>
      </c>
      <c r="I18" s="92" t="str">
        <f t="shared" si="3"/>
        <v>FY-29-30</v>
      </c>
      <c r="J18" s="92" t="str">
        <f t="shared" si="3"/>
        <v>FY-30-31</v>
      </c>
      <c r="K18" s="92" t="str">
        <f t="shared" si="3"/>
        <v>FY-31-32</v>
      </c>
    </row>
    <row r="19" spans="2:13" x14ac:dyDescent="0.25">
      <c r="B19" s="80" t="s">
        <v>150</v>
      </c>
      <c r="C19" s="126"/>
      <c r="D19" s="192">
        <f>+BS!C43+BS!C45+BS!C47+BS!C49</f>
        <v>44775572.872572154</v>
      </c>
      <c r="E19" s="192">
        <f>+BS!D43+BS!D45+BS!D47+BS!D49</f>
        <v>51339570.793141313</v>
      </c>
      <c r="F19" s="192">
        <f>+BS!E43+BS!E45+BS!E47+BS!E49</f>
        <v>62964769.394919783</v>
      </c>
      <c r="G19" s="192">
        <f>+BS!F43+BS!F45+BS!F47+BS!F49</f>
        <v>74902052.663166225</v>
      </c>
      <c r="H19" s="192">
        <f>+BS!G43+BS!G45+BS!G47+BS!G49</f>
        <v>87128318.078304306</v>
      </c>
      <c r="I19" s="192">
        <f>+BS!H43+BS!H45+BS!H47+BS!H49</f>
        <v>99606362.606166437</v>
      </c>
      <c r="J19" s="192">
        <f>+BS!I43+BS!I45+BS!I47+BS!I49</f>
        <v>112284516.13862094</v>
      </c>
      <c r="K19" s="192">
        <f>+BS!J43+BS!J45+BS!J47+BS!J49</f>
        <v>124337634.28458115</v>
      </c>
    </row>
    <row r="20" spans="2:13" ht="30" x14ac:dyDescent="0.25">
      <c r="B20" s="248" t="s">
        <v>151</v>
      </c>
      <c r="C20" s="126"/>
      <c r="D20" s="192">
        <f>+BS!C31</f>
        <v>3060000</v>
      </c>
      <c r="E20" s="192">
        <f>+BS!D31</f>
        <v>4406400</v>
      </c>
      <c r="F20" s="192">
        <f>+BS!E31</f>
        <v>4494528</v>
      </c>
      <c r="G20" s="192">
        <f>+BS!F31</f>
        <v>4584418.5600000005</v>
      </c>
      <c r="H20" s="192">
        <f>+BS!G31</f>
        <v>4676106.9311999995</v>
      </c>
      <c r="I20" s="192">
        <f>+BS!H31</f>
        <v>4769629.0698240008</v>
      </c>
      <c r="J20" s="192">
        <f>+BS!I31</f>
        <v>4865021.65122048</v>
      </c>
      <c r="K20" s="192">
        <f>+BS!J31</f>
        <v>4962322.0842448901</v>
      </c>
    </row>
    <row r="21" spans="2:13" x14ac:dyDescent="0.25">
      <c r="B21" s="80" t="s">
        <v>152</v>
      </c>
      <c r="C21" s="126"/>
      <c r="D21" s="192">
        <f>+D19-D20</f>
        <v>41715572.872572154</v>
      </c>
      <c r="E21" s="192">
        <f t="shared" ref="E21:K21" si="4">+E19-E20</f>
        <v>46933170.793141313</v>
      </c>
      <c r="F21" s="192">
        <f t="shared" si="4"/>
        <v>58470241.394919783</v>
      </c>
      <c r="G21" s="192">
        <f t="shared" si="4"/>
        <v>70317634.103166223</v>
      </c>
      <c r="H21" s="192">
        <f t="shared" si="4"/>
        <v>82452211.147104308</v>
      </c>
      <c r="I21" s="192">
        <f t="shared" si="4"/>
        <v>94836733.536342442</v>
      </c>
      <c r="J21" s="192">
        <f t="shared" si="4"/>
        <v>107419494.48740046</v>
      </c>
      <c r="K21" s="192">
        <f t="shared" si="4"/>
        <v>119375312.20033626</v>
      </c>
      <c r="M21" s="126"/>
    </row>
    <row r="22" spans="2:13" x14ac:dyDescent="0.25">
      <c r="B22" s="80" t="s">
        <v>153</v>
      </c>
      <c r="C22" s="126"/>
      <c r="D22" s="192">
        <f>+D21*25%</f>
        <v>10428893.218143038</v>
      </c>
      <c r="E22" s="192">
        <f t="shared" ref="E22:K22" si="5">+E21*25%</f>
        <v>11733292.698285328</v>
      </c>
      <c r="F22" s="192">
        <f t="shared" si="5"/>
        <v>14617560.348729946</v>
      </c>
      <c r="G22" s="192">
        <f t="shared" si="5"/>
        <v>17579408.525791556</v>
      </c>
      <c r="H22" s="192">
        <f t="shared" si="5"/>
        <v>20613052.786776077</v>
      </c>
      <c r="I22" s="192">
        <f t="shared" si="5"/>
        <v>23709183.384085611</v>
      </c>
      <c r="J22" s="192">
        <f t="shared" si="5"/>
        <v>26854873.621850114</v>
      </c>
      <c r="K22" s="192">
        <f t="shared" si="5"/>
        <v>29843828.050084066</v>
      </c>
      <c r="M22" s="204"/>
    </row>
    <row r="23" spans="2:13" ht="30" x14ac:dyDescent="0.25">
      <c r="B23" s="248" t="s">
        <v>154</v>
      </c>
      <c r="C23" s="126"/>
      <c r="D23" s="192">
        <f>+D21-D22</f>
        <v>31286679.654429115</v>
      </c>
      <c r="E23" s="192">
        <f t="shared" ref="E23:K23" si="6">+E21-E22</f>
        <v>35199878.094855987</v>
      </c>
      <c r="F23" s="192">
        <f t="shared" si="6"/>
        <v>43852681.046189837</v>
      </c>
      <c r="G23" s="192">
        <f t="shared" si="6"/>
        <v>52738225.577374667</v>
      </c>
      <c r="H23" s="192">
        <f t="shared" si="6"/>
        <v>61839158.360328227</v>
      </c>
      <c r="I23" s="192">
        <f t="shared" si="6"/>
        <v>71127550.152256832</v>
      </c>
      <c r="J23" s="192">
        <f t="shared" si="6"/>
        <v>80564620.865550339</v>
      </c>
      <c r="K23" s="192">
        <f t="shared" si="6"/>
        <v>89531484.150252193</v>
      </c>
      <c r="M23" s="78">
        <v>12450000</v>
      </c>
    </row>
    <row r="24" spans="2:13" x14ac:dyDescent="0.25">
      <c r="B24" s="248" t="s">
        <v>35</v>
      </c>
      <c r="C24" s="126"/>
      <c r="D24" s="192">
        <f>+BS!C29</f>
        <v>12450000</v>
      </c>
      <c r="E24" s="192">
        <f>+BS!D29</f>
        <v>12450000</v>
      </c>
      <c r="F24" s="192">
        <f>+BS!E29</f>
        <v>12450000</v>
      </c>
      <c r="G24" s="192">
        <f>+BS!F29</f>
        <v>12450000</v>
      </c>
      <c r="H24" s="192">
        <f>+BS!G29</f>
        <v>12450000</v>
      </c>
      <c r="I24" s="192">
        <f>+BS!H29</f>
        <v>12450000</v>
      </c>
      <c r="J24" s="192">
        <f>+BS!I29</f>
        <v>12450000</v>
      </c>
      <c r="K24" s="192">
        <f>+BS!J29</f>
        <v>12450000</v>
      </c>
    </row>
    <row r="25" spans="2:13" ht="18.75" customHeight="1" x14ac:dyDescent="0.25">
      <c r="B25" s="258" t="s">
        <v>36</v>
      </c>
      <c r="C25" s="259"/>
      <c r="D25" s="233" t="s">
        <v>37</v>
      </c>
      <c r="E25" s="233" t="s">
        <v>37</v>
      </c>
      <c r="F25" s="233" t="s">
        <v>37</v>
      </c>
      <c r="G25" s="233" t="s">
        <v>37</v>
      </c>
      <c r="H25" s="233" t="s">
        <v>37</v>
      </c>
      <c r="I25" s="233" t="s">
        <v>37</v>
      </c>
      <c r="J25" s="233" t="s">
        <v>37</v>
      </c>
      <c r="K25" s="233" t="s">
        <v>37</v>
      </c>
      <c r="M25" s="196">
        <v>16600000</v>
      </c>
    </row>
    <row r="26" spans="2:13" x14ac:dyDescent="0.25">
      <c r="B26" s="137"/>
      <c r="C26" s="126"/>
      <c r="D26" s="192"/>
      <c r="E26" s="192"/>
      <c r="M26" s="204">
        <f>+M25*25%</f>
        <v>4150000</v>
      </c>
    </row>
    <row r="27" spans="2:13" x14ac:dyDescent="0.25">
      <c r="B27" s="137"/>
      <c r="C27" s="126"/>
      <c r="D27" s="192"/>
      <c r="E27" s="192"/>
      <c r="M27" s="235">
        <f>+M25-M26</f>
        <v>12450000</v>
      </c>
    </row>
    <row r="28" spans="2:13" x14ac:dyDescent="0.25">
      <c r="M28" s="235"/>
    </row>
    <row r="29" spans="2:13" ht="17.25" customHeight="1" x14ac:dyDescent="0.25">
      <c r="B29" s="208" t="s">
        <v>43</v>
      </c>
      <c r="C29" s="181"/>
      <c r="D29" s="193"/>
      <c r="E29" s="193"/>
      <c r="F29" s="164"/>
      <c r="G29" s="164"/>
      <c r="H29" s="164"/>
      <c r="I29" s="164"/>
      <c r="J29" s="164"/>
      <c r="K29" s="164"/>
      <c r="M29" s="235"/>
    </row>
    <row r="30" spans="2:13" x14ac:dyDescent="0.25">
      <c r="B30" s="208" t="s">
        <v>0</v>
      </c>
      <c r="C30" s="181"/>
      <c r="D30" s="391" t="s">
        <v>76</v>
      </c>
      <c r="E30" s="391"/>
      <c r="F30" s="391"/>
      <c r="G30" s="391"/>
      <c r="H30" s="391"/>
      <c r="I30" s="391"/>
      <c r="J30" s="391"/>
      <c r="K30" s="391"/>
      <c r="M30" s="204"/>
    </row>
    <row r="31" spans="2:13" x14ac:dyDescent="0.25">
      <c r="B31" s="245" t="s">
        <v>34</v>
      </c>
      <c r="C31" s="260" t="s">
        <v>22</v>
      </c>
      <c r="D31" s="122" t="str">
        <f>+D18</f>
        <v>FY-24-25</v>
      </c>
      <c r="E31" s="122" t="str">
        <f t="shared" ref="E31:K31" si="7">+E18</f>
        <v>FY-25-26</v>
      </c>
      <c r="F31" s="122" t="str">
        <f t="shared" si="7"/>
        <v>FY-26-27</v>
      </c>
      <c r="G31" s="122" t="str">
        <f t="shared" si="7"/>
        <v>FY-27-28</v>
      </c>
      <c r="H31" s="122" t="str">
        <f t="shared" si="7"/>
        <v>FY-28-29</v>
      </c>
      <c r="I31" s="122" t="str">
        <f t="shared" si="7"/>
        <v>FY-29-30</v>
      </c>
      <c r="J31" s="122" t="str">
        <f t="shared" si="7"/>
        <v>FY-30-31</v>
      </c>
      <c r="K31" s="122" t="str">
        <f t="shared" si="7"/>
        <v>FY-31-32</v>
      </c>
    </row>
    <row r="32" spans="2:13" ht="18" hidden="1" customHeight="1" x14ac:dyDescent="0.25">
      <c r="B32" s="249" t="s">
        <v>44</v>
      </c>
      <c r="C32" s="235">
        <f>+D9</f>
        <v>374536807.55669999</v>
      </c>
      <c r="D32" s="240">
        <f>+PL!C9</f>
        <v>374536807.55669999</v>
      </c>
      <c r="E32" s="240">
        <f>+PL!D9</f>
        <v>539333002.88164806</v>
      </c>
      <c r="F32" s="240">
        <f>+PL!E9</f>
        <v>550119662.93928099</v>
      </c>
      <c r="G32" s="240">
        <f>+PL!F9</f>
        <v>561122056.19806659</v>
      </c>
      <c r="H32" s="240">
        <f>+PL!G9</f>
        <v>572344497.32202804</v>
      </c>
      <c r="I32" s="240">
        <f>+PL!H9</f>
        <v>583791387.26846838</v>
      </c>
      <c r="J32" s="240">
        <f>+PL!I9</f>
        <v>595467215.01383781</v>
      </c>
      <c r="K32" s="240">
        <f>+PL!J9</f>
        <v>607376559.31411469</v>
      </c>
    </row>
    <row r="33" spans="2:11" ht="18" hidden="1" customHeight="1" x14ac:dyDescent="0.25">
      <c r="B33" s="249" t="s">
        <v>159</v>
      </c>
      <c r="C33" s="235" t="e">
        <f>+PL!#REF!</f>
        <v>#REF!</v>
      </c>
      <c r="D33" s="240">
        <f>+PL!C65</f>
        <v>41640572.872572161</v>
      </c>
      <c r="E33" s="240">
        <f>+PL!D65</f>
        <v>48855737.920569167</v>
      </c>
      <c r="F33" s="240">
        <f>+PL!E65</f>
        <v>50773692.35177847</v>
      </c>
      <c r="G33" s="240">
        <f>+PL!F65</f>
        <v>52627305.89574644</v>
      </c>
      <c r="H33" s="240">
        <f>+PL!G65</f>
        <v>54436805.278313093</v>
      </c>
      <c r="I33" s="240">
        <f>+PL!H65</f>
        <v>56220961.600956887</v>
      </c>
      <c r="J33" s="240">
        <f>+PL!I65</f>
        <v>57997567.542268969</v>
      </c>
      <c r="K33" s="240">
        <f>+PL!J65</f>
        <v>59362793.335590109</v>
      </c>
    </row>
    <row r="34" spans="2:11" ht="18" hidden="1" customHeight="1" x14ac:dyDescent="0.25">
      <c r="B34" s="249" t="s">
        <v>9</v>
      </c>
      <c r="C34" s="235" t="e">
        <f>+PL!#REF!+PL!#REF!+PL!#REF!</f>
        <v>#REF!</v>
      </c>
      <c r="D34" s="240">
        <f>+PL!C38+PL!C39</f>
        <v>3475000</v>
      </c>
      <c r="E34" s="240">
        <f>+PL!D38+PL!D39</f>
        <v>6679875</v>
      </c>
      <c r="F34" s="240">
        <f>+PL!E38+PL!E39</f>
        <v>5701781.25</v>
      </c>
      <c r="G34" s="240">
        <f>+PL!F38+PL!F39</f>
        <v>4868012.8125</v>
      </c>
      <c r="H34" s="240">
        <f>+PL!G38+PL!G39</f>
        <v>4157159.765625</v>
      </c>
      <c r="I34" s="240">
        <f>+PL!H38+PL!H39</f>
        <v>3550999.7882812498</v>
      </c>
      <c r="J34" s="240">
        <f>+PL!I38+PL!I39</f>
        <v>3034022.4087890629</v>
      </c>
      <c r="K34" s="240">
        <f>+PL!J38+PL!J39</f>
        <v>2593024.3773457031</v>
      </c>
    </row>
    <row r="35" spans="2:11" ht="18" hidden="1" customHeight="1" x14ac:dyDescent="0.25">
      <c r="B35" s="249" t="s">
        <v>45</v>
      </c>
      <c r="C35" s="235" t="e">
        <f>+BS!#REF!</f>
        <v>#REF!</v>
      </c>
      <c r="D35" s="240">
        <f>+BS!C13+BS!C21</f>
        <v>38190572.872572161</v>
      </c>
      <c r="E35" s="240">
        <f>+BS!D13+BS!D21</f>
        <v>41046310.793141335</v>
      </c>
      <c r="F35" s="240">
        <f>+BS!E13+BS!E21</f>
        <v>51820003.144919813</v>
      </c>
      <c r="G35" s="240">
        <f>+BS!F13+BS!F21</f>
        <v>64447309.040666252</v>
      </c>
      <c r="H35" s="240">
        <f>+BS!G13+BS!G21</f>
        <v>78884114.318979353</v>
      </c>
      <c r="I35" s="240">
        <f>+BS!H13+BS!H21</f>
        <v>95105075.91993624</v>
      </c>
      <c r="J35" s="240">
        <f>+BS!I13+BS!I21</f>
        <v>113102643.4622052</v>
      </c>
      <c r="K35" s="240">
        <f>+BS!J13+BS!J21</f>
        <v>122465436.7977953</v>
      </c>
    </row>
    <row r="36" spans="2:11" ht="18" hidden="1" customHeight="1" x14ac:dyDescent="0.25">
      <c r="B36" s="137" t="s">
        <v>25</v>
      </c>
      <c r="C36" s="126" t="e">
        <f>+ratio!C13</f>
        <v>#REF!</v>
      </c>
      <c r="D36" s="192">
        <f>+ratio!D13</f>
        <v>44775572.872572154</v>
      </c>
      <c r="E36" s="192">
        <f>+ratio!E13</f>
        <v>51339570.793141313</v>
      </c>
      <c r="F36" s="192">
        <f>+ratio!F13</f>
        <v>62964769.394919783</v>
      </c>
      <c r="G36" s="192">
        <f>+ratio!G13</f>
        <v>74902052.663166225</v>
      </c>
      <c r="H36" s="192">
        <f>+ratio!H13</f>
        <v>87128318.078304306</v>
      </c>
      <c r="I36" s="192">
        <f>+ratio!I13</f>
        <v>99606362.606166437</v>
      </c>
      <c r="J36" s="192">
        <f>+ratio!J13</f>
        <v>112284516.13862094</v>
      </c>
      <c r="K36" s="192">
        <f>+ratio!K13</f>
        <v>124337634.28458115</v>
      </c>
    </row>
    <row r="37" spans="2:11" ht="18" hidden="1" customHeight="1" x14ac:dyDescent="0.25">
      <c r="B37" s="137" t="s">
        <v>27</v>
      </c>
      <c r="C37" s="126" t="e">
        <f>+ratio!C18</f>
        <v>#REF!</v>
      </c>
      <c r="D37" s="192">
        <f>+ratio!D18</f>
        <v>15510000</v>
      </c>
      <c r="E37" s="192">
        <f>+ratio!E18</f>
        <v>16856400</v>
      </c>
      <c r="F37" s="192">
        <f>+ratio!F18</f>
        <v>16944528</v>
      </c>
      <c r="G37" s="192">
        <f>+ratio!G18</f>
        <v>17034418.560000002</v>
      </c>
      <c r="H37" s="192">
        <f>+ratio!H18</f>
        <v>17126106.931199998</v>
      </c>
      <c r="I37" s="192">
        <f>+ratio!I18</f>
        <v>17219629.069824003</v>
      </c>
      <c r="J37" s="192">
        <f>+ratio!J18</f>
        <v>17315021.651220478</v>
      </c>
      <c r="K37" s="192">
        <f>+ratio!K18</f>
        <v>17412322.084244892</v>
      </c>
    </row>
    <row r="38" spans="2:11" ht="18" hidden="1" customHeight="1" x14ac:dyDescent="0.25">
      <c r="B38" s="137" t="s">
        <v>46</v>
      </c>
      <c r="C38" s="126" t="e">
        <f t="shared" ref="C38" si="8">+C36-C37</f>
        <v>#REF!</v>
      </c>
      <c r="D38" s="192">
        <f>+ratio!D20</f>
        <v>29265572.872572154</v>
      </c>
      <c r="E38" s="192">
        <f>+ratio!E20</f>
        <v>34483170.793141313</v>
      </c>
      <c r="F38" s="192">
        <f>+ratio!F20</f>
        <v>46020241.394919783</v>
      </c>
      <c r="G38" s="192">
        <f>+ratio!G20</f>
        <v>57867634.103166223</v>
      </c>
      <c r="H38" s="192">
        <f>+ratio!H20</f>
        <v>70002211.147104308</v>
      </c>
      <c r="I38" s="192">
        <f>+ratio!I20</f>
        <v>82386733.536342442</v>
      </c>
      <c r="J38" s="192">
        <f>+ratio!J20</f>
        <v>94969494.487400472</v>
      </c>
      <c r="K38" s="192">
        <f>+ratio!K20</f>
        <v>106925312.20033626</v>
      </c>
    </row>
    <row r="39" spans="2:11" ht="18" hidden="1" customHeight="1" x14ac:dyDescent="0.25">
      <c r="B39" s="137" t="s">
        <v>47</v>
      </c>
      <c r="C39" s="126" t="e">
        <f>+BS!#REF!+BS!#REF!+BS!#REF!</f>
        <v>#REF!</v>
      </c>
      <c r="D39" s="192">
        <f>+BS!C38+BS!C39</f>
        <v>46125000</v>
      </c>
      <c r="E39" s="192">
        <f>+BS!D38+BS!D39</f>
        <v>39445125</v>
      </c>
      <c r="F39" s="192">
        <f>+BS!E38+BS!E39</f>
        <v>33743343.75</v>
      </c>
      <c r="G39" s="192">
        <f>+BS!F38+BS!F39</f>
        <v>28875330.9375</v>
      </c>
      <c r="H39" s="192">
        <f>+BS!G38+BS!G39</f>
        <v>24718171.171875</v>
      </c>
      <c r="I39" s="192">
        <f>+BS!H38+BS!H39</f>
        <v>21167171.383593753</v>
      </c>
      <c r="J39" s="192">
        <f>+BS!I38+BS!I39</f>
        <v>18133148.974804688</v>
      </c>
      <c r="K39" s="192">
        <f>+BS!J38+BS!J39</f>
        <v>15540124.597458985</v>
      </c>
    </row>
    <row r="40" spans="2:11" ht="18" customHeight="1" x14ac:dyDescent="0.25">
      <c r="B40" s="137" t="s">
        <v>29</v>
      </c>
      <c r="C40" s="126" t="e">
        <f>+ratio!C22</f>
        <v>#REF!</v>
      </c>
      <c r="D40" s="192">
        <f>+ratio!D22</f>
        <v>2.8868841310491393</v>
      </c>
      <c r="E40" s="192">
        <f>+ratio!E22</f>
        <v>3.0457019762903892</v>
      </c>
      <c r="F40" s="192">
        <f>+ratio!F22</f>
        <v>3.7159352798094925</v>
      </c>
      <c r="G40" s="192">
        <f>+ratio!G22</f>
        <v>4.3971006347730732</v>
      </c>
      <c r="H40" s="192">
        <f>+ratio!H22</f>
        <v>5.0874561526633757</v>
      </c>
      <c r="I40" s="192">
        <f>+ratio!I22</f>
        <v>5.7844662159836231</v>
      </c>
      <c r="J40" s="192">
        <f>+ratio!J22</f>
        <v>6.4848036808955642</v>
      </c>
      <c r="K40" s="192">
        <f>+ratio!K22</f>
        <v>7.1407841919651247</v>
      </c>
    </row>
    <row r="41" spans="2:11" ht="18" customHeight="1" x14ac:dyDescent="0.25">
      <c r="B41" s="137" t="s">
        <v>48</v>
      </c>
      <c r="C41" s="126" t="e">
        <f>+ratio!C33</f>
        <v>#REF!</v>
      </c>
      <c r="D41" s="192">
        <f>+ratio!D33</f>
        <v>1.300059052941251</v>
      </c>
      <c r="E41" s="192">
        <f>+ratio!E33</f>
        <v>1.1044107040083804</v>
      </c>
      <c r="F41" s="192">
        <f>+ratio!F33</f>
        <v>0.77949786855541703</v>
      </c>
      <c r="G41" s="192">
        <f>+ratio!G33</f>
        <v>0.53913276624281536</v>
      </c>
      <c r="H41" s="192">
        <f>+ratio!H33</f>
        <v>0.35858002899823876</v>
      </c>
      <c r="I41" s="192">
        <f>+ratio!I33</f>
        <v>0.21974462243838153</v>
      </c>
      <c r="J41" s="192">
        <f>+ratio!J33</f>
        <v>0.11007700279048153</v>
      </c>
      <c r="K41" s="192">
        <f>+ratio!K33</f>
        <v>0.1016613366639634</v>
      </c>
    </row>
    <row r="42" spans="2:11" ht="18" customHeight="1" x14ac:dyDescent="0.25">
      <c r="B42" s="137" t="s">
        <v>160</v>
      </c>
      <c r="C42" s="126" t="e">
        <f t="shared" ref="C42:K42" si="9">+C33/C32*100</f>
        <v>#REF!</v>
      </c>
      <c r="D42" s="192">
        <f t="shared" si="9"/>
        <v>11.117885353969735</v>
      </c>
      <c r="E42" s="192">
        <f t="shared" si="9"/>
        <v>9.0585478098936463</v>
      </c>
      <c r="F42" s="192">
        <f t="shared" si="9"/>
        <v>9.2295723589473972</v>
      </c>
      <c r="G42" s="192">
        <f t="shared" si="9"/>
        <v>9.3789408764872881</v>
      </c>
      <c r="H42" s="192">
        <f t="shared" si="9"/>
        <v>9.5111957104541478</v>
      </c>
      <c r="I42" s="192">
        <f t="shared" si="9"/>
        <v>9.6303170665144684</v>
      </c>
      <c r="J42" s="192">
        <f t="shared" si="9"/>
        <v>9.7398422750984182</v>
      </c>
      <c r="K42" s="192">
        <f t="shared" si="9"/>
        <v>9.7736391741271778</v>
      </c>
    </row>
    <row r="43" spans="2:11" ht="18" customHeight="1" x14ac:dyDescent="0.25">
      <c r="B43" s="137" t="s">
        <v>175</v>
      </c>
      <c r="C43" s="126"/>
      <c r="D43" s="192">
        <f>+ratio!D49</f>
        <v>20744139.51318825</v>
      </c>
      <c r="E43" s="192">
        <f>+ratio!E49</f>
        <v>32835739.558490645</v>
      </c>
      <c r="F43" s="192">
        <f>+ratio!F49</f>
        <v>40368950.136401467</v>
      </c>
      <c r="G43" s="192">
        <f>+ratio!G49</f>
        <v>48190354.841605328</v>
      </c>
      <c r="H43" s="192">
        <f>+ratio!H49</f>
        <v>56308468.154962793</v>
      </c>
      <c r="I43" s="192">
        <f>+ratio!I49</f>
        <v>64732029.858917892</v>
      </c>
      <c r="J43" s="192">
        <f>+ratio!J49</f>
        <v>73470010.64376922</v>
      </c>
      <c r="K43" s="192">
        <f>+ratio!K49</f>
        <v>82531617.848071054</v>
      </c>
    </row>
    <row r="44" spans="2:11" s="236" customFormat="1" ht="18" customHeight="1" x14ac:dyDescent="0.25">
      <c r="B44" s="250" t="s">
        <v>332</v>
      </c>
      <c r="D44" s="241">
        <f>+'Break even Analysis'!D24</f>
        <v>0.23231408169895459</v>
      </c>
      <c r="E44" s="241">
        <f>+'Break even Analysis'!E24</f>
        <v>0.21038240880206979</v>
      </c>
      <c r="F44" s="241">
        <f>+'Break even Analysis'!F24</f>
        <v>0.19233784771732557</v>
      </c>
      <c r="G44" s="241">
        <f>+'Break even Analysis'!G24</f>
        <v>0.17581474550068499</v>
      </c>
      <c r="H44" s="241">
        <f>+'Break even Analysis'!H24</f>
        <v>0.16039480966418934</v>
      </c>
      <c r="I44" s="241">
        <f>+'Break even Analysis'!I24</f>
        <v>0.14570152433379624</v>
      </c>
      <c r="J44" s="241">
        <f>+'Break even Analysis'!J24</f>
        <v>0.13138910022184966</v>
      </c>
      <c r="K44" s="241">
        <f>+'Break even Analysis'!K24</f>
        <v>0.12337142191659269</v>
      </c>
    </row>
    <row r="45" spans="2:11" s="236" customFormat="1" ht="18" customHeight="1" x14ac:dyDescent="0.25">
      <c r="B45" s="250" t="s">
        <v>333</v>
      </c>
      <c r="D45" s="241">
        <f>+'Break even Analysis'!D25</f>
        <v>0.17393702197355237</v>
      </c>
      <c r="E45" s="241">
        <f>+'Break even Analysis'!E25</f>
        <v>0.13217856954623708</v>
      </c>
      <c r="F45" s="241">
        <f>+'Break even Analysis'!F25</f>
        <v>0.12664298324238996</v>
      </c>
      <c r="G45" s="241">
        <f>+'Break even Analysis'!G25</f>
        <v>0.12059795466016762</v>
      </c>
      <c r="H45" s="241">
        <f>+'Break even Analysis'!H25</f>
        <v>0.11395780383421916</v>
      </c>
      <c r="I45" s="241">
        <f>+'Break even Analysis'!I25</f>
        <v>0.10662383936422251</v>
      </c>
      <c r="J45" s="241">
        <f>+'Break even Analysis'!J25</f>
        <v>9.8482367252932579E-2</v>
      </c>
      <c r="K45" s="241">
        <f>+'Break even Analysis'!K25</f>
        <v>9.564119537967368E-2</v>
      </c>
    </row>
  </sheetData>
  <mergeCells count="5">
    <mergeCell ref="D7:K7"/>
    <mergeCell ref="D17:K17"/>
    <mergeCell ref="D30:K30"/>
    <mergeCell ref="B1:K1"/>
    <mergeCell ref="B4:K4"/>
  </mergeCells>
  <pageMargins left="0.56999999999999995" right="0.34" top="0.67" bottom="0.33" header="0.31496062992125984" footer="0.31496062992125984"/>
  <pageSetup scale="29" orientation="landscape" r:id="rId1"/>
  <ignoredErrors>
    <ignoredError sqref="D2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M54"/>
  <sheetViews>
    <sheetView showGridLines="0" topLeftCell="A22" zoomScaleNormal="100" zoomScaleSheetLayoutView="100" workbookViewId="0">
      <selection activeCell="D49" sqref="D49"/>
    </sheetView>
  </sheetViews>
  <sheetFormatPr defaultColWidth="9.140625" defaultRowHeight="15" x14ac:dyDescent="0.25"/>
  <cols>
    <col min="1" max="1" width="5.42578125" style="78" customWidth="1"/>
    <col min="2" max="2" width="32.5703125" style="80" customWidth="1"/>
    <col min="3" max="3" width="11.85546875" style="78" hidden="1" customWidth="1"/>
    <col min="4" max="11" width="17.7109375" style="238" bestFit="1" customWidth="1"/>
    <col min="12" max="16384" width="9.140625" style="78"/>
  </cols>
  <sheetData>
    <row r="1" spans="2:11" ht="21" customHeight="1" x14ac:dyDescent="0.25">
      <c r="B1" s="369"/>
      <c r="C1" s="369"/>
      <c r="D1" s="369"/>
      <c r="E1" s="369"/>
      <c r="F1" s="369"/>
      <c r="G1" s="369"/>
      <c r="H1" s="369"/>
      <c r="I1" s="369"/>
      <c r="J1" s="369"/>
      <c r="K1" s="369"/>
    </row>
    <row r="2" spans="2:11" ht="18" customHeight="1" x14ac:dyDescent="0.25">
      <c r="B2" s="300" t="str">
        <f>'Investment in project'!B2:E2</f>
        <v xml:space="preserve">ORENSE INDUSTRIES PRIVATE LIMITED, CIN: U23209OR2022PTC041057,  Andhapasra Road, Near Hanuman Temple, Berhampur Ganjam Pin- 760002 </v>
      </c>
      <c r="C2" s="302"/>
      <c r="D2" s="191"/>
      <c r="E2" s="191"/>
      <c r="F2" s="191"/>
      <c r="G2" s="191"/>
      <c r="H2" s="191"/>
      <c r="I2" s="191"/>
      <c r="J2" s="191"/>
      <c r="K2" s="191"/>
    </row>
    <row r="4" spans="2:11" s="75" customFormat="1" ht="17.25" customHeight="1" x14ac:dyDescent="0.25">
      <c r="B4" s="370" t="s">
        <v>24</v>
      </c>
      <c r="C4" s="370"/>
      <c r="D4" s="370"/>
      <c r="E4" s="370"/>
      <c r="F4" s="304"/>
      <c r="G4" s="304"/>
      <c r="H4" s="304"/>
      <c r="I4" s="304"/>
      <c r="J4" s="304"/>
      <c r="K4" s="304"/>
    </row>
    <row r="5" spans="2:11" ht="12.75" customHeight="1" x14ac:dyDescent="0.25"/>
    <row r="6" spans="2:11" ht="14.25" customHeight="1" x14ac:dyDescent="0.25">
      <c r="B6" s="73" t="s">
        <v>0</v>
      </c>
      <c r="C6" s="74" t="s">
        <v>22</v>
      </c>
      <c r="D6" s="304" t="str">
        <f>+'cma report'!D8</f>
        <v>FY-24-25</v>
      </c>
      <c r="E6" s="304" t="str">
        <f>+'cma report'!E8</f>
        <v>FY-25-26</v>
      </c>
      <c r="F6" s="304" t="str">
        <f>+'cma report'!F8</f>
        <v>FY-26-27</v>
      </c>
      <c r="G6" s="304" t="str">
        <f>+'cma report'!G8</f>
        <v>FY-27-28</v>
      </c>
      <c r="H6" s="304" t="str">
        <f>+'cma report'!H8</f>
        <v>FY-28-29</v>
      </c>
      <c r="I6" s="304" t="str">
        <f>+'cma report'!I8</f>
        <v>FY-29-30</v>
      </c>
      <c r="J6" s="304" t="str">
        <f>+'cma report'!J8</f>
        <v>FY-30-31</v>
      </c>
      <c r="K6" s="304" t="str">
        <f>+'cma report'!K8</f>
        <v>FY-31-32</v>
      </c>
    </row>
    <row r="7" spans="2:11" ht="14.25" customHeight="1" x14ac:dyDescent="0.25">
      <c r="B7" s="118"/>
      <c r="C7" s="262"/>
      <c r="D7" s="305"/>
      <c r="E7" s="305"/>
    </row>
    <row r="8" spans="2:11" ht="16.5" customHeight="1" x14ac:dyDescent="0.25">
      <c r="B8" s="257" t="s">
        <v>25</v>
      </c>
      <c r="C8" s="263"/>
      <c r="D8" s="189"/>
      <c r="E8" s="189"/>
      <c r="F8" s="189"/>
      <c r="G8" s="189"/>
      <c r="H8" s="189"/>
      <c r="I8" s="189"/>
      <c r="J8" s="189"/>
      <c r="K8" s="189"/>
    </row>
    <row r="9" spans="2:11" ht="15.75" customHeight="1" x14ac:dyDescent="0.25">
      <c r="B9" s="80" t="s">
        <v>5</v>
      </c>
      <c r="C9" s="200" t="e">
        <f>+BS!#REF!</f>
        <v>#REF!</v>
      </c>
      <c r="D9" s="176">
        <f>+BS!C45</f>
        <v>18726840.377835002</v>
      </c>
      <c r="E9" s="176">
        <f>+BS!D45</f>
        <v>35955533.525443204</v>
      </c>
      <c r="F9" s="176">
        <f>+BS!E45</f>
        <v>45843305.244940087</v>
      </c>
      <c r="G9" s="176">
        <f>+BS!F45</f>
        <v>56112205.619806655</v>
      </c>
      <c r="H9" s="176">
        <f>+BS!G45</f>
        <v>66773524.687569939</v>
      </c>
      <c r="I9" s="176">
        <f>+BS!H45</f>
        <v>77838851.635795787</v>
      </c>
      <c r="J9" s="176">
        <f>+BS!I45</f>
        <v>89320082.252075672</v>
      </c>
      <c r="K9" s="176">
        <f>+BS!J45</f>
        <v>101229426.55235244</v>
      </c>
    </row>
    <row r="10" spans="2:11" ht="16.5" customHeight="1" x14ac:dyDescent="0.25">
      <c r="B10" s="80" t="s">
        <v>26</v>
      </c>
      <c r="C10" s="200" t="e">
        <f>+BS!#REF!</f>
        <v>#REF!</v>
      </c>
      <c r="D10" s="176">
        <f>+BS!C43</f>
        <v>11992012.306416001</v>
      </c>
      <c r="E10" s="176">
        <f>+BS!D43</f>
        <v>12231852.55254432</v>
      </c>
      <c r="F10" s="176">
        <f>+BS!E43</f>
        <v>12476489.603595207</v>
      </c>
      <c r="G10" s="176">
        <f>+BS!F43</f>
        <v>12726019.395667112</v>
      </c>
      <c r="H10" s="176">
        <f>+BS!G43</f>
        <v>12980539.783580452</v>
      </c>
      <c r="I10" s="176">
        <f>+BS!H43</f>
        <v>13240150.579252064</v>
      </c>
      <c r="J10" s="176">
        <f>+BS!I43</f>
        <v>13504953.590837102</v>
      </c>
      <c r="K10" s="176">
        <f>+BS!J43</f>
        <v>13775052.662653847</v>
      </c>
    </row>
    <row r="11" spans="2:11" ht="15.75" customHeight="1" x14ac:dyDescent="0.25">
      <c r="B11" s="80" t="s">
        <v>326</v>
      </c>
      <c r="C11" s="200" t="e">
        <f>BS!#REF!</f>
        <v>#REF!</v>
      </c>
      <c r="D11" s="176">
        <f>+BS!C49</f>
        <v>1756720.1883211508</v>
      </c>
      <c r="E11" s="176">
        <f>+BS!D49</f>
        <v>3152184.715153791</v>
      </c>
      <c r="F11" s="176">
        <f>+BS!E49</f>
        <v>4644974.546384491</v>
      </c>
      <c r="G11" s="176">
        <f>+BS!F49</f>
        <v>6063827.6476924494</v>
      </c>
      <c r="H11" s="176">
        <f>+BS!G49</f>
        <v>7374253.6071539074</v>
      </c>
      <c r="I11" s="176">
        <f>+BS!H49</f>
        <v>8527360.3911185861</v>
      </c>
      <c r="J11" s="176">
        <f>+BS!I49</f>
        <v>9459480.295708172</v>
      </c>
      <c r="K11" s="176">
        <f>+BS!J49</f>
        <v>9333155.0695748702</v>
      </c>
    </row>
    <row r="12" spans="2:11" ht="15.75" customHeight="1" x14ac:dyDescent="0.25">
      <c r="B12" s="80" t="s">
        <v>324</v>
      </c>
      <c r="C12" s="200"/>
      <c r="D12" s="176">
        <f>+BS!C47</f>
        <v>12300000</v>
      </c>
      <c r="E12" s="176">
        <f>+BS!D47</f>
        <v>0</v>
      </c>
      <c r="F12" s="176">
        <f>+BS!E47</f>
        <v>0</v>
      </c>
      <c r="G12" s="176">
        <f>+BS!F47</f>
        <v>0</v>
      </c>
      <c r="H12" s="176">
        <f>+BS!G47</f>
        <v>0</v>
      </c>
      <c r="I12" s="176">
        <f>+BS!H47</f>
        <v>0</v>
      </c>
      <c r="J12" s="176">
        <f>+BS!I47</f>
        <v>0</v>
      </c>
      <c r="K12" s="176">
        <f>+BS!J47</f>
        <v>0</v>
      </c>
    </row>
    <row r="13" spans="2:11" s="118" customFormat="1" ht="17.25" customHeight="1" x14ac:dyDescent="0.25">
      <c r="B13" s="258" t="s">
        <v>6</v>
      </c>
      <c r="C13" s="267" t="e">
        <f>SUM(C9:C11)</f>
        <v>#REF!</v>
      </c>
      <c r="D13" s="233">
        <f>SUM(D9:D12)</f>
        <v>44775572.872572154</v>
      </c>
      <c r="E13" s="233">
        <f t="shared" ref="E13:K13" si="0">SUM(E9:E12)</f>
        <v>51339570.793141313</v>
      </c>
      <c r="F13" s="233">
        <f t="shared" si="0"/>
        <v>62964769.394919783</v>
      </c>
      <c r="G13" s="233">
        <f t="shared" si="0"/>
        <v>74902052.663166225</v>
      </c>
      <c r="H13" s="233">
        <f t="shared" si="0"/>
        <v>87128318.078304306</v>
      </c>
      <c r="I13" s="233">
        <f t="shared" si="0"/>
        <v>99606362.606166437</v>
      </c>
      <c r="J13" s="233">
        <f t="shared" si="0"/>
        <v>112284516.13862094</v>
      </c>
      <c r="K13" s="233">
        <f t="shared" si="0"/>
        <v>124337634.28458115</v>
      </c>
    </row>
    <row r="14" spans="2:11" x14ac:dyDescent="0.25">
      <c r="C14" s="200"/>
      <c r="D14" s="176"/>
      <c r="E14" s="176"/>
    </row>
    <row r="15" spans="2:11" ht="15.75" customHeight="1" x14ac:dyDescent="0.25">
      <c r="B15" s="118" t="s">
        <v>27</v>
      </c>
      <c r="C15" s="200"/>
      <c r="D15" s="176"/>
      <c r="E15" s="176"/>
    </row>
    <row r="16" spans="2:11" ht="16.5" customHeight="1" x14ac:dyDescent="0.25">
      <c r="B16" s="80" t="s">
        <v>1</v>
      </c>
      <c r="C16" s="200" t="e">
        <f>BS!#REF!</f>
        <v>#REF!</v>
      </c>
      <c r="D16" s="176">
        <f>BS!C31</f>
        <v>3060000</v>
      </c>
      <c r="E16" s="176">
        <f>BS!D31</f>
        <v>4406400</v>
      </c>
      <c r="F16" s="176">
        <f>BS!E31</f>
        <v>4494528</v>
      </c>
      <c r="G16" s="176">
        <f>BS!F31</f>
        <v>4584418.5600000005</v>
      </c>
      <c r="H16" s="176">
        <f>BS!G31</f>
        <v>4676106.9311999995</v>
      </c>
      <c r="I16" s="176">
        <f>BS!H31</f>
        <v>4769629.0698240008</v>
      </c>
      <c r="J16" s="176">
        <f>BS!I31</f>
        <v>4865021.65122048</v>
      </c>
      <c r="K16" s="238">
        <f>+BS!J31</f>
        <v>4962322.0842448901</v>
      </c>
    </row>
    <row r="17" spans="2:11" ht="16.5" customHeight="1" x14ac:dyDescent="0.25">
      <c r="B17" s="80" t="s">
        <v>147</v>
      </c>
      <c r="C17" s="200"/>
      <c r="D17" s="176">
        <f>+BS!C29</f>
        <v>12450000</v>
      </c>
      <c r="E17" s="176">
        <f>+BS!D29</f>
        <v>12450000</v>
      </c>
      <c r="F17" s="176">
        <f>+BS!E29</f>
        <v>12450000</v>
      </c>
      <c r="G17" s="176">
        <f>+BS!F29</f>
        <v>12450000</v>
      </c>
      <c r="H17" s="176">
        <f>+BS!G29</f>
        <v>12450000</v>
      </c>
      <c r="I17" s="176">
        <f>+BS!H29</f>
        <v>12450000</v>
      </c>
      <c r="J17" s="176">
        <f>+BS!I29</f>
        <v>12450000</v>
      </c>
      <c r="K17" s="176">
        <f>+BS!J29</f>
        <v>12450000</v>
      </c>
    </row>
    <row r="18" spans="2:11" s="75" customFormat="1" ht="17.25" customHeight="1" x14ac:dyDescent="0.25">
      <c r="B18" s="258" t="s">
        <v>6</v>
      </c>
      <c r="C18" s="265" t="e">
        <f>+C16+#REF!</f>
        <v>#REF!</v>
      </c>
      <c r="D18" s="303">
        <f>+D16+D17</f>
        <v>15510000</v>
      </c>
      <c r="E18" s="303">
        <f t="shared" ref="E18:K18" si="1">+E16+E17</f>
        <v>16856400</v>
      </c>
      <c r="F18" s="303">
        <f t="shared" si="1"/>
        <v>16944528</v>
      </c>
      <c r="G18" s="303">
        <f t="shared" si="1"/>
        <v>17034418.560000002</v>
      </c>
      <c r="H18" s="303">
        <f t="shared" si="1"/>
        <v>17126106.931199998</v>
      </c>
      <c r="I18" s="303">
        <f t="shared" si="1"/>
        <v>17219629.069824003</v>
      </c>
      <c r="J18" s="303">
        <f t="shared" si="1"/>
        <v>17315021.651220478</v>
      </c>
      <c r="K18" s="303">
        <f t="shared" si="1"/>
        <v>17412322.084244892</v>
      </c>
    </row>
    <row r="19" spans="2:11" x14ac:dyDescent="0.25">
      <c r="C19" s="159"/>
    </row>
    <row r="20" spans="2:11" ht="16.5" customHeight="1" x14ac:dyDescent="0.25">
      <c r="B20" s="258" t="s">
        <v>28</v>
      </c>
      <c r="C20" s="265" t="e">
        <f t="shared" ref="C20:K20" si="2">+C13-C18</f>
        <v>#REF!</v>
      </c>
      <c r="D20" s="303">
        <f t="shared" si="2"/>
        <v>29265572.872572154</v>
      </c>
      <c r="E20" s="303">
        <f t="shared" si="2"/>
        <v>34483170.793141313</v>
      </c>
      <c r="F20" s="303">
        <f t="shared" si="2"/>
        <v>46020241.394919783</v>
      </c>
      <c r="G20" s="303">
        <f t="shared" si="2"/>
        <v>57867634.103166223</v>
      </c>
      <c r="H20" s="303">
        <f t="shared" si="2"/>
        <v>70002211.147104308</v>
      </c>
      <c r="I20" s="303">
        <f t="shared" si="2"/>
        <v>82386733.536342442</v>
      </c>
      <c r="J20" s="303">
        <f t="shared" si="2"/>
        <v>94969494.487400472</v>
      </c>
      <c r="K20" s="303">
        <f t="shared" si="2"/>
        <v>106925312.20033626</v>
      </c>
    </row>
    <row r="21" spans="2:11" x14ac:dyDescent="0.25">
      <c r="B21" s="80" t="s">
        <v>450</v>
      </c>
      <c r="C21" s="159"/>
      <c r="D21" s="238">
        <v>0</v>
      </c>
      <c r="E21" s="238">
        <f>E20-D20</f>
        <v>5217597.9205691591</v>
      </c>
      <c r="F21" s="238">
        <f t="shared" ref="F21:K21" si="3">F20-E20</f>
        <v>11537070.60177847</v>
      </c>
      <c r="G21" s="238">
        <f t="shared" si="3"/>
        <v>11847392.70824644</v>
      </c>
      <c r="H21" s="238">
        <f t="shared" si="3"/>
        <v>12134577.043938085</v>
      </c>
      <c r="I21" s="238">
        <f t="shared" si="3"/>
        <v>12384522.389238134</v>
      </c>
      <c r="J21" s="238">
        <f t="shared" si="3"/>
        <v>12582760.95105803</v>
      </c>
      <c r="K21" s="238">
        <f t="shared" si="3"/>
        <v>11955817.71293579</v>
      </c>
    </row>
    <row r="22" spans="2:11" s="75" customFormat="1" x14ac:dyDescent="0.25">
      <c r="B22" s="118" t="s">
        <v>29</v>
      </c>
      <c r="C22" s="201" t="e">
        <f t="shared" ref="C22:K22" si="4">C13/C18</f>
        <v>#REF!</v>
      </c>
      <c r="D22" s="305">
        <f t="shared" si="4"/>
        <v>2.8868841310491393</v>
      </c>
      <c r="E22" s="305">
        <f t="shared" si="4"/>
        <v>3.0457019762903892</v>
      </c>
      <c r="F22" s="305">
        <f t="shared" si="4"/>
        <v>3.7159352798094925</v>
      </c>
      <c r="G22" s="305">
        <f t="shared" si="4"/>
        <v>4.3971006347730732</v>
      </c>
      <c r="H22" s="305">
        <f t="shared" si="4"/>
        <v>5.0874561526633757</v>
      </c>
      <c r="I22" s="305">
        <f t="shared" si="4"/>
        <v>5.7844662159836231</v>
      </c>
      <c r="J22" s="305">
        <f t="shared" si="4"/>
        <v>6.4848036808955642</v>
      </c>
      <c r="K22" s="305">
        <f t="shared" si="4"/>
        <v>7.1407841919651247</v>
      </c>
    </row>
    <row r="23" spans="2:11" s="75" customFormat="1" x14ac:dyDescent="0.25">
      <c r="B23" s="118"/>
      <c r="C23" s="201"/>
      <c r="D23" s="305"/>
      <c r="E23" s="305"/>
      <c r="F23" s="305"/>
      <c r="G23" s="305"/>
      <c r="H23" s="305"/>
      <c r="I23" s="305"/>
      <c r="J23" s="305"/>
      <c r="K23" s="305"/>
    </row>
    <row r="24" spans="2:11" s="118" customFormat="1" ht="21" customHeight="1" x14ac:dyDescent="0.25">
      <c r="B24" s="73" t="s">
        <v>30</v>
      </c>
      <c r="C24" s="393">
        <f>+SUM(D22:K22)/8</f>
        <v>4.8178915329287229</v>
      </c>
      <c r="D24" s="393"/>
      <c r="E24" s="393"/>
      <c r="F24" s="393"/>
      <c r="G24" s="393"/>
      <c r="H24" s="393"/>
      <c r="I24" s="393"/>
      <c r="J24" s="393"/>
      <c r="K24" s="393"/>
    </row>
    <row r="26" spans="2:11" x14ac:dyDescent="0.25">
      <c r="C26" s="75"/>
      <c r="D26" s="305"/>
      <c r="E26" s="305"/>
    </row>
    <row r="27" spans="2:11" x14ac:dyDescent="0.25">
      <c r="B27" s="257" t="s">
        <v>56</v>
      </c>
      <c r="C27" s="183"/>
      <c r="D27" s="268"/>
      <c r="E27" s="268"/>
      <c r="F27" s="189"/>
      <c r="G27" s="189"/>
      <c r="H27" s="189"/>
      <c r="I27" s="189"/>
      <c r="J27" s="189"/>
      <c r="K27" s="189"/>
    </row>
    <row r="28" spans="2:11" ht="19.5" customHeight="1" x14ac:dyDescent="0.25">
      <c r="B28" s="257" t="s">
        <v>0</v>
      </c>
      <c r="C28" s="301" t="s">
        <v>22</v>
      </c>
      <c r="D28" s="268" t="str">
        <f>+D6</f>
        <v>FY-24-25</v>
      </c>
      <c r="E28" s="268" t="str">
        <f t="shared" ref="E28:K28" si="5">+E6</f>
        <v>FY-25-26</v>
      </c>
      <c r="F28" s="268" t="str">
        <f t="shared" si="5"/>
        <v>FY-26-27</v>
      </c>
      <c r="G28" s="268" t="str">
        <f t="shared" si="5"/>
        <v>FY-27-28</v>
      </c>
      <c r="H28" s="268" t="str">
        <f t="shared" si="5"/>
        <v>FY-28-29</v>
      </c>
      <c r="I28" s="268" t="str">
        <f t="shared" si="5"/>
        <v>FY-29-30</v>
      </c>
      <c r="J28" s="268" t="str">
        <f t="shared" si="5"/>
        <v>FY-30-31</v>
      </c>
      <c r="K28" s="268" t="str">
        <f t="shared" si="5"/>
        <v>FY-31-32</v>
      </c>
    </row>
    <row r="29" spans="2:11" ht="16.5" customHeight="1" x14ac:dyDescent="0.25">
      <c r="B29" s="80" t="s">
        <v>57</v>
      </c>
      <c r="C29" s="78" t="e">
        <f>+BS!#REF!</f>
        <v>#REF!</v>
      </c>
      <c r="D29" s="238">
        <f>+BS!C13+BS!C21</f>
        <v>38190572.872572161</v>
      </c>
      <c r="E29" s="238">
        <f>+BS!D13+BS!D21</f>
        <v>41046310.793141335</v>
      </c>
      <c r="F29" s="238">
        <f>+BS!E13+BS!E21</f>
        <v>51820003.144919813</v>
      </c>
      <c r="G29" s="238">
        <f>+BS!F13+BS!F21</f>
        <v>64447309.040666252</v>
      </c>
      <c r="H29" s="238">
        <f>+BS!G13+BS!G21</f>
        <v>78884114.318979353</v>
      </c>
      <c r="I29" s="238">
        <f>+BS!H13+BS!H21</f>
        <v>95105075.91993624</v>
      </c>
      <c r="J29" s="238">
        <f>+BS!I13+BS!I21</f>
        <v>113102643.4622052</v>
      </c>
      <c r="K29" s="238">
        <f>+BS!J13+BS!J21</f>
        <v>122465436.7977953</v>
      </c>
    </row>
    <row r="30" spans="2:11" ht="16.5" customHeight="1" x14ac:dyDescent="0.25">
      <c r="B30" s="80" t="s">
        <v>75</v>
      </c>
      <c r="C30" s="78" t="e">
        <f>+BS!#REF!</f>
        <v>#REF!</v>
      </c>
      <c r="D30" s="238">
        <f>+BS!C25</f>
        <v>37200000</v>
      </c>
      <c r="E30" s="238">
        <f>+BS!D25</f>
        <v>32881985</v>
      </c>
      <c r="F30" s="238">
        <f>+BS!E25</f>
        <v>27943582</v>
      </c>
      <c r="G30" s="238">
        <f>+BS!F25</f>
        <v>22295656</v>
      </c>
      <c r="H30" s="238">
        <f>+BS!G25</f>
        <v>15836268</v>
      </c>
      <c r="I30" s="238">
        <f>+BS!H25</f>
        <v>8448829</v>
      </c>
      <c r="J30" s="238">
        <f>+BS!I25</f>
        <v>0</v>
      </c>
      <c r="K30" s="238">
        <f>+BS!J25</f>
        <v>0</v>
      </c>
    </row>
    <row r="31" spans="2:11" ht="18" customHeight="1" x14ac:dyDescent="0.25">
      <c r="B31" s="80" t="s">
        <v>156</v>
      </c>
      <c r="D31" s="238">
        <f>+BS!C29</f>
        <v>12450000</v>
      </c>
      <c r="E31" s="238">
        <f>+BS!D29</f>
        <v>12450000</v>
      </c>
      <c r="F31" s="238">
        <f>+BS!E29</f>
        <v>12450000</v>
      </c>
      <c r="G31" s="238">
        <f>+BS!F29</f>
        <v>12450000</v>
      </c>
      <c r="H31" s="238">
        <f>+BS!G29</f>
        <v>12450000</v>
      </c>
      <c r="I31" s="238">
        <f>+BS!H29</f>
        <v>12450000</v>
      </c>
      <c r="J31" s="238">
        <f>+BS!I29</f>
        <v>12450000</v>
      </c>
      <c r="K31" s="238">
        <f>+BS!J29</f>
        <v>12450000</v>
      </c>
    </row>
    <row r="32" spans="2:11" ht="18" customHeight="1" x14ac:dyDescent="0.25">
      <c r="B32" s="80" t="s">
        <v>157</v>
      </c>
      <c r="C32" s="78" t="e">
        <f>+C30+#REF!</f>
        <v>#REF!</v>
      </c>
      <c r="D32" s="238">
        <f>+D30+D31</f>
        <v>49650000</v>
      </c>
      <c r="E32" s="238">
        <f t="shared" ref="E32:K32" si="6">+E30+E31</f>
        <v>45331985</v>
      </c>
      <c r="F32" s="238">
        <f t="shared" si="6"/>
        <v>40393582</v>
      </c>
      <c r="G32" s="238">
        <f t="shared" si="6"/>
        <v>34745656</v>
      </c>
      <c r="H32" s="238">
        <f t="shared" si="6"/>
        <v>28286268</v>
      </c>
      <c r="I32" s="238">
        <f t="shared" si="6"/>
        <v>20898829</v>
      </c>
      <c r="J32" s="238">
        <f t="shared" si="6"/>
        <v>12450000</v>
      </c>
      <c r="K32" s="238">
        <f t="shared" si="6"/>
        <v>12450000</v>
      </c>
    </row>
    <row r="33" spans="2:11" ht="20.25" customHeight="1" x14ac:dyDescent="0.25">
      <c r="B33" s="118" t="s">
        <v>86</v>
      </c>
      <c r="C33" s="201" t="e">
        <f t="shared" ref="C33:K33" si="7">+C32/C29</f>
        <v>#REF!</v>
      </c>
      <c r="D33" s="305">
        <f t="shared" si="7"/>
        <v>1.300059052941251</v>
      </c>
      <c r="E33" s="305">
        <f t="shared" si="7"/>
        <v>1.1044107040083804</v>
      </c>
      <c r="F33" s="305">
        <f t="shared" si="7"/>
        <v>0.77949786855541703</v>
      </c>
      <c r="G33" s="305">
        <f t="shared" si="7"/>
        <v>0.53913276624281536</v>
      </c>
      <c r="H33" s="305">
        <f t="shared" si="7"/>
        <v>0.35858002899823876</v>
      </c>
      <c r="I33" s="305">
        <f t="shared" si="7"/>
        <v>0.21974462243838153</v>
      </c>
      <c r="J33" s="305">
        <f t="shared" si="7"/>
        <v>0.11007700279048153</v>
      </c>
      <c r="K33" s="305">
        <f t="shared" si="7"/>
        <v>0.1016613366639634</v>
      </c>
    </row>
    <row r="34" spans="2:11" ht="24" customHeight="1" x14ac:dyDescent="0.25">
      <c r="B34" s="118" t="s">
        <v>158</v>
      </c>
      <c r="C34" s="75"/>
      <c r="D34" s="394">
        <f>+SUM(D33:K33)/8</f>
        <v>0.56414542282986602</v>
      </c>
      <c r="E34" s="394"/>
      <c r="F34" s="394"/>
      <c r="G34" s="394"/>
      <c r="H34" s="394"/>
      <c r="I34" s="394"/>
      <c r="J34" s="394"/>
      <c r="K34" s="394"/>
    </row>
    <row r="35" spans="2:11" x14ac:dyDescent="0.25">
      <c r="B35" s="340">
        <v>100000</v>
      </c>
    </row>
    <row r="36" spans="2:11" x14ac:dyDescent="0.25">
      <c r="B36" s="257" t="s">
        <v>163</v>
      </c>
      <c r="C36" s="263"/>
      <c r="D36" s="189"/>
      <c r="E36" s="189"/>
      <c r="F36" s="189"/>
      <c r="G36" s="189"/>
      <c r="H36" s="189"/>
      <c r="I36" s="189"/>
      <c r="J36" s="189"/>
      <c r="K36" s="189"/>
    </row>
    <row r="37" spans="2:11" ht="19.5" customHeight="1" x14ac:dyDescent="0.25">
      <c r="B37" s="249" t="s">
        <v>0</v>
      </c>
      <c r="C37" s="80"/>
      <c r="D37" s="195" t="str">
        <f>+D28</f>
        <v>FY-24-25</v>
      </c>
      <c r="E37" s="195" t="str">
        <f t="shared" ref="E37:K37" si="8">+E28</f>
        <v>FY-25-26</v>
      </c>
      <c r="F37" s="195" t="str">
        <f t="shared" si="8"/>
        <v>FY-26-27</v>
      </c>
      <c r="G37" s="195" t="str">
        <f t="shared" si="8"/>
        <v>FY-27-28</v>
      </c>
      <c r="H37" s="195" t="str">
        <f t="shared" si="8"/>
        <v>FY-28-29</v>
      </c>
      <c r="I37" s="195" t="str">
        <f t="shared" si="8"/>
        <v>FY-29-30</v>
      </c>
      <c r="J37" s="195" t="str">
        <f t="shared" si="8"/>
        <v>FY-30-31</v>
      </c>
      <c r="K37" s="195" t="str">
        <f t="shared" si="8"/>
        <v>FY-31-32</v>
      </c>
    </row>
    <row r="38" spans="2:11" ht="16.5" customHeight="1" x14ac:dyDescent="0.25">
      <c r="B38" s="249" t="s">
        <v>164</v>
      </c>
      <c r="D38" s="341">
        <f>(+BS!C43)/100000</f>
        <v>119.92012306416001</v>
      </c>
      <c r="E38" s="341">
        <f>(+BS!D43)/100000</f>
        <v>122.31852552544321</v>
      </c>
      <c r="F38" s="341">
        <f>(+BS!E43)/100000</f>
        <v>124.76489603595206</v>
      </c>
      <c r="G38" s="341">
        <f>(+BS!F43)/100000</f>
        <v>127.26019395667112</v>
      </c>
      <c r="H38" s="341">
        <f>(+BS!G43)/100000</f>
        <v>129.80539783580451</v>
      </c>
      <c r="I38" s="341">
        <f>(+BS!H43)/100000</f>
        <v>132.40150579252065</v>
      </c>
      <c r="J38" s="341">
        <f>(+BS!I43)/100000</f>
        <v>135.04953590837101</v>
      </c>
      <c r="K38" s="341">
        <f>(+BS!J43)/100000</f>
        <v>137.75052662653846</v>
      </c>
    </row>
    <row r="39" spans="2:11" ht="15" customHeight="1" x14ac:dyDescent="0.25">
      <c r="B39" s="249" t="s">
        <v>165</v>
      </c>
      <c r="D39" s="341">
        <f>(+BS!C31)/100000</f>
        <v>30.6</v>
      </c>
      <c r="E39" s="341">
        <f>(+BS!D31)/100000</f>
        <v>44.064</v>
      </c>
      <c r="F39" s="341">
        <f>(+BS!E31)/100000</f>
        <v>44.945279999999997</v>
      </c>
      <c r="G39" s="341">
        <f>(+BS!F31)/100000</f>
        <v>45.844185600000003</v>
      </c>
      <c r="H39" s="341">
        <f>(+BS!G31)/100000</f>
        <v>46.761069311999997</v>
      </c>
      <c r="I39" s="341">
        <f>(+BS!H31)/100000</f>
        <v>47.696290698240006</v>
      </c>
      <c r="J39" s="341">
        <f>(+BS!I31)/100000</f>
        <v>48.6502165122048</v>
      </c>
      <c r="K39" s="341">
        <f>(+BS!J31)/100000</f>
        <v>49.623220842448902</v>
      </c>
    </row>
    <row r="40" spans="2:11" ht="15" customHeight="1" x14ac:dyDescent="0.25">
      <c r="B40" s="337" t="s">
        <v>166</v>
      </c>
      <c r="C40" s="338"/>
      <c r="D40" s="342">
        <f>+D38-D39</f>
        <v>89.320123064160015</v>
      </c>
      <c r="E40" s="342">
        <f t="shared" ref="E40:K40" si="9">+E38-E39</f>
        <v>78.254525525443199</v>
      </c>
      <c r="F40" s="342">
        <f t="shared" si="9"/>
        <v>79.819616035952066</v>
      </c>
      <c r="G40" s="342">
        <f t="shared" si="9"/>
        <v>81.416008356671114</v>
      </c>
      <c r="H40" s="342">
        <f t="shared" si="9"/>
        <v>83.044328523804523</v>
      </c>
      <c r="I40" s="342">
        <f t="shared" si="9"/>
        <v>84.705215094280646</v>
      </c>
      <c r="J40" s="342">
        <f t="shared" si="9"/>
        <v>86.39931939616622</v>
      </c>
      <c r="K40" s="342">
        <f t="shared" si="9"/>
        <v>88.127305784089558</v>
      </c>
    </row>
    <row r="41" spans="2:11" ht="17.25" customHeight="1" x14ac:dyDescent="0.25">
      <c r="B41" s="249" t="s">
        <v>167</v>
      </c>
      <c r="D41" s="343">
        <f>+D40*25%</f>
        <v>22.330030766040004</v>
      </c>
      <c r="E41" s="343">
        <f t="shared" ref="E41:K41" si="10">+E40*25%</f>
        <v>19.5636313813608</v>
      </c>
      <c r="F41" s="343">
        <f t="shared" si="10"/>
        <v>19.954904008988017</v>
      </c>
      <c r="G41" s="343">
        <f t="shared" si="10"/>
        <v>20.354002089167778</v>
      </c>
      <c r="H41" s="343">
        <f t="shared" si="10"/>
        <v>20.761082130951131</v>
      </c>
      <c r="I41" s="343">
        <f t="shared" si="10"/>
        <v>21.176303773570162</v>
      </c>
      <c r="J41" s="343">
        <f t="shared" si="10"/>
        <v>21.599829849041555</v>
      </c>
      <c r="K41" s="343">
        <f t="shared" si="10"/>
        <v>22.031826446022389</v>
      </c>
    </row>
    <row r="42" spans="2:11" ht="17.25" customHeight="1" x14ac:dyDescent="0.25">
      <c r="B42" s="249" t="s">
        <v>168</v>
      </c>
      <c r="D42" s="343">
        <f>+D40-D41</f>
        <v>66.990092298120004</v>
      </c>
      <c r="E42" s="343">
        <f t="shared" ref="E42:K42" si="11">+E40-E41</f>
        <v>58.690894144082399</v>
      </c>
      <c r="F42" s="343">
        <f t="shared" si="11"/>
        <v>59.86471202696405</v>
      </c>
      <c r="G42" s="343">
        <f t="shared" si="11"/>
        <v>61.062006267503335</v>
      </c>
      <c r="H42" s="343">
        <f t="shared" si="11"/>
        <v>62.283246392853393</v>
      </c>
      <c r="I42" s="343">
        <f t="shared" si="11"/>
        <v>63.528911320710485</v>
      </c>
      <c r="J42" s="343">
        <f t="shared" si="11"/>
        <v>64.799489547124665</v>
      </c>
      <c r="K42" s="343">
        <f t="shared" si="11"/>
        <v>66.095479338067165</v>
      </c>
    </row>
    <row r="43" spans="2:11" x14ac:dyDescent="0.25">
      <c r="B43" s="249"/>
    </row>
    <row r="44" spans="2:11" ht="15" customHeight="1" x14ac:dyDescent="0.25">
      <c r="B44" s="249" t="s">
        <v>169</v>
      </c>
      <c r="D44" s="341">
        <f>(+BS!C45)/100000</f>
        <v>187.26840377835001</v>
      </c>
      <c r="E44" s="341">
        <f>(+BS!D45)/100000</f>
        <v>359.55533525443201</v>
      </c>
      <c r="F44" s="341">
        <f>(+BS!E45)/100000</f>
        <v>458.43305244940086</v>
      </c>
      <c r="G44" s="341">
        <f>(+BS!F45)/100000</f>
        <v>561.1220561980665</v>
      </c>
      <c r="H44" s="341">
        <f>(+BS!G45)/100000</f>
        <v>667.73524687569943</v>
      </c>
      <c r="I44" s="341">
        <f>(+BS!H45)/100000</f>
        <v>778.38851635795788</v>
      </c>
      <c r="J44" s="341">
        <f>(+BS!I45)/100000</f>
        <v>893.20082252075667</v>
      </c>
      <c r="K44" s="341">
        <f>(+BS!J45)/100000</f>
        <v>1012.2942655235245</v>
      </c>
    </row>
    <row r="45" spans="2:11" ht="18" customHeight="1" x14ac:dyDescent="0.25">
      <c r="B45" s="249" t="s">
        <v>170</v>
      </c>
      <c r="D45" s="341">
        <v>0</v>
      </c>
      <c r="E45" s="341">
        <v>0</v>
      </c>
      <c r="F45" s="341">
        <v>0</v>
      </c>
      <c r="G45" s="341">
        <v>0</v>
      </c>
      <c r="H45" s="341">
        <v>0</v>
      </c>
      <c r="I45" s="341">
        <v>0</v>
      </c>
      <c r="J45" s="341">
        <v>0</v>
      </c>
      <c r="K45" s="341">
        <v>0</v>
      </c>
    </row>
    <row r="46" spans="2:11" ht="17.25" customHeight="1" x14ac:dyDescent="0.25">
      <c r="B46" s="249" t="s">
        <v>171</v>
      </c>
      <c r="D46" s="238">
        <f>+D44-D45</f>
        <v>187.26840377835001</v>
      </c>
      <c r="E46" s="238">
        <f t="shared" ref="E46:K46" si="12">+E44-E45</f>
        <v>359.55533525443201</v>
      </c>
      <c r="F46" s="238">
        <f t="shared" si="12"/>
        <v>458.43305244940086</v>
      </c>
      <c r="G46" s="238">
        <f t="shared" si="12"/>
        <v>561.1220561980665</v>
      </c>
      <c r="H46" s="238">
        <f t="shared" si="12"/>
        <v>667.73524687569943</v>
      </c>
      <c r="I46" s="238">
        <f t="shared" si="12"/>
        <v>778.38851635795788</v>
      </c>
      <c r="J46" s="238">
        <f t="shared" si="12"/>
        <v>893.20082252075667</v>
      </c>
      <c r="K46" s="238">
        <f t="shared" si="12"/>
        <v>1012.2942655235245</v>
      </c>
    </row>
    <row r="47" spans="2:11" ht="18" customHeight="1" x14ac:dyDescent="0.25">
      <c r="B47" s="249" t="s">
        <v>172</v>
      </c>
      <c r="D47" s="238">
        <f>+D46*25%</f>
        <v>46.817100944587501</v>
      </c>
      <c r="E47" s="238">
        <f t="shared" ref="E47:K47" si="13">+E46*25%</f>
        <v>89.888833813608002</v>
      </c>
      <c r="F47" s="238">
        <f t="shared" si="13"/>
        <v>114.60826311235022</v>
      </c>
      <c r="G47" s="238">
        <f t="shared" si="13"/>
        <v>140.28051404951663</v>
      </c>
      <c r="H47" s="238">
        <f t="shared" si="13"/>
        <v>166.93381171892486</v>
      </c>
      <c r="I47" s="238">
        <f t="shared" si="13"/>
        <v>194.59712908948947</v>
      </c>
      <c r="J47" s="238">
        <f t="shared" si="13"/>
        <v>223.30020563018917</v>
      </c>
      <c r="K47" s="238">
        <f t="shared" si="13"/>
        <v>253.07356638088112</v>
      </c>
    </row>
    <row r="48" spans="2:11" ht="18" customHeight="1" x14ac:dyDescent="0.25">
      <c r="B48" s="247" t="s">
        <v>173</v>
      </c>
      <c r="D48" s="238">
        <f>+D46-D47</f>
        <v>140.4513028337625</v>
      </c>
      <c r="E48" s="238">
        <f t="shared" ref="E48:K48" si="14">+E46-E47</f>
        <v>269.66650144082399</v>
      </c>
      <c r="F48" s="238">
        <f t="shared" si="14"/>
        <v>343.82478933705067</v>
      </c>
      <c r="G48" s="238">
        <f t="shared" si="14"/>
        <v>420.84154214854988</v>
      </c>
      <c r="H48" s="238">
        <f t="shared" si="14"/>
        <v>500.80143515677457</v>
      </c>
      <c r="I48" s="238">
        <f t="shared" si="14"/>
        <v>583.79138726846838</v>
      </c>
      <c r="J48" s="238">
        <f t="shared" si="14"/>
        <v>669.90061689056756</v>
      </c>
      <c r="K48" s="238">
        <f t="shared" si="14"/>
        <v>759.2206991426433</v>
      </c>
    </row>
    <row r="49" spans="2:13" ht="20.25" customHeight="1" x14ac:dyDescent="0.25">
      <c r="B49" s="247" t="s">
        <v>174</v>
      </c>
      <c r="D49" s="238">
        <f>+D42+D48</f>
        <v>207.4413951318825</v>
      </c>
      <c r="E49" s="238">
        <f t="shared" ref="E49:K49" si="15">+E42+E48</f>
        <v>328.35739558490639</v>
      </c>
      <c r="F49" s="238">
        <f t="shared" si="15"/>
        <v>403.68950136401475</v>
      </c>
      <c r="G49" s="238">
        <f t="shared" si="15"/>
        <v>481.90354841605324</v>
      </c>
      <c r="H49" s="238">
        <f t="shared" si="15"/>
        <v>563.08468154962793</v>
      </c>
      <c r="I49" s="238">
        <f t="shared" si="15"/>
        <v>647.32029858917883</v>
      </c>
      <c r="J49" s="238">
        <f t="shared" si="15"/>
        <v>734.70010643769228</v>
      </c>
      <c r="K49" s="238">
        <f t="shared" si="15"/>
        <v>825.31617848071051</v>
      </c>
    </row>
    <row r="50" spans="2:13" x14ac:dyDescent="0.25">
      <c r="M50" s="78">
        <v>3739239</v>
      </c>
    </row>
    <row r="51" spans="2:13" x14ac:dyDescent="0.25">
      <c r="M51" s="78">
        <f>+M50*25%</f>
        <v>934809.75</v>
      </c>
    </row>
    <row r="52" spans="2:13" x14ac:dyDescent="0.25">
      <c r="M52" s="78">
        <f>+M50-M51</f>
        <v>2804429.25</v>
      </c>
    </row>
    <row r="53" spans="2:13" x14ac:dyDescent="0.25">
      <c r="M53" s="78">
        <v>472125</v>
      </c>
    </row>
    <row r="54" spans="2:13" x14ac:dyDescent="0.25">
      <c r="M54" s="78">
        <f>+M52+M53</f>
        <v>3276554.25</v>
      </c>
    </row>
  </sheetData>
  <mergeCells count="4">
    <mergeCell ref="B1:K1"/>
    <mergeCell ref="B4:E4"/>
    <mergeCell ref="C24:K24"/>
    <mergeCell ref="D34:K34"/>
  </mergeCells>
  <pageMargins left="0.51" right="0.31496062992125984" top="0.51181102362204722" bottom="0.55118110236220474" header="0.31496062992125984" footer="0.31496062992125984"/>
  <pageSetup paperSize="9" scale="45" firstPageNumber="9" orientation="landscape"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M54"/>
  <sheetViews>
    <sheetView showGridLines="0" topLeftCell="A34" zoomScaleNormal="100" zoomScaleSheetLayoutView="100" workbookViewId="0">
      <selection activeCell="D49" sqref="D49"/>
    </sheetView>
  </sheetViews>
  <sheetFormatPr defaultColWidth="9.140625" defaultRowHeight="15" x14ac:dyDescent="0.25"/>
  <cols>
    <col min="1" max="1" width="5.42578125" style="78" customWidth="1"/>
    <col min="2" max="2" width="32.5703125" style="80" customWidth="1"/>
    <col min="3" max="3" width="11.85546875" style="78" hidden="1" customWidth="1"/>
    <col min="4" max="11" width="17.7109375" style="238" bestFit="1" customWidth="1"/>
    <col min="12" max="16384" width="9.140625" style="78"/>
  </cols>
  <sheetData>
    <row r="1" spans="2:11" ht="21" customHeight="1" x14ac:dyDescent="0.25">
      <c r="B1" s="369"/>
      <c r="C1" s="369"/>
      <c r="D1" s="369"/>
      <c r="E1" s="369"/>
      <c r="F1" s="369"/>
      <c r="G1" s="369"/>
      <c r="H1" s="369"/>
      <c r="I1" s="369"/>
      <c r="J1" s="369"/>
      <c r="K1" s="369"/>
    </row>
    <row r="2" spans="2:11" ht="18" customHeight="1" x14ac:dyDescent="0.25">
      <c r="B2" s="187" t="str">
        <f>'Investment in project'!B2:E2</f>
        <v xml:space="preserve">ORENSE INDUSTRIES PRIVATE LIMITED, CIN: U23209OR2022PTC041057,  Andhapasra Road, Near Hanuman Temple, Berhampur Ganjam Pin- 760002 </v>
      </c>
      <c r="C2" s="146"/>
      <c r="D2" s="191"/>
      <c r="E2" s="191"/>
      <c r="F2" s="191"/>
      <c r="G2" s="191"/>
      <c r="H2" s="191"/>
      <c r="I2" s="191"/>
      <c r="J2" s="191"/>
      <c r="K2" s="191"/>
    </row>
    <row r="4" spans="2:11" s="75" customFormat="1" ht="17.25" customHeight="1" x14ac:dyDescent="0.25">
      <c r="B4" s="370" t="s">
        <v>24</v>
      </c>
      <c r="C4" s="370"/>
      <c r="D4" s="370"/>
      <c r="E4" s="370"/>
      <c r="F4" s="209"/>
      <c r="G4" s="209"/>
      <c r="H4" s="209"/>
      <c r="I4" s="209"/>
      <c r="J4" s="209"/>
      <c r="K4" s="209"/>
    </row>
    <row r="5" spans="2:11" ht="12.75" customHeight="1" x14ac:dyDescent="0.25"/>
    <row r="6" spans="2:11" ht="14.25" customHeight="1" x14ac:dyDescent="0.25">
      <c r="B6" s="73" t="s">
        <v>0</v>
      </c>
      <c r="C6" s="74" t="s">
        <v>22</v>
      </c>
      <c r="D6" s="209" t="str">
        <f>+'cma report'!D8</f>
        <v>FY-24-25</v>
      </c>
      <c r="E6" s="209" t="str">
        <f>+'cma report'!E8</f>
        <v>FY-25-26</v>
      </c>
      <c r="F6" s="209" t="str">
        <f>+'cma report'!F8</f>
        <v>FY-26-27</v>
      </c>
      <c r="G6" s="209" t="str">
        <f>+'cma report'!G8</f>
        <v>FY-27-28</v>
      </c>
      <c r="H6" s="209" t="str">
        <f>+'cma report'!H8</f>
        <v>FY-28-29</v>
      </c>
      <c r="I6" s="209" t="str">
        <f>+'cma report'!I8</f>
        <v>FY-29-30</v>
      </c>
      <c r="J6" s="209" t="str">
        <f>+'cma report'!J8</f>
        <v>FY-30-31</v>
      </c>
      <c r="K6" s="209" t="str">
        <f>+'cma report'!K8</f>
        <v>FY-31-32</v>
      </c>
    </row>
    <row r="7" spans="2:11" ht="14.25" customHeight="1" x14ac:dyDescent="0.25">
      <c r="B7" s="118"/>
      <c r="C7" s="262"/>
      <c r="D7" s="234"/>
      <c r="E7" s="234"/>
    </row>
    <row r="8" spans="2:11" ht="16.5" customHeight="1" x14ac:dyDescent="0.25">
      <c r="B8" s="257" t="s">
        <v>25</v>
      </c>
      <c r="C8" s="263"/>
      <c r="D8" s="189"/>
      <c r="E8" s="189"/>
      <c r="F8" s="189"/>
      <c r="G8" s="189"/>
      <c r="H8" s="189"/>
      <c r="I8" s="189"/>
      <c r="J8" s="189"/>
      <c r="K8" s="189"/>
    </row>
    <row r="9" spans="2:11" ht="15.75" customHeight="1" x14ac:dyDescent="0.25">
      <c r="B9" s="80" t="s">
        <v>5</v>
      </c>
      <c r="C9" s="200" t="e">
        <f>+BS!#REF!</f>
        <v>#REF!</v>
      </c>
      <c r="D9" s="176">
        <f>+BS!C45</f>
        <v>18726840.377835002</v>
      </c>
      <c r="E9" s="176">
        <f>+BS!D45</f>
        <v>35955533.525443204</v>
      </c>
      <c r="F9" s="176">
        <f>+BS!E45</f>
        <v>45843305.244940087</v>
      </c>
      <c r="G9" s="176">
        <f>+BS!F45</f>
        <v>56112205.619806655</v>
      </c>
      <c r="H9" s="176">
        <f>+BS!G45</f>
        <v>66773524.687569939</v>
      </c>
      <c r="I9" s="176">
        <f>+BS!H45</f>
        <v>77838851.635795787</v>
      </c>
      <c r="J9" s="176">
        <f>+BS!I45</f>
        <v>89320082.252075672</v>
      </c>
      <c r="K9" s="176">
        <f>+BS!J45</f>
        <v>101229426.55235244</v>
      </c>
    </row>
    <row r="10" spans="2:11" ht="16.5" customHeight="1" x14ac:dyDescent="0.25">
      <c r="B10" s="80" t="s">
        <v>26</v>
      </c>
      <c r="C10" s="200" t="e">
        <f>+BS!#REF!</f>
        <v>#REF!</v>
      </c>
      <c r="D10" s="176">
        <f>+BS!C43</f>
        <v>11992012.306416001</v>
      </c>
      <c r="E10" s="176">
        <f>+BS!D43</f>
        <v>12231852.55254432</v>
      </c>
      <c r="F10" s="176">
        <f>+BS!E43</f>
        <v>12476489.603595207</v>
      </c>
      <c r="G10" s="176">
        <f>+BS!F43</f>
        <v>12726019.395667112</v>
      </c>
      <c r="H10" s="176">
        <f>+BS!G43</f>
        <v>12980539.783580452</v>
      </c>
      <c r="I10" s="176">
        <f>+BS!H43</f>
        <v>13240150.579252064</v>
      </c>
      <c r="J10" s="176">
        <f>+BS!I43</f>
        <v>13504953.590837102</v>
      </c>
      <c r="K10" s="176">
        <f>+BS!J43</f>
        <v>13775052.662653847</v>
      </c>
    </row>
    <row r="11" spans="2:11" ht="15.75" customHeight="1" x14ac:dyDescent="0.25">
      <c r="B11" s="80" t="s">
        <v>326</v>
      </c>
      <c r="C11" s="200" t="e">
        <f>BS!#REF!</f>
        <v>#REF!</v>
      </c>
      <c r="D11" s="176">
        <f>+BS!C49</f>
        <v>1756720.1883211508</v>
      </c>
      <c r="E11" s="176">
        <f>+BS!D49</f>
        <v>3152184.715153791</v>
      </c>
      <c r="F11" s="176">
        <f>+BS!E49</f>
        <v>4644974.546384491</v>
      </c>
      <c r="G11" s="176">
        <f>+BS!F49</f>
        <v>6063827.6476924494</v>
      </c>
      <c r="H11" s="176">
        <f>+BS!G49</f>
        <v>7374253.6071539074</v>
      </c>
      <c r="I11" s="176">
        <f>+BS!H49</f>
        <v>8527360.3911185861</v>
      </c>
      <c r="J11" s="176">
        <f>+BS!I49</f>
        <v>9459480.295708172</v>
      </c>
      <c r="K11" s="176">
        <f>+BS!J49</f>
        <v>9333155.0695748702</v>
      </c>
    </row>
    <row r="12" spans="2:11" ht="15.75" customHeight="1" x14ac:dyDescent="0.25">
      <c r="B12" s="80" t="s">
        <v>324</v>
      </c>
      <c r="C12" s="200"/>
      <c r="D12" s="176">
        <f>+BS!C47</f>
        <v>12300000</v>
      </c>
      <c r="E12" s="176">
        <f>+BS!D47</f>
        <v>0</v>
      </c>
      <c r="F12" s="176">
        <f>+BS!E47</f>
        <v>0</v>
      </c>
      <c r="G12" s="176">
        <f>+BS!F47</f>
        <v>0</v>
      </c>
      <c r="H12" s="176">
        <f>+BS!G47</f>
        <v>0</v>
      </c>
      <c r="I12" s="176">
        <f>+BS!H47</f>
        <v>0</v>
      </c>
      <c r="J12" s="176">
        <f>+BS!I47</f>
        <v>0</v>
      </c>
      <c r="K12" s="176">
        <f>+BS!J47</f>
        <v>0</v>
      </c>
    </row>
    <row r="13" spans="2:11" s="118" customFormat="1" ht="17.25" customHeight="1" x14ac:dyDescent="0.25">
      <c r="B13" s="258" t="s">
        <v>6</v>
      </c>
      <c r="C13" s="267" t="e">
        <f>SUM(C9:C11)</f>
        <v>#REF!</v>
      </c>
      <c r="D13" s="233">
        <f>SUM(D9:D12)</f>
        <v>44775572.872572154</v>
      </c>
      <c r="E13" s="233">
        <f t="shared" ref="E13:K13" si="0">SUM(E9:E12)</f>
        <v>51339570.793141313</v>
      </c>
      <c r="F13" s="233">
        <f t="shared" si="0"/>
        <v>62964769.394919783</v>
      </c>
      <c r="G13" s="233">
        <f t="shared" si="0"/>
        <v>74902052.663166225</v>
      </c>
      <c r="H13" s="233">
        <f t="shared" si="0"/>
        <v>87128318.078304306</v>
      </c>
      <c r="I13" s="233">
        <f t="shared" si="0"/>
        <v>99606362.606166437</v>
      </c>
      <c r="J13" s="233">
        <f t="shared" si="0"/>
        <v>112284516.13862094</v>
      </c>
      <c r="K13" s="233">
        <f t="shared" si="0"/>
        <v>124337634.28458115</v>
      </c>
    </row>
    <row r="14" spans="2:11" x14ac:dyDescent="0.25">
      <c r="C14" s="200"/>
      <c r="D14" s="176"/>
      <c r="E14" s="176"/>
    </row>
    <row r="15" spans="2:11" ht="15.75" customHeight="1" x14ac:dyDescent="0.25">
      <c r="B15" s="118" t="s">
        <v>27</v>
      </c>
      <c r="C15" s="200"/>
      <c r="D15" s="176"/>
      <c r="E15" s="176"/>
    </row>
    <row r="16" spans="2:11" ht="16.5" customHeight="1" x14ac:dyDescent="0.25">
      <c r="B16" s="80" t="s">
        <v>1</v>
      </c>
      <c r="C16" s="200" t="e">
        <f>BS!#REF!</f>
        <v>#REF!</v>
      </c>
      <c r="D16" s="176">
        <f>BS!C31</f>
        <v>3060000</v>
      </c>
      <c r="E16" s="176">
        <f>BS!D31</f>
        <v>4406400</v>
      </c>
      <c r="F16" s="176">
        <f>BS!E31</f>
        <v>4494528</v>
      </c>
      <c r="G16" s="176">
        <f>BS!F31</f>
        <v>4584418.5600000005</v>
      </c>
      <c r="H16" s="176">
        <f>BS!G31</f>
        <v>4676106.9311999995</v>
      </c>
      <c r="I16" s="176">
        <f>BS!H31</f>
        <v>4769629.0698240008</v>
      </c>
      <c r="J16" s="176">
        <f>BS!I31</f>
        <v>4865021.65122048</v>
      </c>
      <c r="K16" s="238">
        <f>+BS!J31</f>
        <v>4962322.0842448901</v>
      </c>
    </row>
    <row r="17" spans="2:11" ht="16.5" customHeight="1" x14ac:dyDescent="0.25">
      <c r="B17" s="80" t="s">
        <v>147</v>
      </c>
      <c r="C17" s="200"/>
      <c r="D17" s="176">
        <f>+BS!C29</f>
        <v>12450000</v>
      </c>
      <c r="E17" s="176">
        <f>+BS!D29</f>
        <v>12450000</v>
      </c>
      <c r="F17" s="176">
        <f>+BS!E29</f>
        <v>12450000</v>
      </c>
      <c r="G17" s="176">
        <f>+BS!F29</f>
        <v>12450000</v>
      </c>
      <c r="H17" s="176">
        <f>+BS!G29</f>
        <v>12450000</v>
      </c>
      <c r="I17" s="176">
        <f>+BS!H29</f>
        <v>12450000</v>
      </c>
      <c r="J17" s="176">
        <f>+BS!I29</f>
        <v>12450000</v>
      </c>
      <c r="K17" s="176">
        <f>+BS!J29</f>
        <v>12450000</v>
      </c>
    </row>
    <row r="18" spans="2:11" s="75" customFormat="1" ht="17.25" customHeight="1" x14ac:dyDescent="0.25">
      <c r="B18" s="258" t="s">
        <v>6</v>
      </c>
      <c r="C18" s="265" t="e">
        <f>+C16+#REF!</f>
        <v>#REF!</v>
      </c>
      <c r="D18" s="266">
        <f>+D16+D17</f>
        <v>15510000</v>
      </c>
      <c r="E18" s="266">
        <f t="shared" ref="E18:K18" si="1">+E16+E17</f>
        <v>16856400</v>
      </c>
      <c r="F18" s="266">
        <f t="shared" si="1"/>
        <v>16944528</v>
      </c>
      <c r="G18" s="266">
        <f t="shared" si="1"/>
        <v>17034418.560000002</v>
      </c>
      <c r="H18" s="266">
        <f t="shared" si="1"/>
        <v>17126106.931199998</v>
      </c>
      <c r="I18" s="266">
        <f t="shared" si="1"/>
        <v>17219629.069824003</v>
      </c>
      <c r="J18" s="266">
        <f t="shared" si="1"/>
        <v>17315021.651220478</v>
      </c>
      <c r="K18" s="266">
        <f t="shared" si="1"/>
        <v>17412322.084244892</v>
      </c>
    </row>
    <row r="19" spans="2:11" x14ac:dyDescent="0.25">
      <c r="C19" s="159"/>
    </row>
    <row r="20" spans="2:11" ht="16.5" customHeight="1" x14ac:dyDescent="0.25">
      <c r="B20" s="258" t="s">
        <v>28</v>
      </c>
      <c r="C20" s="265" t="e">
        <f t="shared" ref="C20:K20" si="2">+C13-C18</f>
        <v>#REF!</v>
      </c>
      <c r="D20" s="266">
        <f t="shared" si="2"/>
        <v>29265572.872572154</v>
      </c>
      <c r="E20" s="266">
        <f t="shared" si="2"/>
        <v>34483170.793141313</v>
      </c>
      <c r="F20" s="266">
        <f t="shared" si="2"/>
        <v>46020241.394919783</v>
      </c>
      <c r="G20" s="266">
        <f t="shared" si="2"/>
        <v>57867634.103166223</v>
      </c>
      <c r="H20" s="266">
        <f t="shared" si="2"/>
        <v>70002211.147104308</v>
      </c>
      <c r="I20" s="266">
        <f t="shared" si="2"/>
        <v>82386733.536342442</v>
      </c>
      <c r="J20" s="266">
        <f t="shared" si="2"/>
        <v>94969494.487400472</v>
      </c>
      <c r="K20" s="266">
        <f t="shared" si="2"/>
        <v>106925312.20033626</v>
      </c>
    </row>
    <row r="21" spans="2:11" x14ac:dyDescent="0.25">
      <c r="B21" s="80" t="s">
        <v>450</v>
      </c>
      <c r="C21" s="159"/>
      <c r="D21" s="238">
        <v>0</v>
      </c>
      <c r="E21" s="238">
        <f>E20-D20</f>
        <v>5217597.9205691591</v>
      </c>
      <c r="F21" s="238">
        <f t="shared" ref="F21:K21" si="3">F20-E20</f>
        <v>11537070.60177847</v>
      </c>
      <c r="G21" s="238">
        <f t="shared" si="3"/>
        <v>11847392.70824644</v>
      </c>
      <c r="H21" s="238">
        <f t="shared" si="3"/>
        <v>12134577.043938085</v>
      </c>
      <c r="I21" s="238">
        <f t="shared" si="3"/>
        <v>12384522.389238134</v>
      </c>
      <c r="J21" s="238">
        <f t="shared" si="3"/>
        <v>12582760.95105803</v>
      </c>
      <c r="K21" s="238">
        <f t="shared" si="3"/>
        <v>11955817.71293579</v>
      </c>
    </row>
    <row r="22" spans="2:11" s="75" customFormat="1" x14ac:dyDescent="0.25">
      <c r="B22" s="118" t="s">
        <v>29</v>
      </c>
      <c r="C22" s="201" t="e">
        <f t="shared" ref="C22:K22" si="4">C13/C18</f>
        <v>#REF!</v>
      </c>
      <c r="D22" s="234">
        <f t="shared" si="4"/>
        <v>2.8868841310491393</v>
      </c>
      <c r="E22" s="234">
        <f t="shared" si="4"/>
        <v>3.0457019762903892</v>
      </c>
      <c r="F22" s="234">
        <f t="shared" si="4"/>
        <v>3.7159352798094925</v>
      </c>
      <c r="G22" s="234">
        <f t="shared" si="4"/>
        <v>4.3971006347730732</v>
      </c>
      <c r="H22" s="234">
        <f t="shared" si="4"/>
        <v>5.0874561526633757</v>
      </c>
      <c r="I22" s="234">
        <f t="shared" si="4"/>
        <v>5.7844662159836231</v>
      </c>
      <c r="J22" s="234">
        <f t="shared" si="4"/>
        <v>6.4848036808955642</v>
      </c>
      <c r="K22" s="234">
        <f t="shared" si="4"/>
        <v>7.1407841919651247</v>
      </c>
    </row>
    <row r="23" spans="2:11" s="75" customFormat="1" x14ac:dyDescent="0.25">
      <c r="B23" s="118"/>
      <c r="C23" s="201"/>
      <c r="D23" s="234"/>
      <c r="E23" s="234"/>
      <c r="F23" s="234"/>
      <c r="G23" s="234"/>
      <c r="H23" s="234"/>
      <c r="I23" s="234"/>
      <c r="J23" s="234"/>
      <c r="K23" s="234"/>
    </row>
    <row r="24" spans="2:11" s="118" customFormat="1" ht="21" customHeight="1" x14ac:dyDescent="0.25">
      <c r="B24" s="73" t="s">
        <v>30</v>
      </c>
      <c r="C24" s="393">
        <f>+SUM(D22:K22)/8</f>
        <v>4.8178915329287229</v>
      </c>
      <c r="D24" s="393"/>
      <c r="E24" s="393"/>
      <c r="F24" s="393"/>
      <c r="G24" s="393"/>
      <c r="H24" s="393"/>
      <c r="I24" s="393"/>
      <c r="J24" s="393"/>
      <c r="K24" s="393"/>
    </row>
    <row r="26" spans="2:11" x14ac:dyDescent="0.25">
      <c r="C26" s="75"/>
      <c r="D26" s="234"/>
      <c r="E26" s="234"/>
    </row>
    <row r="27" spans="2:11" x14ac:dyDescent="0.25">
      <c r="B27" s="257" t="s">
        <v>56</v>
      </c>
      <c r="C27" s="183"/>
      <c r="D27" s="268"/>
      <c r="E27" s="268"/>
      <c r="F27" s="189"/>
      <c r="G27" s="189"/>
      <c r="H27" s="189"/>
      <c r="I27" s="189"/>
      <c r="J27" s="189"/>
      <c r="K27" s="189"/>
    </row>
    <row r="28" spans="2:11" ht="19.5" customHeight="1" x14ac:dyDescent="0.25">
      <c r="B28" s="257" t="s">
        <v>0</v>
      </c>
      <c r="C28" s="185" t="s">
        <v>22</v>
      </c>
      <c r="D28" s="268" t="str">
        <f>+D6</f>
        <v>FY-24-25</v>
      </c>
      <c r="E28" s="268" t="str">
        <f t="shared" ref="E28:K28" si="5">+E6</f>
        <v>FY-25-26</v>
      </c>
      <c r="F28" s="268" t="str">
        <f t="shared" si="5"/>
        <v>FY-26-27</v>
      </c>
      <c r="G28" s="268" t="str">
        <f t="shared" si="5"/>
        <v>FY-27-28</v>
      </c>
      <c r="H28" s="268" t="str">
        <f t="shared" si="5"/>
        <v>FY-28-29</v>
      </c>
      <c r="I28" s="268" t="str">
        <f t="shared" si="5"/>
        <v>FY-29-30</v>
      </c>
      <c r="J28" s="268" t="str">
        <f t="shared" si="5"/>
        <v>FY-30-31</v>
      </c>
      <c r="K28" s="268" t="str">
        <f t="shared" si="5"/>
        <v>FY-31-32</v>
      </c>
    </row>
    <row r="29" spans="2:11" ht="16.5" customHeight="1" x14ac:dyDescent="0.25">
      <c r="B29" s="80" t="s">
        <v>57</v>
      </c>
      <c r="C29" s="78" t="e">
        <f>+BS!#REF!</f>
        <v>#REF!</v>
      </c>
      <c r="D29" s="238">
        <f>+BS!C13+BS!C21</f>
        <v>38190572.872572161</v>
      </c>
      <c r="E29" s="238">
        <f>+BS!D13+BS!D21</f>
        <v>41046310.793141335</v>
      </c>
      <c r="F29" s="238">
        <f>+BS!E13+BS!E21</f>
        <v>51820003.144919813</v>
      </c>
      <c r="G29" s="238">
        <f>+BS!F13+BS!F21</f>
        <v>64447309.040666252</v>
      </c>
      <c r="H29" s="238">
        <f>+BS!G13+BS!G21</f>
        <v>78884114.318979353</v>
      </c>
      <c r="I29" s="238">
        <f>+BS!H13+BS!H21</f>
        <v>95105075.91993624</v>
      </c>
      <c r="J29" s="238">
        <f>+BS!I13+BS!I21</f>
        <v>113102643.4622052</v>
      </c>
      <c r="K29" s="238">
        <f>+BS!J13+BS!J21</f>
        <v>122465436.7977953</v>
      </c>
    </row>
    <row r="30" spans="2:11" ht="16.5" customHeight="1" x14ac:dyDescent="0.25">
      <c r="B30" s="80" t="s">
        <v>75</v>
      </c>
      <c r="C30" s="78" t="e">
        <f>+BS!#REF!</f>
        <v>#REF!</v>
      </c>
      <c r="D30" s="238">
        <f>+BS!C25</f>
        <v>37200000</v>
      </c>
      <c r="E30" s="238">
        <f>+BS!D25</f>
        <v>32881985</v>
      </c>
      <c r="F30" s="238">
        <f>+BS!E25</f>
        <v>27943582</v>
      </c>
      <c r="G30" s="238">
        <f>+BS!F25</f>
        <v>22295656</v>
      </c>
      <c r="H30" s="238">
        <f>+BS!G25</f>
        <v>15836268</v>
      </c>
      <c r="I30" s="238">
        <f>+BS!H25</f>
        <v>8448829</v>
      </c>
      <c r="J30" s="238">
        <f>+BS!I25</f>
        <v>0</v>
      </c>
      <c r="K30" s="238">
        <f>+BS!J25</f>
        <v>0</v>
      </c>
    </row>
    <row r="31" spans="2:11" ht="18" customHeight="1" x14ac:dyDescent="0.25">
      <c r="B31" s="80" t="s">
        <v>156</v>
      </c>
      <c r="D31" s="238">
        <f>+BS!C29</f>
        <v>12450000</v>
      </c>
      <c r="E31" s="238">
        <f>+BS!D29</f>
        <v>12450000</v>
      </c>
      <c r="F31" s="238">
        <f>+BS!E29</f>
        <v>12450000</v>
      </c>
      <c r="G31" s="238">
        <f>+BS!F29</f>
        <v>12450000</v>
      </c>
      <c r="H31" s="238">
        <f>+BS!G29</f>
        <v>12450000</v>
      </c>
      <c r="I31" s="238">
        <f>+BS!H29</f>
        <v>12450000</v>
      </c>
      <c r="J31" s="238">
        <f>+BS!I29</f>
        <v>12450000</v>
      </c>
      <c r="K31" s="238">
        <f>+BS!J29</f>
        <v>12450000</v>
      </c>
    </row>
    <row r="32" spans="2:11" ht="18" customHeight="1" x14ac:dyDescent="0.25">
      <c r="B32" s="80" t="s">
        <v>157</v>
      </c>
      <c r="C32" s="78" t="e">
        <f>+C30+#REF!</f>
        <v>#REF!</v>
      </c>
      <c r="D32" s="238">
        <f>+D30+D31</f>
        <v>49650000</v>
      </c>
      <c r="E32" s="238">
        <f t="shared" ref="E32:K32" si="6">+E30+E31</f>
        <v>45331985</v>
      </c>
      <c r="F32" s="238">
        <f t="shared" si="6"/>
        <v>40393582</v>
      </c>
      <c r="G32" s="238">
        <f t="shared" si="6"/>
        <v>34745656</v>
      </c>
      <c r="H32" s="238">
        <f t="shared" si="6"/>
        <v>28286268</v>
      </c>
      <c r="I32" s="238">
        <f t="shared" si="6"/>
        <v>20898829</v>
      </c>
      <c r="J32" s="238">
        <f t="shared" si="6"/>
        <v>12450000</v>
      </c>
      <c r="K32" s="238">
        <f t="shared" si="6"/>
        <v>12450000</v>
      </c>
    </row>
    <row r="33" spans="2:11" ht="20.25" customHeight="1" x14ac:dyDescent="0.25">
      <c r="B33" s="118" t="s">
        <v>86</v>
      </c>
      <c r="C33" s="201" t="e">
        <f t="shared" ref="C33:K33" si="7">+C32/C29</f>
        <v>#REF!</v>
      </c>
      <c r="D33" s="234">
        <f t="shared" si="7"/>
        <v>1.300059052941251</v>
      </c>
      <c r="E33" s="234">
        <f t="shared" si="7"/>
        <v>1.1044107040083804</v>
      </c>
      <c r="F33" s="234">
        <f t="shared" si="7"/>
        <v>0.77949786855541703</v>
      </c>
      <c r="G33" s="234">
        <f t="shared" si="7"/>
        <v>0.53913276624281536</v>
      </c>
      <c r="H33" s="234">
        <f t="shared" si="7"/>
        <v>0.35858002899823876</v>
      </c>
      <c r="I33" s="234">
        <f t="shared" si="7"/>
        <v>0.21974462243838153</v>
      </c>
      <c r="J33" s="234">
        <f t="shared" si="7"/>
        <v>0.11007700279048153</v>
      </c>
      <c r="K33" s="234">
        <f t="shared" si="7"/>
        <v>0.1016613366639634</v>
      </c>
    </row>
    <row r="34" spans="2:11" ht="24" customHeight="1" x14ac:dyDescent="0.25">
      <c r="B34" s="118" t="s">
        <v>158</v>
      </c>
      <c r="C34" s="75"/>
      <c r="D34" s="394">
        <f>+SUM(D33:K33)/8</f>
        <v>0.56414542282986602</v>
      </c>
      <c r="E34" s="394"/>
      <c r="F34" s="394"/>
      <c r="G34" s="394"/>
      <c r="H34" s="394"/>
      <c r="I34" s="394"/>
      <c r="J34" s="394"/>
      <c r="K34" s="394"/>
    </row>
    <row r="36" spans="2:11" x14ac:dyDescent="0.25">
      <c r="B36" s="257" t="s">
        <v>163</v>
      </c>
      <c r="C36" s="263"/>
      <c r="D36" s="189"/>
      <c r="E36" s="189"/>
      <c r="F36" s="189"/>
      <c r="G36" s="189"/>
      <c r="H36" s="189"/>
      <c r="I36" s="189"/>
      <c r="J36" s="189"/>
      <c r="K36" s="189"/>
    </row>
    <row r="37" spans="2:11" ht="19.5" customHeight="1" x14ac:dyDescent="0.25">
      <c r="B37" s="249" t="s">
        <v>0</v>
      </c>
      <c r="C37" s="80"/>
      <c r="D37" s="195" t="str">
        <f>+D28</f>
        <v>FY-24-25</v>
      </c>
      <c r="E37" s="195" t="str">
        <f t="shared" ref="E37:K37" si="8">+E28</f>
        <v>FY-25-26</v>
      </c>
      <c r="F37" s="195" t="str">
        <f t="shared" si="8"/>
        <v>FY-26-27</v>
      </c>
      <c r="G37" s="195" t="str">
        <f t="shared" si="8"/>
        <v>FY-27-28</v>
      </c>
      <c r="H37" s="195" t="str">
        <f t="shared" si="8"/>
        <v>FY-28-29</v>
      </c>
      <c r="I37" s="195" t="str">
        <f t="shared" si="8"/>
        <v>FY-29-30</v>
      </c>
      <c r="J37" s="195" t="str">
        <f t="shared" si="8"/>
        <v>FY-30-31</v>
      </c>
      <c r="K37" s="195" t="str">
        <f t="shared" si="8"/>
        <v>FY-31-32</v>
      </c>
    </row>
    <row r="38" spans="2:11" ht="16.5" customHeight="1" x14ac:dyDescent="0.25">
      <c r="B38" s="249" t="s">
        <v>164</v>
      </c>
      <c r="D38" s="238">
        <f>+BS!C43</f>
        <v>11992012.306416001</v>
      </c>
      <c r="E38" s="238">
        <f>+BS!D43</f>
        <v>12231852.55254432</v>
      </c>
      <c r="F38" s="238">
        <f>+BS!E43</f>
        <v>12476489.603595207</v>
      </c>
      <c r="G38" s="238">
        <f>+BS!F43</f>
        <v>12726019.395667112</v>
      </c>
      <c r="H38" s="238">
        <f>+BS!G43</f>
        <v>12980539.783580452</v>
      </c>
      <c r="I38" s="238">
        <f>+BS!H43</f>
        <v>13240150.579252064</v>
      </c>
      <c r="J38" s="238">
        <f>+BS!I43</f>
        <v>13504953.590837102</v>
      </c>
      <c r="K38" s="238">
        <f>+BS!J43</f>
        <v>13775052.662653847</v>
      </c>
    </row>
    <row r="39" spans="2:11" ht="15" customHeight="1" x14ac:dyDescent="0.25">
      <c r="B39" s="249" t="s">
        <v>165</v>
      </c>
      <c r="D39" s="238">
        <f>+BS!C31</f>
        <v>3060000</v>
      </c>
      <c r="E39" s="238">
        <f>+BS!D31</f>
        <v>4406400</v>
      </c>
      <c r="F39" s="238">
        <f>+BS!E31</f>
        <v>4494528</v>
      </c>
      <c r="G39" s="238">
        <f>+BS!F31</f>
        <v>4584418.5600000005</v>
      </c>
      <c r="H39" s="238">
        <f>+BS!G31</f>
        <v>4676106.9311999995</v>
      </c>
      <c r="I39" s="238">
        <f>+BS!H31</f>
        <v>4769629.0698240008</v>
      </c>
      <c r="J39" s="238">
        <f>+BS!I31</f>
        <v>4865021.65122048</v>
      </c>
      <c r="K39" s="238">
        <f>+BS!J31</f>
        <v>4962322.0842448901</v>
      </c>
    </row>
    <row r="40" spans="2:11" ht="15" customHeight="1" x14ac:dyDescent="0.25">
      <c r="B40" s="337" t="s">
        <v>166</v>
      </c>
      <c r="C40" s="338"/>
      <c r="D40" s="339">
        <f>+D38-D39</f>
        <v>8932012.3064160012</v>
      </c>
      <c r="E40" s="339">
        <f t="shared" ref="E40:K40" si="9">+E38-E39</f>
        <v>7825452.55254432</v>
      </c>
      <c r="F40" s="339">
        <f t="shared" si="9"/>
        <v>7981961.6035952065</v>
      </c>
      <c r="G40" s="339">
        <f t="shared" si="9"/>
        <v>8141600.835667111</v>
      </c>
      <c r="H40" s="339">
        <f t="shared" si="9"/>
        <v>8304432.8523804527</v>
      </c>
      <c r="I40" s="339">
        <f t="shared" si="9"/>
        <v>8470521.5094280634</v>
      </c>
      <c r="J40" s="339">
        <f t="shared" si="9"/>
        <v>8639931.9396166224</v>
      </c>
      <c r="K40" s="339">
        <f t="shared" si="9"/>
        <v>8812730.5784089565</v>
      </c>
    </row>
    <row r="41" spans="2:11" ht="17.25" customHeight="1" x14ac:dyDescent="0.25">
      <c r="B41" s="249" t="s">
        <v>167</v>
      </c>
      <c r="D41" s="238">
        <f>+D40*25%</f>
        <v>2233003.0766040003</v>
      </c>
      <c r="E41" s="238">
        <f t="shared" ref="E41:K41" si="10">+E40*25%</f>
        <v>1956363.13813608</v>
      </c>
      <c r="F41" s="238">
        <f t="shared" si="10"/>
        <v>1995490.4008988016</v>
      </c>
      <c r="G41" s="238">
        <f t="shared" si="10"/>
        <v>2035400.2089167777</v>
      </c>
      <c r="H41" s="238">
        <f t="shared" si="10"/>
        <v>2076108.2130951132</v>
      </c>
      <c r="I41" s="238">
        <f t="shared" si="10"/>
        <v>2117630.3773570159</v>
      </c>
      <c r="J41" s="238">
        <f t="shared" si="10"/>
        <v>2159982.9849041556</v>
      </c>
      <c r="K41" s="238">
        <f t="shared" si="10"/>
        <v>2203182.6446022391</v>
      </c>
    </row>
    <row r="42" spans="2:11" ht="17.25" customHeight="1" x14ac:dyDescent="0.25">
      <c r="B42" s="249" t="s">
        <v>168</v>
      </c>
      <c r="D42" s="238">
        <f>+D40-D41</f>
        <v>6699009.2298120009</v>
      </c>
      <c r="E42" s="238">
        <f t="shared" ref="E42:K42" si="11">+E40-E41</f>
        <v>5869089.4144082405</v>
      </c>
      <c r="F42" s="238">
        <f t="shared" si="11"/>
        <v>5986471.2026964054</v>
      </c>
      <c r="G42" s="238">
        <f t="shared" si="11"/>
        <v>6106200.6267503332</v>
      </c>
      <c r="H42" s="238">
        <f t="shared" si="11"/>
        <v>6228324.639285339</v>
      </c>
      <c r="I42" s="238">
        <f t="shared" si="11"/>
        <v>6352891.132071048</v>
      </c>
      <c r="J42" s="238">
        <f t="shared" si="11"/>
        <v>6479948.9547124673</v>
      </c>
      <c r="K42" s="238">
        <f t="shared" si="11"/>
        <v>6609547.9338067174</v>
      </c>
    </row>
    <row r="43" spans="2:11" x14ac:dyDescent="0.25">
      <c r="B43" s="249"/>
    </row>
    <row r="44" spans="2:11" ht="15" customHeight="1" x14ac:dyDescent="0.25">
      <c r="B44" s="249" t="s">
        <v>169</v>
      </c>
      <c r="D44" s="238">
        <f>+BS!C45</f>
        <v>18726840.377835002</v>
      </c>
      <c r="E44" s="238">
        <f>+BS!D45</f>
        <v>35955533.525443204</v>
      </c>
      <c r="F44" s="238">
        <f>+BS!E45</f>
        <v>45843305.244940087</v>
      </c>
      <c r="G44" s="238">
        <f>+BS!F45</f>
        <v>56112205.619806655</v>
      </c>
      <c r="H44" s="238">
        <f>+BS!G45</f>
        <v>66773524.687569939</v>
      </c>
      <c r="I44" s="238">
        <f>+BS!H45</f>
        <v>77838851.635795787</v>
      </c>
      <c r="J44" s="238">
        <f>+BS!I45</f>
        <v>89320082.252075672</v>
      </c>
      <c r="K44" s="238">
        <f>+BS!J45</f>
        <v>101229426.55235244</v>
      </c>
    </row>
    <row r="45" spans="2:11" ht="18" customHeight="1" x14ac:dyDescent="0.25">
      <c r="B45" s="249" t="s">
        <v>170</v>
      </c>
      <c r="D45" s="238">
        <v>0</v>
      </c>
      <c r="E45" s="238">
        <v>0</v>
      </c>
      <c r="F45" s="238">
        <v>0</v>
      </c>
      <c r="G45" s="238">
        <v>0</v>
      </c>
      <c r="H45" s="238">
        <v>0</v>
      </c>
      <c r="I45" s="238">
        <v>0</v>
      </c>
      <c r="J45" s="238">
        <v>0</v>
      </c>
      <c r="K45" s="238">
        <v>0</v>
      </c>
    </row>
    <row r="46" spans="2:11" ht="17.25" customHeight="1" x14ac:dyDescent="0.25">
      <c r="B46" s="249" t="s">
        <v>171</v>
      </c>
      <c r="D46" s="238">
        <f>+D44-D45</f>
        <v>18726840.377835002</v>
      </c>
      <c r="E46" s="238">
        <f t="shared" ref="E46:K46" si="12">+E44-E45</f>
        <v>35955533.525443204</v>
      </c>
      <c r="F46" s="238">
        <f t="shared" si="12"/>
        <v>45843305.244940087</v>
      </c>
      <c r="G46" s="238">
        <f t="shared" si="12"/>
        <v>56112205.619806655</v>
      </c>
      <c r="H46" s="238">
        <f t="shared" si="12"/>
        <v>66773524.687569939</v>
      </c>
      <c r="I46" s="238">
        <f t="shared" si="12"/>
        <v>77838851.635795787</v>
      </c>
      <c r="J46" s="238">
        <f t="shared" si="12"/>
        <v>89320082.252075672</v>
      </c>
      <c r="K46" s="238">
        <f t="shared" si="12"/>
        <v>101229426.55235244</v>
      </c>
    </row>
    <row r="47" spans="2:11" ht="18" customHeight="1" x14ac:dyDescent="0.25">
      <c r="B47" s="249" t="s">
        <v>172</v>
      </c>
      <c r="D47" s="238">
        <f>+D46*25%</f>
        <v>4681710.0944587504</v>
      </c>
      <c r="E47" s="238">
        <f t="shared" ref="E47:K47" si="13">+E46*25%</f>
        <v>8988883.3813608009</v>
      </c>
      <c r="F47" s="238">
        <f t="shared" si="13"/>
        <v>11460826.311235022</v>
      </c>
      <c r="G47" s="238">
        <f t="shared" si="13"/>
        <v>14028051.404951664</v>
      </c>
      <c r="H47" s="238">
        <f t="shared" si="13"/>
        <v>16693381.171892485</v>
      </c>
      <c r="I47" s="238">
        <f t="shared" si="13"/>
        <v>19459712.908948947</v>
      </c>
      <c r="J47" s="238">
        <f t="shared" si="13"/>
        <v>22330020.563018918</v>
      </c>
      <c r="K47" s="238">
        <f t="shared" si="13"/>
        <v>25307356.638088111</v>
      </c>
    </row>
    <row r="48" spans="2:11" ht="18" customHeight="1" x14ac:dyDescent="0.25">
      <c r="B48" s="247" t="s">
        <v>173</v>
      </c>
      <c r="D48" s="238">
        <f>+D46-D47</f>
        <v>14045130.28337625</v>
      </c>
      <c r="E48" s="238">
        <f t="shared" ref="E48:K48" si="14">+E46-E47</f>
        <v>26966650.144082405</v>
      </c>
      <c r="F48" s="238">
        <f t="shared" si="14"/>
        <v>34382478.933705062</v>
      </c>
      <c r="G48" s="238">
        <f t="shared" si="14"/>
        <v>42084154.214854993</v>
      </c>
      <c r="H48" s="238">
        <f t="shared" si="14"/>
        <v>50080143.515677452</v>
      </c>
      <c r="I48" s="238">
        <f t="shared" si="14"/>
        <v>58379138.726846844</v>
      </c>
      <c r="J48" s="238">
        <f t="shared" si="14"/>
        <v>66990061.689056754</v>
      </c>
      <c r="K48" s="238">
        <f t="shared" si="14"/>
        <v>75922069.914264336</v>
      </c>
    </row>
    <row r="49" spans="2:13" ht="20.25" customHeight="1" x14ac:dyDescent="0.25">
      <c r="B49" s="247" t="s">
        <v>174</v>
      </c>
      <c r="D49" s="238">
        <f>+D42+D48</f>
        <v>20744139.51318825</v>
      </c>
      <c r="E49" s="238">
        <f t="shared" ref="E49:K49" si="15">+E42+E48</f>
        <v>32835739.558490645</v>
      </c>
      <c r="F49" s="238">
        <f t="shared" si="15"/>
        <v>40368950.136401467</v>
      </c>
      <c r="G49" s="238">
        <f t="shared" si="15"/>
        <v>48190354.841605328</v>
      </c>
      <c r="H49" s="238">
        <f t="shared" si="15"/>
        <v>56308468.154962793</v>
      </c>
      <c r="I49" s="238">
        <f t="shared" si="15"/>
        <v>64732029.858917892</v>
      </c>
      <c r="J49" s="238">
        <f t="shared" si="15"/>
        <v>73470010.64376922</v>
      </c>
      <c r="K49" s="238">
        <f t="shared" si="15"/>
        <v>82531617.848071054</v>
      </c>
    </row>
    <row r="50" spans="2:13" x14ac:dyDescent="0.25">
      <c r="M50" s="78">
        <v>3739239</v>
      </c>
    </row>
    <row r="51" spans="2:13" x14ac:dyDescent="0.25">
      <c r="M51" s="78">
        <f>+M50*25%</f>
        <v>934809.75</v>
      </c>
    </row>
    <row r="52" spans="2:13" x14ac:dyDescent="0.25">
      <c r="M52" s="78">
        <f>+M50-M51</f>
        <v>2804429.25</v>
      </c>
    </row>
    <row r="53" spans="2:13" x14ac:dyDescent="0.25">
      <c r="M53" s="78">
        <v>472125</v>
      </c>
    </row>
    <row r="54" spans="2:13" x14ac:dyDescent="0.25">
      <c r="M54" s="78">
        <f>+M52+M53</f>
        <v>3276554.25</v>
      </c>
    </row>
  </sheetData>
  <mergeCells count="4">
    <mergeCell ref="C24:K24"/>
    <mergeCell ref="D34:K34"/>
    <mergeCell ref="B4:E4"/>
    <mergeCell ref="B1:K1"/>
  </mergeCells>
  <pageMargins left="0.51" right="0.31496062992125984" top="0.51181102362204722" bottom="0.55118110236220474" header="0.31496062992125984" footer="0.31496062992125984"/>
  <pageSetup paperSize="9" scale="45" firstPageNumber="9" orientation="landscape"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5"/>
  <sheetViews>
    <sheetView showGridLines="0" topLeftCell="A10" zoomScaleNormal="100" zoomScaleSheetLayoutView="100" workbookViewId="0">
      <selection activeCell="D21" sqref="D21:K25"/>
    </sheetView>
  </sheetViews>
  <sheetFormatPr defaultRowHeight="15" x14ac:dyDescent="0.25"/>
  <cols>
    <col min="1" max="1" width="4.7109375" style="78" customWidth="1"/>
    <col min="2" max="2" width="7.5703125" style="101" customWidth="1"/>
    <col min="3" max="3" width="40.7109375" style="98" customWidth="1"/>
    <col min="4" max="11" width="15.7109375" style="81" customWidth="1"/>
    <col min="12" max="16384" width="9.140625" style="78"/>
  </cols>
  <sheetData>
    <row r="1" spans="2:11" ht="18.75" customHeight="1" x14ac:dyDescent="0.25">
      <c r="B1" s="369">
        <f>+ratio!B1</f>
        <v>0</v>
      </c>
      <c r="C1" s="369"/>
      <c r="D1" s="369"/>
      <c r="E1" s="369"/>
      <c r="F1" s="369"/>
      <c r="G1" s="369"/>
      <c r="H1" s="369"/>
      <c r="I1" s="369"/>
      <c r="J1" s="369"/>
      <c r="K1" s="369"/>
    </row>
    <row r="2" spans="2:11" ht="18.75" customHeight="1" x14ac:dyDescent="0.25">
      <c r="B2" s="242" t="str">
        <f>'Investment in project'!B2:E2</f>
        <v xml:space="preserve">ORENSE INDUSTRIES PRIVATE LIMITED, CIN: U23209OR2022PTC041057,  Andhapasra Road, Near Hanuman Temple, Berhampur Ganjam Pin- 760002 </v>
      </c>
      <c r="C2" s="242"/>
      <c r="D2" s="146"/>
      <c r="E2" s="146"/>
      <c r="F2" s="146"/>
      <c r="G2" s="146"/>
      <c r="H2" s="146"/>
      <c r="I2" s="146"/>
      <c r="J2" s="146"/>
      <c r="K2" s="146"/>
    </row>
    <row r="4" spans="2:11" x14ac:dyDescent="0.25">
      <c r="B4" s="395" t="s">
        <v>309</v>
      </c>
      <c r="C4" s="395"/>
      <c r="D4" s="395"/>
      <c r="E4" s="395"/>
      <c r="F4" s="395"/>
      <c r="G4" s="164"/>
      <c r="H4" s="164"/>
      <c r="I4" s="164"/>
      <c r="J4" s="164"/>
      <c r="K4" s="164"/>
    </row>
    <row r="5" spans="2:11" x14ac:dyDescent="0.25">
      <c r="B5" s="105"/>
      <c r="C5" s="327">
        <v>100000</v>
      </c>
      <c r="D5" s="76"/>
      <c r="E5" s="76"/>
      <c r="F5" s="76"/>
    </row>
    <row r="6" spans="2:11" x14ac:dyDescent="0.25">
      <c r="B6" s="154" t="s">
        <v>401</v>
      </c>
      <c r="C6" s="261" t="s">
        <v>0</v>
      </c>
      <c r="D6" s="74" t="str">
        <f>+BS!C6</f>
        <v>FY-24-25</v>
      </c>
      <c r="E6" s="231" t="str">
        <f>+BS!D6</f>
        <v>FY-25-26</v>
      </c>
      <c r="F6" s="231" t="str">
        <f>+BS!E6</f>
        <v>FY-26-27</v>
      </c>
      <c r="G6" s="231" t="str">
        <f>+BS!F6</f>
        <v>FY-27-28</v>
      </c>
      <c r="H6" s="231" t="str">
        <f>+BS!G6</f>
        <v>FY-28-29</v>
      </c>
      <c r="I6" s="231" t="str">
        <f>+BS!H6</f>
        <v>FY-29-30</v>
      </c>
      <c r="J6" s="231" t="str">
        <f>+BS!I6</f>
        <v>FY-30-31</v>
      </c>
      <c r="K6" s="231" t="str">
        <f>+BS!J6</f>
        <v>FY-31-32</v>
      </c>
    </row>
    <row r="7" spans="2:11" x14ac:dyDescent="0.25">
      <c r="B7" s="105" t="s">
        <v>49</v>
      </c>
      <c r="C7" s="108" t="s">
        <v>298</v>
      </c>
      <c r="D7" s="328">
        <f>(+PL!C9)/100000</f>
        <v>3745.3680755669998</v>
      </c>
      <c r="E7" s="328">
        <f>(+PL!D9)/100000</f>
        <v>5393.330028816481</v>
      </c>
      <c r="F7" s="328">
        <f>(+PL!E9)/100000</f>
        <v>5501.1966293928099</v>
      </c>
      <c r="G7" s="328">
        <f>(+PL!F9)/100000</f>
        <v>5611.2205619806655</v>
      </c>
      <c r="H7" s="328">
        <f>(+PL!G9)/100000</f>
        <v>5723.4449732202802</v>
      </c>
      <c r="I7" s="328">
        <f>(+PL!H9)/100000</f>
        <v>5837.9138726846841</v>
      </c>
      <c r="J7" s="328">
        <f>(+PL!I9)/100000</f>
        <v>5954.6721501383781</v>
      </c>
      <c r="K7" s="328">
        <f>(+PL!J9)/100000</f>
        <v>6073.7655931411473</v>
      </c>
    </row>
    <row r="8" spans="2:11" x14ac:dyDescent="0.25">
      <c r="B8" s="105" t="s">
        <v>50</v>
      </c>
      <c r="C8" s="108" t="s">
        <v>299</v>
      </c>
      <c r="D8" s="318"/>
      <c r="E8" s="318"/>
      <c r="F8" s="318"/>
      <c r="G8" s="318"/>
      <c r="H8" s="318"/>
      <c r="I8" s="318"/>
      <c r="J8" s="318"/>
      <c r="K8" s="318"/>
    </row>
    <row r="9" spans="2:11" x14ac:dyDescent="0.25">
      <c r="B9" s="101">
        <v>1</v>
      </c>
      <c r="C9" s="98" t="s">
        <v>310</v>
      </c>
      <c r="D9" s="328">
        <f>(+PL!C20+PL!C21+PL!C22+PL!C23)/100000</f>
        <v>3122.3049999999998</v>
      </c>
      <c r="E9" s="328">
        <f>(+PL!D20+PL!D21+PL!D22+PL!D23)/100000</f>
        <v>4496.1192000000001</v>
      </c>
      <c r="F9" s="328">
        <f>(+PL!E20+PL!E21+PL!E22+PL!E23)/100000</f>
        <v>4586.0415839999996</v>
      </c>
      <c r="G9" s="328">
        <f>(+PL!F20+PL!F21+PL!F22+PL!F23)/100000</f>
        <v>4677.7624156800002</v>
      </c>
      <c r="H9" s="328">
        <f>(+PL!G20+PL!G21+PL!G22+PL!G23)/100000</f>
        <v>4771.3176639936009</v>
      </c>
      <c r="I9" s="328">
        <f>(+PL!H20+PL!H21+PL!H22+PL!H23)/100000</f>
        <v>4866.7440172734732</v>
      </c>
      <c r="J9" s="328">
        <f>(+PL!I20+PL!I21+PL!I22+PL!I23)/100000</f>
        <v>4964.0788976189424</v>
      </c>
      <c r="K9" s="328">
        <f>(+PL!J20+PL!J21+PL!J22+PL!J23)/100000</f>
        <v>5063.3604755713204</v>
      </c>
    </row>
    <row r="10" spans="2:11" x14ac:dyDescent="0.25">
      <c r="B10" s="101">
        <v>2</v>
      </c>
      <c r="C10" s="98" t="s">
        <v>311</v>
      </c>
      <c r="D10" s="328">
        <f>(+PL!C25)/100000</f>
        <v>1.02</v>
      </c>
      <c r="E10" s="328">
        <f>(+PL!D25)/100000</f>
        <v>1.4688000000000001</v>
      </c>
      <c r="F10" s="328">
        <f>(+PL!E25)/100000</f>
        <v>1.498176</v>
      </c>
      <c r="G10" s="328">
        <f>(+PL!F25)/100000</f>
        <v>1.5281395200000001</v>
      </c>
      <c r="H10" s="328">
        <f>(+PL!G25)/100000</f>
        <v>1.5587023104000004</v>
      </c>
      <c r="I10" s="328">
        <f>(+PL!H25)/100000</f>
        <v>1.5898763566080003</v>
      </c>
      <c r="J10" s="328">
        <f>(+PL!I25)/100000</f>
        <v>1.6216738837401607</v>
      </c>
      <c r="K10" s="328">
        <f>(+PL!J25)/100000</f>
        <v>1.654107361414964</v>
      </c>
    </row>
    <row r="11" spans="2:11" x14ac:dyDescent="0.25">
      <c r="B11" s="101">
        <v>3</v>
      </c>
      <c r="C11" s="98" t="s">
        <v>327</v>
      </c>
      <c r="D11" s="328">
        <f>(+PL!C45)/100000</f>
        <v>19.125</v>
      </c>
      <c r="E11" s="328">
        <f>(+PL!D45)/100000</f>
        <v>29.7</v>
      </c>
      <c r="F11" s="328">
        <f>(+PL!E45)/100000</f>
        <v>32.67</v>
      </c>
      <c r="G11" s="328">
        <f>(+PL!F45)/100000</f>
        <v>35.937000000000012</v>
      </c>
      <c r="H11" s="328">
        <f>(+PL!G45)/100000</f>
        <v>39.53070000000001</v>
      </c>
      <c r="I11" s="328">
        <f>(+PL!H45)/100000</f>
        <v>43.483770000000021</v>
      </c>
      <c r="J11" s="328">
        <f>(+PL!I45)/100000</f>
        <v>47.832147000000028</v>
      </c>
      <c r="K11" s="328">
        <f>(+PL!J45)/100000</f>
        <v>52.615361700000037</v>
      </c>
    </row>
    <row r="12" spans="2:11" x14ac:dyDescent="0.25">
      <c r="B12" s="101">
        <v>4</v>
      </c>
      <c r="C12" s="98" t="s">
        <v>262</v>
      </c>
      <c r="D12" s="328">
        <f>(+PL!C29)/100000</f>
        <v>7.65</v>
      </c>
      <c r="E12" s="328">
        <f>(+PL!D29)/100000</f>
        <v>11.880000000000003</v>
      </c>
      <c r="F12" s="328">
        <f>(+PL!E29)/100000</f>
        <v>13.068000000000005</v>
      </c>
      <c r="G12" s="328">
        <f>(+PL!F29)/100000</f>
        <v>14.374800000000004</v>
      </c>
      <c r="H12" s="328">
        <f>(+PL!G29)/100000</f>
        <v>15.812280000000007</v>
      </c>
      <c r="I12" s="328">
        <f>(+PL!H29)/100000</f>
        <v>17.393508000000011</v>
      </c>
      <c r="J12" s="328">
        <f>(+PL!I29)/100000</f>
        <v>19.132858800000008</v>
      </c>
      <c r="K12" s="328">
        <f>(+PL!J29)/100000</f>
        <v>21.046144680000012</v>
      </c>
    </row>
    <row r="13" spans="2:11" x14ac:dyDescent="0.25">
      <c r="C13" s="298" t="s">
        <v>6</v>
      </c>
      <c r="D13" s="329">
        <f>+D12+D11+D10+D9</f>
        <v>3150.1</v>
      </c>
      <c r="E13" s="329">
        <f t="shared" ref="E13:K13" si="0">+E12+E11+E10+E9</f>
        <v>4539.1679999999997</v>
      </c>
      <c r="F13" s="329">
        <f t="shared" si="0"/>
        <v>4633.2777599999999</v>
      </c>
      <c r="G13" s="329">
        <f t="shared" si="0"/>
        <v>4729.6023552000006</v>
      </c>
      <c r="H13" s="329">
        <f t="shared" si="0"/>
        <v>4828.2193463040012</v>
      </c>
      <c r="I13" s="329">
        <f t="shared" si="0"/>
        <v>4929.2111716300815</v>
      </c>
      <c r="J13" s="329">
        <f t="shared" si="0"/>
        <v>5032.6655773026823</v>
      </c>
      <c r="K13" s="329">
        <f t="shared" si="0"/>
        <v>5138.6760893127357</v>
      </c>
    </row>
    <row r="14" spans="2:11" x14ac:dyDescent="0.25">
      <c r="B14" s="105" t="s">
        <v>51</v>
      </c>
      <c r="C14" s="298" t="s">
        <v>331</v>
      </c>
      <c r="D14" s="330">
        <f>+D7-D13</f>
        <v>595.26807556699987</v>
      </c>
      <c r="E14" s="330">
        <f t="shared" ref="E14:K14" si="1">+E7-E13</f>
        <v>854.16202881648132</v>
      </c>
      <c r="F14" s="330">
        <f t="shared" si="1"/>
        <v>867.91886939280994</v>
      </c>
      <c r="G14" s="330">
        <f t="shared" si="1"/>
        <v>881.61820678066488</v>
      </c>
      <c r="H14" s="330">
        <f t="shared" si="1"/>
        <v>895.225626916279</v>
      </c>
      <c r="I14" s="330">
        <f t="shared" si="1"/>
        <v>908.70270105460258</v>
      </c>
      <c r="J14" s="330">
        <f t="shared" si="1"/>
        <v>922.00657283569581</v>
      </c>
      <c r="K14" s="330">
        <f t="shared" si="1"/>
        <v>935.08950382841158</v>
      </c>
    </row>
    <row r="15" spans="2:11" x14ac:dyDescent="0.25">
      <c r="B15" s="105" t="s">
        <v>53</v>
      </c>
      <c r="C15" s="108" t="s">
        <v>300</v>
      </c>
      <c r="D15" s="116"/>
      <c r="E15" s="116"/>
      <c r="F15" s="116"/>
      <c r="G15" s="116"/>
      <c r="H15" s="116"/>
      <c r="I15" s="116"/>
      <c r="J15" s="116"/>
      <c r="K15" s="116"/>
    </row>
    <row r="16" spans="2:11" x14ac:dyDescent="0.25">
      <c r="B16" s="101">
        <v>1</v>
      </c>
      <c r="C16" s="98" t="s">
        <v>328</v>
      </c>
      <c r="D16" s="326">
        <f>(+PL!C27+PL!C31+PL!C33+PL!C35+PL!C41+PL!C43)/100000</f>
        <v>22.77</v>
      </c>
      <c r="E16" s="326">
        <f>(+PL!D27+PL!D31+PL!D33+PL!D35+PL!D41+PL!D43)/100000</f>
        <v>27.324000000000002</v>
      </c>
      <c r="F16" s="326">
        <f>(+PL!E27+PL!E31+PL!E33+PL!E35+PL!E41+PL!E43)/100000</f>
        <v>30.056400000000004</v>
      </c>
      <c r="G16" s="326">
        <f>(+PL!F27+PL!F31+PL!F33+PL!F35+PL!F41+PL!F43)/100000</f>
        <v>33.062040000000003</v>
      </c>
      <c r="H16" s="326">
        <f>(+PL!G27+PL!G31+PL!G33+PL!G35+PL!G41+PL!G43)/100000</f>
        <v>36.368244000000011</v>
      </c>
      <c r="I16" s="326">
        <f>(+PL!H27+PL!H31+PL!H33+PL!H35+PL!H41+PL!H43)/100000</f>
        <v>40.005068400000013</v>
      </c>
      <c r="J16" s="326">
        <f>(+PL!I27+PL!I31+PL!I33+PL!I35+PL!I41+PL!I43)/100000</f>
        <v>44.005575240000013</v>
      </c>
      <c r="K16" s="326">
        <f>(+PL!J27+PL!J31+PL!J33+PL!J35+PL!J41+PL!J43)/100000</f>
        <v>48.40613276400002</v>
      </c>
    </row>
    <row r="17" spans="2:11" x14ac:dyDescent="0.25">
      <c r="B17" s="101">
        <v>2</v>
      </c>
      <c r="C17" s="98" t="s">
        <v>329</v>
      </c>
      <c r="D17" s="326">
        <f>(+PL!C47+PL!C49)/100000</f>
        <v>63.914999999999999</v>
      </c>
      <c r="E17" s="326">
        <f>(+PL!D47+PL!D49)/100000</f>
        <v>61.307929999999999</v>
      </c>
      <c r="F17" s="326">
        <f>(+PL!E47+PL!E49)/100000</f>
        <v>55.104050000000001</v>
      </c>
      <c r="G17" s="326">
        <f>(+PL!F47+PL!F49)/100000</f>
        <v>48.00882</v>
      </c>
      <c r="H17" s="326">
        <f>(+PL!G47+PL!G49)/100000</f>
        <v>39.894199999999998</v>
      </c>
      <c r="I17" s="326">
        <f>(+PL!H47+PL!H49)/100000</f>
        <v>30.613689999999998</v>
      </c>
      <c r="J17" s="326">
        <f>(+PL!I47+PL!I49)/100000</f>
        <v>19.999790000000001</v>
      </c>
      <c r="K17" s="326">
        <f>(+PL!J47+PL!J49)/100000</f>
        <v>13.695</v>
      </c>
    </row>
    <row r="18" spans="2:11" x14ac:dyDescent="0.25">
      <c r="B18" s="101">
        <v>3</v>
      </c>
      <c r="C18" s="98" t="s">
        <v>330</v>
      </c>
      <c r="D18" s="326">
        <f>(+PL!C51+PL!C53+PL!C55+PL!C57+PL!C59)/100000</f>
        <v>16.854156340051503</v>
      </c>
      <c r="E18" s="326">
        <f>(+PL!D51+PL!D53+PL!D55+PL!D57+PL!D59)/100000</f>
        <v>24.269985129674161</v>
      </c>
      <c r="F18" s="326">
        <f>(+PL!E51+PL!E53+PL!E55+PL!E57+PL!E59)/100000</f>
        <v>24.755384832267644</v>
      </c>
      <c r="G18" s="326">
        <f>(+PL!F51+PL!F53+PL!F55+PL!F57+PL!F59)/100000</f>
        <v>25.250492528912993</v>
      </c>
      <c r="H18" s="326">
        <f>(+PL!G51+PL!G53+PL!G55+PL!G57+PL!G59)/100000</f>
        <v>25.755502379491265</v>
      </c>
      <c r="I18" s="326">
        <f>(+PL!H51+PL!H53+PL!H55+PL!H57+PL!H59)/100000</f>
        <v>26.270612427081076</v>
      </c>
      <c r="J18" s="326">
        <f>(+PL!I51+PL!I53+PL!I55+PL!I57+PL!I59)/100000</f>
        <v>26.796024675622704</v>
      </c>
      <c r="K18" s="326">
        <f>(+PL!J51+PL!J53+PL!J55+PL!J57+PL!J59)/100000</f>
        <v>27.331945169135164</v>
      </c>
    </row>
    <row r="19" spans="2:11" x14ac:dyDescent="0.25">
      <c r="C19" s="298" t="s">
        <v>301</v>
      </c>
      <c r="D19" s="330">
        <f>+SUM(D16:D18)</f>
        <v>103.53915634005151</v>
      </c>
      <c r="E19" s="330">
        <f t="shared" ref="E19:K19" si="2">+SUM(E16:E18)</f>
        <v>112.90191512967417</v>
      </c>
      <c r="F19" s="330">
        <f t="shared" si="2"/>
        <v>109.91583483226765</v>
      </c>
      <c r="G19" s="330">
        <f t="shared" si="2"/>
        <v>106.321352528913</v>
      </c>
      <c r="H19" s="330">
        <f t="shared" si="2"/>
        <v>102.01794637949128</v>
      </c>
      <c r="I19" s="330">
        <f t="shared" si="2"/>
        <v>96.889370827081095</v>
      </c>
      <c r="J19" s="330">
        <f t="shared" si="2"/>
        <v>90.801389915622721</v>
      </c>
      <c r="K19" s="330">
        <f t="shared" si="2"/>
        <v>89.433077933135181</v>
      </c>
    </row>
    <row r="20" spans="2:11" x14ac:dyDescent="0.25">
      <c r="B20" s="105" t="s">
        <v>52</v>
      </c>
      <c r="C20" s="108" t="s">
        <v>302</v>
      </c>
      <c r="D20" s="116"/>
      <c r="E20" s="116"/>
      <c r="F20" s="116"/>
      <c r="G20" s="116"/>
      <c r="H20" s="116"/>
      <c r="I20" s="116"/>
      <c r="J20" s="116"/>
      <c r="K20" s="116"/>
    </row>
    <row r="21" spans="2:11" x14ac:dyDescent="0.25">
      <c r="B21" s="101">
        <v>1</v>
      </c>
      <c r="C21" s="98" t="s">
        <v>312</v>
      </c>
      <c r="D21" s="326">
        <f>(+PL!C38+PL!C39)/100000</f>
        <v>34.75</v>
      </c>
      <c r="E21" s="326">
        <f>(+PL!D38+PL!D39)/100000</f>
        <v>66.798749999999998</v>
      </c>
      <c r="F21" s="326">
        <f>(+PL!E38+PL!E39)/100000</f>
        <v>57.017812499999998</v>
      </c>
      <c r="G21" s="326">
        <f>(+PL!F38+PL!F39)/100000</f>
        <v>48.680128125000003</v>
      </c>
      <c r="H21" s="326">
        <f>(+PL!G38+PL!G39)/100000</f>
        <v>41.571597656249999</v>
      </c>
      <c r="I21" s="326">
        <f>(+PL!H38+PL!H39)/100000</f>
        <v>35.509997882812499</v>
      </c>
      <c r="J21" s="326">
        <f>(+PL!I38+PL!I39)/100000</f>
        <v>30.340224087890629</v>
      </c>
      <c r="K21" s="326">
        <f>(+PL!J38+PL!J39)/100000</f>
        <v>25.930243773457029</v>
      </c>
    </row>
    <row r="22" spans="2:11" x14ac:dyDescent="0.25">
      <c r="C22" s="108" t="s">
        <v>303</v>
      </c>
      <c r="D22" s="331">
        <f>+D21</f>
        <v>34.75</v>
      </c>
      <c r="E22" s="331">
        <f t="shared" ref="E22:K22" si="3">+E21</f>
        <v>66.798749999999998</v>
      </c>
      <c r="F22" s="331">
        <f t="shared" si="3"/>
        <v>57.017812499999998</v>
      </c>
      <c r="G22" s="331">
        <f t="shared" si="3"/>
        <v>48.680128125000003</v>
      </c>
      <c r="H22" s="331">
        <f t="shared" si="3"/>
        <v>41.571597656249999</v>
      </c>
      <c r="I22" s="331">
        <f t="shared" si="3"/>
        <v>35.509997882812499</v>
      </c>
      <c r="J22" s="331">
        <f t="shared" si="3"/>
        <v>30.340224087890629</v>
      </c>
      <c r="K22" s="331">
        <f t="shared" si="3"/>
        <v>25.930243773457029</v>
      </c>
    </row>
    <row r="23" spans="2:11" x14ac:dyDescent="0.25">
      <c r="B23" s="105" t="s">
        <v>306</v>
      </c>
      <c r="C23" s="108" t="s">
        <v>308</v>
      </c>
      <c r="D23" s="331">
        <f t="shared" ref="D23:K23" si="4">+D19+D22</f>
        <v>138.28915634005151</v>
      </c>
      <c r="E23" s="331">
        <f t="shared" si="4"/>
        <v>179.70066512967418</v>
      </c>
      <c r="F23" s="331">
        <f t="shared" si="4"/>
        <v>166.93364733226764</v>
      </c>
      <c r="G23" s="331">
        <f t="shared" si="4"/>
        <v>155.00148065391301</v>
      </c>
      <c r="H23" s="331">
        <f t="shared" si="4"/>
        <v>143.58954403574128</v>
      </c>
      <c r="I23" s="331">
        <f t="shared" si="4"/>
        <v>132.39936870989359</v>
      </c>
      <c r="J23" s="331">
        <f t="shared" si="4"/>
        <v>121.14161400351335</v>
      </c>
      <c r="K23" s="331">
        <f t="shared" si="4"/>
        <v>115.36332170659222</v>
      </c>
    </row>
    <row r="24" spans="2:11" s="237" customFormat="1" x14ac:dyDescent="0.25">
      <c r="B24" s="269" t="s">
        <v>307</v>
      </c>
      <c r="C24" s="334" t="s">
        <v>304</v>
      </c>
      <c r="D24" s="335">
        <f>+D23/D14</f>
        <v>0.23231408169895462</v>
      </c>
      <c r="E24" s="335">
        <f t="shared" ref="E24:K24" si="5">+E23/E14</f>
        <v>0.21038240880206965</v>
      </c>
      <c r="F24" s="335">
        <f t="shared" si="5"/>
        <v>0.19233784771732554</v>
      </c>
      <c r="G24" s="335">
        <f t="shared" si="5"/>
        <v>0.17581474550068515</v>
      </c>
      <c r="H24" s="335">
        <f t="shared" si="5"/>
        <v>0.16039480966418948</v>
      </c>
      <c r="I24" s="335">
        <f t="shared" si="5"/>
        <v>0.1457015243337963</v>
      </c>
      <c r="J24" s="335">
        <f t="shared" si="5"/>
        <v>0.13138910022184966</v>
      </c>
      <c r="K24" s="335">
        <f t="shared" si="5"/>
        <v>0.12337142191659262</v>
      </c>
    </row>
    <row r="25" spans="2:11" s="237" customFormat="1" x14ac:dyDescent="0.25">
      <c r="B25" s="271"/>
      <c r="C25" s="332" t="s">
        <v>305</v>
      </c>
      <c r="D25" s="333">
        <f>+D19/D14</f>
        <v>0.1739370219735524</v>
      </c>
      <c r="E25" s="333">
        <f t="shared" ref="E25:K25" si="6">+E19/E14</f>
        <v>0.132178569546237</v>
      </c>
      <c r="F25" s="333">
        <f t="shared" si="6"/>
        <v>0.12664298324238993</v>
      </c>
      <c r="G25" s="333">
        <f t="shared" si="6"/>
        <v>0.12059795466016772</v>
      </c>
      <c r="H25" s="333">
        <f t="shared" si="6"/>
        <v>0.11395780383421926</v>
      </c>
      <c r="I25" s="333">
        <f t="shared" si="6"/>
        <v>0.10662383936422255</v>
      </c>
      <c r="J25" s="333">
        <f t="shared" si="6"/>
        <v>9.8482367252932579E-2</v>
      </c>
      <c r="K25" s="333">
        <f t="shared" si="6"/>
        <v>9.5641195379673624E-2</v>
      </c>
    </row>
  </sheetData>
  <mergeCells count="2">
    <mergeCell ref="B1:K1"/>
    <mergeCell ref="B4:F4"/>
  </mergeCells>
  <pageMargins left="0.55000000000000004" right="0.27559055118110237" top="0.64" bottom="0.35433070866141736" header="0.31496062992125984" footer="0.31496062992125984"/>
  <pageSetup scale="4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5"/>
  <sheetViews>
    <sheetView showGridLines="0" zoomScaleNormal="100" zoomScaleSheetLayoutView="100" workbookViewId="0">
      <selection activeCell="C16" sqref="C16"/>
    </sheetView>
  </sheetViews>
  <sheetFormatPr defaultRowHeight="15" x14ac:dyDescent="0.25"/>
  <cols>
    <col min="1" max="1" width="4.7109375" style="78" customWidth="1"/>
    <col min="2" max="2" width="7.5703125" style="101" customWidth="1"/>
    <col min="3" max="3" width="40.7109375" style="98" customWidth="1"/>
    <col min="4" max="11" width="15.7109375" style="81" customWidth="1"/>
    <col min="12" max="16384" width="9.140625" style="78"/>
  </cols>
  <sheetData>
    <row r="1" spans="2:11" ht="18.75" customHeight="1" x14ac:dyDescent="0.25">
      <c r="B1" s="369">
        <f>+ratio!B1</f>
        <v>0</v>
      </c>
      <c r="C1" s="369"/>
      <c r="D1" s="369"/>
      <c r="E1" s="369"/>
      <c r="F1" s="369"/>
      <c r="G1" s="369"/>
      <c r="H1" s="369"/>
      <c r="I1" s="369"/>
      <c r="J1" s="369"/>
      <c r="K1" s="369"/>
    </row>
    <row r="2" spans="2:11" ht="18.75" customHeight="1" x14ac:dyDescent="0.25">
      <c r="B2" s="349" t="str">
        <f>'Investment in project'!B2:E2</f>
        <v xml:space="preserve">ORENSE INDUSTRIES PRIVATE LIMITED, CIN: U23209OR2022PTC041057,  Andhapasra Road, Near Hanuman Temple, Berhampur Ganjam Pin- 760002 </v>
      </c>
      <c r="C2" s="242"/>
      <c r="D2" s="146"/>
      <c r="E2" s="146"/>
      <c r="F2" s="146"/>
      <c r="G2" s="146"/>
      <c r="H2" s="146"/>
      <c r="I2" s="146"/>
      <c r="J2" s="146"/>
      <c r="K2" s="146"/>
    </row>
    <row r="4" spans="2:11" x14ac:dyDescent="0.25">
      <c r="B4" s="395" t="s">
        <v>309</v>
      </c>
      <c r="C4" s="395"/>
      <c r="D4" s="395"/>
      <c r="E4" s="395"/>
      <c r="F4" s="395"/>
      <c r="G4" s="164"/>
      <c r="H4" s="164"/>
      <c r="I4" s="164"/>
      <c r="J4" s="164"/>
      <c r="K4" s="164"/>
    </row>
    <row r="5" spans="2:11" x14ac:dyDescent="0.25">
      <c r="B5" s="99"/>
      <c r="C5" s="108"/>
      <c r="D5" s="76"/>
      <c r="E5" s="76"/>
      <c r="F5" s="76"/>
    </row>
    <row r="6" spans="2:11" x14ac:dyDescent="0.25">
      <c r="B6" s="154" t="s">
        <v>401</v>
      </c>
      <c r="C6" s="151" t="s">
        <v>0</v>
      </c>
      <c r="D6" s="74" t="str">
        <f>+BS!C6</f>
        <v>FY-24-25</v>
      </c>
      <c r="E6" s="207" t="str">
        <f>+BS!D6</f>
        <v>FY-25-26</v>
      </c>
      <c r="F6" s="207" t="str">
        <f>+BS!E6</f>
        <v>FY-26-27</v>
      </c>
      <c r="G6" s="207" t="str">
        <f>+BS!F6</f>
        <v>FY-27-28</v>
      </c>
      <c r="H6" s="207" t="str">
        <f>+BS!G6</f>
        <v>FY-28-29</v>
      </c>
      <c r="I6" s="207" t="str">
        <f>+BS!H6</f>
        <v>FY-29-30</v>
      </c>
      <c r="J6" s="207" t="str">
        <f>+BS!I6</f>
        <v>FY-30-31</v>
      </c>
      <c r="K6" s="207" t="str">
        <f>+BS!J6</f>
        <v>FY-31-32</v>
      </c>
    </row>
    <row r="7" spans="2:11" x14ac:dyDescent="0.25">
      <c r="B7" s="99" t="s">
        <v>49</v>
      </c>
      <c r="C7" s="108" t="s">
        <v>298</v>
      </c>
      <c r="D7" s="116">
        <f>+PL!C9</f>
        <v>374536807.55669999</v>
      </c>
      <c r="E7" s="116">
        <f>+PL!D9</f>
        <v>539333002.88164806</v>
      </c>
      <c r="F7" s="116">
        <f>+PL!E9</f>
        <v>550119662.93928099</v>
      </c>
      <c r="G7" s="116">
        <f>+PL!F9</f>
        <v>561122056.19806659</v>
      </c>
      <c r="H7" s="116">
        <f>+PL!G9</f>
        <v>572344497.32202804</v>
      </c>
      <c r="I7" s="116">
        <f>+PL!H9</f>
        <v>583791387.26846838</v>
      </c>
      <c r="J7" s="116">
        <f>+PL!I9</f>
        <v>595467215.01383781</v>
      </c>
      <c r="K7" s="116">
        <f>+PL!J9</f>
        <v>607376559.31411469</v>
      </c>
    </row>
    <row r="8" spans="2:11" x14ac:dyDescent="0.25">
      <c r="B8" s="99" t="s">
        <v>50</v>
      </c>
      <c r="C8" s="108" t="s">
        <v>299</v>
      </c>
      <c r="D8" s="116"/>
      <c r="E8" s="116"/>
      <c r="F8" s="116"/>
      <c r="G8" s="116"/>
      <c r="H8" s="116"/>
      <c r="I8" s="116"/>
      <c r="J8" s="116"/>
      <c r="K8" s="116"/>
    </row>
    <row r="9" spans="2:11" x14ac:dyDescent="0.25">
      <c r="B9" s="101">
        <v>1</v>
      </c>
      <c r="C9" s="98" t="s">
        <v>310</v>
      </c>
      <c r="D9" s="116">
        <f>+PL!C20+PL!C21+PL!C22+PL!C23</f>
        <v>312230500</v>
      </c>
      <c r="E9" s="116">
        <f>+PL!D20+PL!D21+PL!D22+PL!D23</f>
        <v>449611920</v>
      </c>
      <c r="F9" s="116">
        <f>+PL!E20+PL!E21+PL!E22+PL!E23</f>
        <v>458604158.39999998</v>
      </c>
      <c r="G9" s="116">
        <f>+PL!F20+PL!F21+PL!F22+PL!F23</f>
        <v>467776241.56800002</v>
      </c>
      <c r="H9" s="116">
        <f>+PL!G20+PL!G21+PL!G22+PL!G23</f>
        <v>477131766.39936006</v>
      </c>
      <c r="I9" s="116">
        <f>+PL!H20+PL!H21+PL!H22+PL!H23</f>
        <v>486674401.72734731</v>
      </c>
      <c r="J9" s="116">
        <f>+PL!I20+PL!I21+PL!I22+PL!I23</f>
        <v>496407889.76189423</v>
      </c>
      <c r="K9" s="116">
        <f>+PL!J20+PL!J21+PL!J22+PL!J23</f>
        <v>506336047.55713207</v>
      </c>
    </row>
    <row r="10" spans="2:11" x14ac:dyDescent="0.25">
      <c r="B10" s="101">
        <v>2</v>
      </c>
      <c r="C10" s="98" t="s">
        <v>311</v>
      </c>
      <c r="D10" s="116">
        <f>+PL!C25</f>
        <v>102000</v>
      </c>
      <c r="E10" s="116">
        <f>+PL!D25</f>
        <v>146880</v>
      </c>
      <c r="F10" s="116">
        <f>+PL!E25</f>
        <v>149817.60000000001</v>
      </c>
      <c r="G10" s="116">
        <f>+PL!F25</f>
        <v>152813.95200000002</v>
      </c>
      <c r="H10" s="116">
        <f>+PL!G25</f>
        <v>155870.23104000004</v>
      </c>
      <c r="I10" s="116">
        <f>+PL!H25</f>
        <v>158987.63566080004</v>
      </c>
      <c r="J10" s="116">
        <f>+PL!I25</f>
        <v>162167.38837401607</v>
      </c>
      <c r="K10" s="116">
        <f>+PL!J25</f>
        <v>165410.7361414964</v>
      </c>
    </row>
    <row r="11" spans="2:11" x14ac:dyDescent="0.25">
      <c r="B11" s="101">
        <v>3</v>
      </c>
      <c r="C11" s="98" t="s">
        <v>327</v>
      </c>
      <c r="D11" s="116">
        <f>+PL!C45</f>
        <v>1912500</v>
      </c>
      <c r="E11" s="116">
        <f>+PL!D45</f>
        <v>2970000</v>
      </c>
      <c r="F11" s="116">
        <f>+PL!E45</f>
        <v>3267000</v>
      </c>
      <c r="G11" s="116">
        <f>+PL!F45</f>
        <v>3593700.0000000009</v>
      </c>
      <c r="H11" s="116">
        <f>+PL!G45</f>
        <v>3953070.0000000009</v>
      </c>
      <c r="I11" s="116">
        <f>+PL!H45</f>
        <v>4348377.0000000019</v>
      </c>
      <c r="J11" s="116">
        <f>+PL!I45</f>
        <v>4783214.700000003</v>
      </c>
      <c r="K11" s="116">
        <f>+PL!J45</f>
        <v>5261536.1700000037</v>
      </c>
    </row>
    <row r="12" spans="2:11" x14ac:dyDescent="0.25">
      <c r="B12" s="101">
        <v>4</v>
      </c>
      <c r="C12" s="98" t="s">
        <v>262</v>
      </c>
      <c r="D12" s="116">
        <f>+PL!C29</f>
        <v>765000</v>
      </c>
      <c r="E12" s="116">
        <f>+PL!D29</f>
        <v>1188000.0000000002</v>
      </c>
      <c r="F12" s="116">
        <f>+PL!E29</f>
        <v>1306800.0000000005</v>
      </c>
      <c r="G12" s="116">
        <f>+PL!F29</f>
        <v>1437480.0000000005</v>
      </c>
      <c r="H12" s="116">
        <f>+PL!G29</f>
        <v>1581228.0000000007</v>
      </c>
      <c r="I12" s="116">
        <f>+PL!H29</f>
        <v>1739350.800000001</v>
      </c>
      <c r="J12" s="116">
        <f>+PL!I29</f>
        <v>1913285.8800000008</v>
      </c>
      <c r="K12" s="116">
        <f>+PL!J29</f>
        <v>2104614.4680000013</v>
      </c>
    </row>
    <row r="13" spans="2:11" x14ac:dyDescent="0.25">
      <c r="C13" s="108" t="s">
        <v>6</v>
      </c>
      <c r="D13" s="117">
        <f>+D12+D11+D10+D9</f>
        <v>315010000</v>
      </c>
      <c r="E13" s="117">
        <f t="shared" ref="E13:K13" si="0">+E12+E11+E10+E9</f>
        <v>453916800</v>
      </c>
      <c r="F13" s="117">
        <f t="shared" si="0"/>
        <v>463327776</v>
      </c>
      <c r="G13" s="117">
        <f t="shared" si="0"/>
        <v>472960235.52000004</v>
      </c>
      <c r="H13" s="117">
        <f t="shared" si="0"/>
        <v>482821934.63040006</v>
      </c>
      <c r="I13" s="117">
        <f t="shared" si="0"/>
        <v>492921117.16300809</v>
      </c>
      <c r="J13" s="117">
        <f t="shared" si="0"/>
        <v>503266557.73026824</v>
      </c>
      <c r="K13" s="117">
        <f t="shared" si="0"/>
        <v>513867608.93127358</v>
      </c>
    </row>
    <row r="14" spans="2:11" x14ac:dyDescent="0.25">
      <c r="B14" s="99" t="s">
        <v>51</v>
      </c>
      <c r="C14" s="108" t="s">
        <v>331</v>
      </c>
      <c r="D14" s="116">
        <f>+D7-D13</f>
        <v>59526807.556699991</v>
      </c>
      <c r="E14" s="116">
        <f t="shared" ref="E14:K14" si="1">+E7-E13</f>
        <v>85416202.881648064</v>
      </c>
      <c r="F14" s="116">
        <f t="shared" si="1"/>
        <v>86791886.939280987</v>
      </c>
      <c r="G14" s="116">
        <f t="shared" si="1"/>
        <v>88161820.678066552</v>
      </c>
      <c r="H14" s="116">
        <f t="shared" si="1"/>
        <v>89522562.691627979</v>
      </c>
      <c r="I14" s="116">
        <f t="shared" si="1"/>
        <v>90870270.105460286</v>
      </c>
      <c r="J14" s="116">
        <f t="shared" si="1"/>
        <v>92200657.283569574</v>
      </c>
      <c r="K14" s="116">
        <f t="shared" si="1"/>
        <v>93508950.38284111</v>
      </c>
    </row>
    <row r="15" spans="2:11" x14ac:dyDescent="0.25">
      <c r="B15" s="99" t="s">
        <v>53</v>
      </c>
      <c r="C15" s="108" t="s">
        <v>300</v>
      </c>
      <c r="D15" s="116"/>
      <c r="E15" s="116"/>
      <c r="F15" s="116"/>
      <c r="G15" s="116"/>
      <c r="H15" s="116"/>
      <c r="I15" s="116"/>
      <c r="J15" s="116"/>
      <c r="K15" s="116"/>
    </row>
    <row r="16" spans="2:11" x14ac:dyDescent="0.25">
      <c r="B16" s="101">
        <v>1</v>
      </c>
      <c r="C16" s="98" t="s">
        <v>328</v>
      </c>
      <c r="D16" s="116">
        <f>+PL!C27+PL!C31+PL!C33+PL!C35+PL!C41+PL!C43</f>
        <v>2277000</v>
      </c>
      <c r="E16" s="116">
        <f>+PL!D27+PL!D31+PL!D33+PL!D35+PL!D41+PL!D43</f>
        <v>2732400</v>
      </c>
      <c r="F16" s="116">
        <f>+PL!E27+PL!E31+PL!E33+PL!E35+PL!E41+PL!E43</f>
        <v>3005640.0000000005</v>
      </c>
      <c r="G16" s="116">
        <f>+PL!F27+PL!F31+PL!F33+PL!F35+PL!F41+PL!F43</f>
        <v>3306204</v>
      </c>
      <c r="H16" s="116">
        <f>+PL!G27+PL!G31+PL!G33+PL!G35+PL!G41+PL!G43</f>
        <v>3636824.4000000008</v>
      </c>
      <c r="I16" s="116">
        <f>+PL!H27+PL!H31+PL!H33+PL!H35+PL!H41+PL!H43</f>
        <v>4000506.8400000012</v>
      </c>
      <c r="J16" s="116">
        <f>+PL!I27+PL!I31+PL!I33+PL!I35+PL!I41+PL!I43</f>
        <v>4400557.5240000011</v>
      </c>
      <c r="K16" s="116">
        <f>+PL!J27+PL!J31+PL!J33+PL!J35+PL!J41+PL!J43</f>
        <v>4840613.2764000017</v>
      </c>
    </row>
    <row r="17" spans="2:11" x14ac:dyDescent="0.25">
      <c r="B17" s="101">
        <v>2</v>
      </c>
      <c r="C17" s="98" t="s">
        <v>329</v>
      </c>
      <c r="D17" s="116">
        <f>+PL!C47+PL!C49</f>
        <v>6391500</v>
      </c>
      <c r="E17" s="116">
        <f>+PL!D47+PL!D49</f>
        <v>6130793</v>
      </c>
      <c r="F17" s="116">
        <f>+PL!E47+PL!E49</f>
        <v>5510405</v>
      </c>
      <c r="G17" s="116">
        <f>+PL!F47+PL!F49</f>
        <v>4800882</v>
      </c>
      <c r="H17" s="116">
        <f>+PL!G47+PL!G49</f>
        <v>3989420</v>
      </c>
      <c r="I17" s="116">
        <f>+PL!H47+PL!H49</f>
        <v>3061369</v>
      </c>
      <c r="J17" s="116">
        <f>+PL!I47+PL!I49</f>
        <v>1999979</v>
      </c>
      <c r="K17" s="116">
        <f>+PL!J47+PL!J49</f>
        <v>1369500</v>
      </c>
    </row>
    <row r="18" spans="2:11" x14ac:dyDescent="0.25">
      <c r="B18" s="101">
        <v>3</v>
      </c>
      <c r="C18" s="98" t="s">
        <v>330</v>
      </c>
      <c r="D18" s="116">
        <f>+PL!C51+PL!C53+PL!C55+PL!C57+PL!C59</f>
        <v>1685415.6340051503</v>
      </c>
      <c r="E18" s="116">
        <f>+PL!D51+PL!D53+PL!D55+PL!D57+PL!D59</f>
        <v>2426998.5129674161</v>
      </c>
      <c r="F18" s="116">
        <f>+PL!E51+PL!E53+PL!E55+PL!E57+PL!E59</f>
        <v>2475538.4832267645</v>
      </c>
      <c r="G18" s="116">
        <f>+PL!F51+PL!F53+PL!F55+PL!F57+PL!F59</f>
        <v>2525049.2528912993</v>
      </c>
      <c r="H18" s="116">
        <f>+PL!G51+PL!G53+PL!G55+PL!G57+PL!G59</f>
        <v>2575550.2379491264</v>
      </c>
      <c r="I18" s="116">
        <f>+PL!H51+PL!H53+PL!H55+PL!H57+PL!H59</f>
        <v>2627061.2427081075</v>
      </c>
      <c r="J18" s="116">
        <f>+PL!I51+PL!I53+PL!I55+PL!I57+PL!I59</f>
        <v>2679602.4675622704</v>
      </c>
      <c r="K18" s="116">
        <f>+PL!J51+PL!J53+PL!J55+PL!J57+PL!J59</f>
        <v>2733194.5169135164</v>
      </c>
    </row>
    <row r="19" spans="2:11" x14ac:dyDescent="0.25">
      <c r="C19" s="108" t="s">
        <v>301</v>
      </c>
      <c r="D19" s="117">
        <f>+SUM(D16:D18)</f>
        <v>10353915.63400515</v>
      </c>
      <c r="E19" s="117">
        <f t="shared" ref="E19:K19" si="2">+SUM(E16:E18)</f>
        <v>11290191.512967415</v>
      </c>
      <c r="F19" s="117">
        <f t="shared" si="2"/>
        <v>10991583.483226765</v>
      </c>
      <c r="G19" s="117">
        <f t="shared" si="2"/>
        <v>10632135.252891298</v>
      </c>
      <c r="H19" s="117">
        <f t="shared" si="2"/>
        <v>10201794.637949128</v>
      </c>
      <c r="I19" s="117">
        <f t="shared" si="2"/>
        <v>9688937.0827081092</v>
      </c>
      <c r="J19" s="117">
        <f t="shared" si="2"/>
        <v>9080138.9915622715</v>
      </c>
      <c r="K19" s="117">
        <f t="shared" si="2"/>
        <v>8943307.7933135182</v>
      </c>
    </row>
    <row r="20" spans="2:11" x14ac:dyDescent="0.25">
      <c r="B20" s="99" t="s">
        <v>52</v>
      </c>
      <c r="C20" s="108" t="s">
        <v>302</v>
      </c>
      <c r="D20" s="116"/>
      <c r="E20" s="116"/>
      <c r="F20" s="116"/>
      <c r="G20" s="116"/>
      <c r="H20" s="116"/>
      <c r="I20" s="116"/>
      <c r="J20" s="116"/>
      <c r="K20" s="116"/>
    </row>
    <row r="21" spans="2:11" x14ac:dyDescent="0.25">
      <c r="B21" s="101">
        <v>1</v>
      </c>
      <c r="C21" s="98" t="s">
        <v>312</v>
      </c>
      <c r="D21" s="116">
        <f>+PL!C38+PL!C39</f>
        <v>3475000</v>
      </c>
      <c r="E21" s="116">
        <f>+PL!D38+PL!D39</f>
        <v>6679875</v>
      </c>
      <c r="F21" s="116">
        <f>+PL!E38+PL!E39</f>
        <v>5701781.25</v>
      </c>
      <c r="G21" s="116">
        <f>+PL!F38+PL!F39</f>
        <v>4868012.8125</v>
      </c>
      <c r="H21" s="116">
        <f>+PL!G38+PL!G39</f>
        <v>4157159.765625</v>
      </c>
      <c r="I21" s="116">
        <f>+PL!H38+PL!H39</f>
        <v>3550999.7882812498</v>
      </c>
      <c r="J21" s="116">
        <f>+PL!I38+PL!I39</f>
        <v>3034022.4087890629</v>
      </c>
      <c r="K21" s="116">
        <f>+PL!J38+PL!J39</f>
        <v>2593024.3773457031</v>
      </c>
    </row>
    <row r="22" spans="2:11" x14ac:dyDescent="0.25">
      <c r="C22" s="108" t="s">
        <v>303</v>
      </c>
      <c r="D22" s="117">
        <f>+D21</f>
        <v>3475000</v>
      </c>
      <c r="E22" s="117">
        <f t="shared" ref="E22:K22" si="3">+E21</f>
        <v>6679875</v>
      </c>
      <c r="F22" s="117">
        <f t="shared" si="3"/>
        <v>5701781.25</v>
      </c>
      <c r="G22" s="117">
        <f t="shared" si="3"/>
        <v>4868012.8125</v>
      </c>
      <c r="H22" s="117">
        <f t="shared" si="3"/>
        <v>4157159.765625</v>
      </c>
      <c r="I22" s="117">
        <f t="shared" si="3"/>
        <v>3550999.7882812498</v>
      </c>
      <c r="J22" s="117">
        <f t="shared" si="3"/>
        <v>3034022.4087890629</v>
      </c>
      <c r="K22" s="117">
        <f t="shared" si="3"/>
        <v>2593024.3773457031</v>
      </c>
    </row>
    <row r="23" spans="2:11" x14ac:dyDescent="0.25">
      <c r="B23" s="99" t="s">
        <v>306</v>
      </c>
      <c r="C23" s="108" t="s">
        <v>308</v>
      </c>
      <c r="D23" s="117">
        <f t="shared" ref="D23:K23" si="4">+D19+D22</f>
        <v>13828915.63400515</v>
      </c>
      <c r="E23" s="117">
        <f t="shared" si="4"/>
        <v>17970066.512967415</v>
      </c>
      <c r="F23" s="117">
        <f t="shared" si="4"/>
        <v>16693364.733226765</v>
      </c>
      <c r="G23" s="117">
        <f t="shared" si="4"/>
        <v>15500148.065391298</v>
      </c>
      <c r="H23" s="117">
        <f t="shared" si="4"/>
        <v>14358954.403574128</v>
      </c>
      <c r="I23" s="117">
        <f t="shared" si="4"/>
        <v>13239936.87098936</v>
      </c>
      <c r="J23" s="117">
        <f t="shared" si="4"/>
        <v>12114161.400351334</v>
      </c>
      <c r="K23" s="117">
        <f t="shared" si="4"/>
        <v>11536332.170659222</v>
      </c>
    </row>
    <row r="24" spans="2:11" s="237" customFormat="1" x14ac:dyDescent="0.25">
      <c r="B24" s="269" t="s">
        <v>307</v>
      </c>
      <c r="C24" s="270" t="s">
        <v>304</v>
      </c>
      <c r="D24" s="396">
        <f>+D23/D14</f>
        <v>0.23231408169895459</v>
      </c>
      <c r="E24" s="396">
        <f t="shared" ref="E24:K24" si="5">+E23/E14</f>
        <v>0.21038240880206979</v>
      </c>
      <c r="F24" s="396">
        <f t="shared" si="5"/>
        <v>0.19233784771732557</v>
      </c>
      <c r="G24" s="396">
        <f t="shared" si="5"/>
        <v>0.17581474550068499</v>
      </c>
      <c r="H24" s="396">
        <f t="shared" si="5"/>
        <v>0.16039480966418934</v>
      </c>
      <c r="I24" s="396">
        <f t="shared" si="5"/>
        <v>0.14570152433379624</v>
      </c>
      <c r="J24" s="396">
        <f t="shared" si="5"/>
        <v>0.13138910022184966</v>
      </c>
      <c r="K24" s="396">
        <f t="shared" si="5"/>
        <v>0.12337142191659269</v>
      </c>
    </row>
    <row r="25" spans="2:11" s="237" customFormat="1" x14ac:dyDescent="0.25">
      <c r="B25" s="271"/>
      <c r="C25" s="270" t="s">
        <v>305</v>
      </c>
      <c r="D25" s="396">
        <f>+D19/D14</f>
        <v>0.17393702197355237</v>
      </c>
      <c r="E25" s="396">
        <f t="shared" ref="E25:K25" si="6">+E19/E14</f>
        <v>0.13217856954623708</v>
      </c>
      <c r="F25" s="396">
        <f t="shared" si="6"/>
        <v>0.12664298324238996</v>
      </c>
      <c r="G25" s="396">
        <f t="shared" si="6"/>
        <v>0.12059795466016762</v>
      </c>
      <c r="H25" s="396">
        <f t="shared" si="6"/>
        <v>0.11395780383421916</v>
      </c>
      <c r="I25" s="396">
        <f t="shared" si="6"/>
        <v>0.10662383936422251</v>
      </c>
      <c r="J25" s="396">
        <f t="shared" si="6"/>
        <v>9.8482367252932579E-2</v>
      </c>
      <c r="K25" s="396">
        <f t="shared" si="6"/>
        <v>9.564119537967368E-2</v>
      </c>
    </row>
  </sheetData>
  <mergeCells count="2">
    <mergeCell ref="B1:K1"/>
    <mergeCell ref="B4:F4"/>
  </mergeCells>
  <pageMargins left="0.55000000000000004" right="0.27559055118110237" top="0.64" bottom="0.35433070866141736" header="0.31496062992125984" footer="0.31496062992125984"/>
  <pageSetup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Opg.</vt:lpstr>
      <vt:lpstr>Project at a glance</vt:lpstr>
      <vt:lpstr>dscr Lakhs</vt:lpstr>
      <vt:lpstr>dscr</vt:lpstr>
      <vt:lpstr>Investment in project</vt:lpstr>
      <vt:lpstr>Means of Finance</vt:lpstr>
      <vt:lpstr>Sheet2</vt:lpstr>
      <vt:lpstr>PL LAKHS</vt:lpstr>
      <vt:lpstr>PL</vt:lpstr>
      <vt:lpstr>BS Lakhs</vt:lpstr>
      <vt:lpstr>BS</vt:lpstr>
      <vt:lpstr>cash flow statement Lakhs</vt:lpstr>
      <vt:lpstr>cash flow statement</vt:lpstr>
      <vt:lpstr>sales of 1st year</vt:lpstr>
      <vt:lpstr>sales of  other FY</vt:lpstr>
      <vt:lpstr>RM</vt:lpstr>
      <vt:lpstr>indirect expenses</vt:lpstr>
      <vt:lpstr>depreciation</vt:lpstr>
      <vt:lpstr>TL interest</vt:lpstr>
      <vt:lpstr>Sheet1</vt:lpstr>
      <vt:lpstr>CMA LAKHS</vt:lpstr>
      <vt:lpstr>cma report</vt:lpstr>
      <vt:lpstr>RATIO LAKHS</vt:lpstr>
      <vt:lpstr>ratio</vt:lpstr>
      <vt:lpstr>BEP LAKHS</vt:lpstr>
      <vt:lpstr>Break even Analysis</vt:lpstr>
      <vt:lpstr>'BEP LAKHS'!Print_Area</vt:lpstr>
      <vt:lpstr>'Break even Analysis'!Print_Area</vt:lpstr>
      <vt:lpstr>BS!Print_Area</vt:lpstr>
      <vt:lpstr>'BS Lakhs'!Print_Area</vt:lpstr>
      <vt:lpstr>'cash flow statement'!Print_Area</vt:lpstr>
      <vt:lpstr>'cash flow statement Lakhs'!Print_Area</vt:lpstr>
      <vt:lpstr>'CMA LAKHS'!Print_Area</vt:lpstr>
      <vt:lpstr>'cma report'!Print_Area</vt:lpstr>
      <vt:lpstr>depreciation!Print_Area</vt:lpstr>
      <vt:lpstr>dscr!Print_Area</vt:lpstr>
      <vt:lpstr>'dscr Lakhs'!Print_Area</vt:lpstr>
      <vt:lpstr>'indirect expenses'!Print_Area</vt:lpstr>
      <vt:lpstr>'Investment in project'!Print_Area</vt:lpstr>
      <vt:lpstr>'Means of Finance'!Print_Area</vt:lpstr>
      <vt:lpstr>Opg.!Print_Area</vt:lpstr>
      <vt:lpstr>PL!Print_Area</vt:lpstr>
      <vt:lpstr>'PL LAKHS'!Print_Area</vt:lpstr>
      <vt:lpstr>'Project at a glance'!Print_Area</vt:lpstr>
      <vt:lpstr>ratio!Print_Area</vt:lpstr>
      <vt:lpstr>'RATIO LAKHS'!Print_Area</vt:lpstr>
      <vt:lpstr>RM!Print_Area</vt:lpstr>
      <vt:lpstr>'sales of  other FY'!Print_Area</vt:lpstr>
      <vt:lpstr>'sales of 1st year'!Print_Area</vt:lpstr>
      <vt:lpstr>Sheet1!Print_Area</vt:lpstr>
      <vt:lpstr>'TL interest'!Print_Area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 CA</dc:creator>
  <cp:lastModifiedBy>Gaurav Kumar</cp:lastModifiedBy>
  <cp:lastPrinted>2024-02-25T12:03:34Z</cp:lastPrinted>
  <dcterms:created xsi:type="dcterms:W3CDTF">2015-06-05T18:17:20Z</dcterms:created>
  <dcterms:modified xsi:type="dcterms:W3CDTF">2024-03-01T08:43:15Z</dcterms:modified>
</cp:coreProperties>
</file>