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In Progress Files\Yash Bhatnagar\AMAZON\Working\"/>
    </mc:Choice>
  </mc:AlternateContent>
  <xr:revisionPtr revIDLastSave="0" documentId="13_ncr:1_{5A0A835C-76CD-445D-BD81-A344F27C65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n" sheetId="4" r:id="rId1"/>
    <sheet name="Sheet2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4" l="1"/>
  <c r="L10" i="3"/>
  <c r="I10" i="3"/>
  <c r="E10" i="3"/>
  <c r="M10" i="3" s="1"/>
  <c r="J4" i="3"/>
  <c r="H4" i="3"/>
  <c r="E4" i="3"/>
  <c r="X4" i="4"/>
  <c r="G22" i="4"/>
  <c r="G21" i="4"/>
  <c r="G20" i="4"/>
  <c r="F9" i="4"/>
  <c r="F12" i="4"/>
  <c r="Y4" i="4"/>
  <c r="X6" i="4"/>
  <c r="X12" i="4"/>
  <c r="Z10" i="4"/>
  <c r="O10" i="3" l="1"/>
  <c r="Q10" i="3" s="1"/>
  <c r="N10" i="3"/>
  <c r="K4" i="3"/>
  <c r="L4" i="3" s="1"/>
  <c r="N4" i="3" s="1"/>
  <c r="X18" i="4" l="1"/>
  <c r="X19" i="4" s="1"/>
  <c r="X10" i="4"/>
  <c r="T11" i="4"/>
  <c r="M11" i="4"/>
  <c r="J11" i="4"/>
  <c r="G11" i="4"/>
  <c r="O11" i="4" s="1"/>
  <c r="G7" i="4"/>
  <c r="T12" i="4"/>
  <c r="T10" i="4"/>
  <c r="T9" i="4"/>
  <c r="T8" i="4"/>
  <c r="T7" i="4"/>
  <c r="T6" i="4"/>
  <c r="X27" i="4"/>
  <c r="F13" i="4"/>
  <c r="G8" i="4"/>
  <c r="O8" i="4" s="1"/>
  <c r="G10" i="4"/>
  <c r="O12" i="4"/>
  <c r="G6" i="4"/>
  <c r="O6" i="4" s="1"/>
  <c r="M12" i="4"/>
  <c r="J12" i="4"/>
  <c r="M10" i="4"/>
  <c r="J10" i="4"/>
  <c r="M9" i="4"/>
  <c r="J9" i="4"/>
  <c r="M8" i="4"/>
  <c r="J8" i="4"/>
  <c r="M7" i="4"/>
  <c r="J7" i="4"/>
  <c r="M6" i="4"/>
  <c r="J6" i="4"/>
  <c r="P11" i="4" l="1"/>
  <c r="R11" i="4" s="1"/>
  <c r="T13" i="4"/>
  <c r="P8" i="4"/>
  <c r="R8" i="4" s="1"/>
  <c r="P6" i="4"/>
  <c r="R6" i="4" s="1"/>
  <c r="P12" i="4"/>
  <c r="R12" i="4" s="1"/>
  <c r="G13" i="4"/>
  <c r="O7" i="4"/>
  <c r="O10" i="4"/>
  <c r="O9" i="4"/>
  <c r="J3" i="3"/>
  <c r="H3" i="3"/>
  <c r="E3" i="3"/>
  <c r="P9" i="4" l="1"/>
  <c r="R9" i="4" s="1"/>
  <c r="P10" i="4"/>
  <c r="R10" i="4" s="1"/>
  <c r="P7" i="4"/>
  <c r="O13" i="4"/>
  <c r="X33" i="4" s="1"/>
  <c r="K3" i="3"/>
  <c r="L3" i="3" s="1"/>
  <c r="N3" i="3" s="1"/>
  <c r="Q13" i="3" s="1"/>
  <c r="P13" i="4" l="1"/>
  <c r="R7" i="4"/>
  <c r="R13" i="4" l="1"/>
  <c r="X20" i="4" l="1"/>
  <c r="X23" i="4" s="1"/>
  <c r="X29" i="4" s="1"/>
  <c r="X30" i="4" l="1"/>
  <c r="X31" i="4"/>
</calcChain>
</file>

<file path=xl/sharedStrings.xml><?xml version="1.0" encoding="utf-8"?>
<sst xmlns="http://schemas.openxmlformats.org/spreadsheetml/2006/main" count="99" uniqueCount="72">
  <si>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</si>
  <si>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</si>
  <si>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</si>
  <si>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</si>
  <si>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</si>
  <si>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</si>
  <si>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</si>
  <si>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</si>
  <si>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</si>
  <si>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Depreciated Replacement Market Value
(INR)</t>
  </si>
  <si>
    <t>Remarks:</t>
  </si>
  <si>
    <t>Detoration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</si>
  <si>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</si>
  <si>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</si>
  <si>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</si>
  <si>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</si>
  <si>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</si>
  <si>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</si>
  <si>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</si>
  <si>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RCC</t>
  </si>
  <si>
    <t>Sr. No.</t>
  </si>
  <si>
    <t>building</t>
  </si>
  <si>
    <t>wall</t>
  </si>
  <si>
    <t>FMV</t>
  </si>
  <si>
    <t>round off</t>
  </si>
  <si>
    <t>ins</t>
  </si>
  <si>
    <t>Floor</t>
  </si>
  <si>
    <t>RV</t>
  </si>
  <si>
    <t>DV</t>
  </si>
  <si>
    <t>Built-up area (in sq.mtr)</t>
  </si>
  <si>
    <t>Circle</t>
  </si>
  <si>
    <t>Total</t>
  </si>
  <si>
    <t>Buit-up area 
(in sq ft)</t>
  </si>
  <si>
    <t>Plinth Area  Rate 
(INR per sq feet)</t>
  </si>
  <si>
    <t>1. All the details pertaing to the building area statement such as area, floor, etc has been taken from the area sheet provided to us and more-or-less same was found during site measurment.</t>
  </si>
  <si>
    <t>land value</t>
  </si>
  <si>
    <t>Area</t>
  </si>
  <si>
    <t xml:space="preserve">2.The maintinence of the building was good as per site survey observation. </t>
  </si>
  <si>
    <t>Rate</t>
  </si>
  <si>
    <t>land area</t>
  </si>
  <si>
    <t>Land value</t>
  </si>
  <si>
    <t>Circle Vaue
(INR)</t>
  </si>
  <si>
    <t>Circle Rate
(INR per sq mtr.)</t>
  </si>
  <si>
    <t>Warehouse</t>
  </si>
  <si>
    <t>Security Cabin 1</t>
  </si>
  <si>
    <t>Security Cabin 2</t>
  </si>
  <si>
    <t xml:space="preserve">Truck Driver Cabin </t>
  </si>
  <si>
    <t>HT room</t>
  </si>
  <si>
    <t>Canteen GF</t>
  </si>
  <si>
    <t>Canteen FF</t>
  </si>
  <si>
    <t>GI shed with Brick wall structure upto 3 mtr. ht.</t>
  </si>
  <si>
    <t>Height 
(in ft.)</t>
  </si>
  <si>
    <t>3. Age of construction taken from the information provided to us.</t>
  </si>
  <si>
    <t>M/s Kailash Darshan Housing Development (Gujarat) Pvt. Ltd. |Situated at Village Taoru, Bilaspur Taoru Road, Khewat/Khata no. 373/400, Tehsil Taoru, District Mewat, Haryana-122105</t>
  </si>
  <si>
    <t>sq.mtr</t>
  </si>
  <si>
    <t>acre</t>
  </si>
  <si>
    <t>Tin shed with Brick wall</t>
  </si>
  <si>
    <t>RCC slab Brick wall structure</t>
  </si>
  <si>
    <t>levelng</t>
  </si>
  <si>
    <t>road running mtr</t>
  </si>
  <si>
    <t>boun</t>
  </si>
  <si>
    <t>drain</t>
  </si>
  <si>
    <t>FAR</t>
  </si>
  <si>
    <t>Ground coverage</t>
  </si>
  <si>
    <t>running mtr</t>
  </si>
  <si>
    <t>width</t>
  </si>
  <si>
    <t>Rate per mtr cubic</t>
  </si>
  <si>
    <t>volume</t>
  </si>
  <si>
    <t>Height</t>
  </si>
  <si>
    <t>Lumpsum</t>
  </si>
  <si>
    <t>Aesthatic</t>
  </si>
  <si>
    <t>Road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</si>
</sst>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_ [$₹-4009]\ * #,##0_ ;_ [$₹-4009]\ * \-#,##0_ ;_ [$₹-4009]\ * &quot;-&quot;??_ ;_ @_ "/>
    <numFmt numFmtId="168" formatCode="0.000"/>
    <numFmt numFmtId="169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/>
    </xf>
    <xf numFmtId="9" fontId="2" fillId="5" borderId="1" xfId="3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7" fontId="0" fillId="0" borderId="1" xfId="5" applyNumberFormat="1" applyFont="1" applyBorder="1" applyAlignment="1">
      <alignment vertical="center"/>
    </xf>
    <xf numFmtId="167" fontId="0" fillId="0" borderId="0" xfId="0" applyNumberFormat="1"/>
    <xf numFmtId="44" fontId="0" fillId="0" borderId="0" xfId="0" applyNumberFormat="1"/>
    <xf numFmtId="9" fontId="0" fillId="0" borderId="1" xfId="2" applyFont="1" applyBorder="1" applyAlignment="1">
      <alignment horizontal="right" vertical="center" wrapText="1"/>
    </xf>
    <xf numFmtId="43" fontId="2" fillId="0" borderId="1" xfId="6" applyFont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right" vertical="center" wrapText="1"/>
    </xf>
    <xf numFmtId="166" fontId="0" fillId="0" borderId="0" xfId="6" applyNumberFormat="1" applyFont="1"/>
    <xf numFmtId="166" fontId="0" fillId="0" borderId="1" xfId="6" applyNumberFormat="1" applyFont="1" applyFill="1" applyBorder="1" applyAlignment="1">
      <alignment horizontal="right" vertical="center" wrapText="1"/>
    </xf>
    <xf numFmtId="0" fontId="2" fillId="0" borderId="0" xfId="0" applyFont="1"/>
    <xf numFmtId="43" fontId="2" fillId="0" borderId="0" xfId="0" applyNumberFormat="1" applyFont="1"/>
    <xf numFmtId="43" fontId="0" fillId="0" borderId="1" xfId="0" applyNumberFormat="1" applyBorder="1" applyAlignment="1">
      <alignment horizontal="center" vertical="center"/>
    </xf>
    <xf numFmtId="43" fontId="0" fillId="0" borderId="1" xfId="6" applyFont="1" applyBorder="1" applyAlignment="1">
      <alignment horizontal="center" vertical="center"/>
    </xf>
    <xf numFmtId="0" fontId="0" fillId="0" borderId="1" xfId="0" applyBorder="1"/>
    <xf numFmtId="166" fontId="0" fillId="0" borderId="1" xfId="6" applyNumberFormat="1" applyFont="1" applyBorder="1"/>
    <xf numFmtId="43" fontId="0" fillId="0" borderId="0" xfId="6" applyFont="1"/>
    <xf numFmtId="2" fontId="0" fillId="0" borderId="0" xfId="0" applyNumberFormat="1"/>
    <xf numFmtId="165" fontId="0" fillId="0" borderId="0" xfId="1" applyNumberFormat="1" applyFont="1" applyBorder="1" applyAlignment="1">
      <alignment horizontal="center" vertical="center"/>
    </xf>
    <xf numFmtId="168" fontId="0" fillId="0" borderId="0" xfId="0" applyNumberFormat="1"/>
    <xf numFmtId="169" fontId="0" fillId="0" borderId="0" xfId="6" applyNumberFormat="1" applyFont="1"/>
    <xf numFmtId="9" fontId="0" fillId="0" borderId="0" xfId="2" applyFont="1"/>
    <xf numFmtId="0" fontId="6" fillId="4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3" xfId="6" applyNumberFormat="1" applyFont="1" applyBorder="1" applyAlignment="1">
      <alignment horizontal="center" vertical="center" wrapText="1"/>
    </xf>
    <xf numFmtId="166" fontId="2" fillId="0" borderId="4" xfId="6" applyNumberFormat="1" applyFont="1" applyBorder="1" applyAlignment="1">
      <alignment horizontal="center" vertical="center" wrapText="1"/>
    </xf>
    <xf numFmtId="166" fontId="2" fillId="0" borderId="5" xfId="6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611C-3EBA-4C0E-8F3A-F0BAD5B5C08D}">
  <dimension ref="B4:Z33"/>
  <sheetViews>
    <sheetView tabSelected="1" zoomScale="85" zoomScaleNormal="85" workbookViewId="0">
      <selection activeCell="B14" sqref="B14:T14"/>
    </sheetView>
  </sheetViews>
  <sheetFormatPr defaultRowHeight="15" x14ac:dyDescent="0.25"/>
  <cols>
    <col min="2" max="2" width="7.28515625" customWidth="1"/>
    <col min="3" max="3" width="18.28515625" customWidth="1"/>
    <col min="4" max="4" width="9.28515625" customWidth="1"/>
    <col min="5" max="5" width="23.140625" customWidth="1"/>
    <col min="6" max="6" width="11.140625" customWidth="1"/>
    <col min="7" max="7" width="12.7109375" bestFit="1" customWidth="1"/>
    <col min="8" max="8" width="12.7109375" customWidth="1"/>
    <col min="9" max="9" width="10.5703125" customWidth="1"/>
    <col min="10" max="10" width="10.28515625" customWidth="1"/>
    <col min="11" max="11" width="12.140625" customWidth="1"/>
    <col min="12" max="12" width="9.140625" customWidth="1"/>
    <col min="13" max="13" width="13.140625" customWidth="1"/>
    <col min="14" max="14" width="12.28515625" customWidth="1"/>
    <col min="15" max="15" width="13" customWidth="1"/>
    <col min="16" max="16" width="14" hidden="1" customWidth="1"/>
    <col min="17" max="17" width="11.28515625" hidden="1" customWidth="1"/>
    <col min="18" max="18" width="13" customWidth="1"/>
    <col min="19" max="19" width="11" hidden="1" customWidth="1"/>
    <col min="20" max="20" width="12.7109375" hidden="1" customWidth="1"/>
    <col min="23" max="23" width="16.140625" customWidth="1"/>
    <col min="24" max="24" width="21.7109375" customWidth="1"/>
  </cols>
  <sheetData>
    <row r="4" spans="2:26" ht="38.25" customHeight="1" x14ac:dyDescent="0.25">
      <c r="B4" s="41" t="s">
        <v>53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W4" s="27" t="s">
        <v>63</v>
      </c>
      <c r="X4" s="6">
        <f>SUM(F6:F10,F12)</f>
        <v>15997.375427770601</v>
      </c>
      <c r="Y4" s="36">
        <f>X4/X9</f>
        <v>0.58069628296202969</v>
      </c>
    </row>
    <row r="5" spans="2:26" ht="75" x14ac:dyDescent="0.25">
      <c r="B5" s="15" t="s">
        <v>20</v>
      </c>
      <c r="C5" s="1" t="s">
        <v>26</v>
      </c>
      <c r="D5" s="1" t="s">
        <v>51</v>
      </c>
      <c r="E5" s="1" t="s">
        <v>0</v>
      </c>
      <c r="F5" s="1" t="s">
        <v>29</v>
      </c>
      <c r="G5" s="1" t="s">
        <v>32</v>
      </c>
      <c r="H5" s="1" t="s">
        <v>18</v>
      </c>
      <c r="I5" s="17" t="s">
        <v>1</v>
      </c>
      <c r="J5" s="1" t="s">
        <v>2</v>
      </c>
      <c r="K5" s="1" t="s">
        <v>3</v>
      </c>
      <c r="L5" s="17" t="s">
        <v>4</v>
      </c>
      <c r="M5" s="17" t="s">
        <v>5</v>
      </c>
      <c r="N5" s="1" t="s">
        <v>33</v>
      </c>
      <c r="O5" s="1" t="s">
        <v>6</v>
      </c>
      <c r="P5" s="17" t="s">
        <v>7</v>
      </c>
      <c r="Q5" s="16" t="s">
        <v>11</v>
      </c>
      <c r="R5" s="1" t="s">
        <v>9</v>
      </c>
      <c r="S5" s="1" t="s">
        <v>42</v>
      </c>
      <c r="T5" s="1" t="s">
        <v>41</v>
      </c>
      <c r="W5" s="27"/>
      <c r="X5">
        <v>184840</v>
      </c>
    </row>
    <row r="6" spans="2:26" ht="30" x14ac:dyDescent="0.25">
      <c r="B6" s="2">
        <v>1</v>
      </c>
      <c r="C6" s="2" t="s">
        <v>43</v>
      </c>
      <c r="D6" s="18">
        <v>41.7</v>
      </c>
      <c r="E6" s="2" t="s">
        <v>50</v>
      </c>
      <c r="F6" s="29">
        <v>15421.576999999999</v>
      </c>
      <c r="G6" s="30">
        <f>F6*10.7639</f>
        <v>165996.31267029999</v>
      </c>
      <c r="H6" s="18">
        <v>2012</v>
      </c>
      <c r="I6" s="2">
        <v>2024</v>
      </c>
      <c r="J6" s="2">
        <f t="shared" ref="J6:J12" si="0">I6-H6</f>
        <v>12</v>
      </c>
      <c r="K6" s="2">
        <v>45</v>
      </c>
      <c r="L6" s="3">
        <v>0.1</v>
      </c>
      <c r="M6" s="4">
        <f>(1-L6)/K6</f>
        <v>0.02</v>
      </c>
      <c r="N6" s="26">
        <v>1800</v>
      </c>
      <c r="O6" s="24">
        <f>N6*G6</f>
        <v>298793362.80653995</v>
      </c>
      <c r="P6" s="24">
        <f>O6*M6*IF(J6&gt;K6,K6,J6)</f>
        <v>71710407.073569581</v>
      </c>
      <c r="Q6" s="22">
        <v>0</v>
      </c>
      <c r="R6" s="24">
        <f>O6-P6</f>
        <v>227082955.73297036</v>
      </c>
      <c r="S6" s="32">
        <v>15000</v>
      </c>
      <c r="T6" s="24">
        <f>S6*F6</f>
        <v>231323655</v>
      </c>
      <c r="W6" s="27" t="s">
        <v>62</v>
      </c>
      <c r="X6" s="6">
        <f>X5/(X9*10.7639)</f>
        <v>0.62334232224085284</v>
      </c>
    </row>
    <row r="7" spans="2:26" x14ac:dyDescent="0.25">
      <c r="B7" s="2">
        <v>2</v>
      </c>
      <c r="C7" s="2" t="s">
        <v>44</v>
      </c>
      <c r="D7" s="18">
        <v>8</v>
      </c>
      <c r="E7" s="2" t="s">
        <v>56</v>
      </c>
      <c r="F7" s="29">
        <v>30.1006</v>
      </c>
      <c r="G7" s="30">
        <f>F7*10.7639</f>
        <v>323.99984833999997</v>
      </c>
      <c r="H7" s="18">
        <v>2012</v>
      </c>
      <c r="I7" s="2">
        <v>2024</v>
      </c>
      <c r="J7" s="2">
        <f t="shared" si="0"/>
        <v>12</v>
      </c>
      <c r="K7" s="2">
        <v>45</v>
      </c>
      <c r="L7" s="3">
        <v>0.1</v>
      </c>
      <c r="M7" s="4">
        <f t="shared" ref="M7:M12" si="1">(1-L7)/K7</f>
        <v>0.02</v>
      </c>
      <c r="N7" s="26">
        <v>1100</v>
      </c>
      <c r="O7" s="24">
        <f t="shared" ref="O7:O12" si="2">N7*G7</f>
        <v>356399.83317399997</v>
      </c>
      <c r="P7" s="24">
        <f t="shared" ref="P7:P12" si="3">O7*M7*IF(J7&gt;K7,K7,J7)</f>
        <v>85535.959961759989</v>
      </c>
      <c r="Q7" s="22">
        <v>0</v>
      </c>
      <c r="R7" s="24">
        <f t="shared" ref="R7:R12" si="4">O7-P7</f>
        <v>270863.87321224</v>
      </c>
      <c r="S7" s="32">
        <v>15000</v>
      </c>
      <c r="T7" s="24">
        <f t="shared" ref="T7:T12" si="5">S7*F7</f>
        <v>451509</v>
      </c>
      <c r="W7" s="27" t="s">
        <v>30</v>
      </c>
    </row>
    <row r="8" spans="2:26" x14ac:dyDescent="0.25">
      <c r="B8" s="2">
        <v>3</v>
      </c>
      <c r="C8" s="2" t="s">
        <v>45</v>
      </c>
      <c r="D8" s="18">
        <v>8</v>
      </c>
      <c r="E8" s="2" t="s">
        <v>56</v>
      </c>
      <c r="F8" s="29">
        <v>30.1006</v>
      </c>
      <c r="G8" s="30">
        <f t="shared" ref="G8:G11" si="6">F8*10.7639</f>
        <v>323.99984833999997</v>
      </c>
      <c r="H8" s="18">
        <v>2012</v>
      </c>
      <c r="I8" s="2">
        <v>2024</v>
      </c>
      <c r="J8" s="2">
        <f t="shared" si="0"/>
        <v>12</v>
      </c>
      <c r="K8" s="2">
        <v>45</v>
      </c>
      <c r="L8" s="3">
        <v>0.1</v>
      </c>
      <c r="M8" s="4">
        <f t="shared" si="1"/>
        <v>0.02</v>
      </c>
      <c r="N8" s="26">
        <v>1100</v>
      </c>
      <c r="O8" s="24">
        <f t="shared" si="2"/>
        <v>356399.83317399997</v>
      </c>
      <c r="P8" s="24">
        <f t="shared" si="3"/>
        <v>85535.959961759989</v>
      </c>
      <c r="Q8" s="22">
        <v>0</v>
      </c>
      <c r="R8" s="24">
        <f t="shared" si="4"/>
        <v>270863.87321224</v>
      </c>
      <c r="S8" s="32">
        <v>15000</v>
      </c>
      <c r="T8" s="24">
        <f t="shared" si="5"/>
        <v>451509</v>
      </c>
      <c r="W8" t="s">
        <v>38</v>
      </c>
      <c r="X8" s="25">
        <v>10000000</v>
      </c>
    </row>
    <row r="9" spans="2:26" x14ac:dyDescent="0.25">
      <c r="B9" s="2">
        <v>4</v>
      </c>
      <c r="C9" s="2" t="s">
        <v>46</v>
      </c>
      <c r="D9" s="18">
        <v>9</v>
      </c>
      <c r="E9" s="2" t="s">
        <v>56</v>
      </c>
      <c r="F9" s="29">
        <f>G9/10.7639</f>
        <v>48.435975808024978</v>
      </c>
      <c r="G9" s="30">
        <v>521.36</v>
      </c>
      <c r="H9" s="18">
        <v>2012</v>
      </c>
      <c r="I9" s="2">
        <v>2024</v>
      </c>
      <c r="J9" s="2">
        <f t="shared" si="0"/>
        <v>12</v>
      </c>
      <c r="K9" s="2">
        <v>45</v>
      </c>
      <c r="L9" s="3">
        <v>0.1</v>
      </c>
      <c r="M9" s="4">
        <f t="shared" si="1"/>
        <v>0.02</v>
      </c>
      <c r="N9" s="26">
        <v>1100</v>
      </c>
      <c r="O9" s="24">
        <f t="shared" si="2"/>
        <v>573496</v>
      </c>
      <c r="P9" s="24">
        <f t="shared" si="3"/>
        <v>137639.04000000001</v>
      </c>
      <c r="Q9" s="22">
        <v>0</v>
      </c>
      <c r="R9" s="24">
        <f t="shared" si="4"/>
        <v>435856.95999999996</v>
      </c>
      <c r="S9" s="32">
        <v>15000</v>
      </c>
      <c r="T9" s="24">
        <f t="shared" si="5"/>
        <v>726539.63712037471</v>
      </c>
      <c r="W9" t="s">
        <v>39</v>
      </c>
      <c r="X9" s="33">
        <v>27548.61</v>
      </c>
      <c r="Y9" s="6" t="s">
        <v>54</v>
      </c>
      <c r="Z9">
        <v>32174.92</v>
      </c>
    </row>
    <row r="10" spans="2:26" ht="30" x14ac:dyDescent="0.25">
      <c r="B10" s="2">
        <v>5</v>
      </c>
      <c r="C10" s="2" t="s">
        <v>48</v>
      </c>
      <c r="D10" s="18">
        <v>11</v>
      </c>
      <c r="E10" s="2" t="s">
        <v>57</v>
      </c>
      <c r="F10" s="29">
        <v>430</v>
      </c>
      <c r="G10" s="30">
        <f t="shared" si="6"/>
        <v>4628.4769999999999</v>
      </c>
      <c r="H10" s="18">
        <v>2012</v>
      </c>
      <c r="I10" s="2">
        <v>2024</v>
      </c>
      <c r="J10" s="2">
        <f t="shared" si="0"/>
        <v>12</v>
      </c>
      <c r="K10" s="2">
        <v>60</v>
      </c>
      <c r="L10" s="3">
        <v>0.1</v>
      </c>
      <c r="M10" s="4">
        <f t="shared" si="1"/>
        <v>1.5000000000000001E-2</v>
      </c>
      <c r="N10" s="26">
        <v>1400</v>
      </c>
      <c r="O10" s="24">
        <f t="shared" si="2"/>
        <v>6479867.7999999998</v>
      </c>
      <c r="P10" s="24">
        <f t="shared" si="3"/>
        <v>1166376.2040000001</v>
      </c>
      <c r="Q10" s="22">
        <v>0</v>
      </c>
      <c r="R10" s="24">
        <f t="shared" si="4"/>
        <v>5313491.5959999999</v>
      </c>
      <c r="S10" s="32">
        <v>15000</v>
      </c>
      <c r="T10" s="24">
        <f t="shared" si="5"/>
        <v>6450000</v>
      </c>
      <c r="X10" s="34">
        <f>X9/4046.86</f>
        <v>6.8074037648942634</v>
      </c>
      <c r="Y10" t="s">
        <v>55</v>
      </c>
      <c r="Z10" s="34">
        <f>Z9/4046.86</f>
        <v>7.9505888516034648</v>
      </c>
    </row>
    <row r="11" spans="2:26" x14ac:dyDescent="0.25">
      <c r="B11" s="2">
        <v>6</v>
      </c>
      <c r="C11" s="2" t="s">
        <v>49</v>
      </c>
      <c r="D11" s="18">
        <v>15</v>
      </c>
      <c r="E11" s="2" t="s">
        <v>56</v>
      </c>
      <c r="F11" s="29">
        <v>430</v>
      </c>
      <c r="G11" s="30">
        <f t="shared" si="6"/>
        <v>4628.4769999999999</v>
      </c>
      <c r="H11" s="18">
        <v>2012</v>
      </c>
      <c r="I11" s="2">
        <v>2024</v>
      </c>
      <c r="J11" s="2">
        <f t="shared" ref="J11" si="7">I11-H11</f>
        <v>12</v>
      </c>
      <c r="K11" s="2">
        <v>45</v>
      </c>
      <c r="L11" s="3">
        <v>0.1</v>
      </c>
      <c r="M11" s="4">
        <f t="shared" si="1"/>
        <v>0.02</v>
      </c>
      <c r="N11" s="26">
        <v>1200</v>
      </c>
      <c r="O11" s="24">
        <f t="shared" ref="O11" si="8">N11*G11</f>
        <v>5554172.3999999994</v>
      </c>
      <c r="P11" s="24">
        <f t="shared" ref="P11" si="9">O11*M11*IF(J11&gt;K11,K11,J11)</f>
        <v>1333001.3759999999</v>
      </c>
      <c r="Q11" s="22">
        <v>0</v>
      </c>
      <c r="R11" s="24">
        <f t="shared" ref="R11" si="10">O11-P11</f>
        <v>4221171.0239999993</v>
      </c>
      <c r="S11" s="32">
        <v>15000</v>
      </c>
      <c r="T11" s="24">
        <f t="shared" ref="T11" si="11">S11*F11</f>
        <v>6450000</v>
      </c>
    </row>
    <row r="12" spans="2:26" x14ac:dyDescent="0.25">
      <c r="B12" s="2">
        <v>7</v>
      </c>
      <c r="C12" s="2" t="s">
        <v>47</v>
      </c>
      <c r="D12" s="18">
        <v>11</v>
      </c>
      <c r="E12" s="2" t="s">
        <v>19</v>
      </c>
      <c r="F12" s="29">
        <f>G12/10.7639</f>
        <v>37.161251962578618</v>
      </c>
      <c r="G12" s="30">
        <v>400</v>
      </c>
      <c r="H12" s="18">
        <v>2012</v>
      </c>
      <c r="I12" s="2">
        <v>2024</v>
      </c>
      <c r="J12" s="2">
        <f t="shared" si="0"/>
        <v>12</v>
      </c>
      <c r="K12" s="2">
        <v>60</v>
      </c>
      <c r="L12" s="3">
        <v>0.1</v>
      </c>
      <c r="M12" s="4">
        <f t="shared" si="1"/>
        <v>1.5000000000000001E-2</v>
      </c>
      <c r="N12" s="26">
        <v>1400</v>
      </c>
      <c r="O12" s="24">
        <f t="shared" si="2"/>
        <v>560000</v>
      </c>
      <c r="P12" s="24">
        <f t="shared" si="3"/>
        <v>100800</v>
      </c>
      <c r="Q12" s="22">
        <v>0</v>
      </c>
      <c r="R12" s="24">
        <f t="shared" si="4"/>
        <v>459200</v>
      </c>
      <c r="S12" s="32">
        <v>15000</v>
      </c>
      <c r="T12" s="24">
        <f t="shared" si="5"/>
        <v>557418.77943867922</v>
      </c>
      <c r="W12" t="s">
        <v>40</v>
      </c>
      <c r="X12" s="25">
        <f>X10*X8</f>
        <v>68074037.648942634</v>
      </c>
    </row>
    <row r="13" spans="2:26" x14ac:dyDescent="0.25">
      <c r="B13" s="42" t="s">
        <v>31</v>
      </c>
      <c r="C13" s="42"/>
      <c r="D13" s="42"/>
      <c r="E13" s="42"/>
      <c r="F13" s="23">
        <f>SUM(F6:F12)</f>
        <v>16427.375427770603</v>
      </c>
      <c r="G13" s="23">
        <f>SUM(G6:G12)</f>
        <v>176822.62636698</v>
      </c>
      <c r="H13" s="43"/>
      <c r="I13" s="44"/>
      <c r="J13" s="44"/>
      <c r="K13" s="44"/>
      <c r="L13" s="44"/>
      <c r="M13" s="44"/>
      <c r="N13" s="45"/>
      <c r="O13" s="14">
        <f>SUM(O6:O12)</f>
        <v>312673698.67288792</v>
      </c>
      <c r="P13" s="14">
        <f>SUM(P6:P12)</f>
        <v>74619295.6134931</v>
      </c>
      <c r="Q13" s="14">
        <v>0</v>
      </c>
      <c r="R13" s="14">
        <f>SUM(R6:R12)</f>
        <v>238054403.05939484</v>
      </c>
      <c r="S13" s="31"/>
      <c r="T13" s="14">
        <f>SUM(T6:T12)</f>
        <v>246410631.41655904</v>
      </c>
    </row>
    <row r="14" spans="2:26" x14ac:dyDescent="0.25">
      <c r="B14" s="46" t="s">
        <v>10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2:26" ht="14.25" customHeight="1" x14ac:dyDescent="0.25">
      <c r="B15" s="40" t="s">
        <v>34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W15" s="27" t="s">
        <v>23</v>
      </c>
    </row>
    <row r="16" spans="2:26" ht="15" customHeight="1" x14ac:dyDescent="0.25">
      <c r="B16" s="40" t="s">
        <v>37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W16" s="27" t="s">
        <v>38</v>
      </c>
      <c r="X16" s="25">
        <v>32000000</v>
      </c>
    </row>
    <row r="17" spans="2:25" ht="15" customHeight="1" x14ac:dyDescent="0.25">
      <c r="B17" s="40" t="s">
        <v>52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W17" s="6" t="s">
        <v>36</v>
      </c>
      <c r="X17" s="33">
        <v>27548.61</v>
      </c>
      <c r="Y17" s="6" t="s">
        <v>54</v>
      </c>
    </row>
    <row r="18" spans="2:25" x14ac:dyDescent="0.25">
      <c r="X18" s="34">
        <f>X17/4046.86</f>
        <v>6.8074037648942634</v>
      </c>
      <c r="Y18" t="s">
        <v>55</v>
      </c>
    </row>
    <row r="19" spans="2:25" x14ac:dyDescent="0.25">
      <c r="G19">
        <v>184840</v>
      </c>
      <c r="W19" s="28" t="s">
        <v>35</v>
      </c>
      <c r="X19" s="25">
        <f>X16*X18</f>
        <v>217836920.47661644</v>
      </c>
    </row>
    <row r="20" spans="2:25" x14ac:dyDescent="0.25">
      <c r="G20" s="6">
        <f>G19-G13</f>
        <v>8017.3736330200045</v>
      </c>
      <c r="W20" s="28" t="s">
        <v>21</v>
      </c>
      <c r="X20" s="5">
        <f>R13</f>
        <v>238054403.05939484</v>
      </c>
    </row>
    <row r="21" spans="2:25" x14ac:dyDescent="0.25">
      <c r="G21" s="6">
        <f>AVERAGE(G19,G13)</f>
        <v>180831.31318349001</v>
      </c>
      <c r="N21" s="21"/>
      <c r="W21" s="27" t="s">
        <v>70</v>
      </c>
      <c r="X21" s="12">
        <f>Sheet2!Q14</f>
        <v>10000000</v>
      </c>
    </row>
    <row r="22" spans="2:25" x14ac:dyDescent="0.25">
      <c r="G22" s="38">
        <f>G20/G21</f>
        <v>4.4336202020967212E-2</v>
      </c>
      <c r="N22" s="21"/>
      <c r="W22" s="27"/>
      <c r="X22" s="35"/>
    </row>
    <row r="23" spans="2:25" x14ac:dyDescent="0.25">
      <c r="G23" s="37"/>
      <c r="N23" s="25"/>
      <c r="W23" s="28" t="s">
        <v>23</v>
      </c>
      <c r="X23" s="5">
        <f>X19+X20+X21</f>
        <v>465891323.53601128</v>
      </c>
    </row>
    <row r="25" spans="2:25" x14ac:dyDescent="0.25">
      <c r="X25" s="19"/>
    </row>
    <row r="27" spans="2:25" x14ac:dyDescent="0.25">
      <c r="X27" s="20">
        <f>X26+X25</f>
        <v>0</v>
      </c>
    </row>
    <row r="29" spans="2:25" x14ac:dyDescent="0.25">
      <c r="W29" s="27" t="s">
        <v>24</v>
      </c>
      <c r="X29" s="5">
        <f>ROUND(X23:X23,(-7))</f>
        <v>470000000</v>
      </c>
    </row>
    <row r="30" spans="2:25" x14ac:dyDescent="0.25">
      <c r="W30" s="27" t="s">
        <v>27</v>
      </c>
      <c r="X30" s="5">
        <f>0.85*X29</f>
        <v>399500000</v>
      </c>
    </row>
    <row r="31" spans="2:25" x14ac:dyDescent="0.25">
      <c r="W31" s="27" t="s">
        <v>28</v>
      </c>
      <c r="X31" s="5">
        <f>X29*0.75</f>
        <v>352500000</v>
      </c>
    </row>
    <row r="32" spans="2:25" x14ac:dyDescent="0.25">
      <c r="W32" s="27"/>
    </row>
    <row r="33" spans="23:24" x14ac:dyDescent="0.25">
      <c r="W33" s="27" t="s">
        <v>25</v>
      </c>
      <c r="X33" s="5">
        <f>0.8*O13</f>
        <v>250138958.93831035</v>
      </c>
    </row>
  </sheetData>
  <mergeCells count="7">
    <mergeCell ref="B17:T17"/>
    <mergeCell ref="B4:T4"/>
    <mergeCell ref="B13:E13"/>
    <mergeCell ref="H13:N13"/>
    <mergeCell ref="B14:T14"/>
    <mergeCell ref="B15:T15"/>
    <mergeCell ref="B16:T16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"/>
  <sheetViews>
    <sheetView topLeftCell="F1" workbookViewId="0">
      <selection activeCell="Q14" sqref="Q14"/>
    </sheetView>
  </sheetViews>
  <sheetFormatPr defaultRowHeight="15" x14ac:dyDescent="0.25"/>
  <cols>
    <col min="1" max="1" width="8.7109375" bestFit="1" customWidth="1"/>
    <col min="2" max="2" width="8.7109375" customWidth="1"/>
    <col min="3" max="3" width="13.7109375" customWidth="1"/>
    <col min="4" max="5" width="10.7109375" customWidth="1"/>
    <col min="6" max="6" width="16.7109375" bestFit="1" customWidth="1"/>
    <col min="7" max="7" width="14.28515625" bestFit="1" customWidth="1"/>
    <col min="8" max="8" width="11.85546875" customWidth="1"/>
    <col min="9" max="9" width="11" customWidth="1"/>
    <col min="10" max="10" width="13" customWidth="1"/>
    <col min="11" max="11" width="12.7109375" customWidth="1"/>
    <col min="12" max="12" width="13.42578125" customWidth="1"/>
    <col min="13" max="13" width="13.7109375" customWidth="1"/>
    <col min="14" max="14" width="18.5703125" bestFit="1" customWidth="1"/>
    <col min="15" max="15" width="16.85546875" bestFit="1" customWidth="1"/>
    <col min="16" max="16" width="18.5703125" bestFit="1" customWidth="1"/>
    <col min="17" max="17" width="13.85546875" customWidth="1"/>
    <col min="18" max="18" width="18.5703125" bestFit="1" customWidth="1"/>
  </cols>
  <sheetData>
    <row r="1" spans="1:17" ht="15.75" x14ac:dyDescent="0.25">
      <c r="A1" s="41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7" ht="83.25" x14ac:dyDescent="0.25">
      <c r="A2" s="7"/>
      <c r="B2" s="7" t="s">
        <v>64</v>
      </c>
      <c r="C2" s="7" t="s">
        <v>13</v>
      </c>
      <c r="D2" s="7" t="s">
        <v>1</v>
      </c>
      <c r="E2" s="7" t="s">
        <v>14</v>
      </c>
      <c r="F2" s="7" t="s">
        <v>15</v>
      </c>
      <c r="G2" s="7" t="s">
        <v>4</v>
      </c>
      <c r="H2" s="7" t="s">
        <v>5</v>
      </c>
      <c r="I2" s="7" t="s">
        <v>17</v>
      </c>
      <c r="J2" s="7" t="s">
        <v>6</v>
      </c>
      <c r="K2" s="7" t="s">
        <v>7</v>
      </c>
      <c r="L2" s="7" t="s">
        <v>8</v>
      </c>
      <c r="M2" s="7" t="s">
        <v>16</v>
      </c>
      <c r="N2" s="7" t="s">
        <v>9</v>
      </c>
    </row>
    <row r="3" spans="1:17" x14ac:dyDescent="0.25">
      <c r="A3" t="s">
        <v>22</v>
      </c>
      <c r="B3" s="8">
        <v>550</v>
      </c>
      <c r="C3" s="9">
        <v>2012</v>
      </c>
      <c r="D3" s="9">
        <v>2024</v>
      </c>
      <c r="E3" s="9">
        <f>D3-C3</f>
        <v>12</v>
      </c>
      <c r="F3" s="9">
        <v>40</v>
      </c>
      <c r="G3" s="10">
        <v>0.1</v>
      </c>
      <c r="H3" s="11">
        <f>(1-G3)/F3</f>
        <v>2.2499999999999999E-2</v>
      </c>
      <c r="I3" s="12">
        <v>5000</v>
      </c>
      <c r="J3" s="12">
        <f>I3*B3</f>
        <v>2750000</v>
      </c>
      <c r="K3" s="12">
        <f>J3*H3*E3</f>
        <v>742500</v>
      </c>
      <c r="L3" s="12">
        <f>MAX(J3-K3,0)</f>
        <v>2007500</v>
      </c>
      <c r="M3" s="13">
        <v>0</v>
      </c>
      <c r="N3" s="12">
        <f>IF(L3&gt;G3*J3,L3*(1-M3),J3*G3)</f>
        <v>2007500</v>
      </c>
    </row>
    <row r="4" spans="1:17" x14ac:dyDescent="0.25">
      <c r="A4" t="s">
        <v>61</v>
      </c>
      <c r="B4">
        <v>400</v>
      </c>
      <c r="C4" s="9">
        <v>2012</v>
      </c>
      <c r="D4" s="9">
        <v>2024</v>
      </c>
      <c r="E4" s="9">
        <f>D4-C4</f>
        <v>12</v>
      </c>
      <c r="F4" s="9">
        <v>20</v>
      </c>
      <c r="G4" s="10">
        <v>0.1</v>
      </c>
      <c r="H4" s="11">
        <f>(1-G4)/F4</f>
        <v>4.4999999999999998E-2</v>
      </c>
      <c r="I4" s="12">
        <v>2000</v>
      </c>
      <c r="J4" s="12">
        <f>I4*B4</f>
        <v>800000</v>
      </c>
      <c r="K4" s="12">
        <f>J4*H4*E4</f>
        <v>432000</v>
      </c>
      <c r="L4" s="12">
        <f>MAX(J4-K4,0)</f>
        <v>368000</v>
      </c>
      <c r="M4" s="13">
        <v>0</v>
      </c>
      <c r="N4" s="12">
        <f>IF(L4&gt;G4*J4,L4*(1-M4),J4*G4)</f>
        <v>368000</v>
      </c>
    </row>
    <row r="8" spans="1:17" ht="15.75" x14ac:dyDescent="0.25">
      <c r="B8" s="41" t="s">
        <v>71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7" ht="75" x14ac:dyDescent="0.25">
      <c r="B9" s="7" t="s">
        <v>68</v>
      </c>
      <c r="C9" s="7" t="s">
        <v>65</v>
      </c>
      <c r="D9" s="7" t="s">
        <v>64</v>
      </c>
      <c r="E9" s="7" t="s">
        <v>67</v>
      </c>
      <c r="F9" s="7" t="s">
        <v>66</v>
      </c>
      <c r="G9" s="7" t="s">
        <v>13</v>
      </c>
      <c r="H9" s="7" t="s">
        <v>1</v>
      </c>
      <c r="I9" s="7" t="s">
        <v>14</v>
      </c>
      <c r="J9" s="7" t="s">
        <v>15</v>
      </c>
      <c r="K9" s="7" t="s">
        <v>4</v>
      </c>
      <c r="L9" s="7" t="s">
        <v>5</v>
      </c>
      <c r="M9" s="7" t="s">
        <v>6</v>
      </c>
      <c r="N9" s="7" t="s">
        <v>7</v>
      </c>
      <c r="O9" s="7" t="s">
        <v>8</v>
      </c>
      <c r="P9" s="7" t="s">
        <v>16</v>
      </c>
      <c r="Q9" s="7" t="s">
        <v>9</v>
      </c>
    </row>
    <row r="10" spans="1:17" x14ac:dyDescent="0.25">
      <c r="B10" s="9">
        <v>0.25</v>
      </c>
      <c r="C10" s="9">
        <v>8</v>
      </c>
      <c r="D10" s="9">
        <v>650</v>
      </c>
      <c r="E10" s="9">
        <f>D10*C10*B10</f>
        <v>1300</v>
      </c>
      <c r="F10" s="9">
        <v>10000</v>
      </c>
      <c r="G10" s="9">
        <v>2012</v>
      </c>
      <c r="H10" s="9">
        <v>2024</v>
      </c>
      <c r="I10" s="9">
        <f>H10-G10</f>
        <v>12</v>
      </c>
      <c r="J10" s="9">
        <v>20</v>
      </c>
      <c r="K10" s="10">
        <v>0.1</v>
      </c>
      <c r="L10" s="11">
        <f>(1-K10)/J10</f>
        <v>4.4999999999999998E-2</v>
      </c>
      <c r="M10" s="12">
        <f>E10*F10</f>
        <v>13000000</v>
      </c>
      <c r="N10" s="12">
        <f>M10*L10*I10</f>
        <v>7020000</v>
      </c>
      <c r="O10" s="12">
        <f>M10-N10</f>
        <v>5980000</v>
      </c>
      <c r="P10" s="13">
        <v>0</v>
      </c>
      <c r="Q10" s="5">
        <f>O10</f>
        <v>5980000</v>
      </c>
    </row>
    <row r="13" spans="1:17" x14ac:dyDescent="0.25">
      <c r="Q13" s="5">
        <f>Q10+N4+N3</f>
        <v>8355500</v>
      </c>
    </row>
    <row r="14" spans="1:17" x14ac:dyDescent="0.25">
      <c r="P14" t="s">
        <v>69</v>
      </c>
      <c r="Q14" s="5">
        <v>10000000</v>
      </c>
    </row>
    <row r="15" spans="1:17" x14ac:dyDescent="0.25">
      <c r="G15" s="25"/>
    </row>
    <row r="16" spans="1:17" x14ac:dyDescent="0.25">
      <c r="F16" s="39"/>
    </row>
    <row r="20" spans="12:18" x14ac:dyDescent="0.25">
      <c r="R20" s="7"/>
    </row>
    <row r="21" spans="12:18" x14ac:dyDescent="0.25">
      <c r="R21" s="12"/>
    </row>
    <row r="24" spans="12:18" x14ac:dyDescent="0.25">
      <c r="N24" t="s">
        <v>31</v>
      </c>
    </row>
    <row r="30" spans="12:18" x14ac:dyDescent="0.25">
      <c r="L30">
        <v>150</v>
      </c>
      <c r="M30" t="s">
        <v>58</v>
      </c>
    </row>
    <row r="31" spans="12:18" x14ac:dyDescent="0.25">
      <c r="L31">
        <v>1800</v>
      </c>
      <c r="M31" t="s">
        <v>59</v>
      </c>
    </row>
    <row r="32" spans="12:18" x14ac:dyDescent="0.25">
      <c r="L32">
        <v>8000</v>
      </c>
      <c r="M32" t="s">
        <v>60</v>
      </c>
    </row>
    <row r="33" spans="12:13" x14ac:dyDescent="0.25">
      <c r="L33">
        <v>2000</v>
      </c>
      <c r="M33" t="s">
        <v>61</v>
      </c>
    </row>
  </sheetData>
  <mergeCells count="2">
    <mergeCell ref="A1:N1"/>
    <mergeCell ref="B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welcome</cp:lastModifiedBy>
  <dcterms:created xsi:type="dcterms:W3CDTF">2022-07-28T09:17:09Z</dcterms:created>
  <dcterms:modified xsi:type="dcterms:W3CDTF">2024-03-01T07:24:56Z</dcterms:modified>
</cp:coreProperties>
</file>