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6.RKASSO\Desktop\Drive\AMAZON\Working\"/>
    </mc:Choice>
  </mc:AlternateContent>
  <xr:revisionPtr revIDLastSave="0" documentId="13_ncr:1_{D024E28C-4712-43D5-9A18-F061FDCED5CE}" xr6:coauthVersionLast="47" xr6:coauthVersionMax="47" xr10:uidLastSave="{00000000-0000-0000-0000-000000000000}"/>
  <bookViews>
    <workbookView minimized="1" xWindow="19545" yWindow="12030" windowWidth="2055" windowHeight="870" xr2:uid="{00000000-000D-0000-FFFF-FFFF00000000}"/>
  </bookViews>
  <sheets>
    <sheet name="Working " sheetId="3" r:id="rId1"/>
    <sheet name="WACC" sheetId="4" r:id="rId2"/>
    <sheet name="depriciation" sheetId="5" r:id="rId3"/>
    <sheet name="Sheet1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3" l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AJ1" i="3" s="1"/>
  <c r="AK1" i="3" s="1"/>
  <c r="AL1" i="3" s="1"/>
  <c r="AM1" i="3" s="1"/>
  <c r="AM4" i="3" s="1"/>
  <c r="F3" i="3"/>
  <c r="G3" i="3"/>
  <c r="H3" i="3"/>
  <c r="H10" i="3" s="1"/>
  <c r="H12" i="3" s="1"/>
  <c r="H19" i="3" s="1"/>
  <c r="H21" i="3" s="1"/>
  <c r="H23" i="3" s="1"/>
  <c r="H27" i="3" s="1"/>
  <c r="I3" i="3"/>
  <c r="J3" i="3" s="1"/>
  <c r="F6" i="3"/>
  <c r="G6" i="3"/>
  <c r="H6" i="3"/>
  <c r="I6" i="3"/>
  <c r="J6" i="3" s="1"/>
  <c r="K6" i="3" s="1"/>
  <c r="E8" i="3"/>
  <c r="F8" i="3" s="1"/>
  <c r="E10" i="3"/>
  <c r="E12" i="3" s="1"/>
  <c r="E19" i="3" s="1"/>
  <c r="E21" i="3" s="1"/>
  <c r="E23" i="3" s="1"/>
  <c r="F10" i="3"/>
  <c r="F12" i="3" s="1"/>
  <c r="F19" i="3" s="1"/>
  <c r="F21" i="3" s="1"/>
  <c r="G10" i="3"/>
  <c r="G12" i="3"/>
  <c r="G19" i="3" s="1"/>
  <c r="G21" i="3" s="1"/>
  <c r="G23" i="3" s="1"/>
  <c r="G27" i="3" s="1"/>
  <c r="I14" i="3"/>
  <c r="I18" i="3" s="1"/>
  <c r="E18" i="3"/>
  <c r="F18" i="3"/>
  <c r="G18" i="3"/>
  <c r="H18" i="3"/>
  <c r="J18" i="3"/>
  <c r="K18" i="3"/>
  <c r="E20" i="3"/>
  <c r="E24" i="3" s="1"/>
  <c r="F20" i="3"/>
  <c r="F24" i="3" s="1"/>
  <c r="G20" i="3"/>
  <c r="H20" i="3"/>
  <c r="I20" i="3"/>
  <c r="I24" i="3" s="1"/>
  <c r="J20" i="3"/>
  <c r="J24" i="3" s="1"/>
  <c r="K20" i="3"/>
  <c r="E22" i="3"/>
  <c r="G24" i="3"/>
  <c r="H24" i="3"/>
  <c r="K24" i="3"/>
  <c r="G39" i="3"/>
  <c r="F52" i="3"/>
  <c r="G52" i="3"/>
  <c r="U22" i="3"/>
  <c r="N14" i="3"/>
  <c r="S14" i="3" s="1"/>
  <c r="X14" i="3" s="1"/>
  <c r="AC14" i="3" s="1"/>
  <c r="AH14" i="3" s="1"/>
  <c r="H5" i="5"/>
  <c r="H11" i="6"/>
  <c r="H12" i="6" s="1"/>
  <c r="H14" i="6" s="1"/>
  <c r="G11" i="6"/>
  <c r="G12" i="6" s="1"/>
  <c r="G14" i="6" s="1"/>
  <c r="AM20" i="3"/>
  <c r="G17" i="4"/>
  <c r="G16" i="4"/>
  <c r="G4" i="5"/>
  <c r="H4" i="5" s="1"/>
  <c r="I4" i="5" s="1"/>
  <c r="AJ20" i="3" s="1"/>
  <c r="AM8" i="3"/>
  <c r="E27" i="3" l="1"/>
  <c r="K3" i="3"/>
  <c r="K10" i="3" s="1"/>
  <c r="K12" i="3" s="1"/>
  <c r="K19" i="3" s="1"/>
  <c r="K21" i="3" s="1"/>
  <c r="K23" i="3" s="1"/>
  <c r="K27" i="3" s="1"/>
  <c r="J10" i="3"/>
  <c r="J12" i="3" s="1"/>
  <c r="J19" i="3" s="1"/>
  <c r="J21" i="3" s="1"/>
  <c r="J23" i="3" s="1"/>
  <c r="J27" i="3" s="1"/>
  <c r="F23" i="3"/>
  <c r="F27" i="3" s="1"/>
  <c r="F39" i="3"/>
  <c r="F4" i="3"/>
  <c r="G8" i="3"/>
  <c r="F5" i="3"/>
  <c r="E4" i="3"/>
  <c r="I10" i="3"/>
  <c r="I12" i="3" s="1"/>
  <c r="I19" i="3" s="1"/>
  <c r="I21" i="3" s="1"/>
  <c r="I23" i="3" s="1"/>
  <c r="I27" i="3" s="1"/>
  <c r="E5" i="3"/>
  <c r="E29" i="3" s="1"/>
  <c r="Q20" i="3"/>
  <c r="Y20" i="3"/>
  <c r="AG20" i="3"/>
  <c r="U20" i="3"/>
  <c r="M20" i="3"/>
  <c r="AC20" i="3"/>
  <c r="AK20" i="3"/>
  <c r="N20" i="3"/>
  <c r="R20" i="3"/>
  <c r="V20" i="3"/>
  <c r="Z20" i="3"/>
  <c r="AD20" i="3"/>
  <c r="AH20" i="3"/>
  <c r="AL20" i="3"/>
  <c r="AL24" i="3" s="1"/>
  <c r="O20" i="3"/>
  <c r="S20" i="3"/>
  <c r="W20" i="3"/>
  <c r="AA20" i="3"/>
  <c r="AE20" i="3"/>
  <c r="AI20" i="3"/>
  <c r="AM24" i="3"/>
  <c r="L20" i="3"/>
  <c r="P20" i="3"/>
  <c r="T20" i="3"/>
  <c r="X20" i="3"/>
  <c r="AB20" i="3"/>
  <c r="AF20" i="3"/>
  <c r="I11" i="6"/>
  <c r="I12" i="6" s="1"/>
  <c r="I14" i="6" s="1"/>
  <c r="F29" i="3" l="1"/>
  <c r="E30" i="3"/>
  <c r="E31" i="3" s="1"/>
  <c r="G5" i="3"/>
  <c r="G4" i="3"/>
  <c r="H8" i="3"/>
  <c r="J11" i="6"/>
  <c r="J12" i="6" s="1"/>
  <c r="J14" i="6" s="1"/>
  <c r="H5" i="3" l="1"/>
  <c r="H4" i="3"/>
  <c r="I8" i="3"/>
  <c r="G29" i="3"/>
  <c r="F30" i="3"/>
  <c r="F31" i="3" s="1"/>
  <c r="L3" i="3"/>
  <c r="L6" i="3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J8" i="3" l="1"/>
  <c r="I5" i="3"/>
  <c r="I4" i="3"/>
  <c r="G30" i="3"/>
  <c r="G31" i="3" s="1"/>
  <c r="H29" i="3"/>
  <c r="M3" i="3"/>
  <c r="L10" i="3"/>
  <c r="H30" i="3" l="1"/>
  <c r="H31" i="3" s="1"/>
  <c r="I29" i="3"/>
  <c r="J4" i="3"/>
  <c r="K8" i="3"/>
  <c r="J5" i="3"/>
  <c r="N3" i="3"/>
  <c r="M10" i="3"/>
  <c r="K5" i="3" l="1"/>
  <c r="K4" i="3"/>
  <c r="J29" i="3"/>
  <c r="I30" i="3"/>
  <c r="I31" i="3" s="1"/>
  <c r="O3" i="3"/>
  <c r="N10" i="3"/>
  <c r="L24" i="3"/>
  <c r="P24" i="3"/>
  <c r="M24" i="3"/>
  <c r="N24" i="3"/>
  <c r="O24" i="3"/>
  <c r="Q24" i="3"/>
  <c r="U24" i="3"/>
  <c r="Y24" i="3"/>
  <c r="AC24" i="3"/>
  <c r="AG24" i="3"/>
  <c r="AK24" i="3"/>
  <c r="R24" i="3"/>
  <c r="V24" i="3"/>
  <c r="Z24" i="3"/>
  <c r="AD24" i="3"/>
  <c r="AH24" i="3"/>
  <c r="S24" i="3"/>
  <c r="X24" i="3"/>
  <c r="AF24" i="3"/>
  <c r="AA24" i="3"/>
  <c r="AI24" i="3"/>
  <c r="T24" i="3"/>
  <c r="AB24" i="3"/>
  <c r="AJ24" i="3"/>
  <c r="W24" i="3"/>
  <c r="AE24" i="3"/>
  <c r="J30" i="3" l="1"/>
  <c r="J31" i="3" s="1"/>
  <c r="K29" i="3"/>
  <c r="P3" i="3"/>
  <c r="O10" i="3"/>
  <c r="K30" i="3" l="1"/>
  <c r="K31" i="3" s="1"/>
  <c r="L29" i="3"/>
  <c r="Q3" i="3"/>
  <c r="P10" i="3"/>
  <c r="M29" i="3" l="1"/>
  <c r="L30" i="3"/>
  <c r="R3" i="3"/>
  <c r="Q10" i="3"/>
  <c r="N29" i="3" l="1"/>
  <c r="M30" i="3"/>
  <c r="S3" i="3"/>
  <c r="R10" i="3"/>
  <c r="L8" i="3"/>
  <c r="O29" i="3" l="1"/>
  <c r="N30" i="3"/>
  <c r="T3" i="3"/>
  <c r="S10" i="3"/>
  <c r="L4" i="3"/>
  <c r="M8" i="3"/>
  <c r="L5" i="3"/>
  <c r="P29" i="3" l="1"/>
  <c r="O30" i="3"/>
  <c r="U3" i="3"/>
  <c r="T10" i="3"/>
  <c r="M4" i="3"/>
  <c r="M5" i="3"/>
  <c r="N8" i="3"/>
  <c r="Q29" i="3" l="1"/>
  <c r="P30" i="3"/>
  <c r="V3" i="3"/>
  <c r="U10" i="3"/>
  <c r="N4" i="3"/>
  <c r="O8" i="3"/>
  <c r="N5" i="3"/>
  <c r="A11" i="3"/>
  <c r="R29" i="3" l="1"/>
  <c r="Q30" i="3"/>
  <c r="W3" i="3"/>
  <c r="V10" i="3"/>
  <c r="O4" i="3"/>
  <c r="P8" i="3"/>
  <c r="O5" i="3"/>
  <c r="S29" i="3" l="1"/>
  <c r="R30" i="3"/>
  <c r="X3" i="3"/>
  <c r="W10" i="3"/>
  <c r="P4" i="3"/>
  <c r="Q8" i="3"/>
  <c r="P5" i="3"/>
  <c r="T29" i="3" l="1"/>
  <c r="S30" i="3"/>
  <c r="Y3" i="3"/>
  <c r="X10" i="3"/>
  <c r="Q4" i="3"/>
  <c r="Q5" i="3"/>
  <c r="R8" i="3"/>
  <c r="U29" i="3" l="1"/>
  <c r="T30" i="3"/>
  <c r="Z3" i="3"/>
  <c r="Y10" i="3"/>
  <c r="R4" i="3"/>
  <c r="S8" i="3"/>
  <c r="R5" i="3"/>
  <c r="V29" i="3" l="1"/>
  <c r="U30" i="3"/>
  <c r="AA3" i="3"/>
  <c r="Z10" i="3"/>
  <c r="S4" i="3"/>
  <c r="S5" i="3"/>
  <c r="T8" i="3"/>
  <c r="W29" i="3" l="1"/>
  <c r="V30" i="3"/>
  <c r="AB3" i="3"/>
  <c r="AA10" i="3"/>
  <c r="T4" i="3"/>
  <c r="U8" i="3"/>
  <c r="T5" i="3"/>
  <c r="X29" i="3" l="1"/>
  <c r="W30" i="3"/>
  <c r="AC3" i="3"/>
  <c r="AB10" i="3"/>
  <c r="U4" i="3"/>
  <c r="V8" i="3"/>
  <c r="U5" i="3"/>
  <c r="Y29" i="3" l="1"/>
  <c r="X30" i="3"/>
  <c r="AD3" i="3"/>
  <c r="AC10" i="3"/>
  <c r="V4" i="3"/>
  <c r="W8" i="3"/>
  <c r="V5" i="3"/>
  <c r="Z29" i="3" l="1"/>
  <c r="Y30" i="3"/>
  <c r="AE3" i="3"/>
  <c r="AD10" i="3"/>
  <c r="W4" i="3"/>
  <c r="X8" i="3"/>
  <c r="W5" i="3"/>
  <c r="AA29" i="3" l="1"/>
  <c r="Z30" i="3"/>
  <c r="AF3" i="3"/>
  <c r="AE10" i="3"/>
  <c r="X4" i="3"/>
  <c r="Y8" i="3"/>
  <c r="X5" i="3"/>
  <c r="AB29" i="3" l="1"/>
  <c r="AA30" i="3"/>
  <c r="AG3" i="3"/>
  <c r="AF10" i="3"/>
  <c r="Y4" i="3"/>
  <c r="Z8" i="3"/>
  <c r="Y5" i="3"/>
  <c r="AC29" i="3" l="1"/>
  <c r="AB30" i="3"/>
  <c r="AH3" i="3"/>
  <c r="AG10" i="3"/>
  <c r="Z4" i="3"/>
  <c r="AA8" i="3"/>
  <c r="Z5" i="3"/>
  <c r="AD29" i="3" l="1"/>
  <c r="AC30" i="3"/>
  <c r="AI3" i="3"/>
  <c r="AH10" i="3"/>
  <c r="AA4" i="3"/>
  <c r="AB8" i="3"/>
  <c r="AA5" i="3"/>
  <c r="AE29" i="3" l="1"/>
  <c r="AD30" i="3"/>
  <c r="AJ3" i="3"/>
  <c r="AI10" i="3"/>
  <c r="AB4" i="3"/>
  <c r="AC8" i="3"/>
  <c r="AB5" i="3"/>
  <c r="AF29" i="3" l="1"/>
  <c r="AE30" i="3"/>
  <c r="AK3" i="3"/>
  <c r="AJ10" i="3"/>
  <c r="AC4" i="3"/>
  <c r="AC5" i="3"/>
  <c r="AD8" i="3"/>
  <c r="AG29" i="3" l="1"/>
  <c r="AF30" i="3"/>
  <c r="AL3" i="3"/>
  <c r="AK10" i="3"/>
  <c r="AD4" i="3"/>
  <c r="AD5" i="3"/>
  <c r="AE8" i="3"/>
  <c r="K24" i="5"/>
  <c r="AH29" i="3" l="1"/>
  <c r="AG30" i="3"/>
  <c r="AL10" i="3"/>
  <c r="AL12" i="3" s="1"/>
  <c r="AM3" i="3"/>
  <c r="AM10" i="3" s="1"/>
  <c r="AM12" i="3" s="1"/>
  <c r="AE4" i="3"/>
  <c r="AF8" i="3"/>
  <c r="AE5" i="3"/>
  <c r="AI29" i="3" l="1"/>
  <c r="AH30" i="3"/>
  <c r="AF4" i="3"/>
  <c r="AG8" i="3"/>
  <c r="AF5" i="3"/>
  <c r="AJ29" i="3" l="1"/>
  <c r="AI30" i="3"/>
  <c r="AG4" i="3"/>
  <c r="AH8" i="3"/>
  <c r="AG5" i="3"/>
  <c r="L12" i="3"/>
  <c r="AK29" i="3" l="1"/>
  <c r="AJ30" i="3"/>
  <c r="AH4" i="3"/>
  <c r="AH5" i="3"/>
  <c r="AI8" i="3"/>
  <c r="M12" i="3"/>
  <c r="AL29" i="3" l="1"/>
  <c r="AK30" i="3"/>
  <c r="AI4" i="3"/>
  <c r="AJ8" i="3"/>
  <c r="AI5" i="3"/>
  <c r="N12" i="3"/>
  <c r="AM29" i="3" l="1"/>
  <c r="AM30" i="3" s="1"/>
  <c r="AL30" i="3"/>
  <c r="AM18" i="3"/>
  <c r="AM19" i="3" s="1"/>
  <c r="AM21" i="3" s="1"/>
  <c r="AL18" i="3"/>
  <c r="AL19" i="3" s="1"/>
  <c r="AL21" i="3" s="1"/>
  <c r="AJ4" i="3"/>
  <c r="AK8" i="3"/>
  <c r="AL8" i="3" s="1"/>
  <c r="AJ5" i="3"/>
  <c r="O12" i="3"/>
  <c r="AL23" i="3" l="1"/>
  <c r="AL27" i="3" s="1"/>
  <c r="AL31" i="3" s="1"/>
  <c r="AM23" i="3"/>
  <c r="AM27" i="3" s="1"/>
  <c r="AM31" i="3" s="1"/>
  <c r="AL4" i="3"/>
  <c r="AM5" i="3"/>
  <c r="AL5" i="3"/>
  <c r="AK4" i="3"/>
  <c r="AK5" i="3"/>
  <c r="P12" i="3"/>
  <c r="Q12" i="3" l="1"/>
  <c r="L18" i="3"/>
  <c r="L19" i="3" s="1"/>
  <c r="L21" i="3" s="1"/>
  <c r="L23" i="3" l="1"/>
  <c r="L27" i="3" s="1"/>
  <c r="R12" i="3"/>
  <c r="M18" i="3"/>
  <c r="M19" i="3" s="1"/>
  <c r="M21" i="3" s="1"/>
  <c r="L31" i="3" l="1"/>
  <c r="M23" i="3"/>
  <c r="M27" i="3" s="1"/>
  <c r="M31" i="3" s="1"/>
  <c r="N18" i="3"/>
  <c r="N19" i="3" s="1"/>
  <c r="N21" i="3" s="1"/>
  <c r="H36" i="3" s="1"/>
  <c r="S12" i="3"/>
  <c r="N23" i="3" l="1"/>
  <c r="N27" i="3" s="1"/>
  <c r="N31" i="3" s="1"/>
  <c r="T12" i="3"/>
  <c r="O18" i="3"/>
  <c r="O19" i="3" s="1"/>
  <c r="O21" i="3" s="1"/>
  <c r="O23" i="3" l="1"/>
  <c r="O27" i="3" s="1"/>
  <c r="O31" i="3" s="1"/>
  <c r="P18" i="3"/>
  <c r="P19" i="3" s="1"/>
  <c r="P21" i="3" s="1"/>
  <c r="U12" i="3"/>
  <c r="P23" i="3" l="1"/>
  <c r="P27" i="3" s="1"/>
  <c r="P31" i="3" s="1"/>
  <c r="V12" i="3"/>
  <c r="Q18" i="3"/>
  <c r="Q19" i="3" s="1"/>
  <c r="Q21" i="3" s="1"/>
  <c r="Q23" i="3" l="1"/>
  <c r="Q27" i="3" s="1"/>
  <c r="Q31" i="3" s="1"/>
  <c r="W12" i="3"/>
  <c r="R18" i="3"/>
  <c r="R19" i="3" s="1"/>
  <c r="R21" i="3" s="1"/>
  <c r="R23" i="3" l="1"/>
  <c r="R27" i="3" s="1"/>
  <c r="R31" i="3" s="1"/>
  <c r="S18" i="3"/>
  <c r="S19" i="3" s="1"/>
  <c r="S21" i="3" s="1"/>
  <c r="X12" i="3"/>
  <c r="S23" i="3" l="1"/>
  <c r="S27" i="3" s="1"/>
  <c r="S31" i="3" s="1"/>
  <c r="Y12" i="3"/>
  <c r="T18" i="3"/>
  <c r="T19" i="3" s="1"/>
  <c r="T21" i="3" s="1"/>
  <c r="T23" i="3" l="1"/>
  <c r="T27" i="3" s="1"/>
  <c r="T31" i="3" s="1"/>
  <c r="U18" i="3"/>
  <c r="U19" i="3" s="1"/>
  <c r="U21" i="3" s="1"/>
  <c r="Z12" i="3"/>
  <c r="U23" i="3" l="1"/>
  <c r="U27" i="3" s="1"/>
  <c r="U31" i="3" s="1"/>
  <c r="V18" i="3"/>
  <c r="V19" i="3" s="1"/>
  <c r="V21" i="3" s="1"/>
  <c r="AA12" i="3"/>
  <c r="V23" i="3" l="1"/>
  <c r="V27" i="3" s="1"/>
  <c r="V31" i="3" s="1"/>
  <c r="AB12" i="3"/>
  <c r="W18" i="3"/>
  <c r="W19" i="3" s="1"/>
  <c r="W21" i="3" s="1"/>
  <c r="W23" i="3" l="1"/>
  <c r="W27" i="3" s="1"/>
  <c r="W31" i="3" s="1"/>
  <c r="X18" i="3"/>
  <c r="X19" i="3" s="1"/>
  <c r="X21" i="3" s="1"/>
  <c r="AC12" i="3"/>
  <c r="X23" i="3" l="1"/>
  <c r="X27" i="3" s="1"/>
  <c r="X31" i="3" s="1"/>
  <c r="AD12" i="3"/>
  <c r="Y18" i="3"/>
  <c r="Y19" i="3" s="1"/>
  <c r="Y21" i="3" s="1"/>
  <c r="Y23" i="3" l="1"/>
  <c r="Y27" i="3" s="1"/>
  <c r="Y31" i="3" s="1"/>
  <c r="Z18" i="3"/>
  <c r="Z19" i="3" s="1"/>
  <c r="Z21" i="3" s="1"/>
  <c r="AE12" i="3"/>
  <c r="Z23" i="3" l="1"/>
  <c r="Z27" i="3" s="1"/>
  <c r="Z31" i="3" s="1"/>
  <c r="AF12" i="3"/>
  <c r="AA18" i="3"/>
  <c r="AA19" i="3" s="1"/>
  <c r="AA21" i="3" s="1"/>
  <c r="AA23" i="3" l="1"/>
  <c r="AA27" i="3" s="1"/>
  <c r="AA31" i="3" s="1"/>
  <c r="AG12" i="3"/>
  <c r="AB18" i="3"/>
  <c r="AB19" i="3" s="1"/>
  <c r="AB21" i="3" s="1"/>
  <c r="AB23" i="3" l="1"/>
  <c r="AB27" i="3" s="1"/>
  <c r="AB31" i="3" s="1"/>
  <c r="AH12" i="3"/>
  <c r="AC18" i="3"/>
  <c r="AC19" i="3" s="1"/>
  <c r="AC21" i="3" s="1"/>
  <c r="AC23" i="3" l="1"/>
  <c r="AC27" i="3" s="1"/>
  <c r="AC31" i="3" s="1"/>
  <c r="AI12" i="3"/>
  <c r="AD18" i="3"/>
  <c r="AD19" i="3" s="1"/>
  <c r="AD21" i="3" s="1"/>
  <c r="AD23" i="3" l="1"/>
  <c r="AD27" i="3" s="1"/>
  <c r="AD31" i="3" s="1"/>
  <c r="AE18" i="3"/>
  <c r="AE19" i="3" s="1"/>
  <c r="AE21" i="3" s="1"/>
  <c r="AJ12" i="3"/>
  <c r="AE23" i="3" l="1"/>
  <c r="AE27" i="3" s="1"/>
  <c r="AE31" i="3" s="1"/>
  <c r="AK12" i="3"/>
  <c r="AF18" i="3"/>
  <c r="AF19" i="3" s="1"/>
  <c r="AF21" i="3" s="1"/>
  <c r="AF23" i="3" l="1"/>
  <c r="AF27" i="3" s="1"/>
  <c r="AF31" i="3" s="1"/>
  <c r="AG18" i="3"/>
  <c r="AG19" i="3" s="1"/>
  <c r="AG21" i="3" s="1"/>
  <c r="AG23" i="3" l="1"/>
  <c r="AG27" i="3" s="1"/>
  <c r="AG31" i="3" s="1"/>
  <c r="AH18" i="3"/>
  <c r="AH19" i="3" s="1"/>
  <c r="AH21" i="3" s="1"/>
  <c r="AH23" i="3" l="1"/>
  <c r="AH27" i="3" s="1"/>
  <c r="AH31" i="3" s="1"/>
  <c r="AI18" i="3"/>
  <c r="AI19" i="3" s="1"/>
  <c r="AI21" i="3" s="1"/>
  <c r="AI23" i="3" l="1"/>
  <c r="AI27" i="3" s="1"/>
  <c r="AI31" i="3" s="1"/>
  <c r="AJ18" i="3"/>
  <c r="AJ19" i="3" s="1"/>
  <c r="AJ21" i="3" s="1"/>
  <c r="AJ23" i="3" l="1"/>
  <c r="AJ27" i="3" s="1"/>
  <c r="AJ31" i="3" s="1"/>
  <c r="AK18" i="3"/>
  <c r="AK19" i="3" s="1"/>
  <c r="AK21" i="3" s="1"/>
  <c r="AK23" i="3" l="1"/>
  <c r="AK27" i="3" s="1"/>
  <c r="G34" i="3" s="1"/>
  <c r="AK31" i="3" l="1"/>
  <c r="E32" i="3" s="1"/>
  <c r="E33" i="3" s="1"/>
  <c r="E34" i="3" s="1"/>
  <c r="E35" i="3" l="1"/>
  <c r="E36" i="3"/>
</calcChain>
</file>

<file path=xl/sharedStrings.xml><?xml version="1.0" encoding="utf-8"?>
<sst xmlns="http://schemas.openxmlformats.org/spreadsheetml/2006/main" count="55" uniqueCount="50">
  <si>
    <t>Years</t>
  </si>
  <si>
    <t>Days</t>
  </si>
  <si>
    <t>Particulars</t>
  </si>
  <si>
    <t>End Date</t>
  </si>
  <si>
    <t>Start Date</t>
  </si>
  <si>
    <t xml:space="preserve">Revenue </t>
  </si>
  <si>
    <t>Valuation Date</t>
  </si>
  <si>
    <t>Other Income</t>
  </si>
  <si>
    <t>Total Income</t>
  </si>
  <si>
    <t>Expenses</t>
  </si>
  <si>
    <t>Total Expense</t>
  </si>
  <si>
    <t>EBITDA</t>
  </si>
  <si>
    <t>Depreciation</t>
  </si>
  <si>
    <t>Tax Rate</t>
  </si>
  <si>
    <t>EBIT</t>
  </si>
  <si>
    <t>NOPAT</t>
  </si>
  <si>
    <t>Add: Depreciation</t>
  </si>
  <si>
    <t>Less: CAPeX</t>
  </si>
  <si>
    <t>Less: Change in Working Capital</t>
  </si>
  <si>
    <t>FCFF</t>
  </si>
  <si>
    <t>PV of FCFF</t>
  </si>
  <si>
    <t>PVF</t>
  </si>
  <si>
    <t>Total Days in the Year</t>
  </si>
  <si>
    <t>Time Period</t>
  </si>
  <si>
    <t>Rent/Lease</t>
  </si>
  <si>
    <t>Net Present Value</t>
  </si>
  <si>
    <t>(Nifty -50 25 year Return taken as proxy for cost of equity)</t>
  </si>
  <si>
    <t>rate</t>
  </si>
  <si>
    <t>area</t>
  </si>
  <si>
    <t>WACC</t>
  </si>
  <si>
    <t>Economical life</t>
  </si>
  <si>
    <t>GCRC</t>
  </si>
  <si>
    <t>Depriciated value after EL</t>
  </si>
  <si>
    <t>Depriciation per year</t>
  </si>
  <si>
    <t>In cr.</t>
  </si>
  <si>
    <t>Tax Rate:</t>
  </si>
  <si>
    <t>Base Rate</t>
  </si>
  <si>
    <t>Education Cess</t>
  </si>
  <si>
    <t>Surcharge:</t>
  </si>
  <si>
    <t>If taxable income &lt; 10 cr.</t>
  </si>
  <si>
    <t>If taxable income &gt; 10 cr.</t>
  </si>
  <si>
    <t>O&amp;M</t>
  </si>
  <si>
    <t>Total Leasable area (Sq. Ft)</t>
  </si>
  <si>
    <t>Interest earned on security deposit received (in cr.)</t>
  </si>
  <si>
    <t>Total Revenue</t>
  </si>
  <si>
    <t>Rate (Rs per sq. ft. per month)</t>
  </si>
  <si>
    <t>Rent/ Lease (in cr. Per year)</t>
  </si>
  <si>
    <t>-</t>
  </si>
  <si>
    <t>(In Rs. Cr. per year)</t>
  </si>
  <si>
    <t>WACC(12%)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</si>
</sst>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₹&quot;\ #,##0.00;[Red]&quot;₹&quot;\ \-#,##0.00"/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9" fontId="0" fillId="0" borderId="0" xfId="0" applyNumberFormat="1"/>
    <xf numFmtId="43" fontId="0" fillId="0" borderId="0" xfId="0" applyNumberFormat="1"/>
    <xf numFmtId="1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5" fillId="2" borderId="1" xfId="0" applyFont="1" applyFill="1" applyBorder="1"/>
    <xf numFmtId="14" fontId="5" fillId="2" borderId="1" xfId="0" applyNumberFormat="1" applyFont="1" applyFill="1" applyBorder="1"/>
    <xf numFmtId="0" fontId="0" fillId="3" borderId="1" xfId="0" applyFill="1" applyBorder="1"/>
    <xf numFmtId="0" fontId="0" fillId="0" borderId="1" xfId="0" applyBorder="1"/>
    <xf numFmtId="2" fontId="0" fillId="0" borderId="1" xfId="0" applyNumberFormat="1" applyBorder="1"/>
    <xf numFmtId="43" fontId="0" fillId="0" borderId="1" xfId="1" applyFont="1" applyBorder="1"/>
    <xf numFmtId="43" fontId="2" fillId="0" borderId="1" xfId="0" applyNumberFormat="1" applyFont="1" applyBorder="1"/>
    <xf numFmtId="43" fontId="0" fillId="0" borderId="1" xfId="0" applyNumberFormat="1" applyBorder="1"/>
    <xf numFmtId="0" fontId="2" fillId="0" borderId="1" xfId="0" applyFont="1" applyBorder="1"/>
    <xf numFmtId="0" fontId="2" fillId="3" borderId="1" xfId="0" applyFont="1" applyFill="1" applyBorder="1"/>
    <xf numFmtId="43" fontId="2" fillId="0" borderId="1" xfId="1" applyFont="1" applyBorder="1"/>
    <xf numFmtId="10" fontId="2" fillId="0" borderId="1" xfId="0" applyNumberFormat="1" applyFont="1" applyBorder="1"/>
    <xf numFmtId="0" fontId="0" fillId="4" borderId="0" xfId="0" applyFill="1"/>
    <xf numFmtId="43" fontId="7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0" fontId="0" fillId="5" borderId="1" xfId="2" applyNumberFormat="1" applyFont="1" applyFill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2" fillId="5" borderId="1" xfId="2" applyNumberFormat="1" applyFont="1" applyFill="1" applyBorder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0" fontId="2" fillId="3" borderId="1" xfId="0" applyFont="1" applyFill="1" applyBorder="1" applyAlignment="1">
      <alignment horizontal="right"/>
    </xf>
    <xf numFmtId="43" fontId="0" fillId="0" borderId="0" xfId="1" applyFont="1"/>
    <xf numFmtId="43" fontId="2" fillId="0" borderId="1" xfId="1" applyFont="1" applyFill="1" applyBorder="1"/>
    <xf numFmtId="0" fontId="0" fillId="5" borderId="0" xfId="0" applyFill="1"/>
    <xf numFmtId="10" fontId="2" fillId="0" borderId="0" xfId="0" applyNumberFormat="1" applyFont="1"/>
    <xf numFmtId="2" fontId="0" fillId="0" borderId="0" xfId="0" applyNumberFormat="1"/>
    <xf numFmtId="14" fontId="5" fillId="2" borderId="2" xfId="0" applyNumberFormat="1" applyFont="1" applyFill="1" applyBorder="1"/>
    <xf numFmtId="8" fontId="0" fillId="0" borderId="0" xfId="0" applyNumberFormat="1"/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7" fontId="8" fillId="2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justify" vertical="center" wrapText="1"/>
    </xf>
    <xf numFmtId="0" fontId="11" fillId="6" borderId="5" xfId="0" applyFont="1" applyFill="1" applyBorder="1" applyAlignment="1">
      <alignment horizontal="justify" vertical="center" wrapText="1"/>
    </xf>
    <xf numFmtId="0" fontId="12" fillId="6" borderId="5" xfId="0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2" fillId="6" borderId="8" xfId="0" applyNumberFormat="1" applyFont="1" applyFill="1" applyBorder="1" applyAlignment="1">
      <alignment horizontal="center" vertical="center" wrapText="1"/>
    </xf>
    <xf numFmtId="0" fontId="0" fillId="0" borderId="1" xfId="0" applyFill="1" applyBorder="1"/>
  </cellXfs>
  <cellStyles count="6">
    <cellStyle name="=C:\WINNT35\SYSTEM32\COMMAND.COM" xfId="3" xr:uid="{00000000-0005-0000-0000-000000000000}"/>
    <cellStyle name="Comma" xfId="1" builtinId="3"/>
    <cellStyle name="Normal" xfId="0" builtinId="0"/>
    <cellStyle name="Normal 2 3" xfId="4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0336832895888"/>
          <c:y val="0.14856481481481484"/>
          <c:w val="0.845387795275590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'Working '!$E$12:$AK$12</c:f>
              <c:numCache>
                <c:formatCode>_(* #,##0.00_);_(* \(#,##0.00\);_(* "-"??_);_(@_)</c:formatCode>
                <c:ptCount val="33"/>
                <c:pt idx="0">
                  <c:v>0.58261567999999997</c:v>
                </c:pt>
                <c:pt idx="1">
                  <c:v>7.3409575680000003</c:v>
                </c:pt>
                <c:pt idx="2">
                  <c:v>7.7080054464000014</c:v>
                </c:pt>
                <c:pt idx="3">
                  <c:v>8.0934057187200015</c:v>
                </c:pt>
                <c:pt idx="4">
                  <c:v>8.4980760046560029</c:v>
                </c:pt>
                <c:pt idx="5">
                  <c:v>8.9229798048888025</c:v>
                </c:pt>
                <c:pt idx="6">
                  <c:v>9.3691287951332445</c:v>
                </c:pt>
                <c:pt idx="7">
                  <c:v>9.8375852348899073</c:v>
                </c:pt>
                <c:pt idx="8">
                  <c:v>10.329464496634403</c:v>
                </c:pt>
                <c:pt idx="9">
                  <c:v>10.845937721466123</c:v>
                </c:pt>
                <c:pt idx="10">
                  <c:v>11.388234607539431</c:v>
                </c:pt>
                <c:pt idx="11">
                  <c:v>11.957646337916401</c:v>
                </c:pt>
                <c:pt idx="12">
                  <c:v>12.555528654812223</c:v>
                </c:pt>
                <c:pt idx="13">
                  <c:v>13.183305087552833</c:v>
                </c:pt>
                <c:pt idx="14">
                  <c:v>13.842470341930476</c:v>
                </c:pt>
                <c:pt idx="15">
                  <c:v>14.534593859026998</c:v>
                </c:pt>
                <c:pt idx="16">
                  <c:v>15.26132355197835</c:v>
                </c:pt>
                <c:pt idx="17">
                  <c:v>16.024389729577265</c:v>
                </c:pt>
                <c:pt idx="18">
                  <c:v>16.825609216056133</c:v>
                </c:pt>
                <c:pt idx="19">
                  <c:v>17.66688967685894</c:v>
                </c:pt>
                <c:pt idx="20">
                  <c:v>18.550234160701891</c:v>
                </c:pt>
                <c:pt idx="21">
                  <c:v>19.477745868736985</c:v>
                </c:pt>
                <c:pt idx="22">
                  <c:v>20.451633162173838</c:v>
                </c:pt>
                <c:pt idx="23">
                  <c:v>21.47421482028253</c:v>
                </c:pt>
                <c:pt idx="24">
                  <c:v>22.547925561296658</c:v>
                </c:pt>
                <c:pt idx="25">
                  <c:v>23.675321839361487</c:v>
                </c:pt>
                <c:pt idx="26">
                  <c:v>24.859087931329562</c:v>
                </c:pt>
                <c:pt idx="27">
                  <c:v>26.102042327896044</c:v>
                </c:pt>
                <c:pt idx="28">
                  <c:v>27.407144444290847</c:v>
                </c:pt>
                <c:pt idx="29">
                  <c:v>28.77750166650539</c:v>
                </c:pt>
                <c:pt idx="30">
                  <c:v>30.216376749830658</c:v>
                </c:pt>
                <c:pt idx="31">
                  <c:v>31.727195587322193</c:v>
                </c:pt>
                <c:pt idx="32">
                  <c:v>33.313555366688298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8-4C60-B948-872B683A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0881984"/>
        <c:axId val="370880808"/>
      </c:barChart>
      <c:catAx>
        <c:axId val="370881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880808"/>
        <c:crosses val="autoZero"/>
        <c:auto val="1"/>
        <c:lblAlgn val="ctr"/>
        <c:lblOffset val="100"/>
        <c:noMultiLvlLbl val="0"/>
      </c:catAx>
      <c:valAx>
        <c:axId val="3708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8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409013</xdr:colOff>
      <xdr:row>34</xdr:row>
      <xdr:rowOff>6723</xdr:rowOff>
    </xdr:from>
    <xdr:to>
      <xdr:col>15</xdr:col>
      <xdr:colOff>593911</xdr:colOff>
      <xdr:row>48</xdr:row>
      <xdr:rowOff>82923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980264-CCBB-0980-375C-D23320B57E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52"/>
  <sheetViews>
    <sheetView tabSelected="1" topLeftCell="D4" zoomScale="85" zoomScaleNormal="85" workbookViewId="0">
      <selection activeCell="E35" sqref="E35"/>
    </sheetView>
  </sheetViews>
  <sheetFormatPr defaultRowHeight="15" x14ac:dyDescent="0.25"/>
  <cols>
    <col min="1" max="1" width="14" customWidth="1"/>
    <col min="2" max="2" width="10.42578125" bestFit="1" customWidth="1"/>
    <col min="3" max="3" width="31.28515625" customWidth="1"/>
    <col min="4" max="4" width="10.42578125" customWidth="1"/>
    <col min="5" max="5" width="17" customWidth="1"/>
    <col min="6" max="37" width="10.42578125" customWidth="1"/>
    <col min="38" max="38" width="12.28515625" bestFit="1" customWidth="1"/>
    <col min="39" max="39" width="10.5703125" bestFit="1" customWidth="1"/>
  </cols>
  <sheetData>
    <row r="1" spans="1:39" x14ac:dyDescent="0.25">
      <c r="C1" t="s">
        <v>2</v>
      </c>
      <c r="E1" s="3">
        <v>45382</v>
      </c>
      <c r="F1" s="7">
        <f t="shared" ref="F1" si="0">EDATE(E1,12)</f>
        <v>45747</v>
      </c>
      <c r="G1" s="7">
        <f t="shared" ref="G1" si="1">EDATE(F1,12)</f>
        <v>46112</v>
      </c>
      <c r="H1" s="7">
        <f t="shared" ref="H1" si="2">EDATE(G1,12)</f>
        <v>46477</v>
      </c>
      <c r="I1" s="7">
        <f t="shared" ref="I1" si="3">EDATE(H1,12)</f>
        <v>46843</v>
      </c>
      <c r="J1" s="7">
        <f t="shared" ref="J1" si="4">EDATE(I1,12)</f>
        <v>47208</v>
      </c>
      <c r="K1" s="7">
        <f t="shared" ref="K1" si="5">EDATE(J1,12)</f>
        <v>47573</v>
      </c>
      <c r="L1" s="7">
        <f>EDATE(K1,12)</f>
        <v>47938</v>
      </c>
      <c r="M1" s="7">
        <f t="shared" ref="M1" si="6">EDATE(L1,12)</f>
        <v>48304</v>
      </c>
      <c r="N1" s="7">
        <f t="shared" ref="N1" si="7">EDATE(M1,12)</f>
        <v>48669</v>
      </c>
      <c r="O1" s="7">
        <f t="shared" ref="O1" si="8">EDATE(N1,12)</f>
        <v>49034</v>
      </c>
      <c r="P1" s="7">
        <f t="shared" ref="P1" si="9">EDATE(O1,12)</f>
        <v>49399</v>
      </c>
      <c r="Q1" s="7">
        <f t="shared" ref="Q1" si="10">EDATE(P1,12)</f>
        <v>49765</v>
      </c>
      <c r="R1" s="7">
        <f t="shared" ref="R1" si="11">EDATE(Q1,12)</f>
        <v>50130</v>
      </c>
      <c r="S1" s="7">
        <f t="shared" ref="S1" si="12">EDATE(R1,12)</f>
        <v>50495</v>
      </c>
      <c r="T1" s="7">
        <f t="shared" ref="T1" si="13">EDATE(S1,12)</f>
        <v>50860</v>
      </c>
      <c r="U1" s="7">
        <f t="shared" ref="U1" si="14">EDATE(T1,12)</f>
        <v>51226</v>
      </c>
      <c r="V1" s="7">
        <f t="shared" ref="V1" si="15">EDATE(U1,12)</f>
        <v>51591</v>
      </c>
      <c r="W1" s="7">
        <f t="shared" ref="W1" si="16">EDATE(V1,12)</f>
        <v>51956</v>
      </c>
      <c r="X1" s="7">
        <f t="shared" ref="X1" si="17">EDATE(W1,12)</f>
        <v>52321</v>
      </c>
      <c r="Y1" s="7">
        <f t="shared" ref="Y1" si="18">EDATE(X1,12)</f>
        <v>52687</v>
      </c>
      <c r="Z1" s="7">
        <f t="shared" ref="Z1" si="19">EDATE(Y1,12)</f>
        <v>53052</v>
      </c>
      <c r="AA1" s="7">
        <f t="shared" ref="AA1" si="20">EDATE(Z1,12)</f>
        <v>53417</v>
      </c>
      <c r="AB1" s="7">
        <f t="shared" ref="AB1" si="21">EDATE(AA1,12)</f>
        <v>53782</v>
      </c>
      <c r="AC1" s="7">
        <f t="shared" ref="AC1" si="22">EDATE(AB1,12)</f>
        <v>54148</v>
      </c>
      <c r="AD1" s="7">
        <f t="shared" ref="AD1" si="23">EDATE(AC1,12)</f>
        <v>54513</v>
      </c>
      <c r="AE1" s="7">
        <f t="shared" ref="AE1" si="24">EDATE(AD1,12)</f>
        <v>54878</v>
      </c>
      <c r="AF1" s="7">
        <f t="shared" ref="AF1" si="25">EDATE(AE1,12)</f>
        <v>55243</v>
      </c>
      <c r="AG1" s="7">
        <f t="shared" ref="AG1" si="26">EDATE(AF1,12)</f>
        <v>55609</v>
      </c>
      <c r="AH1" s="7">
        <f t="shared" ref="AH1" si="27">EDATE(AG1,12)</f>
        <v>55974</v>
      </c>
      <c r="AI1" s="7">
        <f t="shared" ref="AI1" si="28">EDATE(AH1,12)</f>
        <v>56339</v>
      </c>
      <c r="AJ1" s="7">
        <f t="shared" ref="AJ1" si="29">EDATE(AI1,12)</f>
        <v>56704</v>
      </c>
      <c r="AK1" s="7">
        <f t="shared" ref="AK1" si="30">EDATE(AJ1,12)</f>
        <v>57070</v>
      </c>
      <c r="AL1" s="7">
        <f t="shared" ref="AL1:AM1" si="31">EDATE(AK1,12)</f>
        <v>57435</v>
      </c>
      <c r="AM1" s="7">
        <f t="shared" si="31"/>
        <v>57800</v>
      </c>
    </row>
    <row r="2" spans="1:39" x14ac:dyDescent="0.25">
      <c r="C2" t="s">
        <v>28</v>
      </c>
      <c r="D2">
        <v>184840</v>
      </c>
      <c r="E2">
        <v>184840</v>
      </c>
      <c r="F2">
        <v>184840</v>
      </c>
      <c r="G2">
        <v>184840</v>
      </c>
      <c r="H2">
        <v>184840</v>
      </c>
      <c r="I2">
        <v>184840</v>
      </c>
      <c r="J2">
        <v>184840</v>
      </c>
      <c r="K2">
        <v>184840</v>
      </c>
      <c r="L2">
        <v>184840</v>
      </c>
      <c r="M2">
        <v>184840</v>
      </c>
      <c r="N2">
        <v>184840</v>
      </c>
      <c r="O2">
        <v>184840</v>
      </c>
      <c r="P2">
        <v>184840</v>
      </c>
      <c r="Q2">
        <v>184840</v>
      </c>
      <c r="R2">
        <v>184840</v>
      </c>
      <c r="S2">
        <v>184840</v>
      </c>
      <c r="T2">
        <v>184840</v>
      </c>
      <c r="U2">
        <v>184840</v>
      </c>
      <c r="V2">
        <v>184840</v>
      </c>
      <c r="W2">
        <v>184840</v>
      </c>
      <c r="X2">
        <v>184840</v>
      </c>
      <c r="Y2">
        <v>184840</v>
      </c>
      <c r="Z2">
        <v>184840</v>
      </c>
      <c r="AA2">
        <v>184840</v>
      </c>
      <c r="AB2">
        <v>184840</v>
      </c>
      <c r="AC2">
        <v>184840</v>
      </c>
      <c r="AD2">
        <v>184840</v>
      </c>
      <c r="AE2">
        <v>184840</v>
      </c>
      <c r="AF2">
        <v>184840</v>
      </c>
      <c r="AG2">
        <v>184840</v>
      </c>
      <c r="AH2">
        <v>184840</v>
      </c>
      <c r="AI2">
        <v>184840</v>
      </c>
      <c r="AJ2">
        <v>184840</v>
      </c>
      <c r="AK2">
        <v>184840</v>
      </c>
      <c r="AL2">
        <v>184840</v>
      </c>
      <c r="AM2">
        <v>184840</v>
      </c>
    </row>
    <row r="3" spans="1:39" x14ac:dyDescent="0.25">
      <c r="C3" t="s">
        <v>27</v>
      </c>
      <c r="E3">
        <v>31.52</v>
      </c>
      <c r="F3" s="36">
        <f>E3*1.05</f>
        <v>33.096000000000004</v>
      </c>
      <c r="G3" s="36">
        <f>F3*1.05</f>
        <v>34.750800000000005</v>
      </c>
      <c r="H3" s="36">
        <f t="shared" ref="H3:AL3" si="32">G3*1.05</f>
        <v>36.488340000000008</v>
      </c>
      <c r="I3" s="36">
        <f t="shared" si="32"/>
        <v>38.312757000000012</v>
      </c>
      <c r="J3" s="36">
        <f t="shared" si="32"/>
        <v>40.228394850000015</v>
      </c>
      <c r="K3" s="36">
        <f t="shared" si="32"/>
        <v>42.239814592500018</v>
      </c>
      <c r="L3" s="36">
        <f>K3*1.05</f>
        <v>44.351805322125024</v>
      </c>
      <c r="M3" s="36">
        <f t="shared" si="32"/>
        <v>46.569395588231281</v>
      </c>
      <c r="N3" s="36">
        <f t="shared" si="32"/>
        <v>48.897865367642844</v>
      </c>
      <c r="O3" s="36">
        <f t="shared" si="32"/>
        <v>51.342758636024989</v>
      </c>
      <c r="P3" s="36">
        <f t="shared" si="32"/>
        <v>53.909896567826237</v>
      </c>
      <c r="Q3" s="36">
        <f t="shared" si="32"/>
        <v>56.605391396217549</v>
      </c>
      <c r="R3" s="36">
        <f t="shared" si="32"/>
        <v>59.435660966028429</v>
      </c>
      <c r="S3" s="36">
        <f t="shared" si="32"/>
        <v>62.407444014329855</v>
      </c>
      <c r="T3" s="36">
        <f t="shared" si="32"/>
        <v>65.527816215046343</v>
      </c>
      <c r="U3" s="36">
        <f t="shared" si="32"/>
        <v>68.804207025798661</v>
      </c>
      <c r="V3" s="36">
        <f t="shared" si="32"/>
        <v>72.244417377088595</v>
      </c>
      <c r="W3" s="36">
        <f t="shared" si="32"/>
        <v>75.856638245943032</v>
      </c>
      <c r="X3" s="36">
        <f t="shared" si="32"/>
        <v>79.649470158240192</v>
      </c>
      <c r="Y3" s="36">
        <f t="shared" si="32"/>
        <v>83.63194366615221</v>
      </c>
      <c r="Z3" s="36">
        <f t="shared" si="32"/>
        <v>87.813540849459827</v>
      </c>
      <c r="AA3" s="36">
        <f t="shared" si="32"/>
        <v>92.204217891932828</v>
      </c>
      <c r="AB3" s="36">
        <f t="shared" si="32"/>
        <v>96.814428786529476</v>
      </c>
      <c r="AC3" s="36">
        <f t="shared" si="32"/>
        <v>101.65515022585595</v>
      </c>
      <c r="AD3" s="36">
        <f t="shared" si="32"/>
        <v>106.73790773714875</v>
      </c>
      <c r="AE3" s="36">
        <f t="shared" si="32"/>
        <v>112.07480312400618</v>
      </c>
      <c r="AF3" s="36">
        <f t="shared" si="32"/>
        <v>117.6785432802065</v>
      </c>
      <c r="AG3" s="36">
        <f t="shared" si="32"/>
        <v>123.56247044421683</v>
      </c>
      <c r="AH3" s="36">
        <f t="shared" si="32"/>
        <v>129.74059396642767</v>
      </c>
      <c r="AI3" s="36">
        <f t="shared" si="32"/>
        <v>136.22762366474905</v>
      </c>
      <c r="AJ3" s="36">
        <f t="shared" si="32"/>
        <v>143.03900484798652</v>
      </c>
      <c r="AK3" s="36">
        <f t="shared" si="32"/>
        <v>150.19095509038584</v>
      </c>
      <c r="AL3" s="36">
        <f t="shared" si="32"/>
        <v>157.70050284490515</v>
      </c>
      <c r="AM3" s="36">
        <f t="shared" ref="AM3" si="33">AL3*1.05</f>
        <v>165.58552798715041</v>
      </c>
    </row>
    <row r="4" spans="1:39" x14ac:dyDescent="0.25">
      <c r="C4" t="s">
        <v>22</v>
      </c>
      <c r="E4">
        <f>E8-D8</f>
        <v>366</v>
      </c>
      <c r="F4">
        <f t="shared" ref="F4:AL4" si="34">F8-E8</f>
        <v>365</v>
      </c>
      <c r="G4">
        <f t="shared" si="34"/>
        <v>365</v>
      </c>
      <c r="H4">
        <f t="shared" si="34"/>
        <v>365</v>
      </c>
      <c r="I4">
        <f t="shared" si="34"/>
        <v>366</v>
      </c>
      <c r="J4">
        <f t="shared" si="34"/>
        <v>365</v>
      </c>
      <c r="K4">
        <f t="shared" si="34"/>
        <v>365</v>
      </c>
      <c r="L4">
        <f>L8-K8</f>
        <v>365</v>
      </c>
      <c r="M4">
        <f t="shared" si="34"/>
        <v>366</v>
      </c>
      <c r="N4">
        <f t="shared" si="34"/>
        <v>365</v>
      </c>
      <c r="O4">
        <f t="shared" si="34"/>
        <v>365</v>
      </c>
      <c r="P4">
        <f t="shared" si="34"/>
        <v>365</v>
      </c>
      <c r="Q4">
        <f t="shared" si="34"/>
        <v>366</v>
      </c>
      <c r="R4">
        <f t="shared" si="34"/>
        <v>365</v>
      </c>
      <c r="S4">
        <f t="shared" si="34"/>
        <v>365</v>
      </c>
      <c r="T4">
        <f t="shared" si="34"/>
        <v>365</v>
      </c>
      <c r="U4">
        <f t="shared" si="34"/>
        <v>366</v>
      </c>
      <c r="V4">
        <f t="shared" si="34"/>
        <v>365</v>
      </c>
      <c r="W4">
        <f t="shared" si="34"/>
        <v>365</v>
      </c>
      <c r="X4">
        <f t="shared" si="34"/>
        <v>365</v>
      </c>
      <c r="Y4">
        <f t="shared" si="34"/>
        <v>366</v>
      </c>
      <c r="Z4">
        <f t="shared" si="34"/>
        <v>365</v>
      </c>
      <c r="AA4">
        <f t="shared" si="34"/>
        <v>365</v>
      </c>
      <c r="AB4">
        <f t="shared" si="34"/>
        <v>365</v>
      </c>
      <c r="AC4">
        <f t="shared" si="34"/>
        <v>366</v>
      </c>
      <c r="AD4">
        <f t="shared" si="34"/>
        <v>365</v>
      </c>
      <c r="AE4">
        <f t="shared" si="34"/>
        <v>365</v>
      </c>
      <c r="AF4">
        <f t="shared" si="34"/>
        <v>365</v>
      </c>
      <c r="AG4">
        <f t="shared" si="34"/>
        <v>366</v>
      </c>
      <c r="AH4">
        <f t="shared" si="34"/>
        <v>365</v>
      </c>
      <c r="AI4">
        <f t="shared" si="34"/>
        <v>365</v>
      </c>
      <c r="AJ4">
        <f t="shared" si="34"/>
        <v>365</v>
      </c>
      <c r="AK4">
        <f t="shared" si="34"/>
        <v>366</v>
      </c>
      <c r="AL4">
        <f t="shared" si="34"/>
        <v>365</v>
      </c>
      <c r="AM4">
        <f>AM1-AL1</f>
        <v>365</v>
      </c>
    </row>
    <row r="5" spans="1:39" x14ac:dyDescent="0.25">
      <c r="A5" t="s">
        <v>3</v>
      </c>
      <c r="B5" s="3">
        <v>57496</v>
      </c>
      <c r="C5" t="s">
        <v>1</v>
      </c>
      <c r="E5">
        <f>IF(E8&lt;=$B$5,(E8-B7),($B$5-D8))</f>
        <v>33</v>
      </c>
      <c r="F5">
        <f t="shared" ref="F5:AM5" si="35">IF(F8&lt;=$B$5,(F8-E8),($B$5-E8))</f>
        <v>365</v>
      </c>
      <c r="G5">
        <f t="shared" si="35"/>
        <v>365</v>
      </c>
      <c r="H5">
        <f t="shared" si="35"/>
        <v>365</v>
      </c>
      <c r="I5">
        <f t="shared" si="35"/>
        <v>366</v>
      </c>
      <c r="J5">
        <f t="shared" si="35"/>
        <v>365</v>
      </c>
      <c r="K5">
        <f t="shared" si="35"/>
        <v>365</v>
      </c>
      <c r="L5">
        <f>IF(L8&lt;=$B$5,(L8-K8),($B$5-K8))</f>
        <v>365</v>
      </c>
      <c r="M5">
        <f t="shared" si="35"/>
        <v>366</v>
      </c>
      <c r="N5">
        <f t="shared" si="35"/>
        <v>365</v>
      </c>
      <c r="O5">
        <f t="shared" si="35"/>
        <v>365</v>
      </c>
      <c r="P5">
        <f t="shared" si="35"/>
        <v>365</v>
      </c>
      <c r="Q5">
        <f t="shared" si="35"/>
        <v>366</v>
      </c>
      <c r="R5">
        <f t="shared" si="35"/>
        <v>365</v>
      </c>
      <c r="S5">
        <f t="shared" si="35"/>
        <v>365</v>
      </c>
      <c r="T5">
        <f t="shared" si="35"/>
        <v>365</v>
      </c>
      <c r="U5">
        <f t="shared" si="35"/>
        <v>366</v>
      </c>
      <c r="V5">
        <f t="shared" si="35"/>
        <v>365</v>
      </c>
      <c r="W5">
        <f t="shared" si="35"/>
        <v>365</v>
      </c>
      <c r="X5">
        <f t="shared" si="35"/>
        <v>365</v>
      </c>
      <c r="Y5">
        <f t="shared" si="35"/>
        <v>366</v>
      </c>
      <c r="Z5">
        <f t="shared" si="35"/>
        <v>365</v>
      </c>
      <c r="AA5">
        <f t="shared" si="35"/>
        <v>365</v>
      </c>
      <c r="AB5">
        <f t="shared" si="35"/>
        <v>365</v>
      </c>
      <c r="AC5">
        <f t="shared" si="35"/>
        <v>366</v>
      </c>
      <c r="AD5">
        <f t="shared" si="35"/>
        <v>365</v>
      </c>
      <c r="AE5">
        <f t="shared" si="35"/>
        <v>365</v>
      </c>
      <c r="AF5">
        <f t="shared" si="35"/>
        <v>365</v>
      </c>
      <c r="AG5">
        <f t="shared" si="35"/>
        <v>366</v>
      </c>
      <c r="AH5">
        <f t="shared" si="35"/>
        <v>365</v>
      </c>
      <c r="AI5">
        <f t="shared" si="35"/>
        <v>365</v>
      </c>
      <c r="AJ5">
        <f t="shared" si="35"/>
        <v>365</v>
      </c>
      <c r="AK5">
        <f t="shared" si="35"/>
        <v>366</v>
      </c>
      <c r="AL5">
        <f t="shared" si="35"/>
        <v>365</v>
      </c>
      <c r="AM5">
        <f t="shared" si="35"/>
        <v>61</v>
      </c>
    </row>
    <row r="6" spans="1:39" x14ac:dyDescent="0.25">
      <c r="A6" t="s">
        <v>4</v>
      </c>
      <c r="B6" s="3">
        <v>41061</v>
      </c>
      <c r="C6" t="s">
        <v>0</v>
      </c>
      <c r="D6">
        <v>5</v>
      </c>
      <c r="E6">
        <v>12</v>
      </c>
      <c r="F6">
        <f t="shared" ref="F6:AM6" si="36">E6+1</f>
        <v>13</v>
      </c>
      <c r="G6">
        <f t="shared" si="36"/>
        <v>14</v>
      </c>
      <c r="H6">
        <f t="shared" si="36"/>
        <v>15</v>
      </c>
      <c r="I6">
        <f t="shared" si="36"/>
        <v>16</v>
      </c>
      <c r="J6">
        <f t="shared" si="36"/>
        <v>17</v>
      </c>
      <c r="K6">
        <f t="shared" si="36"/>
        <v>18</v>
      </c>
      <c r="L6">
        <f>K6+1</f>
        <v>19</v>
      </c>
      <c r="M6">
        <f t="shared" si="36"/>
        <v>20</v>
      </c>
      <c r="N6">
        <f t="shared" si="36"/>
        <v>21</v>
      </c>
      <c r="O6">
        <f t="shared" si="36"/>
        <v>22</v>
      </c>
      <c r="P6">
        <f t="shared" si="36"/>
        <v>23</v>
      </c>
      <c r="Q6">
        <f t="shared" si="36"/>
        <v>24</v>
      </c>
      <c r="R6">
        <f t="shared" si="36"/>
        <v>25</v>
      </c>
      <c r="S6">
        <f t="shared" si="36"/>
        <v>26</v>
      </c>
      <c r="T6">
        <f t="shared" si="36"/>
        <v>27</v>
      </c>
      <c r="U6">
        <f t="shared" si="36"/>
        <v>28</v>
      </c>
      <c r="V6">
        <f t="shared" si="36"/>
        <v>29</v>
      </c>
      <c r="W6">
        <f t="shared" si="36"/>
        <v>30</v>
      </c>
      <c r="X6">
        <f t="shared" si="36"/>
        <v>31</v>
      </c>
      <c r="Y6">
        <f t="shared" si="36"/>
        <v>32</v>
      </c>
      <c r="Z6">
        <f t="shared" si="36"/>
        <v>33</v>
      </c>
      <c r="AA6">
        <f t="shared" si="36"/>
        <v>34</v>
      </c>
      <c r="AB6">
        <f t="shared" si="36"/>
        <v>35</v>
      </c>
      <c r="AC6">
        <f t="shared" si="36"/>
        <v>36</v>
      </c>
      <c r="AD6">
        <f t="shared" si="36"/>
        <v>37</v>
      </c>
      <c r="AE6">
        <f t="shared" si="36"/>
        <v>38</v>
      </c>
      <c r="AF6">
        <f t="shared" si="36"/>
        <v>39</v>
      </c>
      <c r="AG6">
        <f t="shared" si="36"/>
        <v>40</v>
      </c>
      <c r="AH6">
        <f t="shared" si="36"/>
        <v>41</v>
      </c>
      <c r="AI6">
        <f t="shared" si="36"/>
        <v>42</v>
      </c>
      <c r="AJ6">
        <f t="shared" si="36"/>
        <v>43</v>
      </c>
      <c r="AK6">
        <f t="shared" si="36"/>
        <v>44</v>
      </c>
      <c r="AL6">
        <f t="shared" si="36"/>
        <v>45</v>
      </c>
      <c r="AM6">
        <f t="shared" si="36"/>
        <v>46</v>
      </c>
    </row>
    <row r="7" spans="1:39" x14ac:dyDescent="0.25">
      <c r="A7" t="s">
        <v>6</v>
      </c>
      <c r="B7" s="3">
        <v>45349</v>
      </c>
      <c r="C7">
        <v>184840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9" x14ac:dyDescent="0.25">
      <c r="C8" s="6" t="s">
        <v>2</v>
      </c>
      <c r="D8" s="7">
        <v>45016</v>
      </c>
      <c r="E8" s="7">
        <f>EDATE(D8,12)</f>
        <v>45382</v>
      </c>
      <c r="F8" s="7">
        <f t="shared" ref="F8:AL8" si="37">EDATE(E8,12)</f>
        <v>45747</v>
      </c>
      <c r="G8" s="7">
        <f t="shared" si="37"/>
        <v>46112</v>
      </c>
      <c r="H8" s="7">
        <f t="shared" si="37"/>
        <v>46477</v>
      </c>
      <c r="I8" s="7">
        <f t="shared" si="37"/>
        <v>46843</v>
      </c>
      <c r="J8" s="7">
        <f t="shared" si="37"/>
        <v>47208</v>
      </c>
      <c r="K8" s="7">
        <f t="shared" si="37"/>
        <v>47573</v>
      </c>
      <c r="L8" s="7">
        <f>EDATE(K8,12)</f>
        <v>47938</v>
      </c>
      <c r="M8" s="7">
        <f t="shared" si="37"/>
        <v>48304</v>
      </c>
      <c r="N8" s="7">
        <f t="shared" si="37"/>
        <v>48669</v>
      </c>
      <c r="O8" s="7">
        <f t="shared" si="37"/>
        <v>49034</v>
      </c>
      <c r="P8" s="7">
        <f t="shared" si="37"/>
        <v>49399</v>
      </c>
      <c r="Q8" s="7">
        <f t="shared" si="37"/>
        <v>49765</v>
      </c>
      <c r="R8" s="7">
        <f t="shared" si="37"/>
        <v>50130</v>
      </c>
      <c r="S8" s="7">
        <f t="shared" si="37"/>
        <v>50495</v>
      </c>
      <c r="T8" s="7">
        <f t="shared" si="37"/>
        <v>50860</v>
      </c>
      <c r="U8" s="7">
        <f t="shared" si="37"/>
        <v>51226</v>
      </c>
      <c r="V8" s="7">
        <f t="shared" si="37"/>
        <v>51591</v>
      </c>
      <c r="W8" s="7">
        <f t="shared" si="37"/>
        <v>51956</v>
      </c>
      <c r="X8" s="7">
        <f t="shared" si="37"/>
        <v>52321</v>
      </c>
      <c r="Y8" s="7">
        <f t="shared" si="37"/>
        <v>52687</v>
      </c>
      <c r="Z8" s="7">
        <f t="shared" si="37"/>
        <v>53052</v>
      </c>
      <c r="AA8" s="7">
        <f t="shared" si="37"/>
        <v>53417</v>
      </c>
      <c r="AB8" s="7">
        <f t="shared" si="37"/>
        <v>53782</v>
      </c>
      <c r="AC8" s="7">
        <f t="shared" si="37"/>
        <v>54148</v>
      </c>
      <c r="AD8" s="7">
        <f t="shared" si="37"/>
        <v>54513</v>
      </c>
      <c r="AE8" s="7">
        <f t="shared" si="37"/>
        <v>54878</v>
      </c>
      <c r="AF8" s="7">
        <f t="shared" si="37"/>
        <v>55243</v>
      </c>
      <c r="AG8" s="7">
        <f t="shared" si="37"/>
        <v>55609</v>
      </c>
      <c r="AH8" s="7">
        <f t="shared" si="37"/>
        <v>55974</v>
      </c>
      <c r="AI8" s="7">
        <f t="shared" si="37"/>
        <v>56339</v>
      </c>
      <c r="AJ8" s="7">
        <f t="shared" si="37"/>
        <v>56704</v>
      </c>
      <c r="AK8" s="7">
        <f t="shared" si="37"/>
        <v>57070</v>
      </c>
      <c r="AL8" s="37">
        <f t="shared" si="37"/>
        <v>57435</v>
      </c>
      <c r="AM8" s="37">
        <f>B5</f>
        <v>57496</v>
      </c>
    </row>
    <row r="9" spans="1:39" x14ac:dyDescent="0.25">
      <c r="C9" s="8" t="s">
        <v>5</v>
      </c>
      <c r="D9" s="9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x14ac:dyDescent="0.25">
      <c r="A10">
        <v>180</v>
      </c>
      <c r="C10" s="9" t="s">
        <v>24</v>
      </c>
      <c r="D10" s="9"/>
      <c r="E10" s="10">
        <f>E2*E3*1/10^7</f>
        <v>0.58261567999999997</v>
      </c>
      <c r="F10" s="10">
        <f>F2*F3*12/10^7</f>
        <v>7.3409575680000003</v>
      </c>
      <c r="G10" s="10">
        <f t="shared" ref="G10:AL10" si="38">G2*G3*12/10^7</f>
        <v>7.7080054464000014</v>
      </c>
      <c r="H10" s="10">
        <f t="shared" si="38"/>
        <v>8.0934057187200015</v>
      </c>
      <c r="I10" s="10">
        <f t="shared" si="38"/>
        <v>8.4980760046560029</v>
      </c>
      <c r="J10" s="10">
        <f t="shared" si="38"/>
        <v>8.9229798048888025</v>
      </c>
      <c r="K10" s="10">
        <f t="shared" si="38"/>
        <v>9.3691287951332445</v>
      </c>
      <c r="L10" s="10">
        <f t="shared" si="38"/>
        <v>9.8375852348899073</v>
      </c>
      <c r="M10" s="10">
        <f t="shared" si="38"/>
        <v>10.329464496634403</v>
      </c>
      <c r="N10" s="10">
        <f t="shared" si="38"/>
        <v>10.845937721466123</v>
      </c>
      <c r="O10" s="10">
        <f t="shared" si="38"/>
        <v>11.388234607539431</v>
      </c>
      <c r="P10" s="10">
        <f t="shared" si="38"/>
        <v>11.957646337916401</v>
      </c>
      <c r="Q10" s="10">
        <f t="shared" si="38"/>
        <v>12.555528654812223</v>
      </c>
      <c r="R10" s="10">
        <f t="shared" si="38"/>
        <v>13.183305087552833</v>
      </c>
      <c r="S10" s="10">
        <f t="shared" si="38"/>
        <v>13.842470341930476</v>
      </c>
      <c r="T10" s="10">
        <f t="shared" si="38"/>
        <v>14.534593859026998</v>
      </c>
      <c r="U10" s="10">
        <f t="shared" si="38"/>
        <v>15.26132355197835</v>
      </c>
      <c r="V10" s="10">
        <f t="shared" si="38"/>
        <v>16.024389729577265</v>
      </c>
      <c r="W10" s="10">
        <f t="shared" si="38"/>
        <v>16.825609216056133</v>
      </c>
      <c r="X10" s="10">
        <f t="shared" si="38"/>
        <v>17.66688967685894</v>
      </c>
      <c r="Y10" s="10">
        <f t="shared" si="38"/>
        <v>18.550234160701891</v>
      </c>
      <c r="Z10" s="10">
        <f t="shared" si="38"/>
        <v>19.477745868736985</v>
      </c>
      <c r="AA10" s="10">
        <f t="shared" si="38"/>
        <v>20.451633162173838</v>
      </c>
      <c r="AB10" s="10">
        <f t="shared" si="38"/>
        <v>21.47421482028253</v>
      </c>
      <c r="AC10" s="10">
        <f t="shared" si="38"/>
        <v>22.547925561296658</v>
      </c>
      <c r="AD10" s="10">
        <f t="shared" si="38"/>
        <v>23.675321839361487</v>
      </c>
      <c r="AE10" s="10">
        <f t="shared" si="38"/>
        <v>24.859087931329562</v>
      </c>
      <c r="AF10" s="10">
        <f t="shared" si="38"/>
        <v>26.102042327896044</v>
      </c>
      <c r="AG10" s="10">
        <f t="shared" si="38"/>
        <v>27.407144444290847</v>
      </c>
      <c r="AH10" s="10">
        <f t="shared" si="38"/>
        <v>28.77750166650539</v>
      </c>
      <c r="AI10" s="10">
        <f t="shared" si="38"/>
        <v>30.216376749830658</v>
      </c>
      <c r="AJ10" s="10">
        <f t="shared" si="38"/>
        <v>31.727195587322193</v>
      </c>
      <c r="AK10" s="10">
        <f t="shared" si="38"/>
        <v>33.313555366688298</v>
      </c>
      <c r="AL10" s="10">
        <f t="shared" si="38"/>
        <v>34.979233135022724</v>
      </c>
      <c r="AM10" s="10">
        <f>AM2*AM3*2/10^7</f>
        <v>6.1213657986289762</v>
      </c>
    </row>
    <row r="11" spans="1:39" x14ac:dyDescent="0.25">
      <c r="A11" s="2">
        <f>(E11/215828*10^7)/12</f>
        <v>0</v>
      </c>
      <c r="C11" s="9" t="s">
        <v>7</v>
      </c>
      <c r="D11" s="9"/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>
        <v>0</v>
      </c>
    </row>
    <row r="12" spans="1:39" x14ac:dyDescent="0.25">
      <c r="C12" s="14" t="s">
        <v>8</v>
      </c>
      <c r="D12" s="9"/>
      <c r="E12" s="12">
        <f>E11+E10</f>
        <v>0.58261567999999997</v>
      </c>
      <c r="F12" s="12">
        <f t="shared" ref="F12:AM12" si="39">F11+F10</f>
        <v>7.3409575680000003</v>
      </c>
      <c r="G12" s="12">
        <f t="shared" si="39"/>
        <v>7.7080054464000014</v>
      </c>
      <c r="H12" s="12">
        <f t="shared" si="39"/>
        <v>8.0934057187200015</v>
      </c>
      <c r="I12" s="12">
        <f t="shared" si="39"/>
        <v>8.4980760046560029</v>
      </c>
      <c r="J12" s="12">
        <f t="shared" si="39"/>
        <v>8.9229798048888025</v>
      </c>
      <c r="K12" s="12">
        <f t="shared" si="39"/>
        <v>9.3691287951332445</v>
      </c>
      <c r="L12" s="12">
        <f t="shared" si="39"/>
        <v>9.8375852348899073</v>
      </c>
      <c r="M12" s="12">
        <f t="shared" si="39"/>
        <v>10.329464496634403</v>
      </c>
      <c r="N12" s="12">
        <f t="shared" si="39"/>
        <v>10.845937721466123</v>
      </c>
      <c r="O12" s="12">
        <f t="shared" si="39"/>
        <v>11.388234607539431</v>
      </c>
      <c r="P12" s="12">
        <f t="shared" si="39"/>
        <v>11.957646337916401</v>
      </c>
      <c r="Q12" s="12">
        <f t="shared" si="39"/>
        <v>12.555528654812223</v>
      </c>
      <c r="R12" s="12">
        <f t="shared" si="39"/>
        <v>13.183305087552833</v>
      </c>
      <c r="S12" s="12">
        <f t="shared" si="39"/>
        <v>13.842470341930476</v>
      </c>
      <c r="T12" s="12">
        <f t="shared" si="39"/>
        <v>14.534593859026998</v>
      </c>
      <c r="U12" s="12">
        <f t="shared" si="39"/>
        <v>15.26132355197835</v>
      </c>
      <c r="V12" s="12">
        <f t="shared" si="39"/>
        <v>16.024389729577265</v>
      </c>
      <c r="W12" s="12">
        <f t="shared" si="39"/>
        <v>16.825609216056133</v>
      </c>
      <c r="X12" s="12">
        <f t="shared" si="39"/>
        <v>17.66688967685894</v>
      </c>
      <c r="Y12" s="12">
        <f t="shared" si="39"/>
        <v>18.550234160701891</v>
      </c>
      <c r="Z12" s="12">
        <f t="shared" si="39"/>
        <v>19.477745868736985</v>
      </c>
      <c r="AA12" s="12">
        <f t="shared" si="39"/>
        <v>20.451633162173838</v>
      </c>
      <c r="AB12" s="12">
        <f t="shared" si="39"/>
        <v>21.47421482028253</v>
      </c>
      <c r="AC12" s="12">
        <f t="shared" si="39"/>
        <v>22.547925561296658</v>
      </c>
      <c r="AD12" s="12">
        <f t="shared" si="39"/>
        <v>23.675321839361487</v>
      </c>
      <c r="AE12" s="12">
        <f t="shared" si="39"/>
        <v>24.859087931329562</v>
      </c>
      <c r="AF12" s="12">
        <f t="shared" si="39"/>
        <v>26.102042327896044</v>
      </c>
      <c r="AG12" s="12">
        <f t="shared" si="39"/>
        <v>27.407144444290847</v>
      </c>
      <c r="AH12" s="12">
        <f t="shared" si="39"/>
        <v>28.77750166650539</v>
      </c>
      <c r="AI12" s="12">
        <f t="shared" si="39"/>
        <v>30.216376749830658</v>
      </c>
      <c r="AJ12" s="12">
        <f t="shared" si="39"/>
        <v>31.727195587322193</v>
      </c>
      <c r="AK12" s="12">
        <f t="shared" si="39"/>
        <v>33.313555366688298</v>
      </c>
      <c r="AL12" s="12">
        <f t="shared" si="39"/>
        <v>34.979233135022724</v>
      </c>
      <c r="AM12" s="12">
        <f t="shared" si="39"/>
        <v>6.1213657986289762</v>
      </c>
    </row>
    <row r="13" spans="1:39" x14ac:dyDescent="0.25">
      <c r="C13" s="8" t="s">
        <v>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x14ac:dyDescent="0.25">
      <c r="C14" s="57" t="s">
        <v>41</v>
      </c>
      <c r="D14" s="9"/>
      <c r="E14" s="10"/>
      <c r="F14" s="10"/>
      <c r="G14" s="10"/>
      <c r="H14" s="10"/>
      <c r="I14" s="10">
        <f>(I2*25)/10^7</f>
        <v>0.46210000000000001</v>
      </c>
      <c r="J14" s="10"/>
      <c r="K14" s="10"/>
      <c r="L14" s="10"/>
      <c r="M14" s="10"/>
      <c r="N14" s="10">
        <f>I14*1.1</f>
        <v>0.50831000000000004</v>
      </c>
      <c r="O14" s="10"/>
      <c r="P14" s="10"/>
      <c r="Q14" s="10"/>
      <c r="R14" s="10"/>
      <c r="S14" s="10">
        <f>N14*1.1</f>
        <v>0.55914100000000011</v>
      </c>
      <c r="T14" s="10"/>
      <c r="U14" s="10"/>
      <c r="V14" s="10"/>
      <c r="W14" s="10"/>
      <c r="X14" s="10">
        <f>S14*1.1</f>
        <v>0.61505510000000019</v>
      </c>
      <c r="Y14" s="10"/>
      <c r="Z14" s="10"/>
      <c r="AA14" s="10"/>
      <c r="AB14" s="10"/>
      <c r="AC14" s="10">
        <f>X14*1.1</f>
        <v>0.67656061000000023</v>
      </c>
      <c r="AD14" s="10"/>
      <c r="AE14" s="10"/>
      <c r="AF14" s="10"/>
      <c r="AG14" s="10"/>
      <c r="AH14" s="10">
        <f>AC14*1.1</f>
        <v>0.74421667100000033</v>
      </c>
      <c r="AI14" s="10"/>
      <c r="AJ14" s="10"/>
      <c r="AK14" s="10"/>
      <c r="AL14" s="10"/>
      <c r="AM14" s="10"/>
    </row>
    <row r="15" spans="1:39" hidden="1" x14ac:dyDescent="0.25"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idden="1" x14ac:dyDescent="0.25"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2:39" hidden="1" x14ac:dyDescent="0.25"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2:39" x14ac:dyDescent="0.25">
      <c r="C18" s="14" t="s">
        <v>10</v>
      </c>
      <c r="D18" s="9"/>
      <c r="E18" s="12">
        <f t="shared" ref="E18:AM18" si="40">SUM(E14:E17)</f>
        <v>0</v>
      </c>
      <c r="F18" s="12">
        <f t="shared" si="40"/>
        <v>0</v>
      </c>
      <c r="G18" s="12">
        <f t="shared" si="40"/>
        <v>0</v>
      </c>
      <c r="H18" s="12">
        <f t="shared" si="40"/>
        <v>0</v>
      </c>
      <c r="I18" s="12">
        <f>SUM(I14:I17)</f>
        <v>0.46210000000000001</v>
      </c>
      <c r="J18" s="12">
        <f t="shared" si="40"/>
        <v>0</v>
      </c>
      <c r="K18" s="12">
        <f t="shared" si="40"/>
        <v>0</v>
      </c>
      <c r="L18" s="12">
        <f t="shared" si="40"/>
        <v>0</v>
      </c>
      <c r="M18" s="12">
        <f t="shared" si="40"/>
        <v>0</v>
      </c>
      <c r="N18" s="12">
        <f t="shared" si="40"/>
        <v>0.50831000000000004</v>
      </c>
      <c r="O18" s="12">
        <f t="shared" si="40"/>
        <v>0</v>
      </c>
      <c r="P18" s="12">
        <f t="shared" si="40"/>
        <v>0</v>
      </c>
      <c r="Q18" s="12">
        <f t="shared" si="40"/>
        <v>0</v>
      </c>
      <c r="R18" s="12">
        <f t="shared" si="40"/>
        <v>0</v>
      </c>
      <c r="S18" s="12">
        <f t="shared" si="40"/>
        <v>0.55914100000000011</v>
      </c>
      <c r="T18" s="12">
        <f t="shared" si="40"/>
        <v>0</v>
      </c>
      <c r="U18" s="12">
        <f t="shared" si="40"/>
        <v>0</v>
      </c>
      <c r="V18" s="12">
        <f t="shared" si="40"/>
        <v>0</v>
      </c>
      <c r="W18" s="12">
        <f t="shared" si="40"/>
        <v>0</v>
      </c>
      <c r="X18" s="12">
        <f t="shared" si="40"/>
        <v>0.61505510000000019</v>
      </c>
      <c r="Y18" s="12">
        <f t="shared" si="40"/>
        <v>0</v>
      </c>
      <c r="Z18" s="12">
        <f t="shared" si="40"/>
        <v>0</v>
      </c>
      <c r="AA18" s="12">
        <f t="shared" si="40"/>
        <v>0</v>
      </c>
      <c r="AB18" s="12">
        <f t="shared" si="40"/>
        <v>0</v>
      </c>
      <c r="AC18" s="12">
        <f t="shared" si="40"/>
        <v>0.67656061000000023</v>
      </c>
      <c r="AD18" s="12">
        <f t="shared" si="40"/>
        <v>0</v>
      </c>
      <c r="AE18" s="12">
        <f t="shared" si="40"/>
        <v>0</v>
      </c>
      <c r="AF18" s="12">
        <f t="shared" si="40"/>
        <v>0</v>
      </c>
      <c r="AG18" s="12">
        <f t="shared" si="40"/>
        <v>0</v>
      </c>
      <c r="AH18" s="12">
        <f t="shared" si="40"/>
        <v>0.74421667100000033</v>
      </c>
      <c r="AI18" s="12">
        <f t="shared" si="40"/>
        <v>0</v>
      </c>
      <c r="AJ18" s="12">
        <f t="shared" si="40"/>
        <v>0</v>
      </c>
      <c r="AK18" s="12">
        <f t="shared" si="40"/>
        <v>0</v>
      </c>
      <c r="AL18" s="12">
        <f t="shared" si="40"/>
        <v>0</v>
      </c>
      <c r="AM18" s="12">
        <f t="shared" si="40"/>
        <v>0</v>
      </c>
    </row>
    <row r="19" spans="2:39" x14ac:dyDescent="0.25">
      <c r="C19" s="15" t="s">
        <v>11</v>
      </c>
      <c r="D19" s="9"/>
      <c r="E19" s="12">
        <f t="shared" ref="E19:AM19" si="41">E12-E18</f>
        <v>0.58261567999999997</v>
      </c>
      <c r="F19" s="12">
        <f t="shared" si="41"/>
        <v>7.3409575680000003</v>
      </c>
      <c r="G19" s="12">
        <f t="shared" si="41"/>
        <v>7.7080054464000014</v>
      </c>
      <c r="H19" s="12">
        <f t="shared" si="41"/>
        <v>8.0934057187200015</v>
      </c>
      <c r="I19" s="12">
        <f t="shared" si="41"/>
        <v>8.0359760046560034</v>
      </c>
      <c r="J19" s="12">
        <f t="shared" si="41"/>
        <v>8.9229798048888025</v>
      </c>
      <c r="K19" s="12">
        <f t="shared" si="41"/>
        <v>9.3691287951332445</v>
      </c>
      <c r="L19" s="12">
        <f t="shared" si="41"/>
        <v>9.8375852348899073</v>
      </c>
      <c r="M19" s="12">
        <f t="shared" si="41"/>
        <v>10.329464496634403</v>
      </c>
      <c r="N19" s="12">
        <f t="shared" si="41"/>
        <v>10.337627721466124</v>
      </c>
      <c r="O19" s="12">
        <f t="shared" si="41"/>
        <v>11.388234607539431</v>
      </c>
      <c r="P19" s="12">
        <f t="shared" si="41"/>
        <v>11.957646337916401</v>
      </c>
      <c r="Q19" s="12">
        <f t="shared" si="41"/>
        <v>12.555528654812223</v>
      </c>
      <c r="R19" s="12">
        <f t="shared" si="41"/>
        <v>13.183305087552833</v>
      </c>
      <c r="S19" s="12">
        <f t="shared" si="41"/>
        <v>13.283329341930475</v>
      </c>
      <c r="T19" s="12">
        <f t="shared" si="41"/>
        <v>14.534593859026998</v>
      </c>
      <c r="U19" s="12">
        <f t="shared" si="41"/>
        <v>15.26132355197835</v>
      </c>
      <c r="V19" s="12">
        <f t="shared" si="41"/>
        <v>16.024389729577265</v>
      </c>
      <c r="W19" s="12">
        <f t="shared" si="41"/>
        <v>16.825609216056133</v>
      </c>
      <c r="X19" s="12">
        <f t="shared" si="41"/>
        <v>17.051834576858941</v>
      </c>
      <c r="Y19" s="12">
        <f t="shared" si="41"/>
        <v>18.550234160701891</v>
      </c>
      <c r="Z19" s="12">
        <f t="shared" si="41"/>
        <v>19.477745868736985</v>
      </c>
      <c r="AA19" s="12">
        <f t="shared" si="41"/>
        <v>20.451633162173838</v>
      </c>
      <c r="AB19" s="12">
        <f t="shared" si="41"/>
        <v>21.47421482028253</v>
      </c>
      <c r="AC19" s="12">
        <f t="shared" si="41"/>
        <v>21.871364951296659</v>
      </c>
      <c r="AD19" s="12">
        <f t="shared" si="41"/>
        <v>23.675321839361487</v>
      </c>
      <c r="AE19" s="12">
        <f t="shared" si="41"/>
        <v>24.859087931329562</v>
      </c>
      <c r="AF19" s="12">
        <f t="shared" si="41"/>
        <v>26.102042327896044</v>
      </c>
      <c r="AG19" s="12">
        <f t="shared" si="41"/>
        <v>27.407144444290847</v>
      </c>
      <c r="AH19" s="12">
        <f t="shared" si="41"/>
        <v>28.03328499550539</v>
      </c>
      <c r="AI19" s="12">
        <f t="shared" si="41"/>
        <v>30.216376749830658</v>
      </c>
      <c r="AJ19" s="12">
        <f t="shared" si="41"/>
        <v>31.727195587322193</v>
      </c>
      <c r="AK19" s="12">
        <f t="shared" si="41"/>
        <v>33.313555366688298</v>
      </c>
      <c r="AL19" s="12">
        <f t="shared" si="41"/>
        <v>34.979233135022724</v>
      </c>
      <c r="AM19" s="12">
        <f t="shared" si="41"/>
        <v>6.1213657986289762</v>
      </c>
    </row>
    <row r="20" spans="2:39" x14ac:dyDescent="0.25">
      <c r="C20" s="9" t="s">
        <v>12</v>
      </c>
      <c r="D20" s="9"/>
      <c r="E20" s="11">
        <f>depriciation!$I$4/12</f>
        <v>4.657907268980465E-2</v>
      </c>
      <c r="F20" s="11">
        <f>depriciation!$I$4</f>
        <v>0.55894887227765577</v>
      </c>
      <c r="G20" s="11">
        <f>depriciation!$I$4</f>
        <v>0.55894887227765577</v>
      </c>
      <c r="H20" s="11">
        <f>depriciation!$I$4</f>
        <v>0.55894887227765577</v>
      </c>
      <c r="I20" s="11">
        <f>depriciation!$I$4</f>
        <v>0.55894887227765577</v>
      </c>
      <c r="J20" s="11">
        <f>depriciation!$I$4</f>
        <v>0.55894887227765577</v>
      </c>
      <c r="K20" s="11">
        <f>depriciation!$I$4</f>
        <v>0.55894887227765577</v>
      </c>
      <c r="L20" s="11">
        <f>depriciation!$I$4</f>
        <v>0.55894887227765577</v>
      </c>
      <c r="M20" s="11">
        <f>depriciation!$I$4</f>
        <v>0.55894887227765577</v>
      </c>
      <c r="N20" s="11">
        <f>depriciation!$I$4</f>
        <v>0.55894887227765577</v>
      </c>
      <c r="O20" s="11">
        <f>depriciation!$I$4</f>
        <v>0.55894887227765577</v>
      </c>
      <c r="P20" s="11">
        <f>depriciation!$I$4</f>
        <v>0.55894887227765577</v>
      </c>
      <c r="Q20" s="11">
        <f>depriciation!$I$4</f>
        <v>0.55894887227765577</v>
      </c>
      <c r="R20" s="11">
        <f>depriciation!$I$4</f>
        <v>0.55894887227765577</v>
      </c>
      <c r="S20" s="11">
        <f>depriciation!$I$4</f>
        <v>0.55894887227765577</v>
      </c>
      <c r="T20" s="11">
        <f>depriciation!$I$4</f>
        <v>0.55894887227765577</v>
      </c>
      <c r="U20" s="11">
        <f>depriciation!$I$4</f>
        <v>0.55894887227765577</v>
      </c>
      <c r="V20" s="11">
        <f>depriciation!$I$4</f>
        <v>0.55894887227765577</v>
      </c>
      <c r="W20" s="11">
        <f>depriciation!$I$4</f>
        <v>0.55894887227765577</v>
      </c>
      <c r="X20" s="11">
        <f>depriciation!$I$4</f>
        <v>0.55894887227765577</v>
      </c>
      <c r="Y20" s="11">
        <f>depriciation!$I$4</f>
        <v>0.55894887227765577</v>
      </c>
      <c r="Z20" s="11">
        <f>depriciation!$I$4</f>
        <v>0.55894887227765577</v>
      </c>
      <c r="AA20" s="11">
        <f>depriciation!$I$4</f>
        <v>0.55894887227765577</v>
      </c>
      <c r="AB20" s="11">
        <f>depriciation!$I$4</f>
        <v>0.55894887227765577</v>
      </c>
      <c r="AC20" s="11">
        <f>depriciation!$I$4</f>
        <v>0.55894887227765577</v>
      </c>
      <c r="AD20" s="11">
        <f>depriciation!$I$4</f>
        <v>0.55894887227765577</v>
      </c>
      <c r="AE20" s="11">
        <f>depriciation!$I$4</f>
        <v>0.55894887227765577</v>
      </c>
      <c r="AF20" s="11">
        <f>depriciation!$I$4</f>
        <v>0.55894887227765577</v>
      </c>
      <c r="AG20" s="11">
        <f>depriciation!$I$4</f>
        <v>0.55894887227765577</v>
      </c>
      <c r="AH20" s="11">
        <f>depriciation!$I$4</f>
        <v>0.55894887227765577</v>
      </c>
      <c r="AI20" s="11">
        <f>depriciation!$I$4</f>
        <v>0.55894887227765577</v>
      </c>
      <c r="AJ20" s="11">
        <f>depriciation!$I$4</f>
        <v>0.55894887227765577</v>
      </c>
      <c r="AK20" s="11">
        <f>depriciation!$I$4</f>
        <v>0.55894887227765577</v>
      </c>
      <c r="AL20" s="11">
        <f>depriciation!$I$4</f>
        <v>0.55894887227765577</v>
      </c>
      <c r="AM20" s="11">
        <f>depriciation!$I$4/6</f>
        <v>9.31581453796093E-2</v>
      </c>
    </row>
    <row r="21" spans="2:39" x14ac:dyDescent="0.25">
      <c r="C21" s="14" t="s">
        <v>14</v>
      </c>
      <c r="D21" s="9"/>
      <c r="E21" s="16">
        <f>E19-E20</f>
        <v>0.53603660731019531</v>
      </c>
      <c r="F21" s="16">
        <f t="shared" ref="F21:AK21" si="42">F19-F20</f>
        <v>6.7820086957223449</v>
      </c>
      <c r="G21" s="16">
        <f t="shared" si="42"/>
        <v>7.149056574122346</v>
      </c>
      <c r="H21" s="16">
        <f t="shared" si="42"/>
        <v>7.534456846442346</v>
      </c>
      <c r="I21" s="16">
        <f t="shared" si="42"/>
        <v>7.4770271323783479</v>
      </c>
      <c r="J21" s="16">
        <f t="shared" si="42"/>
        <v>8.3640309326111471</v>
      </c>
      <c r="K21" s="16">
        <f t="shared" si="42"/>
        <v>8.810179922855589</v>
      </c>
      <c r="L21" s="16">
        <f t="shared" si="42"/>
        <v>9.2786363626122519</v>
      </c>
      <c r="M21" s="16">
        <f t="shared" si="42"/>
        <v>9.7705156243567473</v>
      </c>
      <c r="N21" s="16">
        <f t="shared" si="42"/>
        <v>9.7786788491884682</v>
      </c>
      <c r="O21" s="16">
        <f t="shared" si="42"/>
        <v>10.829285735261776</v>
      </c>
      <c r="P21" s="16">
        <f t="shared" si="42"/>
        <v>11.398697465638746</v>
      </c>
      <c r="Q21" s="16">
        <f t="shared" si="42"/>
        <v>11.996579782534567</v>
      </c>
      <c r="R21" s="16">
        <f t="shared" si="42"/>
        <v>12.624356215275178</v>
      </c>
      <c r="S21" s="16">
        <f t="shared" si="42"/>
        <v>12.72438046965282</v>
      </c>
      <c r="T21" s="16">
        <f t="shared" si="42"/>
        <v>13.975644986749343</v>
      </c>
      <c r="U21" s="33">
        <f t="shared" si="42"/>
        <v>14.702374679700695</v>
      </c>
      <c r="V21" s="16">
        <f t="shared" si="42"/>
        <v>15.46544085729961</v>
      </c>
      <c r="W21" s="16">
        <f t="shared" si="42"/>
        <v>16.266660343778476</v>
      </c>
      <c r="X21" s="16">
        <f t="shared" si="42"/>
        <v>16.492885704581283</v>
      </c>
      <c r="Y21" s="16">
        <f t="shared" si="42"/>
        <v>17.991285288424233</v>
      </c>
      <c r="Z21" s="16">
        <f t="shared" si="42"/>
        <v>18.918796996459328</v>
      </c>
      <c r="AA21" s="16">
        <f t="shared" si="42"/>
        <v>19.892684289896181</v>
      </c>
      <c r="AB21" s="16">
        <f t="shared" si="42"/>
        <v>20.915265948004873</v>
      </c>
      <c r="AC21" s="16">
        <f t="shared" si="42"/>
        <v>21.312416079019002</v>
      </c>
      <c r="AD21" s="16">
        <f t="shared" si="42"/>
        <v>23.11637296708383</v>
      </c>
      <c r="AE21" s="16">
        <f t="shared" si="42"/>
        <v>24.300139059051904</v>
      </c>
      <c r="AF21" s="16">
        <f t="shared" si="42"/>
        <v>25.543093455618386</v>
      </c>
      <c r="AG21" s="16">
        <f t="shared" si="42"/>
        <v>26.848195572013189</v>
      </c>
      <c r="AH21" s="16">
        <f t="shared" si="42"/>
        <v>27.474336123227733</v>
      </c>
      <c r="AI21" s="16">
        <f t="shared" si="42"/>
        <v>29.657427877553001</v>
      </c>
      <c r="AJ21" s="16">
        <f t="shared" si="42"/>
        <v>31.168246715044535</v>
      </c>
      <c r="AK21" s="16">
        <f t="shared" si="42"/>
        <v>32.754606494410645</v>
      </c>
      <c r="AL21" s="16">
        <f t="shared" ref="AL21:AM21" si="43">AL19-AL20</f>
        <v>34.420284262745071</v>
      </c>
      <c r="AM21" s="16">
        <f t="shared" si="43"/>
        <v>6.0282076532493667</v>
      </c>
    </row>
    <row r="22" spans="2:39" x14ac:dyDescent="0.25">
      <c r="C22" s="14" t="s">
        <v>13</v>
      </c>
      <c r="D22" s="9"/>
      <c r="E22" s="17">
        <f>25%*(1.04*1.07)</f>
        <v>0.2782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7">
        <f>25%*(1.04*1.12)</f>
        <v>0.29120000000000001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2:39" x14ac:dyDescent="0.25">
      <c r="C23" s="15" t="s">
        <v>15</v>
      </c>
      <c r="D23" s="9"/>
      <c r="E23" s="12">
        <f>E21*(1-($D$39*(1+$D$40)*(1+IF(E21&gt;10,$D$43,$D$42))))</f>
        <v>0.38691122315649895</v>
      </c>
      <c r="F23" s="12">
        <f t="shared" ref="F23:AM23" si="44">F21*(1-($D$39*(1+$D$40)*(1+IF(F21&gt;10,$D$43,$D$42))))</f>
        <v>4.8952538765723883</v>
      </c>
      <c r="G23" s="12">
        <f t="shared" si="44"/>
        <v>5.1601890352015092</v>
      </c>
      <c r="H23" s="12">
        <f t="shared" si="44"/>
        <v>5.4383709517620851</v>
      </c>
      <c r="I23" s="12">
        <f t="shared" si="44"/>
        <v>5.3969181841506915</v>
      </c>
      <c r="J23" s="12">
        <f t="shared" si="44"/>
        <v>6.0371575271587261</v>
      </c>
      <c r="K23" s="12">
        <f t="shared" si="44"/>
        <v>6.3591878683171643</v>
      </c>
      <c r="L23" s="12">
        <f t="shared" si="44"/>
        <v>6.6973197265335234</v>
      </c>
      <c r="M23" s="12">
        <f t="shared" si="44"/>
        <v>7.0523581776607003</v>
      </c>
      <c r="N23" s="12">
        <f t="shared" si="44"/>
        <v>7.0582503933442364</v>
      </c>
      <c r="O23" s="12">
        <f t="shared" si="44"/>
        <v>7.6757977291535466</v>
      </c>
      <c r="P23" s="12">
        <f t="shared" si="44"/>
        <v>8.079396763644743</v>
      </c>
      <c r="Q23" s="12">
        <f t="shared" si="44"/>
        <v>8.5031757498605014</v>
      </c>
      <c r="R23" s="12">
        <f t="shared" si="44"/>
        <v>8.9481436853870466</v>
      </c>
      <c r="S23" s="12">
        <f t="shared" si="44"/>
        <v>9.0190408768899193</v>
      </c>
      <c r="T23" s="12">
        <f t="shared" si="44"/>
        <v>9.9059371666079343</v>
      </c>
      <c r="U23" s="12">
        <f t="shared" si="44"/>
        <v>10.421043172971853</v>
      </c>
      <c r="V23" s="12">
        <f t="shared" si="44"/>
        <v>10.961904479653963</v>
      </c>
      <c r="W23" s="12">
        <f t="shared" si="44"/>
        <v>11.529808851670184</v>
      </c>
      <c r="X23" s="12">
        <f t="shared" si="44"/>
        <v>11.690157387407213</v>
      </c>
      <c r="Y23" s="12">
        <f t="shared" si="44"/>
        <v>12.752223012435095</v>
      </c>
      <c r="Z23" s="12">
        <f t="shared" si="44"/>
        <v>13.409643311090372</v>
      </c>
      <c r="AA23" s="12">
        <f t="shared" si="44"/>
        <v>14.099934624678413</v>
      </c>
      <c r="AB23" s="12">
        <f t="shared" si="44"/>
        <v>14.824740503945854</v>
      </c>
      <c r="AC23" s="12">
        <f t="shared" si="44"/>
        <v>15.106240516808668</v>
      </c>
      <c r="AD23" s="12">
        <f t="shared" si="44"/>
        <v>16.384885159069018</v>
      </c>
      <c r="AE23" s="12">
        <f t="shared" si="44"/>
        <v>17.223938565055988</v>
      </c>
      <c r="AF23" s="12">
        <f t="shared" si="44"/>
        <v>18.104944641342311</v>
      </c>
      <c r="AG23" s="12">
        <f t="shared" si="44"/>
        <v>19.030001021442949</v>
      </c>
      <c r="AH23" s="12">
        <f t="shared" si="44"/>
        <v>19.473809444143818</v>
      </c>
      <c r="AI23" s="12">
        <f t="shared" si="44"/>
        <v>21.021184879609567</v>
      </c>
      <c r="AJ23" s="12">
        <f t="shared" si="44"/>
        <v>22.092053271623566</v>
      </c>
      <c r="AK23" s="12">
        <f t="shared" si="44"/>
        <v>23.216465083238266</v>
      </c>
      <c r="AL23" s="12">
        <f t="shared" si="44"/>
        <v>24.397097485433704</v>
      </c>
      <c r="AM23" s="12">
        <f t="shared" si="44"/>
        <v>4.3511602841153927</v>
      </c>
    </row>
    <row r="24" spans="2:39" x14ac:dyDescent="0.25">
      <c r="C24" s="9" t="s">
        <v>16</v>
      </c>
      <c r="D24" s="9"/>
      <c r="E24" s="13">
        <f>E20</f>
        <v>4.657907268980465E-2</v>
      </c>
      <c r="F24" s="13">
        <f t="shared" ref="F24:AK24" si="45">F20</f>
        <v>0.55894887227765577</v>
      </c>
      <c r="G24" s="13">
        <f t="shared" si="45"/>
        <v>0.55894887227765577</v>
      </c>
      <c r="H24" s="13">
        <f t="shared" si="45"/>
        <v>0.55894887227765577</v>
      </c>
      <c r="I24" s="13">
        <f t="shared" si="45"/>
        <v>0.55894887227765577</v>
      </c>
      <c r="J24" s="13">
        <f t="shared" si="45"/>
        <v>0.55894887227765577</v>
      </c>
      <c r="K24" s="13">
        <f t="shared" si="45"/>
        <v>0.55894887227765577</v>
      </c>
      <c r="L24" s="13">
        <f t="shared" si="45"/>
        <v>0.55894887227765577</v>
      </c>
      <c r="M24" s="13">
        <f t="shared" si="45"/>
        <v>0.55894887227765577</v>
      </c>
      <c r="N24" s="13">
        <f t="shared" si="45"/>
        <v>0.55894887227765577</v>
      </c>
      <c r="O24" s="13">
        <f t="shared" si="45"/>
        <v>0.55894887227765577</v>
      </c>
      <c r="P24" s="13">
        <f t="shared" si="45"/>
        <v>0.55894887227765577</v>
      </c>
      <c r="Q24" s="13">
        <f t="shared" si="45"/>
        <v>0.55894887227765577</v>
      </c>
      <c r="R24" s="13">
        <f t="shared" si="45"/>
        <v>0.55894887227765577</v>
      </c>
      <c r="S24" s="13">
        <f t="shared" si="45"/>
        <v>0.55894887227765577</v>
      </c>
      <c r="T24" s="13">
        <f t="shared" si="45"/>
        <v>0.55894887227765577</v>
      </c>
      <c r="U24" s="13">
        <f t="shared" si="45"/>
        <v>0.55894887227765577</v>
      </c>
      <c r="V24" s="13">
        <f t="shared" si="45"/>
        <v>0.55894887227765577</v>
      </c>
      <c r="W24" s="13">
        <f t="shared" si="45"/>
        <v>0.55894887227765577</v>
      </c>
      <c r="X24" s="13">
        <f t="shared" si="45"/>
        <v>0.55894887227765577</v>
      </c>
      <c r="Y24" s="13">
        <f t="shared" si="45"/>
        <v>0.55894887227765577</v>
      </c>
      <c r="Z24" s="13">
        <f t="shared" si="45"/>
        <v>0.55894887227765577</v>
      </c>
      <c r="AA24" s="13">
        <f t="shared" si="45"/>
        <v>0.55894887227765577</v>
      </c>
      <c r="AB24" s="13">
        <f t="shared" si="45"/>
        <v>0.55894887227765577</v>
      </c>
      <c r="AC24" s="13">
        <f t="shared" si="45"/>
        <v>0.55894887227765577</v>
      </c>
      <c r="AD24" s="13">
        <f t="shared" si="45"/>
        <v>0.55894887227765577</v>
      </c>
      <c r="AE24" s="13">
        <f t="shared" si="45"/>
        <v>0.55894887227765577</v>
      </c>
      <c r="AF24" s="13">
        <f t="shared" si="45"/>
        <v>0.55894887227765577</v>
      </c>
      <c r="AG24" s="13">
        <f t="shared" si="45"/>
        <v>0.55894887227765577</v>
      </c>
      <c r="AH24" s="13">
        <f t="shared" si="45"/>
        <v>0.55894887227765577</v>
      </c>
      <c r="AI24" s="13">
        <f t="shared" si="45"/>
        <v>0.55894887227765577</v>
      </c>
      <c r="AJ24" s="13">
        <f t="shared" si="45"/>
        <v>0.55894887227765577</v>
      </c>
      <c r="AK24" s="13">
        <f t="shared" si="45"/>
        <v>0.55894887227765577</v>
      </c>
      <c r="AL24" s="13">
        <f t="shared" ref="AL24:AM24" si="46">AL20</f>
        <v>0.55894887227765577</v>
      </c>
      <c r="AM24" s="13">
        <f t="shared" si="46"/>
        <v>9.31581453796093E-2</v>
      </c>
    </row>
    <row r="25" spans="2:39" x14ac:dyDescent="0.25">
      <c r="C25" s="9" t="s">
        <v>17</v>
      </c>
      <c r="D25" s="9"/>
      <c r="E25" s="13"/>
      <c r="F25" s="1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2:39" x14ac:dyDescent="0.25">
      <c r="C26" s="9" t="s">
        <v>18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2:39" x14ac:dyDescent="0.25">
      <c r="C27" s="15" t="s">
        <v>19</v>
      </c>
      <c r="D27" s="9"/>
      <c r="E27" s="12">
        <f>E23+E24-E25-E26</f>
        <v>0.43349029584630361</v>
      </c>
      <c r="F27" s="12">
        <f t="shared" ref="F27:AK27" si="47">F23+F24-F25-F26</f>
        <v>5.4542027488500437</v>
      </c>
      <c r="G27" s="12">
        <f t="shared" si="47"/>
        <v>5.7191379074791646</v>
      </c>
      <c r="H27" s="12">
        <f t="shared" si="47"/>
        <v>5.9973198240397405</v>
      </c>
      <c r="I27" s="12">
        <f t="shared" si="47"/>
        <v>5.9558670564283469</v>
      </c>
      <c r="J27" s="12">
        <f t="shared" si="47"/>
        <v>6.5961063994363816</v>
      </c>
      <c r="K27" s="12">
        <f t="shared" si="47"/>
        <v>6.9181367405948198</v>
      </c>
      <c r="L27" s="12">
        <f t="shared" si="47"/>
        <v>7.2562685988111788</v>
      </c>
      <c r="M27" s="12">
        <f t="shared" si="47"/>
        <v>7.6113070499383557</v>
      </c>
      <c r="N27" s="12">
        <f t="shared" si="47"/>
        <v>7.6171992656218919</v>
      </c>
      <c r="O27" s="12">
        <f t="shared" si="47"/>
        <v>8.234746601431203</v>
      </c>
      <c r="P27" s="12">
        <f t="shared" si="47"/>
        <v>8.6383456359223985</v>
      </c>
      <c r="Q27" s="12">
        <f t="shared" si="47"/>
        <v>9.0621246221381568</v>
      </c>
      <c r="R27" s="12">
        <f t="shared" si="47"/>
        <v>9.5070925576647021</v>
      </c>
      <c r="S27" s="12">
        <f t="shared" si="47"/>
        <v>9.5779897491675747</v>
      </c>
      <c r="T27" s="12">
        <f t="shared" si="47"/>
        <v>10.46488603888559</v>
      </c>
      <c r="U27" s="12">
        <f t="shared" si="47"/>
        <v>10.979992045249508</v>
      </c>
      <c r="V27" s="12">
        <f t="shared" si="47"/>
        <v>11.520853351931619</v>
      </c>
      <c r="W27" s="12">
        <f t="shared" si="47"/>
        <v>12.08875772394784</v>
      </c>
      <c r="X27" s="12">
        <f t="shared" si="47"/>
        <v>12.249106259684869</v>
      </c>
      <c r="Y27" s="12">
        <f t="shared" si="47"/>
        <v>13.311171884712751</v>
      </c>
      <c r="Z27" s="12">
        <f t="shared" si="47"/>
        <v>13.968592183368028</v>
      </c>
      <c r="AA27" s="12">
        <f t="shared" si="47"/>
        <v>14.658883496956069</v>
      </c>
      <c r="AB27" s="12">
        <f t="shared" si="47"/>
        <v>15.38368937622351</v>
      </c>
      <c r="AC27" s="12">
        <f t="shared" si="47"/>
        <v>15.665189389086324</v>
      </c>
      <c r="AD27" s="12">
        <f t="shared" si="47"/>
        <v>16.943834031346675</v>
      </c>
      <c r="AE27" s="12">
        <f t="shared" si="47"/>
        <v>17.782887437333645</v>
      </c>
      <c r="AF27" s="12">
        <f t="shared" si="47"/>
        <v>18.663893513619968</v>
      </c>
      <c r="AG27" s="12">
        <f t="shared" si="47"/>
        <v>19.588949893720606</v>
      </c>
      <c r="AH27" s="12">
        <f t="shared" si="47"/>
        <v>20.032758316421475</v>
      </c>
      <c r="AI27" s="12">
        <f t="shared" si="47"/>
        <v>21.580133751887224</v>
      </c>
      <c r="AJ27" s="12">
        <f t="shared" si="47"/>
        <v>22.651002143901223</v>
      </c>
      <c r="AK27" s="12">
        <f t="shared" si="47"/>
        <v>23.775413955515923</v>
      </c>
      <c r="AL27" s="12">
        <f t="shared" ref="AL27:AM27" si="48">AL23+AL24-AL25-AL26</f>
        <v>24.956046357711362</v>
      </c>
      <c r="AM27" s="12">
        <f t="shared" si="48"/>
        <v>4.4443184294950022</v>
      </c>
    </row>
    <row r="28" spans="2:39" x14ac:dyDescent="0.25">
      <c r="B28" s="4">
        <v>0.12</v>
      </c>
      <c r="C28" s="9" t="s">
        <v>49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2:39" x14ac:dyDescent="0.25">
      <c r="B29" s="4"/>
      <c r="C29" s="9" t="s">
        <v>23</v>
      </c>
      <c r="D29" s="9"/>
      <c r="E29" s="11">
        <f>E5/E4</f>
        <v>9.0163934426229511E-2</v>
      </c>
      <c r="F29" s="13">
        <f>E29+1</f>
        <v>1.0901639344262295</v>
      </c>
      <c r="G29" s="13">
        <f t="shared" ref="G29:AK29" si="49">F29+1</f>
        <v>2.0901639344262293</v>
      </c>
      <c r="H29" s="13">
        <f t="shared" si="49"/>
        <v>3.0901639344262293</v>
      </c>
      <c r="I29" s="13">
        <f t="shared" si="49"/>
        <v>4.0901639344262293</v>
      </c>
      <c r="J29" s="13">
        <f t="shared" si="49"/>
        <v>5.0901639344262293</v>
      </c>
      <c r="K29" s="13">
        <f t="shared" si="49"/>
        <v>6.0901639344262293</v>
      </c>
      <c r="L29" s="13">
        <f>K29+1</f>
        <v>7.0901639344262293</v>
      </c>
      <c r="M29" s="13">
        <f t="shared" si="49"/>
        <v>8.0901639344262293</v>
      </c>
      <c r="N29" s="13">
        <f t="shared" si="49"/>
        <v>9.0901639344262293</v>
      </c>
      <c r="O29" s="13">
        <f t="shared" si="49"/>
        <v>10.090163934426229</v>
      </c>
      <c r="P29" s="13">
        <f t="shared" si="49"/>
        <v>11.090163934426229</v>
      </c>
      <c r="Q29" s="13">
        <f t="shared" si="49"/>
        <v>12.090163934426229</v>
      </c>
      <c r="R29" s="13">
        <f t="shared" si="49"/>
        <v>13.090163934426229</v>
      </c>
      <c r="S29" s="13">
        <f t="shared" si="49"/>
        <v>14.090163934426229</v>
      </c>
      <c r="T29" s="13">
        <f t="shared" si="49"/>
        <v>15.090163934426229</v>
      </c>
      <c r="U29" s="13">
        <f t="shared" si="49"/>
        <v>16.090163934426229</v>
      </c>
      <c r="V29" s="13">
        <f t="shared" si="49"/>
        <v>17.090163934426229</v>
      </c>
      <c r="W29" s="13">
        <f t="shared" si="49"/>
        <v>18.090163934426229</v>
      </c>
      <c r="X29" s="13">
        <f t="shared" si="49"/>
        <v>19.090163934426229</v>
      </c>
      <c r="Y29" s="13">
        <f t="shared" si="49"/>
        <v>20.090163934426229</v>
      </c>
      <c r="Z29" s="13">
        <f t="shared" si="49"/>
        <v>21.090163934426229</v>
      </c>
      <c r="AA29" s="13">
        <f t="shared" si="49"/>
        <v>22.090163934426229</v>
      </c>
      <c r="AB29" s="13">
        <f t="shared" si="49"/>
        <v>23.090163934426229</v>
      </c>
      <c r="AC29" s="13">
        <f t="shared" si="49"/>
        <v>24.090163934426229</v>
      </c>
      <c r="AD29" s="13">
        <f t="shared" si="49"/>
        <v>25.090163934426229</v>
      </c>
      <c r="AE29" s="13">
        <f t="shared" si="49"/>
        <v>26.090163934426229</v>
      </c>
      <c r="AF29" s="13">
        <f t="shared" si="49"/>
        <v>27.090163934426229</v>
      </c>
      <c r="AG29" s="13">
        <f t="shared" si="49"/>
        <v>28.090163934426229</v>
      </c>
      <c r="AH29" s="13">
        <f t="shared" si="49"/>
        <v>29.090163934426229</v>
      </c>
      <c r="AI29" s="13">
        <f t="shared" si="49"/>
        <v>30.090163934426229</v>
      </c>
      <c r="AJ29" s="13">
        <f t="shared" si="49"/>
        <v>31.090163934426229</v>
      </c>
      <c r="AK29" s="13">
        <f t="shared" si="49"/>
        <v>32.090163934426229</v>
      </c>
      <c r="AL29" s="13">
        <f t="shared" ref="AL29" si="50">AK29+1</f>
        <v>33.090163934426229</v>
      </c>
      <c r="AM29" s="13">
        <f t="shared" ref="AM29" si="51">AL29+1</f>
        <v>34.090163934426229</v>
      </c>
    </row>
    <row r="30" spans="2:39" x14ac:dyDescent="0.25">
      <c r="C30" s="9" t="s">
        <v>21</v>
      </c>
      <c r="D30" s="9"/>
      <c r="E30" s="13">
        <f>1/(1+$B$28)^E29</f>
        <v>0.98983386788673378</v>
      </c>
      <c r="F30" s="13">
        <f t="shared" ref="F30:AK30" si="52">1/(1+$B$28)^F29</f>
        <v>0.8837802391845837</v>
      </c>
      <c r="G30" s="13">
        <f t="shared" si="52"/>
        <v>0.7890894992719496</v>
      </c>
      <c r="H30" s="13">
        <f t="shared" si="52"/>
        <v>0.70454419577852645</v>
      </c>
      <c r="I30" s="13">
        <f t="shared" si="52"/>
        <v>0.62905731765939843</v>
      </c>
      <c r="J30" s="13">
        <f t="shared" si="52"/>
        <v>0.56165831933874855</v>
      </c>
      <c r="K30" s="13">
        <f t="shared" si="52"/>
        <v>0.50148064226673983</v>
      </c>
      <c r="L30" s="13">
        <f t="shared" si="52"/>
        <v>0.44775057345244618</v>
      </c>
      <c r="M30" s="13">
        <f t="shared" si="52"/>
        <v>0.39977729772539838</v>
      </c>
      <c r="N30" s="13">
        <f t="shared" si="52"/>
        <v>0.35694401582624846</v>
      </c>
      <c r="O30" s="13">
        <f t="shared" si="52"/>
        <v>0.31870001413057902</v>
      </c>
      <c r="P30" s="13">
        <f t="shared" si="52"/>
        <v>0.28455358404515979</v>
      </c>
      <c r="Q30" s="13">
        <f t="shared" si="52"/>
        <v>0.25406570004032125</v>
      </c>
      <c r="R30" s="13">
        <f t="shared" si="52"/>
        <v>0.22684437503600108</v>
      </c>
      <c r="S30" s="13">
        <f t="shared" si="52"/>
        <v>0.20253962056785807</v>
      </c>
      <c r="T30" s="13">
        <f t="shared" si="52"/>
        <v>0.18083894693558755</v>
      </c>
      <c r="U30" s="13">
        <f t="shared" si="52"/>
        <v>0.16146334547820315</v>
      </c>
      <c r="V30" s="13">
        <f t="shared" si="52"/>
        <v>0.14416370131982423</v>
      </c>
      <c r="W30" s="13">
        <f t="shared" si="52"/>
        <v>0.12871759046412876</v>
      </c>
      <c r="X30" s="13">
        <f t="shared" si="52"/>
        <v>0.11492642005725782</v>
      </c>
      <c r="Y30" s="13">
        <f t="shared" si="52"/>
        <v>0.10261287505112304</v>
      </c>
      <c r="Z30" s="13">
        <f t="shared" si="52"/>
        <v>9.1618638438502709E-2</v>
      </c>
      <c r="AA30" s="13">
        <f t="shared" si="52"/>
        <v>8.1802355748663125E-2</v>
      </c>
      <c r="AB30" s="13">
        <f t="shared" si="52"/>
        <v>7.3037817632734925E-2</v>
      </c>
      <c r="AC30" s="13">
        <f t="shared" si="52"/>
        <v>6.5212337172084758E-2</v>
      </c>
      <c r="AD30" s="13">
        <f t="shared" si="52"/>
        <v>5.8225301046504252E-2</v>
      </c>
      <c r="AE30" s="13">
        <f t="shared" si="52"/>
        <v>5.1986875934378785E-2</v>
      </c>
      <c r="AF30" s="13">
        <f t="shared" si="52"/>
        <v>4.6416853512838176E-2</v>
      </c>
      <c r="AG30" s="13">
        <f t="shared" si="52"/>
        <v>4.1443619207891226E-2</v>
      </c>
      <c r="AH30" s="13">
        <f t="shared" si="52"/>
        <v>3.7003231435617165E-2</v>
      </c>
      <c r="AI30" s="13">
        <f t="shared" si="52"/>
        <v>3.303859949608675E-2</v>
      </c>
      <c r="AJ30" s="13">
        <f t="shared" si="52"/>
        <v>2.9498749550077454E-2</v>
      </c>
      <c r="AK30" s="13">
        <f t="shared" si="52"/>
        <v>2.6338169241140585E-2</v>
      </c>
      <c r="AL30" s="13">
        <f t="shared" ref="AL30:AM30" si="53">1/(1+$B$28)^AL29</f>
        <v>2.3516222536732662E-2</v>
      </c>
      <c r="AM30" s="13">
        <f t="shared" si="53"/>
        <v>2.0996627264939876E-2</v>
      </c>
    </row>
    <row r="31" spans="2:39" x14ac:dyDescent="0.25">
      <c r="C31" s="9" t="s">
        <v>20</v>
      </c>
      <c r="D31" s="9"/>
      <c r="E31" s="13">
        <f>E27*E30</f>
        <v>0.42908337622891124</v>
      </c>
      <c r="F31" s="13">
        <f t="shared" ref="F31:AK31" si="54">F27*F30</f>
        <v>4.8203166099399057</v>
      </c>
      <c r="G31" s="13">
        <f t="shared" si="54"/>
        <v>4.5129116676799592</v>
      </c>
      <c r="H31" s="13">
        <f t="shared" si="54"/>
        <v>4.2253768722546932</v>
      </c>
      <c r="I31" s="13">
        <f t="shared" si="54"/>
        <v>3.7465817548527931</v>
      </c>
      <c r="J31" s="13">
        <f t="shared" si="54"/>
        <v>3.7047580344870021</v>
      </c>
      <c r="K31" s="13">
        <f t="shared" si="54"/>
        <v>3.4693116559626205</v>
      </c>
      <c r="L31" s="13">
        <f t="shared" si="54"/>
        <v>3.2489984262426832</v>
      </c>
      <c r="M31" s="13">
        <f t="shared" si="54"/>
        <v>3.0428277645826296</v>
      </c>
      <c r="N31" s="13">
        <f t="shared" si="54"/>
        <v>2.718913695219829</v>
      </c>
      <c r="O31" s="13">
        <f t="shared" si="54"/>
        <v>2.6244138582378618</v>
      </c>
      <c r="P31" s="13">
        <f t="shared" si="54"/>
        <v>2.4580722109225834</v>
      </c>
      <c r="Q31" s="13">
        <f t="shared" si="54"/>
        <v>2.3023750359761626</v>
      </c>
      <c r="R31" s="13">
        <f t="shared" si="54"/>
        <v>2.1566304696528662</v>
      </c>
      <c r="S31" s="13">
        <f t="shared" si="54"/>
        <v>1.9399224095992347</v>
      </c>
      <c r="T31" s="13">
        <f t="shared" si="54"/>
        <v>1.8924589710730022</v>
      </c>
      <c r="U31" s="13">
        <f t="shared" si="54"/>
        <v>1.7728662489500437</v>
      </c>
      <c r="V31" s="13">
        <f t="shared" si="54"/>
        <v>1.6608888615773656</v>
      </c>
      <c r="W31" s="13">
        <f t="shared" si="54"/>
        <v>1.5560357659311912</v>
      </c>
      <c r="X31" s="13">
        <f t="shared" si="54"/>
        <v>1.4077459313265295</v>
      </c>
      <c r="Y31" s="13">
        <f t="shared" si="54"/>
        <v>1.3658976173900514</v>
      </c>
      <c r="Z31" s="13">
        <f t="shared" si="54"/>
        <v>1.2797833967428904</v>
      </c>
      <c r="AA31" s="13">
        <f t="shared" si="54"/>
        <v>1.1991312026962073</v>
      </c>
      <c r="AB31" s="13">
        <f t="shared" si="54"/>
        <v>1.1235910991792544</v>
      </c>
      <c r="AC31" s="13">
        <f t="shared" si="54"/>
        <v>1.0215636123056617</v>
      </c>
      <c r="AD31" s="13">
        <f t="shared" si="54"/>
        <v>0.9865598373571639</v>
      </c>
      <c r="AE31" s="13">
        <f t="shared" si="54"/>
        <v>0.92447676295968728</v>
      </c>
      <c r="AF31" s="13">
        <f t="shared" si="54"/>
        <v>0.8663192112009086</v>
      </c>
      <c r="AG31" s="13">
        <f t="shared" si="54"/>
        <v>0.81183698007781813</v>
      </c>
      <c r="AH31" s="13">
        <f t="shared" si="54"/>
        <v>0.74127679227632837</v>
      </c>
      <c r="AI31" s="13">
        <f t="shared" si="54"/>
        <v>0.71297739610058597</v>
      </c>
      <c r="AJ31" s="13">
        <f t="shared" si="54"/>
        <v>0.66817623930120962</v>
      </c>
      <c r="AK31" s="13">
        <f t="shared" si="54"/>
        <v>0.62620087653855405</v>
      </c>
      <c r="AL31" s="13">
        <f t="shared" ref="AL31:AM31" si="55">AL27*AL30</f>
        <v>0.586871939784957</v>
      </c>
      <c r="AM31" s="13">
        <f t="shared" si="55"/>
        <v>9.3315697510809537E-2</v>
      </c>
    </row>
    <row r="32" spans="2:39" x14ac:dyDescent="0.25">
      <c r="C32" s="31" t="s">
        <v>25</v>
      </c>
      <c r="D32" s="14"/>
      <c r="E32" s="16">
        <f>SUM(E31:AM31)</f>
        <v>66.698468282119933</v>
      </c>
      <c r="F32" s="9"/>
      <c r="G32" s="9"/>
      <c r="H32" s="9"/>
      <c r="I32" s="9"/>
      <c r="J32" s="9"/>
      <c r="K32" s="9"/>
      <c r="L32" s="9"/>
      <c r="M32" s="9"/>
      <c r="N32" s="9"/>
      <c r="P32" s="9"/>
      <c r="Q32" s="9"/>
      <c r="R32" s="9"/>
      <c r="S32" s="9"/>
      <c r="T32" s="9"/>
      <c r="U32" s="9"/>
      <c r="V32" s="9"/>
      <c r="W32" s="9"/>
      <c r="X32" s="9"/>
      <c r="Y32" s="14"/>
      <c r="Z32" s="9"/>
      <c r="AA32" s="9"/>
      <c r="AB32" s="9"/>
      <c r="AC32" s="9"/>
      <c r="AD32" s="9"/>
      <c r="AE32" s="9"/>
      <c r="AF32" s="9"/>
      <c r="AG32" s="9"/>
      <c r="AH32" s="9"/>
      <c r="AI32" s="14"/>
      <c r="AJ32" s="9"/>
      <c r="AK32" s="9"/>
      <c r="AL32" s="9"/>
      <c r="AM32" s="9"/>
    </row>
    <row r="33" spans="3:19" x14ac:dyDescent="0.25">
      <c r="E33" s="30">
        <f>E32*10^7</f>
        <v>666984682.8211993</v>
      </c>
    </row>
    <row r="34" spans="3:19" x14ac:dyDescent="0.25">
      <c r="E34" s="29">
        <f>ROUND(E33,-5)</f>
        <v>667000000</v>
      </c>
      <c r="G34" s="38">
        <f>NPV(B28,E26:AM27)</f>
        <v>60.163837342183072</v>
      </c>
    </row>
    <row r="35" spans="3:19" x14ac:dyDescent="0.25">
      <c r="E35" s="29">
        <f>E34*0.85</f>
        <v>566950000</v>
      </c>
    </row>
    <row r="36" spans="3:19" x14ac:dyDescent="0.25">
      <c r="E36" s="29">
        <f>E34*0.75</f>
        <v>500250000</v>
      </c>
      <c r="H36" s="2">
        <f>N21*(1-G39%)</f>
        <v>6.9311275683047846</v>
      </c>
      <c r="R36" s="2"/>
    </row>
    <row r="38" spans="3:19" x14ac:dyDescent="0.25">
      <c r="C38" t="s">
        <v>35</v>
      </c>
    </row>
    <row r="39" spans="3:19" x14ac:dyDescent="0.25">
      <c r="C39" t="s">
        <v>36</v>
      </c>
      <c r="D39" s="1">
        <v>0.25</v>
      </c>
      <c r="F39" s="2">
        <f>F21*(1-E22)</f>
        <v>4.8952538765723883</v>
      </c>
      <c r="G39">
        <f>25*(1.04)*1.12</f>
        <v>29.120000000000005</v>
      </c>
      <c r="S39" s="32"/>
    </row>
    <row r="40" spans="3:19" x14ac:dyDescent="0.25">
      <c r="C40" t="s">
        <v>37</v>
      </c>
      <c r="D40" s="1">
        <v>0.04</v>
      </c>
    </row>
    <row r="41" spans="3:19" x14ac:dyDescent="0.25">
      <c r="C41" t="s">
        <v>38</v>
      </c>
    </row>
    <row r="42" spans="3:19" x14ac:dyDescent="0.25">
      <c r="C42" t="s">
        <v>39</v>
      </c>
      <c r="D42" s="1">
        <v>7.0000000000000007E-2</v>
      </c>
    </row>
    <row r="43" spans="3:19" x14ac:dyDescent="0.25">
      <c r="C43" t="s">
        <v>40</v>
      </c>
      <c r="D43" s="1">
        <v>0.12</v>
      </c>
    </row>
    <row r="52" spans="5:7" x14ac:dyDescent="0.25">
      <c r="E52">
        <v>23.52</v>
      </c>
      <c r="F52" s="36">
        <f>E52*1.05</f>
        <v>24.696000000000002</v>
      </c>
      <c r="G52" s="36">
        <f>F52*1.05</f>
        <v>25.930800000000001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N17"/>
  <sheetViews>
    <sheetView workbookViewId="0">
      <selection activeCell="N14" sqref="N14"/>
    </sheetView>
  </sheetViews>
  <sheetFormatPr defaultRowHeight="15" x14ac:dyDescent="0.25"/>
  <cols>
    <col min="6" max="6" width="11.5703125" customWidth="1"/>
  </cols>
  <sheetData>
    <row r="3" spans="3:14" x14ac:dyDescent="0.25">
      <c r="C3" s="45"/>
      <c r="D3" s="45"/>
      <c r="E3" s="45"/>
      <c r="F3" s="45"/>
    </row>
    <row r="4" spans="3:14" x14ac:dyDescent="0.25">
      <c r="C4" s="21"/>
      <c r="D4" s="22"/>
      <c r="E4" s="22"/>
      <c r="F4" s="22"/>
      <c r="G4" s="5"/>
    </row>
    <row r="5" spans="3:14" x14ac:dyDescent="0.25">
      <c r="C5" s="21"/>
      <c r="D5" s="23"/>
      <c r="E5" s="24"/>
      <c r="F5" s="25"/>
    </row>
    <row r="6" spans="3:14" x14ac:dyDescent="0.25">
      <c r="C6" s="21"/>
      <c r="D6" s="23"/>
      <c r="E6" s="26"/>
      <c r="F6" s="25"/>
    </row>
    <row r="7" spans="3:14" x14ac:dyDescent="0.25">
      <c r="C7" s="21"/>
      <c r="D7" s="27"/>
      <c r="E7" s="23"/>
      <c r="F7" s="28"/>
    </row>
    <row r="8" spans="3:14" x14ac:dyDescent="0.25">
      <c r="F8" s="4"/>
    </row>
    <row r="9" spans="3:14" x14ac:dyDescent="0.25">
      <c r="C9" s="34"/>
      <c r="F9" s="35"/>
    </row>
    <row r="14" spans="3:14" x14ac:dyDescent="0.25">
      <c r="H14" t="s">
        <v>26</v>
      </c>
      <c r="N14" s="4">
        <v>0.11</v>
      </c>
    </row>
    <row r="16" spans="3:14" x14ac:dyDescent="0.25">
      <c r="G16">
        <f>11*100</f>
        <v>1100</v>
      </c>
    </row>
    <row r="17" spans="6:7" x14ac:dyDescent="0.25">
      <c r="F17" t="s">
        <v>29</v>
      </c>
      <c r="G17">
        <f>G16/100</f>
        <v>11</v>
      </c>
    </row>
  </sheetData>
  <mergeCells count="1">
    <mergeCell ref="C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P24"/>
  <sheetViews>
    <sheetView workbookViewId="0">
      <selection activeCell="H5" sqref="H5"/>
    </sheetView>
  </sheetViews>
  <sheetFormatPr defaultRowHeight="15" x14ac:dyDescent="0.25"/>
  <cols>
    <col min="4" max="4" width="16.140625" customWidth="1"/>
    <col min="5" max="5" width="11.28515625" customWidth="1"/>
    <col min="6" max="6" width="12.5703125" bestFit="1" customWidth="1"/>
    <col min="7" max="7" width="15.7109375" customWidth="1"/>
    <col min="8" max="8" width="14" customWidth="1"/>
    <col min="9" max="9" width="17.140625" customWidth="1"/>
    <col min="10" max="10" width="22.140625" customWidth="1"/>
    <col min="11" max="11" width="16.5703125" customWidth="1"/>
    <col min="12" max="12" width="15.7109375" customWidth="1"/>
    <col min="13" max="13" width="24" bestFit="1" customWidth="1"/>
    <col min="14" max="14" width="19.85546875" bestFit="1" customWidth="1"/>
    <col min="15" max="15" width="12.5703125" customWidth="1"/>
  </cols>
  <sheetData>
    <row r="3" spans="1:16" ht="30" x14ac:dyDescent="0.25">
      <c r="E3" s="20" t="s">
        <v>30</v>
      </c>
      <c r="F3" s="40" t="s">
        <v>31</v>
      </c>
      <c r="G3" s="40" t="s">
        <v>32</v>
      </c>
      <c r="H3" s="40" t="s">
        <v>33</v>
      </c>
      <c r="I3" s="39" t="s">
        <v>34</v>
      </c>
    </row>
    <row r="4" spans="1:16" x14ac:dyDescent="0.25">
      <c r="E4" s="41">
        <v>45</v>
      </c>
      <c r="F4" s="42">
        <v>279474436.13882792</v>
      </c>
      <c r="G4" s="43">
        <f>F4*0.9</f>
        <v>251526992.52494514</v>
      </c>
      <c r="H4" s="43">
        <f>G4/E4</f>
        <v>5589488.7227765583</v>
      </c>
      <c r="I4" s="44">
        <f>H4/10^7</f>
        <v>0.55894887227765577</v>
      </c>
    </row>
    <row r="5" spans="1:16" x14ac:dyDescent="0.25">
      <c r="H5" s="4">
        <f>H4/F4</f>
        <v>0.02</v>
      </c>
    </row>
    <row r="15" spans="1:16" s="18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s="18" customForma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24" spans="11:11" x14ac:dyDescent="0.25">
      <c r="K24" s="19">
        <f>K23+K22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BB1B2-7BBB-4543-B66B-D248E373517D}">
  <dimension ref="F8:J15"/>
  <sheetViews>
    <sheetView workbookViewId="0">
      <selection activeCell="F9" sqref="F9:J15"/>
    </sheetView>
  </sheetViews>
  <sheetFormatPr defaultRowHeight="15" x14ac:dyDescent="0.25"/>
  <cols>
    <col min="6" max="6" width="24.42578125" customWidth="1"/>
    <col min="7" max="7" width="11.5703125" customWidth="1"/>
    <col min="8" max="8" width="12.28515625" customWidth="1"/>
    <col min="9" max="9" width="13" customWidth="1"/>
    <col min="10" max="10" width="12.85546875" customWidth="1"/>
  </cols>
  <sheetData>
    <row r="8" spans="6:10" ht="15.75" thickBot="1" x14ac:dyDescent="0.3"/>
    <row r="9" spans="6:10" ht="26.25" thickBot="1" x14ac:dyDescent="0.3">
      <c r="F9" s="46" t="s">
        <v>2</v>
      </c>
      <c r="G9" s="47">
        <v>45717</v>
      </c>
      <c r="H9" s="47">
        <v>46082</v>
      </c>
      <c r="I9" s="47">
        <v>46447</v>
      </c>
      <c r="J9" s="47">
        <v>46813</v>
      </c>
    </row>
    <row r="10" spans="6:10" ht="26.25" thickBot="1" x14ac:dyDescent="0.3">
      <c r="F10" s="48" t="s">
        <v>42</v>
      </c>
      <c r="G10" s="49">
        <v>184840</v>
      </c>
      <c r="H10" s="49">
        <v>184840</v>
      </c>
      <c r="I10" s="49">
        <v>184840</v>
      </c>
      <c r="J10" s="49">
        <v>184840</v>
      </c>
    </row>
    <row r="11" spans="6:10" ht="15.75" thickBot="1" x14ac:dyDescent="0.3">
      <c r="F11" s="48" t="s">
        <v>45</v>
      </c>
      <c r="G11" s="54">
        <f>'Working '!F3</f>
        <v>33.096000000000004</v>
      </c>
      <c r="H11" s="54">
        <f>'Working '!G3</f>
        <v>34.750800000000005</v>
      </c>
      <c r="I11" s="54">
        <f>'Working '!H3</f>
        <v>36.488340000000008</v>
      </c>
      <c r="J11" s="54">
        <f>'Working '!I3</f>
        <v>38.312757000000012</v>
      </c>
    </row>
    <row r="12" spans="6:10" ht="15.75" thickBot="1" x14ac:dyDescent="0.3">
      <c r="F12" s="48" t="s">
        <v>46</v>
      </c>
      <c r="G12" s="55">
        <f>G10*G11*12/10^7</f>
        <v>7.3409575680000003</v>
      </c>
      <c r="H12" s="55">
        <f t="shared" ref="H12:J12" si="0">H10*H11*12/10^7</f>
        <v>7.7080054464000014</v>
      </c>
      <c r="I12" s="55">
        <f t="shared" si="0"/>
        <v>8.0934057187200015</v>
      </c>
      <c r="J12" s="55">
        <f t="shared" si="0"/>
        <v>8.4980760046560029</v>
      </c>
    </row>
    <row r="13" spans="6:10" ht="26.25" thickBot="1" x14ac:dyDescent="0.3">
      <c r="F13" s="48" t="s">
        <v>43</v>
      </c>
      <c r="G13" s="50" t="s">
        <v>47</v>
      </c>
      <c r="H13" s="50" t="s">
        <v>47</v>
      </c>
      <c r="I13" s="50" t="s">
        <v>47</v>
      </c>
      <c r="J13" s="50" t="s">
        <v>47</v>
      </c>
    </row>
    <row r="14" spans="6:10" x14ac:dyDescent="0.25">
      <c r="F14" s="51" t="s">
        <v>44</v>
      </c>
      <c r="G14" s="56">
        <f>G12</f>
        <v>7.3409575680000003</v>
      </c>
      <c r="H14" s="56">
        <f t="shared" ref="H14:J14" si="1">H12</f>
        <v>7.7080054464000014</v>
      </c>
      <c r="I14" s="56">
        <f t="shared" si="1"/>
        <v>8.0934057187200015</v>
      </c>
      <c r="J14" s="56">
        <f t="shared" si="1"/>
        <v>8.4980760046560029</v>
      </c>
    </row>
    <row r="15" spans="6:10" ht="15.75" thickBot="1" x14ac:dyDescent="0.3">
      <c r="F15" s="52" t="s">
        <v>48</v>
      </c>
      <c r="G15" s="53"/>
      <c r="H15" s="53"/>
      <c r="I15" s="53"/>
      <c r="J15" s="53"/>
    </row>
  </sheetData>
  <mergeCells count="4">
    <mergeCell ref="G14:G15"/>
    <mergeCell ref="H14:H15"/>
    <mergeCell ref="I14:I15"/>
    <mergeCell ref="J14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 </vt:lpstr>
      <vt:lpstr>WACC</vt:lpstr>
      <vt:lpstr>depriciation</vt:lpstr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Eldeco</dc:creator>
  <cp:lastModifiedBy>Mahesh Joshi</cp:lastModifiedBy>
  <dcterms:created xsi:type="dcterms:W3CDTF">2023-06-19T10:56:31Z</dcterms:created>
  <dcterms:modified xsi:type="dcterms:W3CDTF">2024-02-29T15:31:46Z</dcterms:modified>
</cp:coreProperties>
</file>