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ngineer6.RKASSO\Desktop\Drive\WIP\VIS(2023-24)-PL739-Q111-640-998 Antarctica ltd\"/>
    </mc:Choice>
  </mc:AlternateContent>
  <xr:revisionPtr revIDLastSave="0" documentId="13_ncr:1_{12F186FD-C9A9-4E5B-B51D-4B21B60B20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Boundary Wall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2" l="1"/>
  <c r="N3" i="3"/>
  <c r="Z12" i="2"/>
  <c r="U9" i="2"/>
  <c r="U8" i="2"/>
  <c r="U7" i="2"/>
  <c r="U6" i="2"/>
  <c r="U5" i="2"/>
  <c r="U4" i="2"/>
  <c r="U10" i="2" s="1"/>
  <c r="AC11" i="2" l="1"/>
  <c r="AD11" i="2" s="1"/>
  <c r="AC12" i="2" s="1"/>
  <c r="AD21" i="2"/>
  <c r="AD22" i="2" s="1"/>
  <c r="AD15" i="2"/>
  <c r="AC16" i="2"/>
  <c r="AC15" i="2"/>
  <c r="AC17" i="2" s="1"/>
  <c r="Z9" i="2" l="1"/>
  <c r="Z11" i="2" s="1"/>
  <c r="N8" i="2" l="1"/>
  <c r="K8" i="2"/>
  <c r="G9" i="2"/>
  <c r="H9" i="2" s="1"/>
  <c r="G8" i="2"/>
  <c r="H8" i="2" s="1"/>
  <c r="P8" i="2" s="1"/>
  <c r="G7" i="2"/>
  <c r="H7" i="2" s="1"/>
  <c r="G6" i="2"/>
  <c r="H6" i="2" s="1"/>
  <c r="G5" i="2"/>
  <c r="H5" i="2" s="1"/>
  <c r="G4" i="2"/>
  <c r="Z5" i="2" l="1"/>
  <c r="H4" i="2"/>
  <c r="Q8" i="2"/>
  <c r="R8" i="2" s="1"/>
  <c r="T8" i="2" s="1"/>
  <c r="Z22" i="2"/>
  <c r="Z21" i="2"/>
  <c r="G10" i="2" l="1"/>
  <c r="Z4" i="2" s="1"/>
  <c r="H10" i="2"/>
  <c r="N5" i="2"/>
  <c r="N6" i="2"/>
  <c r="N7" i="2"/>
  <c r="N9" i="2"/>
  <c r="K5" i="2"/>
  <c r="K6" i="2"/>
  <c r="K7" i="2"/>
  <c r="K9" i="2"/>
  <c r="P5" i="2"/>
  <c r="V5" i="2" s="1"/>
  <c r="P6" i="2"/>
  <c r="P7" i="2"/>
  <c r="P9" i="2"/>
  <c r="P4" i="2"/>
  <c r="B5" i="2"/>
  <c r="B6" i="2" s="1"/>
  <c r="B7" i="2" s="1"/>
  <c r="B9" i="2" s="1"/>
  <c r="I3" i="3"/>
  <c r="G3" i="3"/>
  <c r="D3" i="3"/>
  <c r="N4" i="2"/>
  <c r="K4" i="2"/>
  <c r="P10" i="2" l="1"/>
  <c r="Q6" i="2"/>
  <c r="R6" i="2" s="1"/>
  <c r="T6" i="2" s="1"/>
  <c r="Q5" i="2"/>
  <c r="R5" i="2" s="1"/>
  <c r="T5" i="2" s="1"/>
  <c r="Q9" i="2"/>
  <c r="R9" i="2" s="1"/>
  <c r="T9" i="2" s="1"/>
  <c r="Q7" i="2"/>
  <c r="R7" i="2" s="1"/>
  <c r="T7" i="2" s="1"/>
  <c r="J3" i="3"/>
  <c r="K3" i="3" s="1"/>
  <c r="M3" i="3" s="1"/>
  <c r="Q4" i="2"/>
  <c r="Q10" i="2" l="1"/>
  <c r="R4" i="2"/>
  <c r="R10" i="2" s="1"/>
  <c r="T4" i="2" l="1"/>
  <c r="T10" i="2" l="1"/>
  <c r="Z24" i="2" l="1"/>
  <c r="Z18" i="2" l="1"/>
</calcChain>
</file>

<file path=xl/sharedStrings.xml><?xml version="1.0" encoding="utf-8"?>
<sst xmlns="http://schemas.openxmlformats.org/spreadsheetml/2006/main" count="75" uniqueCount="59">
  <si>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</si>
  <si>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</si>
  <si>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</si>
  <si>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</si>
  <si>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</si>
  <si>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</si>
  <si>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</si>
  <si>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</si>
  <si>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</si>
  <si>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</si>
  <si>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</si>
  <si>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</si>
  <si>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</si>
  <si>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</si>
  <si>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</si>
  <si>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</si>
  <si>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</si>
  <si>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</si>
  <si>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</si>
  <si>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</si>
  <si>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</si>
  <si>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</si>
  <si>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Ground Floor</t>
  </si>
  <si>
    <t>1. All the details pertaing to the building area statement such as area, floor, etc has been taken from the site survey measurement.</t>
  </si>
  <si>
    <t>Sr. No.</t>
  </si>
  <si>
    <t>land</t>
  </si>
  <si>
    <t>building</t>
  </si>
  <si>
    <t>wall</t>
  </si>
  <si>
    <t>pm</t>
  </si>
  <si>
    <t>FMV</t>
  </si>
  <si>
    <t>round off</t>
  </si>
  <si>
    <t>ins</t>
  </si>
  <si>
    <t xml:space="preserve">2.The maintinence of the building is poor as per site survey observation. </t>
  </si>
  <si>
    <t>3. Age of construction taken from the information provided to us.</t>
  </si>
  <si>
    <t>Deterioration</t>
  </si>
  <si>
    <t>FAR</t>
  </si>
  <si>
    <t>Office Building</t>
  </si>
  <si>
    <t>Security Room</t>
  </si>
  <si>
    <t>Godown</t>
  </si>
  <si>
    <t xml:space="preserve">Factory Building </t>
  </si>
  <si>
    <t>Factory Shed</t>
  </si>
  <si>
    <t>First Floor</t>
  </si>
  <si>
    <t>Asbestos Shed with brick wall</t>
  </si>
  <si>
    <t>Built-up area (in sq.mtr)</t>
  </si>
  <si>
    <t>Built-up Area 
(in sq ft)</t>
  </si>
  <si>
    <t>M/S. Antarctica Ltd.| Situated at Sector 1 FALTA Processing zone, South 24 Parganas, West Bengal</t>
  </si>
  <si>
    <t>Value</t>
  </si>
  <si>
    <t>Area</t>
  </si>
  <si>
    <t>rate</t>
  </si>
  <si>
    <t>sqm</t>
  </si>
  <si>
    <t>acre</t>
  </si>
  <si>
    <t>GC</t>
  </si>
  <si>
    <t>References</t>
  </si>
  <si>
    <t>Floor</t>
  </si>
  <si>
    <t>Description</t>
  </si>
  <si>
    <t>Height 
(mtr.)</t>
  </si>
  <si>
    <t>Tin Shed with brick wall</t>
  </si>
  <si>
    <t>Scap Value
(INR)</t>
  </si>
  <si>
    <t>Scap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</si>
</sst>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  <numFmt numFmtId="168" formatCode="_ * #,##0.000_ ;_ * \-#,##0.000_ ;_ * &quot;-&quot;??_ ;_ @_ "/>
    <numFmt numFmtId="169" formatCode="_ &quot;₹&quot;\ * #,##0.0_ ;_ &quot;₹&quot;\ * \-#,##0.0_ ;_ &quot;₹&quot;\ * &quot;-&quot;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0" fillId="0" borderId="0" xfId="0" applyNumberFormat="1"/>
    <xf numFmtId="166" fontId="0" fillId="0" borderId="0" xfId="0" applyNumberFormat="1"/>
    <xf numFmtId="0" fontId="2" fillId="2" borderId="1" xfId="3" applyFont="1" applyBorder="1" applyAlignment="1">
      <alignment horizontal="center" vertical="center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3" fontId="0" fillId="0" borderId="1" xfId="6" applyFont="1" applyBorder="1" applyAlignment="1">
      <alignment horizontal="center" vertical="center" wrapText="1"/>
    </xf>
    <xf numFmtId="43" fontId="2" fillId="0" borderId="1" xfId="6" applyFont="1" applyBorder="1" applyAlignment="1">
      <alignment horizontal="center" vertical="center" wrapText="1"/>
    </xf>
    <xf numFmtId="43" fontId="2" fillId="0" borderId="0" xfId="0" applyNumberFormat="1" applyFont="1"/>
    <xf numFmtId="0" fontId="2" fillId="0" borderId="0" xfId="0" applyFont="1"/>
    <xf numFmtId="166" fontId="0" fillId="0" borderId="0" xfId="6" applyNumberFormat="1" applyFont="1"/>
    <xf numFmtId="168" fontId="0" fillId="0" borderId="0" xfId="6" applyNumberFormat="1" applyFont="1"/>
    <xf numFmtId="43" fontId="0" fillId="0" borderId="0" xfId="6" applyFont="1"/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9" fontId="0" fillId="0" borderId="0" xfId="0" applyNumberForma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D27"/>
  <sheetViews>
    <sheetView tabSelected="1" topLeftCell="D1" zoomScale="85" zoomScaleNormal="85" workbookViewId="0">
      <selection activeCell="J8" sqref="J8"/>
    </sheetView>
  </sheetViews>
  <sheetFormatPr defaultRowHeight="15" x14ac:dyDescent="0.25"/>
  <cols>
    <col min="1" max="1" width="2.7109375" customWidth="1"/>
    <col min="2" max="2" width="7.28515625" customWidth="1"/>
    <col min="3" max="3" width="13.7109375" bestFit="1" customWidth="1"/>
    <col min="4" max="4" width="13.140625" customWidth="1"/>
    <col min="5" max="5" width="9" customWidth="1"/>
    <col min="6" max="6" width="12.5703125" customWidth="1"/>
    <col min="7" max="7" width="13.7109375" hidden="1" customWidth="1"/>
    <col min="8" max="8" width="13.42578125" customWidth="1"/>
    <col min="9" max="9" width="15.28515625" customWidth="1"/>
    <col min="10" max="10" width="17.7109375" customWidth="1"/>
    <col min="11" max="11" width="10.42578125" customWidth="1"/>
    <col min="12" max="12" width="11" customWidth="1"/>
    <col min="13" max="13" width="7.7109375" customWidth="1"/>
    <col min="14" max="14" width="8.42578125" customWidth="1"/>
    <col min="15" max="15" width="14.28515625" customWidth="1"/>
    <col min="16" max="17" width="13.42578125" customWidth="1"/>
    <col min="18" max="18" width="15.7109375" customWidth="1"/>
    <col min="19" max="20" width="13" customWidth="1"/>
    <col min="21" max="21" width="13.140625" customWidth="1"/>
    <col min="22" max="22" width="17.5703125" customWidth="1"/>
    <col min="23" max="23" width="5.85546875" bestFit="1" customWidth="1"/>
    <col min="24" max="24" width="12.140625" bestFit="1" customWidth="1"/>
    <col min="25" max="25" width="15.5703125" customWidth="1"/>
    <col min="26" max="26" width="18" customWidth="1"/>
    <col min="27" max="27" width="12.5703125" customWidth="1"/>
    <col min="28" max="28" width="11.85546875" customWidth="1"/>
    <col min="29" max="29" width="17" bestFit="1" customWidth="1"/>
    <col min="30" max="30" width="10.42578125" bestFit="1" customWidth="1"/>
  </cols>
  <sheetData>
    <row r="2" spans="2:30" ht="31.5" customHeight="1" x14ac:dyDescent="0.25">
      <c r="B2" s="38" t="s">
        <v>45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2:30" ht="75" x14ac:dyDescent="0.25">
      <c r="B3" s="21" t="s">
        <v>24</v>
      </c>
      <c r="C3" s="1" t="s">
        <v>54</v>
      </c>
      <c r="D3" s="1" t="s">
        <v>53</v>
      </c>
      <c r="E3" s="1" t="s">
        <v>55</v>
      </c>
      <c r="F3" s="1" t="s">
        <v>0</v>
      </c>
      <c r="G3" s="22" t="s">
        <v>43</v>
      </c>
      <c r="H3" s="17" t="s">
        <v>44</v>
      </c>
      <c r="I3" s="1" t="s">
        <v>20</v>
      </c>
      <c r="J3" s="22" t="s">
        <v>1</v>
      </c>
      <c r="K3" s="1" t="s">
        <v>2</v>
      </c>
      <c r="L3" s="1" t="s">
        <v>3</v>
      </c>
      <c r="M3" s="22" t="s">
        <v>4</v>
      </c>
      <c r="N3" s="22" t="s">
        <v>5</v>
      </c>
      <c r="O3" s="1" t="s">
        <v>6</v>
      </c>
      <c r="P3" s="1" t="s">
        <v>7</v>
      </c>
      <c r="Q3" s="22" t="s">
        <v>8</v>
      </c>
      <c r="R3" s="22" t="s">
        <v>9</v>
      </c>
      <c r="S3" s="1" t="s">
        <v>34</v>
      </c>
      <c r="T3" s="1" t="s">
        <v>10</v>
      </c>
      <c r="U3" s="1" t="s">
        <v>57</v>
      </c>
    </row>
    <row r="4" spans="2:30" ht="30" x14ac:dyDescent="0.25">
      <c r="B4" s="2">
        <v>1</v>
      </c>
      <c r="C4" s="18" t="s">
        <v>36</v>
      </c>
      <c r="D4" s="18" t="s">
        <v>22</v>
      </c>
      <c r="E4" s="23">
        <v>3.9</v>
      </c>
      <c r="F4" s="2" t="s">
        <v>21</v>
      </c>
      <c r="G4" s="16">
        <f>40*6.5</f>
        <v>260</v>
      </c>
      <c r="H4" s="24">
        <f>G4*10.7639</f>
        <v>2798.614</v>
      </c>
      <c r="I4" s="2">
        <v>1990</v>
      </c>
      <c r="J4" s="2">
        <v>2024</v>
      </c>
      <c r="K4" s="2">
        <f t="shared" ref="K4:K9" si="0">J4-I4</f>
        <v>34</v>
      </c>
      <c r="L4" s="2">
        <v>60</v>
      </c>
      <c r="M4" s="3">
        <v>0.1</v>
      </c>
      <c r="N4" s="4">
        <f>(1-M4)/L4</f>
        <v>1.5000000000000001E-2</v>
      </c>
      <c r="O4" s="31">
        <v>1000</v>
      </c>
      <c r="P4" s="31">
        <f>O4*H4</f>
        <v>2798614</v>
      </c>
      <c r="Q4" s="31">
        <f>P4*N4*K4</f>
        <v>1427293.1400000001</v>
      </c>
      <c r="R4" s="31">
        <f>MAX(P4-Q4,0)</f>
        <v>1371320.8599999999</v>
      </c>
      <c r="S4" s="5">
        <v>0.3</v>
      </c>
      <c r="T4" s="31">
        <f t="shared" ref="T4:T9" si="1">IF(R4&gt;M4*P4,R4*(1-S4),P4*M4)</f>
        <v>959924.60199999984</v>
      </c>
      <c r="U4" s="31">
        <f>M4*P4</f>
        <v>279861.40000000002</v>
      </c>
      <c r="Y4" s="27" t="s">
        <v>35</v>
      </c>
      <c r="Z4" s="8">
        <f>G10/Z8</f>
        <v>0.52647868852459012</v>
      </c>
    </row>
    <row r="5" spans="2:30" ht="45" x14ac:dyDescent="0.25">
      <c r="B5" s="2">
        <f>B4+1</f>
        <v>2</v>
      </c>
      <c r="C5" s="18" t="s">
        <v>37</v>
      </c>
      <c r="D5" s="18" t="s">
        <v>22</v>
      </c>
      <c r="E5" s="23">
        <v>2.2000000000000002</v>
      </c>
      <c r="F5" s="2" t="s">
        <v>42</v>
      </c>
      <c r="G5" s="16">
        <f>12.6*2.7</f>
        <v>34.020000000000003</v>
      </c>
      <c r="H5" s="24">
        <f t="shared" ref="H5:H9" si="2">G5*10.7639</f>
        <v>366.18787800000001</v>
      </c>
      <c r="I5" s="2">
        <v>1990</v>
      </c>
      <c r="J5" s="2">
        <v>2024</v>
      </c>
      <c r="K5" s="2">
        <f t="shared" si="0"/>
        <v>34</v>
      </c>
      <c r="L5" s="2">
        <v>40</v>
      </c>
      <c r="M5" s="3">
        <v>0.1</v>
      </c>
      <c r="N5" s="4">
        <f t="shared" ref="N5:N9" si="3">(1-M5)/L5</f>
        <v>2.2499999999999999E-2</v>
      </c>
      <c r="O5" s="31">
        <v>800</v>
      </c>
      <c r="P5" s="31">
        <f t="shared" ref="P5:P9" si="4">O5*H5</f>
        <v>292950.30239999999</v>
      </c>
      <c r="Q5" s="31">
        <f t="shared" ref="Q5:Q9" si="5">P5*N5*K5</f>
        <v>224106.981336</v>
      </c>
      <c r="R5" s="31">
        <f t="shared" ref="R5:R9" si="6">MAX(P5-Q5,0)</f>
        <v>68843.321063999989</v>
      </c>
      <c r="S5" s="5">
        <v>0.3</v>
      </c>
      <c r="T5" s="31">
        <f t="shared" si="1"/>
        <v>48190.324744799989</v>
      </c>
      <c r="U5" s="31">
        <f t="shared" ref="U5:U9" si="7">M5*P5</f>
        <v>29295.03024</v>
      </c>
      <c r="V5" s="7">
        <f>(1-S5)*P5</f>
        <v>205065.21167999998</v>
      </c>
      <c r="Y5" s="27" t="s">
        <v>51</v>
      </c>
      <c r="Z5" s="8">
        <f>SUM(G4:G7,G9)/Z8</f>
        <v>0.46295409836065571</v>
      </c>
    </row>
    <row r="6" spans="2:30" ht="45" x14ac:dyDescent="0.25">
      <c r="B6" s="2">
        <f t="shared" ref="B6:B7" si="8">B5+1</f>
        <v>3</v>
      </c>
      <c r="C6" s="18" t="s">
        <v>38</v>
      </c>
      <c r="D6" s="18" t="s">
        <v>22</v>
      </c>
      <c r="E6" s="23">
        <v>2.4</v>
      </c>
      <c r="F6" s="2" t="s">
        <v>42</v>
      </c>
      <c r="G6" s="16">
        <f>30*5.8</f>
        <v>174</v>
      </c>
      <c r="H6" s="24">
        <f t="shared" si="2"/>
        <v>1872.9186</v>
      </c>
      <c r="I6" s="2">
        <v>1990</v>
      </c>
      <c r="J6" s="2">
        <v>2024</v>
      </c>
      <c r="K6" s="2">
        <f t="shared" si="0"/>
        <v>34</v>
      </c>
      <c r="L6" s="2">
        <v>40</v>
      </c>
      <c r="M6" s="3">
        <v>0.1</v>
      </c>
      <c r="N6" s="4">
        <f t="shared" si="3"/>
        <v>2.2499999999999999E-2</v>
      </c>
      <c r="O6" s="31">
        <v>800</v>
      </c>
      <c r="P6" s="31">
        <f t="shared" si="4"/>
        <v>1498334.88</v>
      </c>
      <c r="Q6" s="31">
        <f t="shared" si="5"/>
        <v>1146226.1831999999</v>
      </c>
      <c r="R6" s="31">
        <f t="shared" si="6"/>
        <v>352108.69680000003</v>
      </c>
      <c r="S6" s="5">
        <v>0.3</v>
      </c>
      <c r="T6" s="31">
        <f t="shared" si="1"/>
        <v>246476.08775999999</v>
      </c>
      <c r="U6" s="31">
        <f t="shared" si="7"/>
        <v>149833.48799999998</v>
      </c>
    </row>
    <row r="7" spans="2:30" ht="30" x14ac:dyDescent="0.25">
      <c r="B7" s="2">
        <f t="shared" si="8"/>
        <v>4</v>
      </c>
      <c r="C7" s="18" t="s">
        <v>39</v>
      </c>
      <c r="D7" s="18" t="s">
        <v>22</v>
      </c>
      <c r="E7" s="23">
        <v>4.5</v>
      </c>
      <c r="F7" s="2" t="s">
        <v>21</v>
      </c>
      <c r="G7" s="16">
        <f>31*31</f>
        <v>961</v>
      </c>
      <c r="H7" s="24">
        <f t="shared" si="2"/>
        <v>10344.107899999999</v>
      </c>
      <c r="I7" s="2">
        <v>1990</v>
      </c>
      <c r="J7" s="2">
        <v>2024</v>
      </c>
      <c r="K7" s="2">
        <f t="shared" si="0"/>
        <v>34</v>
      </c>
      <c r="L7" s="2">
        <v>60</v>
      </c>
      <c r="M7" s="3">
        <v>0.1</v>
      </c>
      <c r="N7" s="4">
        <f t="shared" si="3"/>
        <v>1.5000000000000001E-2</v>
      </c>
      <c r="O7" s="31">
        <v>1100</v>
      </c>
      <c r="P7" s="31">
        <f t="shared" si="4"/>
        <v>11378518.689999999</v>
      </c>
      <c r="Q7" s="31">
        <f t="shared" si="5"/>
        <v>5803044.5319000008</v>
      </c>
      <c r="R7" s="31">
        <f t="shared" si="6"/>
        <v>5575474.1580999987</v>
      </c>
      <c r="S7" s="5">
        <v>0.3</v>
      </c>
      <c r="T7" s="31">
        <f t="shared" si="1"/>
        <v>3902831.9106699987</v>
      </c>
      <c r="U7" s="31">
        <f t="shared" si="7"/>
        <v>1137851.8689999999</v>
      </c>
      <c r="Y7" s="27" t="s">
        <v>29</v>
      </c>
    </row>
    <row r="8" spans="2:30" ht="30" x14ac:dyDescent="0.25">
      <c r="B8" s="2"/>
      <c r="C8" s="18" t="s">
        <v>39</v>
      </c>
      <c r="D8" s="18" t="s">
        <v>41</v>
      </c>
      <c r="E8" s="23">
        <v>4.5</v>
      </c>
      <c r="F8" s="2" t="s">
        <v>21</v>
      </c>
      <c r="G8" s="16">
        <f>12.5*31</f>
        <v>387.5</v>
      </c>
      <c r="H8" s="24">
        <f t="shared" si="2"/>
        <v>4171.0112499999996</v>
      </c>
      <c r="I8" s="2">
        <v>1990</v>
      </c>
      <c r="J8" s="2">
        <v>2024</v>
      </c>
      <c r="K8" s="2">
        <f t="shared" si="0"/>
        <v>34</v>
      </c>
      <c r="L8" s="2">
        <v>60</v>
      </c>
      <c r="M8" s="3">
        <v>0.1</v>
      </c>
      <c r="N8" s="4">
        <f t="shared" ref="N8" si="9">(1-M8)/L8</f>
        <v>1.5000000000000001E-2</v>
      </c>
      <c r="O8" s="31">
        <v>1100</v>
      </c>
      <c r="P8" s="31">
        <f t="shared" ref="P8" si="10">O8*H8</f>
        <v>4588112.3749999991</v>
      </c>
      <c r="Q8" s="31">
        <f t="shared" ref="Q8" si="11">P8*N8*K8</f>
        <v>2339937.3112499998</v>
      </c>
      <c r="R8" s="31">
        <f t="shared" ref="R8" si="12">MAX(P8-Q8,0)</f>
        <v>2248175.0637499993</v>
      </c>
      <c r="S8" s="5">
        <v>0.3</v>
      </c>
      <c r="T8" s="31">
        <f t="shared" si="1"/>
        <v>1573722.5446249994</v>
      </c>
      <c r="U8" s="31">
        <f t="shared" si="7"/>
        <v>458811.23749999993</v>
      </c>
      <c r="Z8">
        <v>6100</v>
      </c>
      <c r="AA8" t="s">
        <v>49</v>
      </c>
    </row>
    <row r="9" spans="2:30" ht="45" x14ac:dyDescent="0.25">
      <c r="B9" s="2">
        <f>B7+1</f>
        <v>5</v>
      </c>
      <c r="C9" s="18" t="s">
        <v>40</v>
      </c>
      <c r="D9" s="18" t="s">
        <v>22</v>
      </c>
      <c r="E9" s="23">
        <v>5</v>
      </c>
      <c r="F9" s="2" t="s">
        <v>56</v>
      </c>
      <c r="G9" s="16">
        <f>45*31</f>
        <v>1395</v>
      </c>
      <c r="H9" s="24">
        <f t="shared" si="2"/>
        <v>15015.6405</v>
      </c>
      <c r="I9" s="2">
        <v>1990</v>
      </c>
      <c r="J9" s="2">
        <v>2024</v>
      </c>
      <c r="K9" s="2">
        <f t="shared" si="0"/>
        <v>34</v>
      </c>
      <c r="L9" s="2">
        <v>40</v>
      </c>
      <c r="M9" s="3">
        <v>0.1</v>
      </c>
      <c r="N9" s="4">
        <f t="shared" si="3"/>
        <v>2.2499999999999999E-2</v>
      </c>
      <c r="O9" s="31">
        <v>900</v>
      </c>
      <c r="P9" s="31">
        <f t="shared" si="4"/>
        <v>13514076.449999999</v>
      </c>
      <c r="Q9" s="31">
        <f t="shared" si="5"/>
        <v>10338268.48425</v>
      </c>
      <c r="R9" s="31">
        <f t="shared" si="6"/>
        <v>3175807.9657499995</v>
      </c>
      <c r="S9" s="5">
        <v>0.3</v>
      </c>
      <c r="T9" s="31">
        <f t="shared" si="1"/>
        <v>2223065.5760249994</v>
      </c>
      <c r="U9" s="31">
        <f t="shared" si="7"/>
        <v>1351407.645</v>
      </c>
      <c r="Y9" t="s">
        <v>47</v>
      </c>
      <c r="Z9" s="29">
        <f>Z8/4046.86</f>
        <v>1.5073414943931838</v>
      </c>
      <c r="AA9" t="s">
        <v>50</v>
      </c>
      <c r="AC9" t="s">
        <v>52</v>
      </c>
    </row>
    <row r="10" spans="2:30" x14ac:dyDescent="0.25">
      <c r="B10" s="39" t="s">
        <v>11</v>
      </c>
      <c r="C10" s="39"/>
      <c r="D10" s="39"/>
      <c r="E10" s="39"/>
      <c r="F10" s="39"/>
      <c r="G10" s="25">
        <f>SUM(G4:G9)</f>
        <v>3211.52</v>
      </c>
      <c r="H10" s="25">
        <f>SUM(H4:H9)</f>
        <v>34568.480127999996</v>
      </c>
      <c r="I10" s="40"/>
      <c r="J10" s="41"/>
      <c r="K10" s="41"/>
      <c r="L10" s="41"/>
      <c r="M10" s="41"/>
      <c r="N10" s="41"/>
      <c r="O10" s="42"/>
      <c r="P10" s="32">
        <f>SUM(P4:P9)</f>
        <v>34070606.697399996</v>
      </c>
      <c r="Q10" s="32">
        <f>SUM(Q4:Q9)</f>
        <v>21278876.631935999</v>
      </c>
      <c r="R10" s="32">
        <f>SUM(R4:R9)</f>
        <v>12791730.065463997</v>
      </c>
      <c r="S10" s="6"/>
      <c r="T10" s="32">
        <f>SUM(T4:T9)</f>
        <v>8954211.0458247978</v>
      </c>
      <c r="U10" s="32">
        <f>SUM(U4:U9)</f>
        <v>3407060.6697399998</v>
      </c>
      <c r="Y10" s="8" t="s">
        <v>48</v>
      </c>
      <c r="Z10" s="28">
        <v>12000000</v>
      </c>
      <c r="AC10" s="28">
        <v>3600</v>
      </c>
      <c r="AD10" s="8"/>
    </row>
    <row r="11" spans="2:30" x14ac:dyDescent="0.25">
      <c r="B11" s="43" t="s">
        <v>12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5"/>
      <c r="Y11" s="26" t="s">
        <v>25</v>
      </c>
      <c r="Z11" s="28">
        <f>Z10*Z9</f>
        <v>18088097.932718206</v>
      </c>
      <c r="AC11" s="8">
        <f>AC10/10.7639</f>
        <v>334.4512676632076</v>
      </c>
      <c r="AD11" s="8">
        <f>AC11/4046.86</f>
        <v>8.2644635016582632E-2</v>
      </c>
    </row>
    <row r="12" spans="2:30" ht="19.5" customHeight="1" x14ac:dyDescent="0.25">
      <c r="B12" s="35" t="s">
        <v>23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/>
      <c r="Y12" s="26" t="s">
        <v>26</v>
      </c>
      <c r="Z12" s="28">
        <f>U10</f>
        <v>3407060.6697399998</v>
      </c>
      <c r="AC12" s="8">
        <f>220000000/AD11</f>
        <v>2661999777.1888885</v>
      </c>
    </row>
    <row r="13" spans="2:30" ht="15" customHeight="1" x14ac:dyDescent="0.25">
      <c r="B13" s="35" t="s">
        <v>32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  <c r="Y13" s="27" t="s">
        <v>27</v>
      </c>
      <c r="Z13" s="28">
        <v>30000</v>
      </c>
    </row>
    <row r="14" spans="2:30" ht="15" customHeight="1" x14ac:dyDescent="0.25">
      <c r="B14" s="35" t="s">
        <v>33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  <c r="Y14" s="27" t="s">
        <v>46</v>
      </c>
      <c r="Z14" s="28">
        <f>Z12+Z13</f>
        <v>3437060.6697399998</v>
      </c>
      <c r="AC14">
        <v>42</v>
      </c>
      <c r="AD14">
        <v>15</v>
      </c>
    </row>
    <row r="15" spans="2:30" x14ac:dyDescent="0.25">
      <c r="Y15" s="27"/>
      <c r="Z15" s="28"/>
      <c r="AC15">
        <f>AC14*0.33</f>
        <v>13.860000000000001</v>
      </c>
      <c r="AD15">
        <f>AD14*0.33</f>
        <v>4.95</v>
      </c>
    </row>
    <row r="16" spans="2:30" x14ac:dyDescent="0.25">
      <c r="H16" s="8"/>
      <c r="Y16" s="27"/>
      <c r="Z16" s="28"/>
      <c r="AC16" s="28">
        <f>220000000</f>
        <v>220000000</v>
      </c>
    </row>
    <row r="17" spans="9:30" x14ac:dyDescent="0.25">
      <c r="I17" s="19"/>
      <c r="V17" s="20"/>
      <c r="Y17" s="27" t="s">
        <v>28</v>
      </c>
      <c r="Z17" s="28">
        <v>4711837</v>
      </c>
      <c r="AC17" s="28">
        <f>AC16/AC15</f>
        <v>15873015.873015871</v>
      </c>
    </row>
    <row r="18" spans="9:30" x14ac:dyDescent="0.25">
      <c r="I18" s="19"/>
      <c r="Y18" s="27" t="s">
        <v>29</v>
      </c>
      <c r="Z18" s="28">
        <f>Z17+Z14</f>
        <v>8148897.6697399998</v>
      </c>
    </row>
    <row r="19" spans="9:30" x14ac:dyDescent="0.25">
      <c r="I19" s="19"/>
      <c r="M19" s="7"/>
      <c r="Y19" s="27"/>
      <c r="Z19" s="28"/>
    </row>
    <row r="20" spans="9:30" x14ac:dyDescent="0.25">
      <c r="Y20" s="27" t="s">
        <v>30</v>
      </c>
      <c r="Z20" s="28">
        <v>190000000</v>
      </c>
    </row>
    <row r="21" spans="9:30" x14ac:dyDescent="0.25">
      <c r="P21" s="16"/>
      <c r="S21" s="8"/>
      <c r="T21" s="8"/>
      <c r="Y21" s="27"/>
      <c r="Z21" s="28">
        <f>0.85*Z20</f>
        <v>161500000</v>
      </c>
      <c r="AC21" s="28">
        <v>7000</v>
      </c>
      <c r="AD21">
        <f>5*0.33</f>
        <v>1.6500000000000001</v>
      </c>
    </row>
    <row r="22" spans="9:30" x14ac:dyDescent="0.25">
      <c r="S22" s="8"/>
      <c r="T22" s="8"/>
      <c r="Y22" s="27"/>
      <c r="Z22" s="28">
        <f>Z20*0.75</f>
        <v>142500000</v>
      </c>
      <c r="AD22" s="30">
        <f>AD21*4046.86</f>
        <v>6677.3190000000004</v>
      </c>
    </row>
    <row r="23" spans="9:30" x14ac:dyDescent="0.25">
      <c r="Y23" s="27"/>
      <c r="Z23" s="28"/>
    </row>
    <row r="24" spans="9:30" x14ac:dyDescent="0.25">
      <c r="J24" s="8"/>
      <c r="Y24" s="27" t="s">
        <v>31</v>
      </c>
      <c r="Z24" s="28">
        <f>0.8*T10</f>
        <v>7163368.8366598384</v>
      </c>
    </row>
    <row r="26" spans="9:30" x14ac:dyDescent="0.25">
      <c r="AC26" s="28">
        <v>25000000</v>
      </c>
    </row>
    <row r="27" spans="9:30" x14ac:dyDescent="0.25">
      <c r="AC27" s="28">
        <v>15000000</v>
      </c>
    </row>
  </sheetData>
  <dataConsolidate/>
  <mergeCells count="7">
    <mergeCell ref="B14:U14"/>
    <mergeCell ref="B2:U2"/>
    <mergeCell ref="B10:F10"/>
    <mergeCell ref="I10:O10"/>
    <mergeCell ref="B11:U11"/>
    <mergeCell ref="B12:U12"/>
    <mergeCell ref="B13:U13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N3" sqref="N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  <col min="14" max="14" width="10.5703125" bestFit="1" customWidth="1"/>
  </cols>
  <sheetData>
    <row r="1" spans="1:14" ht="15.75" x14ac:dyDescent="0.25">
      <c r="A1" s="38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4" ht="104.25" x14ac:dyDescent="0.25">
      <c r="A2" s="9" t="s">
        <v>18</v>
      </c>
      <c r="B2" s="9" t="s">
        <v>14</v>
      </c>
      <c r="C2" s="9" t="s">
        <v>1</v>
      </c>
      <c r="D2" s="9" t="s">
        <v>15</v>
      </c>
      <c r="E2" s="9" t="s">
        <v>16</v>
      </c>
      <c r="F2" s="9" t="s">
        <v>4</v>
      </c>
      <c r="G2" s="9" t="s">
        <v>5</v>
      </c>
      <c r="H2" s="9" t="s">
        <v>19</v>
      </c>
      <c r="I2" s="9" t="s">
        <v>7</v>
      </c>
      <c r="J2" s="9" t="s">
        <v>8</v>
      </c>
      <c r="K2" s="9" t="s">
        <v>9</v>
      </c>
      <c r="L2" s="9" t="s">
        <v>17</v>
      </c>
      <c r="M2" s="9" t="s">
        <v>10</v>
      </c>
      <c r="N2" s="33" t="s">
        <v>58</v>
      </c>
    </row>
    <row r="3" spans="1:14" x14ac:dyDescent="0.25">
      <c r="A3" s="10">
        <v>80</v>
      </c>
      <c r="B3" s="11">
        <v>1990</v>
      </c>
      <c r="C3" s="11">
        <v>2024</v>
      </c>
      <c r="D3" s="11">
        <f>C3-B3</f>
        <v>34</v>
      </c>
      <c r="E3" s="11">
        <v>60</v>
      </c>
      <c r="F3" s="12">
        <v>0.1</v>
      </c>
      <c r="G3" s="13">
        <f>(1-F3)/E3</f>
        <v>1.5000000000000001E-2</v>
      </c>
      <c r="H3" s="14">
        <v>4000</v>
      </c>
      <c r="I3" s="14">
        <f>H3*A3</f>
        <v>320000</v>
      </c>
      <c r="J3" s="14">
        <f>I3*G3*D3</f>
        <v>163200</v>
      </c>
      <c r="K3" s="14">
        <f>MAX(I3-J3,0)</f>
        <v>156800</v>
      </c>
      <c r="L3" s="15">
        <v>0.2</v>
      </c>
      <c r="M3" s="14">
        <f>IF(K3&gt;F3*I3,K3*(1-L3),I3*F3)</f>
        <v>125440</v>
      </c>
      <c r="N3" s="34">
        <f>I3*F3</f>
        <v>32000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</vt:lpstr>
      <vt:lpstr>Boundary Wall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2024-03-16T13:09:03Z</dcterms:modified>
</cp:coreProperties>
</file>